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195" windowHeight="8250"/>
  </bookViews>
  <sheets>
    <sheet name="IRR" sheetId="1" r:id="rId1"/>
    <sheet name="Capital Cost" sheetId="2" r:id="rId2"/>
    <sheet name="Loan schedule" sheetId="3" r:id="rId3"/>
    <sheet name="Tariff" sheetId="4" r:id="rId4"/>
    <sheet name="Depreciation calculations" sheetId="6" r:id="rId5"/>
    <sheet name="Emission Reduction Sheet " sheetId="7" r:id="rId6"/>
  </sheets>
  <definedNames>
    <definedName name="_ftn1" localSheetId="0">IRR!$F$80</definedName>
    <definedName name="_ftnref1" localSheetId="0">IRR!$G$73</definedName>
  </definedNames>
  <calcPr calcId="114210" calcOnSave="0"/>
</workbook>
</file>

<file path=xl/calcChain.xml><?xml version="1.0" encoding="utf-8"?>
<calcChain xmlns="http://schemas.openxmlformats.org/spreadsheetml/2006/main">
  <c r="F8" i="7"/>
  <c r="H11" i="1"/>
  <c r="H19"/>
  <c r="H18"/>
  <c r="J17" i="4"/>
  <c r="H12" i="1"/>
  <c r="J5" i="4"/>
  <c r="P5"/>
  <c r="L5"/>
  <c r="I5"/>
  <c r="H21" i="1"/>
  <c r="P18" i="4"/>
  <c r="N18"/>
  <c r="J6"/>
  <c r="J7"/>
  <c r="J18"/>
  <c r="J8"/>
  <c r="J9"/>
  <c r="J10"/>
  <c r="J11"/>
  <c r="J12"/>
  <c r="J13"/>
  <c r="J14"/>
  <c r="J15"/>
  <c r="J16"/>
  <c r="R4" i="2"/>
  <c r="N6"/>
  <c r="N7"/>
  <c r="N11"/>
  <c r="N15"/>
  <c r="N12"/>
  <c r="N16"/>
  <c r="N9"/>
  <c r="N13"/>
  <c r="N14"/>
  <c r="N8"/>
  <c r="N10"/>
  <c r="H6" i="1"/>
  <c r="M43"/>
  <c r="C40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17" i="6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41" i="1"/>
  <c r="F41"/>
  <c r="G41"/>
  <c r="H41"/>
  <c r="I41"/>
  <c r="O18" i="4"/>
  <c r="P17"/>
  <c r="P16"/>
  <c r="P15"/>
  <c r="P14"/>
  <c r="P13"/>
  <c r="P12"/>
  <c r="P11"/>
  <c r="P10"/>
  <c r="P9"/>
  <c r="P8"/>
  <c r="P7"/>
  <c r="P6"/>
  <c r="O41" i="1"/>
  <c r="I7" i="4"/>
  <c r="I6"/>
  <c r="K5"/>
  <c r="I8"/>
  <c r="I9"/>
  <c r="I10"/>
  <c r="I11"/>
  <c r="I12"/>
  <c r="I13"/>
  <c r="I14"/>
  <c r="I15"/>
  <c r="I16"/>
  <c r="I17"/>
  <c r="O43" i="1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42"/>
  <c r="N41"/>
  <c r="P41"/>
  <c r="K17" i="4"/>
  <c r="L17"/>
  <c r="K16"/>
  <c r="L16"/>
  <c r="K15"/>
  <c r="L15"/>
  <c r="K14"/>
  <c r="L14"/>
  <c r="K13"/>
  <c r="L13"/>
  <c r="K12"/>
  <c r="L12"/>
  <c r="K11"/>
  <c r="L11"/>
  <c r="H18"/>
  <c r="N61" i="1"/>
  <c r="M44"/>
  <c r="N17" i="2"/>
  <c r="H13" i="1"/>
  <c r="R42"/>
  <c r="R41"/>
  <c r="D6" i="6"/>
  <c r="M45" i="1"/>
  <c r="C11" i="6"/>
  <c r="C20"/>
  <c r="D40" i="1"/>
  <c r="R61"/>
  <c r="R57"/>
  <c r="R53"/>
  <c r="R49"/>
  <c r="R45"/>
  <c r="R60"/>
  <c r="R56"/>
  <c r="R52"/>
  <c r="R48"/>
  <c r="R44"/>
  <c r="F19" i="6"/>
  <c r="R59" i="1"/>
  <c r="R55"/>
  <c r="R51"/>
  <c r="R47"/>
  <c r="R43"/>
  <c r="R58"/>
  <c r="R54"/>
  <c r="R50"/>
  <c r="R46"/>
  <c r="M46"/>
  <c r="H14"/>
  <c r="E40"/>
  <c r="AB40"/>
  <c r="H15"/>
  <c r="D7" i="3"/>
  <c r="D11" i="6"/>
  <c r="D20"/>
  <c r="Z61" i="1"/>
  <c r="C19" i="6"/>
  <c r="X41" i="1"/>
  <c r="X44"/>
  <c r="T19" i="6"/>
  <c r="X58" i="1"/>
  <c r="H19" i="6"/>
  <c r="X46" i="1"/>
  <c r="U19" i="6"/>
  <c r="X59" i="1"/>
  <c r="S19" i="6"/>
  <c r="X57" i="1"/>
  <c r="J19" i="6"/>
  <c r="X48" i="1"/>
  <c r="M19" i="6"/>
  <c r="X51" i="1"/>
  <c r="Q19" i="6"/>
  <c r="X55" i="1"/>
  <c r="E19" i="6"/>
  <c r="X43" i="1"/>
  <c r="D19" i="6"/>
  <c r="X42" i="1"/>
  <c r="P19" i="6"/>
  <c r="X54" i="1"/>
  <c r="G19" i="6"/>
  <c r="X45" i="1"/>
  <c r="R19" i="6"/>
  <c r="X56" i="1"/>
  <c r="K19" i="6"/>
  <c r="X49" i="1"/>
  <c r="I19" i="6"/>
  <c r="X47" i="1"/>
  <c r="W19" i="6"/>
  <c r="X61" i="1"/>
  <c r="N19" i="6"/>
  <c r="X52" i="1"/>
  <c r="L19" i="6"/>
  <c r="X50" i="1"/>
  <c r="V19" i="6"/>
  <c r="X60" i="1"/>
  <c r="O19" i="6"/>
  <c r="X53" i="1"/>
  <c r="M47"/>
  <c r="D8" i="3"/>
  <c r="D9"/>
  <c r="E11" i="6"/>
  <c r="F11"/>
  <c r="M48" i="1"/>
  <c r="G8" i="3"/>
  <c r="K8"/>
  <c r="E14"/>
  <c r="I14"/>
  <c r="M14"/>
  <c r="F12"/>
  <c r="J12"/>
  <c r="D12"/>
  <c r="F10"/>
  <c r="J10"/>
  <c r="D10"/>
  <c r="D11"/>
  <c r="J8"/>
  <c r="E12"/>
  <c r="M12"/>
  <c r="M10"/>
  <c r="H8"/>
  <c r="L8"/>
  <c r="F14"/>
  <c r="J14"/>
  <c r="D14"/>
  <c r="G12"/>
  <c r="K12"/>
  <c r="G10"/>
  <c r="K10"/>
  <c r="F8"/>
  <c r="E8"/>
  <c r="H14"/>
  <c r="L14"/>
  <c r="I12"/>
  <c r="E10"/>
  <c r="I10"/>
  <c r="I8"/>
  <c r="M8"/>
  <c r="G14"/>
  <c r="K14"/>
  <c r="H12"/>
  <c r="L12"/>
  <c r="H10"/>
  <c r="L10"/>
  <c r="G11" i="6"/>
  <c r="H11"/>
  <c r="I11"/>
  <c r="M49" i="1"/>
  <c r="F16" i="3"/>
  <c r="Y44" i="1"/>
  <c r="L16" i="3"/>
  <c r="Y50" i="1"/>
  <c r="D13" i="3"/>
  <c r="D15"/>
  <c r="E7"/>
  <c r="D16"/>
  <c r="Y42" i="1"/>
  <c r="E16" i="3"/>
  <c r="Y43" i="1"/>
  <c r="K16" i="3"/>
  <c r="Y49" i="1"/>
  <c r="M16" i="3"/>
  <c r="Y51" i="1"/>
  <c r="G16" i="3"/>
  <c r="Y45" i="1"/>
  <c r="I16" i="3"/>
  <c r="Y47" i="1"/>
  <c r="H16" i="3"/>
  <c r="Y46" i="1"/>
  <c r="J16" i="3"/>
  <c r="Y48" i="1"/>
  <c r="J11" i="6"/>
  <c r="K11"/>
  <c r="L11"/>
  <c r="M11"/>
  <c r="E9" i="3"/>
  <c r="D17"/>
  <c r="M50" i="1"/>
  <c r="G18" i="4"/>
  <c r="K6"/>
  <c r="L6"/>
  <c r="K7"/>
  <c r="L7"/>
  <c r="K8"/>
  <c r="L8"/>
  <c r="K9"/>
  <c r="L9"/>
  <c r="K10"/>
  <c r="L10"/>
  <c r="F18"/>
  <c r="E18"/>
  <c r="D18"/>
  <c r="B6"/>
  <c r="B7"/>
  <c r="B8"/>
  <c r="B9"/>
  <c r="B10"/>
  <c r="N11" i="6"/>
  <c r="O11"/>
  <c r="P11"/>
  <c r="L18" i="4"/>
  <c r="M51" i="1"/>
  <c r="I18" i="4"/>
  <c r="N42" i="1"/>
  <c r="P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42"/>
  <c r="G42"/>
  <c r="H42"/>
  <c r="Q11" i="6"/>
  <c r="R11"/>
  <c r="S11"/>
  <c r="M52" i="1"/>
  <c r="K18" i="4"/>
  <c r="T11" i="6"/>
  <c r="U11"/>
  <c r="V11"/>
  <c r="W11"/>
  <c r="M53" i="1"/>
  <c r="P52"/>
  <c r="M54"/>
  <c r="P53"/>
  <c r="M55"/>
  <c r="P54"/>
  <c r="E11" i="3"/>
  <c r="T42" i="1"/>
  <c r="E13" i="3"/>
  <c r="E15"/>
  <c r="F7"/>
  <c r="M56" i="1"/>
  <c r="P55"/>
  <c r="E17" i="3"/>
  <c r="T43" i="1"/>
  <c r="P43"/>
  <c r="F9" i="3"/>
  <c r="F11"/>
  <c r="F13"/>
  <c r="F15"/>
  <c r="G7"/>
  <c r="G9"/>
  <c r="G11"/>
  <c r="G13"/>
  <c r="G15"/>
  <c r="H7"/>
  <c r="M57" i="1"/>
  <c r="P56"/>
  <c r="F17" i="3"/>
  <c r="T44" i="1"/>
  <c r="P44"/>
  <c r="G17" i="3"/>
  <c r="T45" i="1"/>
  <c r="P45"/>
  <c r="F20" i="6"/>
  <c r="E20"/>
  <c r="M58" i="1"/>
  <c r="P57"/>
  <c r="H9" i="3"/>
  <c r="H11"/>
  <c r="H13"/>
  <c r="H15"/>
  <c r="I7"/>
  <c r="H17"/>
  <c r="T46" i="1"/>
  <c r="P46"/>
  <c r="M59"/>
  <c r="P58"/>
  <c r="I9" i="3"/>
  <c r="I11"/>
  <c r="I13"/>
  <c r="I15"/>
  <c r="J7"/>
  <c r="J9"/>
  <c r="J11"/>
  <c r="J13"/>
  <c r="J15"/>
  <c r="K7"/>
  <c r="I17"/>
  <c r="T47" i="1"/>
  <c r="P47"/>
  <c r="G20" i="6"/>
  <c r="M60" i="1"/>
  <c r="P59"/>
  <c r="J17" i="3"/>
  <c r="T48" i="1"/>
  <c r="P48"/>
  <c r="I20" i="6"/>
  <c r="H20"/>
  <c r="M61" i="1"/>
  <c r="P61"/>
  <c r="P60"/>
  <c r="K9" i="3"/>
  <c r="K11"/>
  <c r="K13"/>
  <c r="K15"/>
  <c r="L7"/>
  <c r="K17"/>
  <c r="T49" i="1"/>
  <c r="P49"/>
  <c r="J20" i="6"/>
  <c r="L9" i="3"/>
  <c r="L11"/>
  <c r="L13"/>
  <c r="L15"/>
  <c r="M7"/>
  <c r="L17"/>
  <c r="T50" i="1"/>
  <c r="P50"/>
  <c r="K20" i="6"/>
  <c r="M9" i="3"/>
  <c r="M11"/>
  <c r="M13"/>
  <c r="M15"/>
  <c r="M17"/>
  <c r="T51" i="1"/>
  <c r="P51"/>
  <c r="L20" i="6"/>
  <c r="N20"/>
  <c r="M20"/>
  <c r="O20"/>
  <c r="P20"/>
  <c r="Q20"/>
  <c r="R20"/>
  <c r="S20"/>
  <c r="T20"/>
  <c r="U20"/>
  <c r="W20"/>
  <c r="V20"/>
  <c r="G45" i="1"/>
  <c r="G47"/>
  <c r="G58"/>
  <c r="G43"/>
  <c r="G57"/>
  <c r="G55"/>
  <c r="G54"/>
  <c r="G50"/>
  <c r="G56"/>
  <c r="G52"/>
  <c r="G60"/>
  <c r="G61"/>
  <c r="G44"/>
  <c r="G46"/>
  <c r="G49"/>
  <c r="G59"/>
  <c r="G53"/>
  <c r="G48"/>
  <c r="G51"/>
  <c r="H46"/>
  <c r="I46"/>
  <c r="J46"/>
  <c r="H55"/>
  <c r="I55"/>
  <c r="J55"/>
  <c r="H53"/>
  <c r="I53"/>
  <c r="J53"/>
  <c r="H56"/>
  <c r="I56"/>
  <c r="J56"/>
  <c r="I42"/>
  <c r="H61"/>
  <c r="I61"/>
  <c r="J61"/>
  <c r="H51"/>
  <c r="I51"/>
  <c r="J51"/>
  <c r="H49"/>
  <c r="I49"/>
  <c r="J49"/>
  <c r="H60"/>
  <c r="I60"/>
  <c r="J60"/>
  <c r="H54"/>
  <c r="I54"/>
  <c r="J54"/>
  <c r="H58"/>
  <c r="I58"/>
  <c r="J58"/>
  <c r="H48"/>
  <c r="I48"/>
  <c r="J48"/>
  <c r="H52"/>
  <c r="I52"/>
  <c r="J52"/>
  <c r="H47"/>
  <c r="I47"/>
  <c r="J47"/>
  <c r="H44"/>
  <c r="I44"/>
  <c r="J44"/>
  <c r="H57"/>
  <c r="I57"/>
  <c r="J57"/>
  <c r="H59"/>
  <c r="I59"/>
  <c r="J59"/>
  <c r="H50"/>
  <c r="I50"/>
  <c r="J50"/>
  <c r="H43"/>
  <c r="I43"/>
  <c r="J43"/>
  <c r="H45"/>
  <c r="I45"/>
  <c r="J45"/>
  <c r="J41"/>
  <c r="J42"/>
  <c r="F10" i="7"/>
  <c r="F25"/>
  <c r="K50" i="1"/>
  <c r="L50"/>
  <c r="Q50"/>
  <c r="S50"/>
  <c r="U50"/>
  <c r="K47"/>
  <c r="L47"/>
  <c r="Q47"/>
  <c r="S47"/>
  <c r="U47"/>
  <c r="I18" i="6"/>
  <c r="I21"/>
  <c r="K48" i="1"/>
  <c r="L48"/>
  <c r="Q48"/>
  <c r="S48"/>
  <c r="U48"/>
  <c r="J18" i="6"/>
  <c r="J21"/>
  <c r="K44" i="1"/>
  <c r="L44"/>
  <c r="Q44"/>
  <c r="S44"/>
  <c r="U44"/>
  <c r="F18" i="6"/>
  <c r="F21"/>
  <c r="F27"/>
  <c r="K41" i="1"/>
  <c r="L41"/>
  <c r="K42"/>
  <c r="K58"/>
  <c r="L58"/>
  <c r="Q58"/>
  <c r="S58"/>
  <c r="U58"/>
  <c r="T18" i="6"/>
  <c r="T21"/>
  <c r="K59" i="1"/>
  <c r="L59"/>
  <c r="Q59"/>
  <c r="S59"/>
  <c r="U59"/>
  <c r="U18" i="6"/>
  <c r="U21"/>
  <c r="K56" i="1"/>
  <c r="L56"/>
  <c r="Q56"/>
  <c r="S56"/>
  <c r="U56"/>
  <c r="R18" i="6"/>
  <c r="R21"/>
  <c r="K52" i="1"/>
  <c r="L52"/>
  <c r="Q52"/>
  <c r="S52"/>
  <c r="U52"/>
  <c r="N18" i="6"/>
  <c r="N21"/>
  <c r="K43" i="1"/>
  <c r="L43"/>
  <c r="Q43"/>
  <c r="S43"/>
  <c r="U43"/>
  <c r="E18" i="6"/>
  <c r="E21"/>
  <c r="K51" i="1"/>
  <c r="L51"/>
  <c r="Q51"/>
  <c r="S51"/>
  <c r="U51"/>
  <c r="M18" i="6"/>
  <c r="M21"/>
  <c r="K61" i="1"/>
  <c r="L61"/>
  <c r="Q61"/>
  <c r="S61"/>
  <c r="U61"/>
  <c r="W18" i="6"/>
  <c r="W21"/>
  <c r="K55" i="1"/>
  <c r="L55"/>
  <c r="Q55"/>
  <c r="S55"/>
  <c r="U55"/>
  <c r="Q18" i="6"/>
  <c r="Q21"/>
  <c r="K54" i="1"/>
  <c r="L54"/>
  <c r="Q54"/>
  <c r="S54"/>
  <c r="U54"/>
  <c r="P18" i="6"/>
  <c r="P21"/>
  <c r="K57" i="1"/>
  <c r="L57"/>
  <c r="Q57"/>
  <c r="S57"/>
  <c r="U57"/>
  <c r="S18" i="6"/>
  <c r="S21"/>
  <c r="K45" i="1"/>
  <c r="L45"/>
  <c r="Q45"/>
  <c r="S45"/>
  <c r="U45"/>
  <c r="G18" i="6"/>
  <c r="G21"/>
  <c r="L42" i="1"/>
  <c r="Q42"/>
  <c r="S42"/>
  <c r="U42"/>
  <c r="D18" i="6"/>
  <c r="D21"/>
  <c r="K46" i="1"/>
  <c r="L46"/>
  <c r="Q46"/>
  <c r="S46"/>
  <c r="U46"/>
  <c r="H18" i="6"/>
  <c r="H21"/>
  <c r="K60" i="1"/>
  <c r="L60"/>
  <c r="Q60"/>
  <c r="S60"/>
  <c r="U60"/>
  <c r="V18" i="6"/>
  <c r="V21"/>
  <c r="K53" i="1"/>
  <c r="L53"/>
  <c r="Q53"/>
  <c r="S53"/>
  <c r="U53"/>
  <c r="O18" i="6"/>
  <c r="O21"/>
  <c r="K49" i="1"/>
  <c r="L49"/>
  <c r="Q49"/>
  <c r="L18" i="6"/>
  <c r="L21"/>
  <c r="Q41" i="1"/>
  <c r="S41"/>
  <c r="U41"/>
  <c r="C18" i="6"/>
  <c r="C21"/>
  <c r="S49" i="1"/>
  <c r="U49"/>
  <c r="K18" i="6"/>
  <c r="K21"/>
  <c r="F28"/>
  <c r="AA44" i="1"/>
  <c r="AA60"/>
  <c r="V27" i="6"/>
  <c r="V28"/>
  <c r="AA59" i="1"/>
  <c r="U27" i="6"/>
  <c r="U28"/>
  <c r="AA46" i="1"/>
  <c r="H27" i="6"/>
  <c r="H28"/>
  <c r="J27"/>
  <c r="J28"/>
  <c r="AA48" i="1"/>
  <c r="AA50"/>
  <c r="L27" i="6"/>
  <c r="L28"/>
  <c r="AA54" i="1"/>
  <c r="AA55"/>
  <c r="AA45"/>
  <c r="G27" i="6"/>
  <c r="G28"/>
  <c r="I27"/>
  <c r="I28"/>
  <c r="AA47" i="1"/>
  <c r="AA43"/>
  <c r="E27" i="6"/>
  <c r="E28"/>
  <c r="AA58" i="1"/>
  <c r="T27" i="6"/>
  <c r="T28"/>
  <c r="AA53" i="1"/>
  <c r="AA42"/>
  <c r="D27" i="6"/>
  <c r="D28"/>
  <c r="AA57" i="1"/>
  <c r="S27" i="6"/>
  <c r="S28"/>
  <c r="AA61" i="1"/>
  <c r="W27" i="6"/>
  <c r="W28"/>
  <c r="AA56" i="1"/>
  <c r="M27" i="6"/>
  <c r="M28"/>
  <c r="AA51" i="1"/>
  <c r="AA52"/>
  <c r="N27" i="6"/>
  <c r="N28"/>
  <c r="C27"/>
  <c r="C28"/>
  <c r="C23"/>
  <c r="C25"/>
  <c r="C29"/>
  <c r="AA41" i="1"/>
  <c r="AA49"/>
  <c r="K27" i="6"/>
  <c r="K28"/>
  <c r="D22"/>
  <c r="D23"/>
  <c r="E22"/>
  <c r="C31"/>
  <c r="V41" i="1"/>
  <c r="W41"/>
  <c r="AB41"/>
  <c r="D25" i="6"/>
  <c r="D29"/>
  <c r="D31"/>
  <c r="V42" i="1"/>
  <c r="W42"/>
  <c r="AB42"/>
  <c r="E23" i="6"/>
  <c r="F22"/>
  <c r="F23"/>
  <c r="E25"/>
  <c r="E29"/>
  <c r="E31"/>
  <c r="V43" i="1"/>
  <c r="W43"/>
  <c r="AB43"/>
  <c r="G22" i="6"/>
  <c r="G23"/>
  <c r="F25"/>
  <c r="F29"/>
  <c r="F31"/>
  <c r="V44" i="1"/>
  <c r="W44"/>
  <c r="AB44"/>
  <c r="G25" i="6"/>
  <c r="G29"/>
  <c r="G31"/>
  <c r="V45" i="1"/>
  <c r="W45"/>
  <c r="AB45"/>
  <c r="H22" i="6"/>
  <c r="H23"/>
  <c r="H25"/>
  <c r="H29"/>
  <c r="H31"/>
  <c r="V46" i="1"/>
  <c r="W46"/>
  <c r="AB46"/>
  <c r="I22" i="6"/>
  <c r="I23"/>
  <c r="J22"/>
  <c r="J23"/>
  <c r="I25"/>
  <c r="I29"/>
  <c r="I31"/>
  <c r="V47" i="1"/>
  <c r="W47"/>
  <c r="AB47"/>
  <c r="J25" i="6"/>
  <c r="J29"/>
  <c r="J31"/>
  <c r="V48" i="1"/>
  <c r="W48"/>
  <c r="AB48"/>
  <c r="K22" i="6"/>
  <c r="K23"/>
  <c r="L22"/>
  <c r="L23"/>
  <c r="K25"/>
  <c r="K29"/>
  <c r="K31"/>
  <c r="V49" i="1"/>
  <c r="W49"/>
  <c r="AB49"/>
  <c r="M22" i="6"/>
  <c r="M23"/>
  <c r="L25"/>
  <c r="L29"/>
  <c r="L31"/>
  <c r="V50" i="1"/>
  <c r="W50"/>
  <c r="AB50"/>
  <c r="M25" i="6"/>
  <c r="M29"/>
  <c r="M31"/>
  <c r="V51" i="1"/>
  <c r="W51"/>
  <c r="AB51"/>
  <c r="N22" i="6"/>
  <c r="N23"/>
  <c r="O22"/>
  <c r="O23"/>
  <c r="N25"/>
  <c r="N29"/>
  <c r="N31"/>
  <c r="V52" i="1"/>
  <c r="W52"/>
  <c r="AB52"/>
  <c r="O26" i="6"/>
  <c r="O27"/>
  <c r="O28"/>
  <c r="O25"/>
  <c r="O29"/>
  <c r="P22"/>
  <c r="P23"/>
  <c r="Q22"/>
  <c r="P26"/>
  <c r="Q23"/>
  <c r="R22"/>
  <c r="P25"/>
  <c r="P29"/>
  <c r="O31"/>
  <c r="V53" i="1"/>
  <c r="W53"/>
  <c r="AB53"/>
  <c r="P27" i="6"/>
  <c r="P28"/>
  <c r="P31"/>
  <c r="V54" i="1"/>
  <c r="W54"/>
  <c r="AB54"/>
  <c r="R23" i="6"/>
  <c r="R26"/>
  <c r="Q25"/>
  <c r="Q29"/>
  <c r="Q26"/>
  <c r="Q27"/>
  <c r="Q28"/>
  <c r="Q31"/>
  <c r="V55" i="1"/>
  <c r="W55"/>
  <c r="AB55"/>
  <c r="S22" i="6"/>
  <c r="S23"/>
  <c r="R27"/>
  <c r="R28"/>
  <c r="R25"/>
  <c r="R29"/>
  <c r="R31"/>
  <c r="V56" i="1"/>
  <c r="W56"/>
  <c r="AB56"/>
  <c r="S25" i="6"/>
  <c r="S29"/>
  <c r="T22"/>
  <c r="T23"/>
  <c r="S31"/>
  <c r="V57" i="1"/>
  <c r="W57"/>
  <c r="AB57"/>
  <c r="T25" i="6"/>
  <c r="T29"/>
  <c r="T31"/>
  <c r="V58" i="1"/>
  <c r="W58"/>
  <c r="AB58"/>
  <c r="U22" i="6"/>
  <c r="U23"/>
  <c r="U25"/>
  <c r="U29"/>
  <c r="U31"/>
  <c r="V59" i="1"/>
  <c r="W59"/>
  <c r="AB59"/>
  <c r="V22" i="6"/>
  <c r="V23"/>
  <c r="V25"/>
  <c r="V29"/>
  <c r="V31"/>
  <c r="V60" i="1"/>
  <c r="W60"/>
  <c r="AB60"/>
  <c r="W22" i="6"/>
  <c r="W23"/>
  <c r="W25"/>
  <c r="W29"/>
  <c r="W31"/>
  <c r="V61" i="1"/>
  <c r="W61"/>
  <c r="AB61"/>
  <c r="AB63"/>
</calcChain>
</file>

<file path=xl/comments1.xml><?xml version="1.0" encoding="utf-8"?>
<comments xmlns="http://schemas.openxmlformats.org/spreadsheetml/2006/main">
  <authors>
    <author>Deloitte</author>
  </authors>
  <commentList>
    <comment ref="C30" authorId="0">
      <text>
        <r>
          <rPr>
            <b/>
            <sz val="12"/>
            <color indexed="81"/>
            <rFont val="Tahoma"/>
            <family val="2"/>
          </rPr>
          <t>Deloitte:</t>
        </r>
        <r>
          <rPr>
            <sz val="12"/>
            <color indexed="81"/>
            <rFont val="Tahoma"/>
            <family val="2"/>
          </rPr>
          <t xml:space="preserve">
Need to change the sensitivity factor by +,- 0.1 to have the sensitivity anlaysis with +,- 10% e.g. change of IRR with 10% increase in capital cost would require to change the sensitivity parameter to 1.1</t>
        </r>
      </text>
    </comment>
  </commentList>
</comments>
</file>

<file path=xl/sharedStrings.xml><?xml version="1.0" encoding="utf-8"?>
<sst xmlns="http://schemas.openxmlformats.org/spreadsheetml/2006/main" count="210" uniqueCount="183">
  <si>
    <t>Capital Cost of Project</t>
  </si>
  <si>
    <t>Components</t>
  </si>
  <si>
    <t>WTG</t>
  </si>
  <si>
    <t>Tower</t>
  </si>
  <si>
    <t>Transformer</t>
  </si>
  <si>
    <t>Erection, Installation and commisioning</t>
  </si>
  <si>
    <t>Power Evacuation infrastructure</t>
  </si>
  <si>
    <t>Total</t>
  </si>
  <si>
    <t>Civil Work &amp; Foundation</t>
  </si>
  <si>
    <t>Other Civil work allied to installation</t>
  </si>
  <si>
    <t>Electrical supply and installation</t>
  </si>
  <si>
    <t>Testing and commisioning</t>
  </si>
  <si>
    <t>Processing charges</t>
  </si>
  <si>
    <t>O &amp; M Cost</t>
  </si>
  <si>
    <t>Capacity of WTG</t>
  </si>
  <si>
    <t>Number of WTG</t>
  </si>
  <si>
    <t>Escalation on O &amp; M cost</t>
  </si>
  <si>
    <t>of O &amp; M cost</t>
  </si>
  <si>
    <t>Equity</t>
  </si>
  <si>
    <t>Debt</t>
  </si>
  <si>
    <t>Cost of insurance</t>
  </si>
  <si>
    <t>Interest on loan</t>
  </si>
  <si>
    <t>Project Parameter</t>
  </si>
  <si>
    <t>of loan amount</t>
  </si>
  <si>
    <t>Loan Repayment schedule</t>
  </si>
  <si>
    <t>Parameter</t>
  </si>
  <si>
    <t>Value</t>
  </si>
  <si>
    <t>Unit</t>
  </si>
  <si>
    <t>Closing balance</t>
  </si>
  <si>
    <t>interest on loan</t>
  </si>
  <si>
    <t>Loan Repayment</t>
  </si>
  <si>
    <t>%</t>
  </si>
  <si>
    <t>Plant Load Factor</t>
  </si>
  <si>
    <t>Cash Flows</t>
  </si>
  <si>
    <t>Year</t>
  </si>
  <si>
    <t>Annual hours of operation of WTG</t>
  </si>
  <si>
    <t>Revenues</t>
  </si>
  <si>
    <t>Energy Consumption (Kwh)</t>
  </si>
  <si>
    <t>CER Revenues</t>
  </si>
  <si>
    <t>Interest on term loans</t>
  </si>
  <si>
    <t>Insurance charges</t>
  </si>
  <si>
    <t>Depreciation</t>
  </si>
  <si>
    <t>Book Depreciation Rate</t>
  </si>
  <si>
    <t xml:space="preserve">As per Indian Income Tax Rule. See Rule 5 and New Appendix I. (web-link: http://law.incometaxindia.gov.in/DIT/income-tax-rules.aspx)   </t>
  </si>
  <si>
    <t>Sr. No.</t>
  </si>
  <si>
    <t>Month of the Bill</t>
  </si>
  <si>
    <t>Energy Charges</t>
  </si>
  <si>
    <t>FPPPA Charges</t>
  </si>
  <si>
    <t>TOU Charges</t>
  </si>
  <si>
    <t>PF Rebate</t>
  </si>
  <si>
    <t>Total Consumption Charges</t>
  </si>
  <si>
    <t>Total Govt. Duty</t>
  </si>
  <si>
    <t>Grand Total</t>
  </si>
  <si>
    <t>Net Generation after paying wheeling (MWh)</t>
  </si>
  <si>
    <t>Total Expenses</t>
  </si>
  <si>
    <t>Calculation of Depriciation as per IT act</t>
  </si>
  <si>
    <t xml:space="preserve">Depreciation cost </t>
  </si>
  <si>
    <t>Income tax depreciation</t>
  </si>
  <si>
    <t>On WEG</t>
  </si>
  <si>
    <t>On other asset</t>
  </si>
  <si>
    <t>Depreciation as per IT act</t>
  </si>
  <si>
    <t>Other Asset cost</t>
  </si>
  <si>
    <t>Profit before Tax</t>
  </si>
  <si>
    <t>Annual Taxable Income</t>
  </si>
  <si>
    <t>80 IA applicable</t>
  </si>
  <si>
    <t>Minimum Alternate Tax at 11.33%</t>
  </si>
  <si>
    <t>Tax Payable Max of MAT / Normal Tax</t>
  </si>
  <si>
    <t>Income Tax Calculations</t>
  </si>
  <si>
    <t>Income Tax rate</t>
  </si>
  <si>
    <t>As per Indian Finance Act-2009 (Refer paragraph  E of Part I of The First Schedule of the Finance Act-2009)</t>
  </si>
  <si>
    <t>Income Tax at 33.99%</t>
  </si>
  <si>
    <t>Tax Payable</t>
  </si>
  <si>
    <t>Profit Before tax (PBT)</t>
  </si>
  <si>
    <t>Profit After Tax (PAT)</t>
  </si>
  <si>
    <t>Net Cash Flow</t>
  </si>
  <si>
    <t>CAPEX</t>
  </si>
  <si>
    <t>Rs. Million</t>
  </si>
  <si>
    <t>Rs. Million (after one year)</t>
  </si>
  <si>
    <t>Total (Rs. Million)</t>
  </si>
  <si>
    <t>Total Revenues (Rs. Million)</t>
  </si>
  <si>
    <t>Loan Repayment schedule (Rs. Million)</t>
  </si>
  <si>
    <t>Expenses (Rs. Million)</t>
  </si>
  <si>
    <t>O &amp; M Expenses</t>
  </si>
  <si>
    <t>CER Prices</t>
  </si>
  <si>
    <t>Euro</t>
  </si>
  <si>
    <t>Conversion Rate</t>
  </si>
  <si>
    <t>Post tax Equity IRR</t>
  </si>
  <si>
    <t>Reference</t>
  </si>
  <si>
    <t>Baseline Emissions</t>
  </si>
  <si>
    <t>Description</t>
  </si>
  <si>
    <r>
      <t xml:space="preserve">Quantity of net electricity supplied to the grid as a result of the implementation of the CDM project activity in year </t>
    </r>
    <r>
      <rPr>
        <i/>
        <sz val="11"/>
        <color indexed="8"/>
        <rFont val="Times New Roman"/>
        <family val="1"/>
      </rPr>
      <t>y</t>
    </r>
    <r>
      <rPr>
        <sz val="11"/>
        <color indexed="8"/>
        <rFont val="Times New Roman"/>
        <family val="1"/>
      </rPr>
      <t xml:space="preserve">; </t>
    </r>
  </si>
  <si>
    <t>MWh</t>
  </si>
  <si>
    <r>
      <t>CO</t>
    </r>
    <r>
      <rPr>
        <vertAlign val="subscript"/>
        <sz val="11"/>
        <color indexed="8"/>
        <rFont val="Times New Roman"/>
        <family val="1"/>
      </rPr>
      <t>2</t>
    </r>
    <r>
      <rPr>
        <sz val="11"/>
        <color indexed="8"/>
        <rFont val="Times New Roman"/>
        <family val="1"/>
      </rPr>
      <t xml:space="preserve"> emission factor of the grid in year y;</t>
    </r>
  </si>
  <si>
    <t xml:space="preserve"> t CO2/MWh</t>
  </si>
  <si>
    <t xml:space="preserve">Baseline Emissions in year y; </t>
  </si>
  <si>
    <t>t CO2</t>
  </si>
  <si>
    <t>Project Emissions</t>
  </si>
  <si>
    <t>Leakage</t>
  </si>
  <si>
    <t>PEy</t>
  </si>
  <si>
    <t>LEy</t>
  </si>
  <si>
    <t>Leakage Emissions</t>
  </si>
  <si>
    <t xml:space="preserve"> Emission Reductions</t>
  </si>
  <si>
    <r>
      <t xml:space="preserve">              ER</t>
    </r>
    <r>
      <rPr>
        <vertAlign val="subscript"/>
        <sz val="12"/>
        <color indexed="8"/>
        <rFont val="Times New Roman"/>
        <family val="1"/>
      </rPr>
      <t>y</t>
    </r>
    <r>
      <rPr>
        <sz val="12"/>
        <color indexed="8"/>
        <rFont val="Times New Roman"/>
        <family val="1"/>
      </rPr>
      <t xml:space="preserve"> = BE</t>
    </r>
    <r>
      <rPr>
        <vertAlign val="subscript"/>
        <sz val="12"/>
        <color indexed="8"/>
        <rFont val="Times New Roman"/>
        <family val="1"/>
      </rPr>
      <t>y</t>
    </r>
    <r>
      <rPr>
        <sz val="12"/>
        <color indexed="8"/>
        <rFont val="Times New Roman"/>
        <family val="1"/>
      </rPr>
      <t>- PE</t>
    </r>
    <r>
      <rPr>
        <vertAlign val="subscript"/>
        <sz val="12"/>
        <color indexed="8"/>
        <rFont val="Times New Roman"/>
        <family val="1"/>
      </rPr>
      <t>y</t>
    </r>
    <r>
      <rPr>
        <sz val="12"/>
        <color indexed="8"/>
        <rFont val="Times New Roman"/>
        <family val="1"/>
      </rPr>
      <t>- LE</t>
    </r>
    <r>
      <rPr>
        <vertAlign val="subscript"/>
        <sz val="12"/>
        <color indexed="8"/>
        <rFont val="Times New Roman"/>
        <family val="1"/>
      </rPr>
      <t>y</t>
    </r>
  </si>
  <si>
    <t>ERy</t>
  </si>
  <si>
    <t>Emission Reductions</t>
  </si>
  <si>
    <t>Estimated generation at controller</t>
  </si>
  <si>
    <t>MW</t>
  </si>
  <si>
    <t>GERC  Tarrif regulation</t>
  </si>
  <si>
    <t>Quaterly Repayment</t>
  </si>
  <si>
    <t>Quarters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</si>
  <si>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</si>
  <si>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</si>
  <si>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</si>
  <si>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</si>
  <si>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</si>
  <si>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</si>
  <si>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</si>
  <si>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</si>
  <si>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</si>
  <si>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</si>
  <si>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Opening balance 1st Quarter</t>
  </si>
  <si>
    <t>Repayment in 1st Quarter</t>
  </si>
  <si>
    <t>Opening balance in 2nd quarter</t>
  </si>
  <si>
    <t>Repayment in 2nd Qauerter</t>
  </si>
  <si>
    <t>Opening balance in 3rd Quarter</t>
  </si>
  <si>
    <t>Repayment in 3rd Quarter</t>
  </si>
  <si>
    <t>Opening balance in 4th Quarter</t>
  </si>
  <si>
    <t>Repayment in 4th Quarter</t>
  </si>
  <si>
    <t>Average Energy Rate (Rs./kwh)</t>
  </si>
  <si>
    <t>Suzlon Offer dated 21.10.2010</t>
  </si>
  <si>
    <t>GERC Tarrif Order</t>
  </si>
  <si>
    <t>http://www.rbi.org.in/scripts/WSSView.aspx?Id=14965</t>
  </si>
  <si>
    <t>Land</t>
  </si>
  <si>
    <t>Salvage Value</t>
  </si>
  <si>
    <t>Revenues due to Energy Savings (Rs. Million)</t>
  </si>
  <si>
    <t>Sensitivity Analysis</t>
  </si>
  <si>
    <t>CAPEX Sens factor</t>
  </si>
  <si>
    <t>O &amp; M Cost Sens factor</t>
  </si>
  <si>
    <t>Tariff Sens factor</t>
  </si>
  <si>
    <t>Transmission Charges</t>
  </si>
  <si>
    <t>KWh</t>
  </si>
  <si>
    <t>Gneration (MWh)</t>
  </si>
  <si>
    <t>Profit before Depreciation, Interest &amp; Tax (PBDIT)</t>
  </si>
  <si>
    <t>Profit before Interest &amp; Tax (PBIT)</t>
  </si>
  <si>
    <t>Deduct - Depreciation as per IT Act</t>
  </si>
  <si>
    <t>Add - Book Depreciation</t>
  </si>
  <si>
    <t>Income Tax Benefits (Tax Shield)</t>
  </si>
  <si>
    <t>Minimum Alternate Tax (MAT)</t>
  </si>
  <si>
    <t xml:space="preserve">Project Comissioning date </t>
  </si>
  <si>
    <t>carried over Losses for 80 IA computation</t>
  </si>
  <si>
    <t>Notional Income after adjusting losses</t>
  </si>
  <si>
    <t>Exempted Income under 80 IA</t>
  </si>
  <si>
    <t>Taxable income after Tax Holiday</t>
  </si>
  <si>
    <t>GERC Tariff Order</t>
  </si>
  <si>
    <t xml:space="preserve"> GERC Tariff Order</t>
  </si>
  <si>
    <t>http://taxguru.in/income-tax/income-tax-rate-dividend-distribution-tax-rate-stt-rate-wealth-tax-rate-mat-tax-rate-and-rate-applicable-to-special-income-for-a-y-2011-12-f-y-2010-11-as-provided-in-budget-2010.html</t>
  </si>
  <si>
    <t xml:space="preserve">As per Indian Income Tax Act </t>
  </si>
  <si>
    <t xml:space="preserve"> Suzlon Offer dated 21.10.2011</t>
  </si>
  <si>
    <t>Prevailing Rate as on 20/10/2010 (web-link: http://www.x-rates.com/cgi-bin/hlookup.cgi)</t>
  </si>
  <si>
    <t>Total Energy charges</t>
  </si>
  <si>
    <t>% of Govt duty to total energy charges</t>
  </si>
  <si>
    <t>Annual net electricity generation</t>
  </si>
  <si>
    <t xml:space="preserve">Service Tax </t>
  </si>
  <si>
    <t>IT TDS</t>
  </si>
  <si>
    <t>VAT TDS</t>
  </si>
  <si>
    <t>Base price (INR)</t>
  </si>
  <si>
    <t>Net Price payable (Rs. Million)</t>
  </si>
  <si>
    <t xml:space="preserve">Bank Declaration </t>
  </si>
  <si>
    <t xml:space="preserve">Computed </t>
  </si>
  <si>
    <t>Transmission and Wheeling losses</t>
  </si>
  <si>
    <t xml:space="preserve"> Transmissionand Wheeling losses (MWh)</t>
  </si>
  <si>
    <t>Sensitivity Anlaysis</t>
  </si>
  <si>
    <t>Consideration</t>
  </si>
  <si>
    <t>Range of Sensitivity</t>
  </si>
  <si>
    <t>Results of Equity IRR (without CDM revenue)</t>
  </si>
  <si>
    <t>(%)</t>
  </si>
  <si>
    <t>Project Scenario</t>
  </si>
  <si>
    <t>Base Case</t>
  </si>
  <si>
    <t>Variation in Project Capital Cost</t>
  </si>
  <si>
    <t>Variation in O&amp;M Cost</t>
  </si>
  <si>
    <t xml:space="preserve">Variation in Electricity Tariff </t>
  </si>
  <si>
    <t>Variation in Plant Load Factor</t>
  </si>
  <si>
    <t>Threshold Value of Variation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</si>
</sst>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0.000%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color indexed="8"/>
      <name val="Times New Roman"/>
      <family val="1"/>
    </font>
    <font>
      <vertAlign val="subscript"/>
      <sz val="11"/>
      <color indexed="8"/>
      <name val="Times New Roman"/>
      <family val="1"/>
    </font>
    <font>
      <b/>
      <sz val="10"/>
      <name val="Arial"/>
      <family val="2"/>
    </font>
    <font>
      <vertAlign val="subscript"/>
      <sz val="12"/>
      <color indexed="8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17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8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2" borderId="0" xfId="0" quotePrefix="1" applyNumberFormat="1" applyFill="1" applyBorder="1"/>
    <xf numFmtId="0" fontId="0" fillId="2" borderId="6" xfId="0" applyFill="1" applyBorder="1"/>
    <xf numFmtId="0" fontId="2" fillId="3" borderId="7" xfId="0" applyFont="1" applyFill="1" applyBorder="1"/>
    <xf numFmtId="0" fontId="2" fillId="3" borderId="8" xfId="0" applyFont="1" applyFill="1" applyBorder="1"/>
    <xf numFmtId="10" fontId="0" fillId="2" borderId="0" xfId="0" quotePrefix="1" applyNumberFormat="1" applyFill="1" applyBorder="1"/>
    <xf numFmtId="0" fontId="0" fillId="2" borderId="0" xfId="0" quotePrefix="1" applyNumberFormat="1" applyFill="1" applyBorder="1" applyAlignment="1">
      <alignment wrapText="1"/>
    </xf>
    <xf numFmtId="17" fontId="2" fillId="4" borderId="4" xfId="0" applyNumberFormat="1" applyFont="1" applyFill="1" applyBorder="1"/>
    <xf numFmtId="0" fontId="0" fillId="2" borderId="9" xfId="0" applyFill="1" applyBorder="1"/>
    <xf numFmtId="0" fontId="2" fillId="4" borderId="9" xfId="0" applyFont="1" applyFill="1" applyBorder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5" xfId="0" applyFill="1" applyBorder="1" applyAlignment="1"/>
    <xf numFmtId="2" fontId="0" fillId="2" borderId="9" xfId="0" applyNumberFormat="1" applyFill="1" applyBorder="1"/>
    <xf numFmtId="2" fontId="2" fillId="4" borderId="9" xfId="0" applyNumberFormat="1" applyFont="1" applyFill="1" applyBorder="1"/>
    <xf numFmtId="9" fontId="0" fillId="2" borderId="0" xfId="0" applyNumberFormat="1" applyFill="1" applyBorder="1"/>
    <xf numFmtId="0" fontId="4" fillId="0" borderId="0" xfId="5"/>
    <xf numFmtId="0" fontId="0" fillId="2" borderId="2" xfId="0" applyFill="1" applyBorder="1" applyAlignment="1">
      <alignment wrapText="1"/>
    </xf>
    <xf numFmtId="0" fontId="5" fillId="0" borderId="0" xfId="5" applyFont="1"/>
    <xf numFmtId="0" fontId="5" fillId="2" borderId="9" xfId="6" applyFont="1" applyFill="1" applyBorder="1" applyAlignment="1">
      <alignment horizontal="center" vertical="center" wrapText="1"/>
    </xf>
    <xf numFmtId="0" fontId="5" fillId="3" borderId="9" xfId="6" applyFont="1" applyFill="1" applyBorder="1" applyAlignment="1">
      <alignment horizontal="center" vertical="center" wrapText="1"/>
    </xf>
    <xf numFmtId="0" fontId="5" fillId="3" borderId="9" xfId="6" applyFont="1" applyFill="1" applyBorder="1" applyAlignment="1">
      <alignment horizontal="center" vertical="center"/>
    </xf>
    <xf numFmtId="0" fontId="6" fillId="3" borderId="9" xfId="6" applyFont="1" applyFill="1" applyBorder="1" applyAlignment="1">
      <alignment vertical="center"/>
    </xf>
    <xf numFmtId="3" fontId="6" fillId="3" borderId="9" xfId="6" applyNumberFormat="1" applyFont="1" applyFill="1" applyBorder="1" applyAlignment="1">
      <alignment vertical="center"/>
    </xf>
    <xf numFmtId="4" fontId="6" fillId="3" borderId="9" xfId="6" applyNumberFormat="1" applyFont="1" applyFill="1" applyBorder="1" applyAlignment="1">
      <alignment vertical="center"/>
    </xf>
    <xf numFmtId="17" fontId="5" fillId="2" borderId="9" xfId="6" applyNumberFormat="1" applyFont="1" applyFill="1" applyBorder="1" applyAlignment="1">
      <alignment vertical="center"/>
    </xf>
    <xf numFmtId="3" fontId="5" fillId="2" borderId="9" xfId="6" applyNumberFormat="1" applyFont="1" applyFill="1" applyBorder="1" applyAlignment="1">
      <alignment vertical="center"/>
    </xf>
    <xf numFmtId="4" fontId="5" fillId="2" borderId="9" xfId="6" applyNumberFormat="1" applyFont="1" applyFill="1" applyBorder="1" applyAlignment="1">
      <alignment vertical="center"/>
    </xf>
    <xf numFmtId="164" fontId="5" fillId="2" borderId="9" xfId="6" applyNumberFormat="1" applyFont="1" applyFill="1" applyBorder="1" applyAlignment="1">
      <alignment vertical="center"/>
    </xf>
    <xf numFmtId="0" fontId="5" fillId="2" borderId="9" xfId="6" applyFont="1" applyFill="1" applyBorder="1" applyAlignment="1">
      <alignment horizontal="center" vertical="center"/>
    </xf>
    <xf numFmtId="0" fontId="5" fillId="3" borderId="7" xfId="5" applyFont="1" applyFill="1" applyBorder="1"/>
    <xf numFmtId="0" fontId="5" fillId="3" borderId="8" xfId="5" applyFont="1" applyFill="1" applyBorder="1"/>
    <xf numFmtId="0" fontId="5" fillId="3" borderId="10" xfId="5" applyFont="1" applyFill="1" applyBorder="1"/>
    <xf numFmtId="0" fontId="6" fillId="3" borderId="11" xfId="0" applyFont="1" applyFill="1" applyBorder="1"/>
    <xf numFmtId="17" fontId="6" fillId="3" borderId="12" xfId="0" applyNumberFormat="1" applyFont="1" applyFill="1" applyBorder="1" applyAlignment="1">
      <alignment horizontal="center"/>
    </xf>
    <xf numFmtId="0" fontId="5" fillId="2" borderId="13" xfId="0" applyFont="1" applyFill="1" applyBorder="1"/>
    <xf numFmtId="43" fontId="5" fillId="2" borderId="14" xfId="2" applyFont="1" applyFill="1" applyBorder="1"/>
    <xf numFmtId="43" fontId="5" fillId="2" borderId="15" xfId="2" applyFont="1" applyFill="1" applyBorder="1"/>
    <xf numFmtId="0" fontId="5" fillId="2" borderId="16" xfId="0" applyFont="1" applyFill="1" applyBorder="1" applyAlignment="1">
      <alignment wrapText="1"/>
    </xf>
    <xf numFmtId="43" fontId="5" fillId="2" borderId="17" xfId="2" applyFont="1" applyFill="1" applyBorder="1"/>
    <xf numFmtId="43" fontId="5" fillId="2" borderId="18" xfId="2" applyFont="1" applyFill="1" applyBorder="1"/>
    <xf numFmtId="0" fontId="5" fillId="2" borderId="16" xfId="0" applyFont="1" applyFill="1" applyBorder="1" applyAlignment="1">
      <alignment horizontal="justify"/>
    </xf>
    <xf numFmtId="43" fontId="5" fillId="2" borderId="17" xfId="2" applyFont="1" applyFill="1" applyBorder="1" applyAlignment="1">
      <alignment vertical="top"/>
    </xf>
    <xf numFmtId="0" fontId="5" fillId="2" borderId="16" xfId="0" applyFont="1" applyFill="1" applyBorder="1"/>
    <xf numFmtId="43" fontId="6" fillId="3" borderId="19" xfId="2" applyFont="1" applyFill="1" applyBorder="1"/>
    <xf numFmtId="43" fontId="6" fillId="3" borderId="20" xfId="2" applyFont="1" applyFill="1" applyBorder="1"/>
    <xf numFmtId="0" fontId="5" fillId="2" borderId="1" xfId="5" applyFont="1" applyFill="1" applyBorder="1"/>
    <xf numFmtId="0" fontId="5" fillId="2" borderId="0" xfId="5" applyFont="1" applyFill="1" applyBorder="1"/>
    <xf numFmtId="0" fontId="5" fillId="2" borderId="2" xfId="5" applyFont="1" applyFill="1" applyBorder="1"/>
    <xf numFmtId="0" fontId="5" fillId="3" borderId="4" xfId="5" applyFont="1" applyFill="1" applyBorder="1"/>
    <xf numFmtId="0" fontId="5" fillId="3" borderId="3" xfId="5" applyFont="1" applyFill="1" applyBorder="1"/>
    <xf numFmtId="0" fontId="5" fillId="3" borderId="4" xfId="5" applyFont="1" applyFill="1" applyBorder="1" applyAlignment="1">
      <alignment horizontal="center"/>
    </xf>
    <xf numFmtId="0" fontId="5" fillId="3" borderId="21" xfId="5" applyFont="1" applyFill="1" applyBorder="1"/>
    <xf numFmtId="0" fontId="5" fillId="2" borderId="22" xfId="5" applyFont="1" applyFill="1" applyBorder="1"/>
    <xf numFmtId="17" fontId="5" fillId="2" borderId="22" xfId="5" applyNumberFormat="1" applyFont="1" applyFill="1" applyBorder="1"/>
    <xf numFmtId="17" fontId="5" fillId="2" borderId="23" xfId="5" applyNumberFormat="1" applyFont="1" applyFill="1" applyBorder="1"/>
    <xf numFmtId="2" fontId="5" fillId="2" borderId="0" xfId="5" applyNumberFormat="1" applyFont="1" applyFill="1" applyBorder="1"/>
    <xf numFmtId="0" fontId="5" fillId="2" borderId="6" xfId="5" applyFont="1" applyFill="1" applyBorder="1"/>
    <xf numFmtId="0" fontId="5" fillId="2" borderId="24" xfId="5" applyFont="1" applyFill="1" applyBorder="1"/>
    <xf numFmtId="16" fontId="5" fillId="0" borderId="0" xfId="5" applyNumberFormat="1" applyFont="1"/>
    <xf numFmtId="10" fontId="0" fillId="2" borderId="0" xfId="0" applyNumberForma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21" xfId="0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0" xfId="0" applyFill="1" applyBorder="1" applyAlignment="1">
      <alignment wrapText="1"/>
    </xf>
    <xf numFmtId="0" fontId="0" fillId="3" borderId="25" xfId="0" applyFill="1" applyBorder="1" applyAlignment="1">
      <alignment wrapText="1"/>
    </xf>
    <xf numFmtId="0" fontId="0" fillId="3" borderId="26" xfId="0" applyFill="1" applyBorder="1" applyAlignment="1">
      <alignment wrapText="1"/>
    </xf>
    <xf numFmtId="0" fontId="0" fillId="3" borderId="2" xfId="0" applyFill="1" applyBorder="1" applyAlignment="1">
      <alignment wrapText="1"/>
    </xf>
    <xf numFmtId="2" fontId="0" fillId="2" borderId="25" xfId="0" applyNumberFormat="1" applyFill="1" applyBorder="1" applyAlignment="1">
      <alignment horizontal="left"/>
    </xf>
    <xf numFmtId="2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43" fontId="0" fillId="2" borderId="0" xfId="0" applyNumberFormat="1" applyFill="1" applyBorder="1" applyAlignment="1">
      <alignment horizontal="left"/>
    </xf>
    <xf numFmtId="2" fontId="0" fillId="2" borderId="2" xfId="0" applyNumberFormat="1" applyFill="1" applyBorder="1" applyAlignment="1">
      <alignment horizontal="left" wrapText="1"/>
    </xf>
    <xf numFmtId="2" fontId="0" fillId="2" borderId="22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2" fontId="2" fillId="3" borderId="24" xfId="0" applyNumberFormat="1" applyFont="1" applyFill="1" applyBorder="1"/>
    <xf numFmtId="2" fontId="0" fillId="2" borderId="0" xfId="0" quotePrefix="1" applyNumberFormat="1" applyFill="1" applyBorder="1"/>
    <xf numFmtId="164" fontId="0" fillId="2" borderId="0" xfId="0" quotePrefix="1" applyNumberFormat="1" applyFill="1" applyBorder="1"/>
    <xf numFmtId="2" fontId="0" fillId="3" borderId="0" xfId="0" applyNumberFormat="1" applyFill="1" applyBorder="1" applyAlignment="1">
      <alignment horizontal="left"/>
    </xf>
    <xf numFmtId="2" fontId="0" fillId="3" borderId="25" xfId="0" applyNumberFormat="1" applyFill="1" applyBorder="1" applyAlignment="1">
      <alignment horizontal="left"/>
    </xf>
    <xf numFmtId="2" fontId="0" fillId="2" borderId="26" xfId="0" applyNumberFormat="1" applyFill="1" applyBorder="1" applyAlignment="1">
      <alignment horizontal="left"/>
    </xf>
    <xf numFmtId="2" fontId="0" fillId="3" borderId="26" xfId="0" applyNumberFormat="1" applyFill="1" applyBorder="1" applyAlignment="1">
      <alignment horizontal="left"/>
    </xf>
    <xf numFmtId="43" fontId="0" fillId="2" borderId="0" xfId="0" applyNumberFormat="1" applyFill="1" applyBorder="1" applyAlignment="1"/>
    <xf numFmtId="0" fontId="0" fillId="3" borderId="0" xfId="0" applyFill="1" applyBorder="1" applyAlignment="1">
      <alignment horizontal="left" wrapText="1"/>
    </xf>
    <xf numFmtId="0" fontId="0" fillId="2" borderId="0" xfId="0" applyNumberFormat="1" applyFill="1" applyBorder="1"/>
    <xf numFmtId="0" fontId="2" fillId="3" borderId="0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2" borderId="6" xfId="0" applyNumberFormat="1" applyFill="1" applyBorder="1"/>
    <xf numFmtId="0" fontId="2" fillId="3" borderId="10" xfId="0" applyFont="1" applyFill="1" applyBorder="1"/>
    <xf numFmtId="0" fontId="0" fillId="2" borderId="24" xfId="0" applyFill="1" applyBorder="1"/>
    <xf numFmtId="3" fontId="0" fillId="2" borderId="0" xfId="0" applyNumberFormat="1" applyFill="1" applyBorder="1" applyAlignment="1">
      <alignment horizontal="left"/>
    </xf>
    <xf numFmtId="0" fontId="0" fillId="3" borderId="6" xfId="0" applyFill="1" applyBorder="1" applyAlignment="1">
      <alignment horizontal="left" wrapText="1"/>
    </xf>
    <xf numFmtId="0" fontId="2" fillId="4" borderId="3" xfId="0" applyFont="1" applyFill="1" applyBorder="1" applyAlignment="1">
      <alignment wrapText="1"/>
    </xf>
    <xf numFmtId="0" fontId="4" fillId="0" borderId="1" xfId="5" applyBorder="1"/>
    <xf numFmtId="0" fontId="4" fillId="0" borderId="0" xfId="5" applyBorder="1"/>
    <xf numFmtId="0" fontId="4" fillId="0" borderId="0" xfId="5" applyBorder="1" applyAlignment="1">
      <alignment horizontal="center"/>
    </xf>
    <xf numFmtId="0" fontId="4" fillId="0" borderId="2" xfId="5" applyBorder="1" applyAlignment="1">
      <alignment horizontal="center"/>
    </xf>
    <xf numFmtId="0" fontId="4" fillId="4" borderId="3" xfId="5" applyFill="1" applyBorder="1"/>
    <xf numFmtId="0" fontId="4" fillId="4" borderId="4" xfId="5" applyFill="1" applyBorder="1" applyAlignment="1">
      <alignment horizontal="center"/>
    </xf>
    <xf numFmtId="0" fontId="4" fillId="4" borderId="21" xfId="5" applyFill="1" applyBorder="1"/>
    <xf numFmtId="0" fontId="9" fillId="2" borderId="0" xfId="0" applyFont="1" applyFill="1" applyBorder="1" applyAlignment="1">
      <alignment wrapText="1"/>
    </xf>
    <xf numFmtId="0" fontId="4" fillId="2" borderId="0" xfId="5" applyFill="1" applyBorder="1"/>
    <xf numFmtId="0" fontId="4" fillId="2" borderId="2" xfId="5" applyFill="1" applyBorder="1"/>
    <xf numFmtId="0" fontId="9" fillId="2" borderId="0" xfId="0" applyFont="1" applyFill="1" applyBorder="1"/>
    <xf numFmtId="0" fontId="0" fillId="2" borderId="5" xfId="0" applyFill="1" applyBorder="1"/>
    <xf numFmtId="0" fontId="9" fillId="2" borderId="6" xfId="0" applyFont="1" applyFill="1" applyBorder="1"/>
    <xf numFmtId="0" fontId="4" fillId="2" borderId="24" xfId="5" applyFill="1" applyBorder="1"/>
    <xf numFmtId="0" fontId="13" fillId="4" borderId="1" xfId="5" applyFont="1" applyFill="1" applyBorder="1"/>
    <xf numFmtId="0" fontId="13" fillId="4" borderId="0" xfId="5" applyFont="1" applyFill="1" applyBorder="1"/>
    <xf numFmtId="0" fontId="13" fillId="4" borderId="2" xfId="5" applyFont="1" applyFill="1" applyBorder="1"/>
    <xf numFmtId="0" fontId="13" fillId="4" borderId="4" xfId="5" applyFont="1" applyFill="1" applyBorder="1" applyAlignment="1">
      <alignment horizontal="center"/>
    </xf>
    <xf numFmtId="0" fontId="4" fillId="2" borderId="1" xfId="5" applyFill="1" applyBorder="1"/>
    <xf numFmtId="0" fontId="4" fillId="2" borderId="0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0" fontId="4" fillId="2" borderId="5" xfId="5" applyFill="1" applyBorder="1"/>
    <xf numFmtId="0" fontId="0" fillId="2" borderId="6" xfId="0" applyFill="1" applyBorder="1" applyAlignment="1"/>
    <xf numFmtId="0" fontId="0" fillId="2" borderId="24" xfId="0" applyFill="1" applyBorder="1" applyAlignment="1"/>
    <xf numFmtId="0" fontId="10" fillId="2" borderId="0" xfId="0" applyFont="1" applyFill="1"/>
    <xf numFmtId="1" fontId="0" fillId="2" borderId="6" xfId="0" applyNumberFormat="1" applyFill="1" applyBorder="1" applyAlignment="1"/>
    <xf numFmtId="17" fontId="2" fillId="4" borderId="0" xfId="0" applyNumberFormat="1" applyFont="1" applyFill="1" applyBorder="1"/>
    <xf numFmtId="2" fontId="6" fillId="3" borderId="9" xfId="6" applyNumberFormat="1" applyFont="1" applyFill="1" applyBorder="1" applyAlignment="1">
      <alignment vertical="center"/>
    </xf>
    <xf numFmtId="0" fontId="18" fillId="2" borderId="2" xfId="4" applyFill="1" applyBorder="1" applyAlignment="1">
      <alignment wrapText="1"/>
    </xf>
    <xf numFmtId="10" fontId="0" fillId="3" borderId="24" xfId="0" applyNumberFormat="1" applyFill="1" applyBorder="1" applyAlignment="1">
      <alignment horizontal="left"/>
    </xf>
    <xf numFmtId="164" fontId="0" fillId="2" borderId="2" xfId="0" applyNumberFormat="1" applyFill="1" applyBorder="1"/>
    <xf numFmtId="9" fontId="0" fillId="0" borderId="0" xfId="0" applyNumberFormat="1"/>
    <xf numFmtId="0" fontId="0" fillId="2" borderId="4" xfId="0" applyFill="1" applyBorder="1"/>
    <xf numFmtId="0" fontId="0" fillId="2" borderId="4" xfId="0" applyNumberFormat="1" applyFill="1" applyBorder="1"/>
    <xf numFmtId="0" fontId="0" fillId="2" borderId="21" xfId="0" applyFill="1" applyBorder="1"/>
    <xf numFmtId="0" fontId="0" fillId="2" borderId="1" xfId="0" applyFill="1" applyBorder="1" applyAlignment="1">
      <alignment horizontal="left" indent="1"/>
    </xf>
    <xf numFmtId="4" fontId="5" fillId="0" borderId="0" xfId="5" applyNumberFormat="1" applyFont="1"/>
    <xf numFmtId="2" fontId="5" fillId="0" borderId="0" xfId="5" applyNumberFormat="1" applyFont="1"/>
    <xf numFmtId="2" fontId="0" fillId="0" borderId="0" xfId="0" applyNumberFormat="1"/>
    <xf numFmtId="14" fontId="0" fillId="2" borderId="0" xfId="0" applyNumberFormat="1" applyFill="1" applyBorder="1" applyAlignment="1"/>
    <xf numFmtId="0" fontId="0" fillId="5" borderId="0" xfId="0" applyFill="1"/>
    <xf numFmtId="14" fontId="0" fillId="2" borderId="1" xfId="0" applyNumberFormat="1" applyFill="1" applyBorder="1" applyAlignment="1">
      <alignment horizontal="left"/>
    </xf>
    <xf numFmtId="0" fontId="0" fillId="3" borderId="4" xfId="0" applyFill="1" applyBorder="1" applyAlignment="1">
      <alignment wrapText="1"/>
    </xf>
    <xf numFmtId="17" fontId="0" fillId="2" borderId="1" xfId="0" applyNumberFormat="1" applyFill="1" applyBorder="1" applyAlignment="1">
      <alignment horizontal="left"/>
    </xf>
    <xf numFmtId="0" fontId="5" fillId="2" borderId="26" xfId="0" applyFont="1" applyFill="1" applyBorder="1"/>
    <xf numFmtId="14" fontId="5" fillId="2" borderId="22" xfId="5" applyNumberFormat="1" applyFont="1" applyFill="1" applyBorder="1"/>
    <xf numFmtId="2" fontId="5" fillId="2" borderId="27" xfId="0" applyNumberFormat="1" applyFont="1" applyFill="1" applyBorder="1"/>
    <xf numFmtId="2" fontId="5" fillId="2" borderId="26" xfId="0" applyNumberFormat="1" applyFont="1" applyFill="1" applyBorder="1" applyAlignment="1">
      <alignment wrapText="1"/>
    </xf>
    <xf numFmtId="2" fontId="5" fillId="2" borderId="26" xfId="0" applyNumberFormat="1" applyFont="1" applyFill="1" applyBorder="1" applyAlignment="1">
      <alignment horizontal="right" vertical="top"/>
    </xf>
    <xf numFmtId="2" fontId="5" fillId="2" borderId="26" xfId="0" applyNumberFormat="1" applyFont="1" applyFill="1" applyBorder="1"/>
    <xf numFmtId="43" fontId="5" fillId="2" borderId="25" xfId="2" applyFont="1" applyFill="1" applyBorder="1"/>
    <xf numFmtId="14" fontId="6" fillId="3" borderId="12" xfId="0" applyNumberFormat="1" applyFont="1" applyFill="1" applyBorder="1"/>
    <xf numFmtId="164" fontId="6" fillId="3" borderId="28" xfId="0" applyNumberFormat="1" applyFont="1" applyFill="1" applyBorder="1"/>
    <xf numFmtId="43" fontId="0" fillId="0" borderId="0" xfId="0" applyNumberFormat="1"/>
    <xf numFmtId="0" fontId="0" fillId="0" borderId="0" xfId="0" applyAlignment="1">
      <alignment wrapText="1"/>
    </xf>
    <xf numFmtId="164" fontId="5" fillId="2" borderId="26" xfId="0" applyNumberFormat="1" applyFont="1" applyFill="1" applyBorder="1"/>
    <xf numFmtId="1" fontId="4" fillId="2" borderId="6" xfId="5" applyNumberFormat="1" applyFill="1" applyBorder="1"/>
    <xf numFmtId="165" fontId="0" fillId="2" borderId="0" xfId="0" applyNumberFormat="1" applyFill="1" applyBorder="1"/>
    <xf numFmtId="10" fontId="0" fillId="0" borderId="0" xfId="8" applyNumberFormat="1" applyFont="1"/>
    <xf numFmtId="0" fontId="8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2" fontId="0" fillId="2" borderId="6" xfId="0" applyNumberFormat="1" applyFill="1" applyBorder="1"/>
    <xf numFmtId="0" fontId="0" fillId="2" borderId="24" xfId="0" applyFill="1" applyBorder="1" applyAlignment="1">
      <alignment wrapText="1"/>
    </xf>
    <xf numFmtId="4" fontId="5" fillId="2" borderId="31" xfId="6" applyNumberFormat="1" applyFont="1" applyFill="1" applyBorder="1" applyAlignment="1">
      <alignment vertical="center"/>
    </xf>
    <xf numFmtId="0" fontId="5" fillId="3" borderId="3" xfId="5" applyFont="1" applyFill="1" applyBorder="1" applyAlignment="1">
      <alignment wrapText="1"/>
    </xf>
    <xf numFmtId="0" fontId="5" fillId="3" borderId="4" xfId="5" applyFont="1" applyFill="1" applyBorder="1" applyAlignment="1">
      <alignment wrapText="1"/>
    </xf>
    <xf numFmtId="0" fontId="5" fillId="3" borderId="21" xfId="5" applyFont="1" applyFill="1" applyBorder="1" applyAlignment="1">
      <alignment wrapText="1"/>
    </xf>
    <xf numFmtId="0" fontId="5" fillId="2" borderId="9" xfId="5" applyFont="1" applyFill="1" applyBorder="1"/>
    <xf numFmtId="10" fontId="5" fillId="2" borderId="9" xfId="8" applyNumberFormat="1" applyFont="1" applyFill="1" applyBorder="1"/>
    <xf numFmtId="4" fontId="5" fillId="3" borderId="5" xfId="5" applyNumberFormat="1" applyFont="1" applyFill="1" applyBorder="1"/>
    <xf numFmtId="4" fontId="5" fillId="3" borderId="6" xfId="5" applyNumberFormat="1" applyFont="1" applyFill="1" applyBorder="1"/>
    <xf numFmtId="10" fontId="5" fillId="3" borderId="24" xfId="8" applyNumberFormat="1" applyFont="1" applyFill="1" applyBorder="1"/>
    <xf numFmtId="10" fontId="0" fillId="2" borderId="0" xfId="8" applyNumberFormat="1" applyFont="1" applyFill="1" applyBorder="1" applyAlignment="1"/>
    <xf numFmtId="1" fontId="0" fillId="2" borderId="0" xfId="0" applyNumberFormat="1" applyFill="1" applyBorder="1"/>
    <xf numFmtId="0" fontId="2" fillId="3" borderId="21" xfId="0" applyFont="1" applyFill="1" applyBorder="1" applyAlignment="1">
      <alignment wrapText="1"/>
    </xf>
    <xf numFmtId="1" fontId="0" fillId="0" borderId="0" xfId="0" applyNumberFormat="1"/>
    <xf numFmtId="2" fontId="4" fillId="2" borderId="0" xfId="5" applyNumberFormat="1" applyFill="1" applyBorder="1"/>
    <xf numFmtId="0" fontId="6" fillId="3" borderId="32" xfId="0" applyFont="1" applyFill="1" applyBorder="1" applyAlignment="1">
      <alignment wrapText="1"/>
    </xf>
    <xf numFmtId="0" fontId="7" fillId="6" borderId="3" xfId="0" applyFont="1" applyFill="1" applyBorder="1" applyAlignment="1"/>
    <xf numFmtId="0" fontId="7" fillId="6" borderId="4" xfId="0" applyFont="1" applyFill="1" applyBorder="1"/>
    <xf numFmtId="0" fontId="18" fillId="0" borderId="0" xfId="4" applyAlignment="1">
      <alignment vertical="center"/>
    </xf>
    <xf numFmtId="9" fontId="0" fillId="2" borderId="24" xfId="0" applyNumberFormat="1" applyFont="1" applyFill="1" applyBorder="1" applyAlignment="1">
      <alignment vertical="center" wrapText="1"/>
    </xf>
    <xf numFmtId="10" fontId="0" fillId="2" borderId="24" xfId="0" applyNumberFormat="1" applyFont="1" applyFill="1" applyBorder="1" applyAlignment="1">
      <alignment vertical="center" wrapText="1"/>
    </xf>
    <xf numFmtId="0" fontId="0" fillId="4" borderId="10" xfId="0" applyFont="1" applyFill="1" applyBorder="1" applyAlignment="1">
      <alignment vertical="center" wrapText="1"/>
    </xf>
    <xf numFmtId="0" fontId="0" fillId="4" borderId="33" xfId="0" applyFill="1" applyBorder="1" applyAlignment="1">
      <alignment wrapText="1"/>
    </xf>
    <xf numFmtId="0" fontId="0" fillId="4" borderId="24" xfId="0" applyFont="1" applyFill="1" applyBorder="1" applyAlignment="1">
      <alignment vertical="center" wrapText="1"/>
    </xf>
    <xf numFmtId="0" fontId="0" fillId="4" borderId="2" xfId="0" applyFill="1" applyBorder="1"/>
    <xf numFmtId="0" fontId="7" fillId="4" borderId="34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10" fontId="0" fillId="4" borderId="24" xfId="0" applyNumberFormat="1" applyFont="1" applyFill="1" applyBorder="1" applyAlignment="1">
      <alignment vertical="center" wrapText="1"/>
    </xf>
    <xf numFmtId="0" fontId="0" fillId="4" borderId="33" xfId="0" applyFill="1" applyBorder="1"/>
    <xf numFmtId="0" fontId="0" fillId="2" borderId="35" xfId="0" applyFont="1" applyFill="1" applyBorder="1" applyAlignment="1">
      <alignment vertical="center" wrapText="1"/>
    </xf>
    <xf numFmtId="0" fontId="0" fillId="2" borderId="34" xfId="0" applyFont="1" applyFill="1" applyBorder="1" applyAlignment="1">
      <alignment vertical="center" wrapText="1"/>
    </xf>
    <xf numFmtId="9" fontId="0" fillId="2" borderId="36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4" borderId="35" xfId="0" applyFont="1" applyFill="1" applyBorder="1" applyAlignment="1">
      <alignment vertical="center" wrapText="1"/>
    </xf>
    <xf numFmtId="0" fontId="0" fillId="4" borderId="34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5" fillId="3" borderId="3" xfId="5" applyFont="1" applyFill="1" applyBorder="1" applyAlignment="1">
      <alignment horizontal="center"/>
    </xf>
    <xf numFmtId="0" fontId="5" fillId="3" borderId="4" xfId="5" applyFont="1" applyFill="1" applyBorder="1" applyAlignment="1">
      <alignment horizontal="center"/>
    </xf>
    <xf numFmtId="0" fontId="5" fillId="3" borderId="21" xfId="5" applyFont="1" applyFill="1" applyBorder="1" applyAlignment="1">
      <alignment horizontal="center"/>
    </xf>
    <xf numFmtId="0" fontId="6" fillId="3" borderId="8" xfId="5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1">
    <cellStyle name="=C:\WINNT\SYSTEM32\COMMAND.COM" xfId="1"/>
    <cellStyle name="Comma 2" xfId="2"/>
    <cellStyle name="Comma 3" xfId="3"/>
    <cellStyle name="Hyperlink" xfId="4" builtinId="8"/>
    <cellStyle name="Normal" xfId="0" builtinId="0"/>
    <cellStyle name="Normal 2" xfId="5"/>
    <cellStyle name="Normal 3" xfId="6"/>
    <cellStyle name="Normal 4" xfId="7"/>
    <cellStyle name="Percent" xfId="8" builtinId="5"/>
    <cellStyle name="Percent 2" xfId="9"/>
    <cellStyle name="Percent 3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bi.org.in/scripts/WSSView.aspx?Id=14965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E80"/>
  <sheetViews>
    <sheetView tabSelected="1" zoomScale="59" zoomScaleNormal="59" workbookViewId="0">
      <selection activeCell="K73" sqref="K73"/>
    </sheetView>
  </sheetViews>
  <sheetFormatPr defaultRowHeight="15"/>
  <cols>
    <col min="3" max="3" width="12.7109375" customWidth="1"/>
    <col min="4" max="4" width="12.28515625" customWidth="1"/>
    <col min="5" max="5" width="9.5703125" customWidth="1"/>
    <col min="6" max="6" width="16.42578125" customWidth="1"/>
    <col min="7" max="7" width="13" customWidth="1"/>
    <col min="8" max="8" width="14.85546875" customWidth="1"/>
    <col min="9" max="9" width="11.85546875" customWidth="1"/>
    <col min="10" max="10" width="12" customWidth="1"/>
    <col min="11" max="11" width="15.85546875" customWidth="1"/>
    <col min="12" max="12" width="11.28515625" customWidth="1"/>
    <col min="13" max="13" width="31" customWidth="1"/>
    <col min="14" max="14" width="10.28515625" customWidth="1"/>
    <col min="15" max="15" width="12.28515625" customWidth="1"/>
    <col min="16" max="16" width="12.42578125" customWidth="1"/>
    <col min="17" max="17" width="13.140625" customWidth="1"/>
    <col min="18" max="18" width="12.28515625" customWidth="1"/>
    <col min="19" max="20" width="10.7109375" customWidth="1"/>
    <col min="21" max="21" width="13.85546875" customWidth="1"/>
    <col min="22" max="22" width="9.85546875" customWidth="1"/>
    <col min="23" max="27" width="13.140625" customWidth="1"/>
    <col min="28" max="28" width="12.85546875" customWidth="1"/>
  </cols>
  <sheetData>
    <row r="3" spans="3:28" ht="15.75" thickBot="1">
      <c r="Q3" s="140"/>
      <c r="R3" s="186"/>
    </row>
    <row r="4" spans="3:28" ht="15.75" thickBot="1">
      <c r="C4" s="11"/>
      <c r="D4" s="12"/>
      <c r="E4" s="12"/>
      <c r="F4" s="12" t="s">
        <v>22</v>
      </c>
      <c r="G4" s="12"/>
      <c r="H4" s="12"/>
      <c r="I4" s="12"/>
      <c r="J4" s="12"/>
      <c r="K4" s="12"/>
      <c r="L4" s="12"/>
      <c r="M4" s="104"/>
      <c r="Q4" s="186"/>
    </row>
    <row r="5" spans="3:28">
      <c r="C5" s="101" t="s">
        <v>25</v>
      </c>
      <c r="D5" s="100"/>
      <c r="E5" s="100"/>
      <c r="F5" s="100"/>
      <c r="G5" s="100"/>
      <c r="H5" s="100" t="s">
        <v>26</v>
      </c>
      <c r="I5" s="100"/>
      <c r="J5" s="100" t="s">
        <v>27</v>
      </c>
      <c r="K5" s="100"/>
      <c r="L5" s="100"/>
      <c r="M5" s="102" t="s">
        <v>87</v>
      </c>
    </row>
    <row r="6" spans="3:28">
      <c r="C6" s="19" t="s">
        <v>148</v>
      </c>
      <c r="D6" s="19"/>
      <c r="E6" s="18"/>
      <c r="F6" s="18"/>
      <c r="G6" s="18"/>
      <c r="H6" s="148">
        <f>DATE(2011,3,27)</f>
        <v>40629</v>
      </c>
      <c r="I6" s="18"/>
      <c r="J6" s="18"/>
      <c r="K6" s="18"/>
      <c r="L6" s="18"/>
      <c r="M6" s="25" t="s">
        <v>129</v>
      </c>
    </row>
    <row r="7" spans="3:28" ht="19.5" customHeight="1">
      <c r="C7" s="19" t="s">
        <v>14</v>
      </c>
      <c r="D7" s="18"/>
      <c r="E7" s="18"/>
      <c r="F7" s="18"/>
      <c r="G7" s="2"/>
      <c r="H7" s="2">
        <v>1.5</v>
      </c>
      <c r="I7" s="9"/>
      <c r="J7" s="2" t="s">
        <v>106</v>
      </c>
      <c r="K7" s="2"/>
      <c r="L7" s="2"/>
      <c r="M7" s="25" t="s">
        <v>129</v>
      </c>
    </row>
    <row r="8" spans="3:28">
      <c r="C8" s="19" t="s">
        <v>15</v>
      </c>
      <c r="D8" s="18"/>
      <c r="E8" s="18"/>
      <c r="F8" s="18"/>
      <c r="G8" s="2"/>
      <c r="H8" s="2">
        <v>1</v>
      </c>
      <c r="I8" s="9"/>
      <c r="J8" s="2"/>
      <c r="K8" s="2"/>
      <c r="L8" s="2"/>
      <c r="M8" s="3"/>
    </row>
    <row r="9" spans="3:28">
      <c r="C9" s="19" t="s">
        <v>161</v>
      </c>
      <c r="D9" s="18"/>
      <c r="E9" s="18"/>
      <c r="F9" s="18"/>
      <c r="G9" s="2"/>
      <c r="H9" s="2">
        <v>2904000</v>
      </c>
      <c r="I9" s="9"/>
      <c r="J9" s="2" t="s">
        <v>140</v>
      </c>
      <c r="K9" s="2"/>
      <c r="L9" s="2"/>
      <c r="M9" s="3" t="s">
        <v>167</v>
      </c>
      <c r="P9" s="167"/>
    </row>
    <row r="10" spans="3:28" ht="16.5" customHeight="1">
      <c r="C10" s="19" t="s">
        <v>169</v>
      </c>
      <c r="D10" s="18"/>
      <c r="E10" s="18"/>
      <c r="F10" s="18"/>
      <c r="G10" s="2"/>
      <c r="H10" s="23">
        <v>7.0000000000000007E-2</v>
      </c>
      <c r="I10" s="9"/>
      <c r="J10" s="2"/>
      <c r="K10" s="2"/>
      <c r="L10" s="2"/>
      <c r="M10" s="3" t="s">
        <v>153</v>
      </c>
    </row>
    <row r="11" spans="3:28">
      <c r="C11" s="19" t="s">
        <v>105</v>
      </c>
      <c r="D11" s="18"/>
      <c r="E11" s="18"/>
      <c r="F11" s="18"/>
      <c r="G11" s="2"/>
      <c r="H11" s="184">
        <f>H9/(1-(H10))</f>
        <v>3122580.6451612907</v>
      </c>
      <c r="I11" s="9"/>
      <c r="J11" s="2" t="s">
        <v>140</v>
      </c>
      <c r="K11" s="2"/>
      <c r="L11" s="2"/>
      <c r="M11" s="25" t="s">
        <v>168</v>
      </c>
      <c r="P11" s="167"/>
    </row>
    <row r="12" spans="3:28" s="149" customFormat="1">
      <c r="C12" s="19" t="s">
        <v>32</v>
      </c>
      <c r="D12" s="18"/>
      <c r="E12" s="18"/>
      <c r="F12" s="18"/>
      <c r="G12" s="18"/>
      <c r="H12" s="183">
        <f>(H11/(H7*8760)/1000)*H33</f>
        <v>0.23763931850542547</v>
      </c>
      <c r="I12" s="18"/>
      <c r="J12" s="18" t="s">
        <v>31</v>
      </c>
      <c r="K12" s="18"/>
      <c r="L12" s="18"/>
      <c r="M12" s="25" t="s">
        <v>168</v>
      </c>
      <c r="N12"/>
      <c r="O12"/>
      <c r="P12" s="167"/>
      <c r="Q12"/>
      <c r="R12"/>
      <c r="S12"/>
      <c r="T12"/>
      <c r="U12"/>
      <c r="V12"/>
      <c r="W12"/>
      <c r="X12"/>
      <c r="Y12"/>
      <c r="Z12"/>
      <c r="AA12"/>
      <c r="AB12"/>
    </row>
    <row r="13" spans="3:28">
      <c r="C13" s="19" t="s">
        <v>0</v>
      </c>
      <c r="D13" s="18"/>
      <c r="E13" s="18"/>
      <c r="F13" s="18"/>
      <c r="G13" s="2"/>
      <c r="H13" s="91">
        <f ca="1">('Capital Cost'!N17)</f>
        <v>103.00304300000002</v>
      </c>
      <c r="I13" s="9"/>
      <c r="J13" s="2" t="s">
        <v>76</v>
      </c>
      <c r="K13" s="2"/>
      <c r="L13" s="2"/>
      <c r="M13" s="25" t="s">
        <v>157</v>
      </c>
    </row>
    <row r="14" spans="3:28">
      <c r="C14" s="19" t="s">
        <v>18</v>
      </c>
      <c r="D14" s="18"/>
      <c r="E14" s="18"/>
      <c r="F14" s="18"/>
      <c r="G14" s="2"/>
      <c r="H14" s="91">
        <f>H13*30%</f>
        <v>30.900912900000005</v>
      </c>
      <c r="I14" s="9"/>
      <c r="J14" s="2" t="s">
        <v>76</v>
      </c>
      <c r="K14" s="2"/>
      <c r="L14" s="2"/>
      <c r="M14" s="3" t="s">
        <v>107</v>
      </c>
      <c r="O14" s="167"/>
    </row>
    <row r="15" spans="3:28">
      <c r="C15" s="19" t="s">
        <v>19</v>
      </c>
      <c r="D15" s="18"/>
      <c r="E15" s="18"/>
      <c r="F15" s="18"/>
      <c r="G15" s="2"/>
      <c r="H15" s="91">
        <f>H13*70%</f>
        <v>72.102130100000011</v>
      </c>
      <c r="I15" s="9"/>
      <c r="J15" s="2" t="s">
        <v>76</v>
      </c>
      <c r="K15" s="2"/>
      <c r="L15" s="2"/>
      <c r="M15" s="3" t="s">
        <v>107</v>
      </c>
      <c r="Q15" s="167"/>
    </row>
    <row r="16" spans="3:28" ht="27" customHeight="1">
      <c r="C16" s="19" t="s">
        <v>21</v>
      </c>
      <c r="D16" s="18"/>
      <c r="E16" s="18"/>
      <c r="F16" s="18"/>
      <c r="G16" s="2"/>
      <c r="H16" s="13">
        <v>0.115</v>
      </c>
      <c r="I16" s="9"/>
      <c r="J16" s="2" t="s">
        <v>23</v>
      </c>
      <c r="K16" s="2"/>
      <c r="L16" s="2"/>
      <c r="M16" s="137" t="s">
        <v>131</v>
      </c>
    </row>
    <row r="17" spans="3:15">
      <c r="C17" s="19" t="s">
        <v>24</v>
      </c>
      <c r="D17" s="18"/>
      <c r="E17" s="18"/>
      <c r="F17" s="18"/>
      <c r="G17" s="2"/>
      <c r="H17" s="14">
        <v>40</v>
      </c>
      <c r="I17" s="9"/>
      <c r="J17" s="2" t="s">
        <v>109</v>
      </c>
      <c r="K17" s="2"/>
      <c r="L17" s="2"/>
      <c r="M17" s="25" t="s">
        <v>130</v>
      </c>
    </row>
    <row r="18" spans="3:15">
      <c r="C18" s="19" t="s">
        <v>20</v>
      </c>
      <c r="D18" s="18"/>
      <c r="E18" s="18"/>
      <c r="F18" s="18"/>
      <c r="G18" s="2"/>
      <c r="H18" s="92">
        <f>193000/1000000</f>
        <v>0.193</v>
      </c>
      <c r="I18" s="9"/>
      <c r="J18" s="2" t="s">
        <v>76</v>
      </c>
      <c r="K18" s="2"/>
      <c r="L18" s="2"/>
      <c r="M18" s="3" t="s">
        <v>129</v>
      </c>
    </row>
    <row r="19" spans="3:15">
      <c r="C19" s="19" t="s">
        <v>13</v>
      </c>
      <c r="D19" s="18"/>
      <c r="E19" s="18"/>
      <c r="F19" s="18"/>
      <c r="G19" s="2"/>
      <c r="H19" s="2">
        <f>(1700000/10^6)*H32</f>
        <v>1.7</v>
      </c>
      <c r="I19" s="9"/>
      <c r="J19" s="2" t="s">
        <v>77</v>
      </c>
      <c r="K19" s="2"/>
      <c r="L19" s="2"/>
      <c r="M19" s="3" t="s">
        <v>129</v>
      </c>
      <c r="O19" s="167"/>
    </row>
    <row r="20" spans="3:15">
      <c r="C20" s="19" t="s">
        <v>16</v>
      </c>
      <c r="D20" s="18"/>
      <c r="E20" s="18"/>
      <c r="F20" s="18"/>
      <c r="G20" s="2"/>
      <c r="H20" s="23">
        <v>0.05</v>
      </c>
      <c r="I20" s="9"/>
      <c r="J20" s="2" t="s">
        <v>17</v>
      </c>
      <c r="K20" s="2"/>
      <c r="L20" s="2"/>
      <c r="M20" s="3"/>
    </row>
    <row r="21" spans="3:15" s="149" customFormat="1" ht="17.25" customHeight="1">
      <c r="C21" s="19" t="s">
        <v>139</v>
      </c>
      <c r="D21" s="18"/>
      <c r="E21" s="18"/>
      <c r="F21" s="18"/>
      <c r="G21" s="18"/>
      <c r="H21" s="18">
        <f>2720*1.5*365/1000000</f>
        <v>1.4892000000000001</v>
      </c>
      <c r="I21" s="18"/>
      <c r="J21" s="18" t="s">
        <v>76</v>
      </c>
      <c r="K21" s="18"/>
      <c r="L21" s="18"/>
      <c r="M21" s="3"/>
    </row>
    <row r="22" spans="3:15" ht="45" customHeight="1">
      <c r="C22" s="19" t="s">
        <v>68</v>
      </c>
      <c r="D22" s="18"/>
      <c r="E22" s="18"/>
      <c r="F22" s="18"/>
      <c r="G22" s="2"/>
      <c r="H22" s="68">
        <v>0.33900000000000002</v>
      </c>
      <c r="I22" s="9"/>
      <c r="J22" s="2"/>
      <c r="K22" s="2"/>
      <c r="L22" s="2"/>
      <c r="M22" s="25" t="s">
        <v>69</v>
      </c>
    </row>
    <row r="23" spans="3:15" ht="41.25" customHeight="1">
      <c r="C23" s="19" t="s">
        <v>147</v>
      </c>
      <c r="D23" s="18"/>
      <c r="E23" s="18"/>
      <c r="F23" s="18"/>
      <c r="G23" s="2"/>
      <c r="H23" s="166">
        <v>0.19930500000000001</v>
      </c>
      <c r="I23" s="9"/>
      <c r="J23" s="2"/>
      <c r="K23" s="2"/>
      <c r="L23" s="2"/>
      <c r="M23" s="25" t="s">
        <v>156</v>
      </c>
      <c r="N23" s="163" t="s">
        <v>155</v>
      </c>
    </row>
    <row r="24" spans="3:15" ht="28.5" customHeight="1">
      <c r="C24" s="19" t="s">
        <v>57</v>
      </c>
      <c r="D24" s="18"/>
      <c r="E24" s="18"/>
      <c r="F24" s="18"/>
      <c r="G24" s="2"/>
      <c r="H24" s="23"/>
      <c r="I24" s="9"/>
      <c r="J24" s="2"/>
      <c r="K24" s="2"/>
      <c r="L24" s="2"/>
      <c r="M24" s="25"/>
    </row>
    <row r="25" spans="3:15" ht="76.5" customHeight="1">
      <c r="C25" s="144" t="s">
        <v>58</v>
      </c>
      <c r="D25" s="18"/>
      <c r="E25" s="18"/>
      <c r="F25" s="18"/>
      <c r="G25" s="2"/>
      <c r="H25" s="23">
        <v>0.8</v>
      </c>
      <c r="I25" s="9"/>
      <c r="J25" s="2"/>
      <c r="K25" s="2"/>
      <c r="L25" s="2"/>
      <c r="M25" s="25" t="s">
        <v>43</v>
      </c>
    </row>
    <row r="26" spans="3:15" ht="77.25" customHeight="1">
      <c r="C26" s="144" t="s">
        <v>59</v>
      </c>
      <c r="D26" s="18"/>
      <c r="E26" s="18"/>
      <c r="F26" s="18"/>
      <c r="G26" s="2"/>
      <c r="H26" s="23">
        <v>0.1</v>
      </c>
      <c r="I26" s="9"/>
      <c r="J26" s="2"/>
      <c r="K26" s="2"/>
      <c r="L26" s="2"/>
      <c r="M26" s="25" t="s">
        <v>43</v>
      </c>
    </row>
    <row r="27" spans="3:15" ht="30.75" customHeight="1">
      <c r="C27" s="19" t="s">
        <v>42</v>
      </c>
      <c r="D27" s="18"/>
      <c r="E27" s="18"/>
      <c r="F27" s="18"/>
      <c r="G27" s="2"/>
      <c r="H27" s="68">
        <v>4.4999999999999998E-2</v>
      </c>
      <c r="I27" s="23"/>
      <c r="J27" s="2"/>
      <c r="K27" s="2"/>
      <c r="L27" s="2"/>
      <c r="M27" s="25" t="s">
        <v>154</v>
      </c>
    </row>
    <row r="28" spans="3:15" ht="21.75" customHeight="1">
      <c r="C28" s="19" t="s">
        <v>83</v>
      </c>
      <c r="D28" s="2"/>
      <c r="E28" s="2"/>
      <c r="F28" s="2"/>
      <c r="G28" s="2"/>
      <c r="H28" s="99">
        <v>0</v>
      </c>
      <c r="I28" s="2"/>
      <c r="J28" s="2" t="s">
        <v>84</v>
      </c>
      <c r="K28" s="2"/>
      <c r="L28" s="2"/>
      <c r="M28" s="3"/>
    </row>
    <row r="29" spans="3:15" ht="34.5" customHeight="1" thickBot="1">
      <c r="C29" s="20" t="s">
        <v>85</v>
      </c>
      <c r="D29" s="10"/>
      <c r="E29" s="10"/>
      <c r="F29" s="10"/>
      <c r="G29" s="10"/>
      <c r="H29" s="172">
        <v>61.500999999999998</v>
      </c>
      <c r="I29" s="10"/>
      <c r="J29" s="10"/>
      <c r="K29" s="10"/>
      <c r="L29" s="10"/>
      <c r="M29" s="173" t="s">
        <v>158</v>
      </c>
    </row>
    <row r="30" spans="3:15" ht="23.25" customHeight="1">
      <c r="C30" s="189" t="s">
        <v>135</v>
      </c>
      <c r="D30" s="190"/>
      <c r="E30" s="141"/>
      <c r="F30" s="141"/>
      <c r="G30" s="141"/>
      <c r="H30" s="142"/>
      <c r="I30" s="141"/>
      <c r="J30" s="141"/>
      <c r="K30" s="141"/>
      <c r="L30" s="141"/>
      <c r="M30" s="143"/>
    </row>
    <row r="31" spans="3:15" ht="16.5" customHeight="1">
      <c r="C31" s="19" t="s">
        <v>136</v>
      </c>
      <c r="D31" s="2"/>
      <c r="E31" s="2"/>
      <c r="F31" s="2"/>
      <c r="G31" s="2"/>
      <c r="H31" s="99">
        <v>1</v>
      </c>
      <c r="I31" s="2"/>
      <c r="J31" s="2"/>
      <c r="K31" s="2"/>
      <c r="L31" s="2"/>
      <c r="M31" s="3"/>
    </row>
    <row r="32" spans="3:15" ht="16.5" customHeight="1">
      <c r="C32" s="19" t="s">
        <v>137</v>
      </c>
      <c r="D32" s="2"/>
      <c r="E32" s="2"/>
      <c r="F32" s="2"/>
      <c r="G32" s="2"/>
      <c r="H32" s="99">
        <v>1</v>
      </c>
      <c r="I32" s="2"/>
      <c r="J32" s="2"/>
      <c r="K32" s="2"/>
      <c r="L32" s="2"/>
      <c r="M32" s="3"/>
    </row>
    <row r="33" spans="2:31" ht="16.5" customHeight="1">
      <c r="C33" s="19" t="s">
        <v>32</v>
      </c>
      <c r="D33" s="2"/>
      <c r="E33" s="2"/>
      <c r="F33" s="2"/>
      <c r="G33" s="2"/>
      <c r="H33" s="99">
        <v>1</v>
      </c>
      <c r="I33" s="2"/>
      <c r="J33" s="2"/>
      <c r="K33" s="2"/>
      <c r="L33" s="2"/>
      <c r="M33" s="3"/>
      <c r="P33" s="167"/>
    </row>
    <row r="34" spans="2:31" ht="13.5" customHeight="1" thickBot="1">
      <c r="C34" s="20" t="s">
        <v>138</v>
      </c>
      <c r="D34" s="10"/>
      <c r="E34" s="10"/>
      <c r="F34" s="10"/>
      <c r="G34" s="10"/>
      <c r="H34" s="103">
        <v>1</v>
      </c>
      <c r="I34" s="10"/>
      <c r="J34" s="10"/>
      <c r="K34" s="10"/>
      <c r="L34" s="10"/>
      <c r="M34" s="105"/>
    </row>
    <row r="36" spans="2:31" ht="15.75" thickBot="1">
      <c r="J36" s="147"/>
    </row>
    <row r="37" spans="2:31">
      <c r="C37" s="69"/>
      <c r="D37" s="70"/>
      <c r="E37" s="70"/>
      <c r="F37" s="70"/>
      <c r="G37" s="70"/>
      <c r="H37" s="70"/>
      <c r="I37" s="70" t="s">
        <v>33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1"/>
    </row>
    <row r="38" spans="2:31" ht="15.75" thickBot="1">
      <c r="C38" s="72"/>
      <c r="D38" s="73"/>
      <c r="E38" s="73"/>
      <c r="F38" s="73"/>
      <c r="G38" s="73"/>
      <c r="H38" s="73"/>
      <c r="I38" s="73"/>
      <c r="J38" s="168" t="s">
        <v>36</v>
      </c>
      <c r="K38" s="169"/>
      <c r="L38" s="169"/>
      <c r="M38" s="170" t="s">
        <v>81</v>
      </c>
      <c r="N38" s="169"/>
      <c r="O38" s="169"/>
      <c r="P38" s="171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4"/>
    </row>
    <row r="39" spans="2:31" ht="72" customHeight="1">
      <c r="C39" s="72" t="s">
        <v>34</v>
      </c>
      <c r="D39" s="73" t="s">
        <v>75</v>
      </c>
      <c r="E39" s="73" t="s">
        <v>18</v>
      </c>
      <c r="F39" s="151" t="s">
        <v>35</v>
      </c>
      <c r="G39" s="75" t="s">
        <v>141</v>
      </c>
      <c r="H39" s="75" t="s">
        <v>170</v>
      </c>
      <c r="I39" s="75" t="s">
        <v>53</v>
      </c>
      <c r="J39" s="76" t="s">
        <v>134</v>
      </c>
      <c r="K39" s="73" t="s">
        <v>38</v>
      </c>
      <c r="L39" s="75" t="s">
        <v>79</v>
      </c>
      <c r="M39" s="76" t="s">
        <v>82</v>
      </c>
      <c r="N39" s="75" t="s">
        <v>40</v>
      </c>
      <c r="O39" s="75" t="s">
        <v>139</v>
      </c>
      <c r="P39" s="77" t="s">
        <v>54</v>
      </c>
      <c r="Q39" s="75" t="s">
        <v>142</v>
      </c>
      <c r="R39" s="75" t="s">
        <v>41</v>
      </c>
      <c r="S39" s="75" t="s">
        <v>143</v>
      </c>
      <c r="T39" s="75" t="s">
        <v>39</v>
      </c>
      <c r="U39" s="75" t="s">
        <v>72</v>
      </c>
      <c r="V39" s="75" t="s">
        <v>71</v>
      </c>
      <c r="W39" s="98" t="s">
        <v>73</v>
      </c>
      <c r="X39" s="98" t="s">
        <v>41</v>
      </c>
      <c r="Y39" s="98" t="s">
        <v>30</v>
      </c>
      <c r="Z39" s="98" t="s">
        <v>133</v>
      </c>
      <c r="AA39" s="98" t="s">
        <v>146</v>
      </c>
      <c r="AB39" s="78" t="s">
        <v>74</v>
      </c>
    </row>
    <row r="40" spans="2:31" ht="21.75" customHeight="1">
      <c r="B40">
        <v>0</v>
      </c>
      <c r="C40" s="152">
        <f>DATE(2010,10,24)</f>
        <v>40475</v>
      </c>
      <c r="D40" s="80">
        <f>H13</f>
        <v>103.00304300000002</v>
      </c>
      <c r="E40" s="80">
        <f>H14</f>
        <v>30.900912900000005</v>
      </c>
      <c r="F40" s="80"/>
      <c r="G40" s="80"/>
      <c r="H40" s="80"/>
      <c r="I40" s="80"/>
      <c r="J40" s="79"/>
      <c r="K40" s="80"/>
      <c r="L40" s="80"/>
      <c r="M40" s="79"/>
      <c r="N40" s="80"/>
      <c r="O40" s="80"/>
      <c r="P40" s="95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>
        <f>W40+X40-Y40+Z40+AA40-E40</f>
        <v>-30.900912900000005</v>
      </c>
      <c r="AE40" s="147"/>
    </row>
    <row r="41" spans="2:31">
      <c r="B41">
        <v>1</v>
      </c>
      <c r="C41" s="150">
        <f>DATE(2011,3,31)</f>
        <v>40633</v>
      </c>
      <c r="D41" s="80">
        <v>0</v>
      </c>
      <c r="E41" s="80">
        <v>0</v>
      </c>
      <c r="F41" s="81">
        <f>((C41-H6)+1)*24</f>
        <v>120</v>
      </c>
      <c r="G41" s="80">
        <f>$H$7*$H$8*$H$12*F41</f>
        <v>42.775077330976579</v>
      </c>
      <c r="H41" s="80">
        <f>G41*$H$10</f>
        <v>2.9942554131683607</v>
      </c>
      <c r="I41" s="80">
        <f>G41-H41</f>
        <v>39.780821917808218</v>
      </c>
      <c r="J41" s="79">
        <f ca="1">(I41*Tariff!$L$18*1000)/10^6</f>
        <v>0.20879263563419395</v>
      </c>
      <c r="K41" s="106">
        <f ca="1">('Emission Reduction Sheet '!$F$25*$H$28*$H$29)/10^6</f>
        <v>0</v>
      </c>
      <c r="L41" s="80">
        <f>J41+K41</f>
        <v>0.20879263563419395</v>
      </c>
      <c r="M41" s="79">
        <v>0</v>
      </c>
      <c r="N41" s="80">
        <f>$H$18*F41/8760</f>
        <v>2.6438356164383563E-3</v>
      </c>
      <c r="O41" s="80">
        <f>$H$21*F41/8760</f>
        <v>2.0400000000000001E-2</v>
      </c>
      <c r="P41" s="95">
        <f>SUM(M41:O41)</f>
        <v>2.3043835616438357E-2</v>
      </c>
      <c r="Q41" s="80">
        <f>L41-P41</f>
        <v>0.18574880001775559</v>
      </c>
      <c r="R41" s="80">
        <f ca="1">((H13-'Capital Cost'!N16)*H27)*F41/8760</f>
        <v>6.2746053904109603E-2</v>
      </c>
      <c r="S41" s="80">
        <f>Q41-R41</f>
        <v>0.12300274611364599</v>
      </c>
      <c r="T41" s="80">
        <v>0</v>
      </c>
      <c r="U41" s="80">
        <f>S41-T41</f>
        <v>0.12300274611364599</v>
      </c>
      <c r="V41" s="97">
        <f ca="1">'Depreciation calculations'!C31</f>
        <v>2.4515062314180217E-2</v>
      </c>
      <c r="W41" s="82">
        <f>U41-V41</f>
        <v>9.8487683799465778E-2</v>
      </c>
      <c r="X41" s="82">
        <f>R41</f>
        <v>6.2746053904109603E-2</v>
      </c>
      <c r="Y41" s="82">
        <v>0</v>
      </c>
      <c r="Z41" s="82">
        <v>0</v>
      </c>
      <c r="AA41" s="82">
        <f ca="1">IF('Depreciation calculations'!C21&lt;0,-'Depreciation calculations'!C21*IRR!$H$22,0)</f>
        <v>13.739489787593985</v>
      </c>
      <c r="AB41" s="83">
        <f>W41+X41-Y41+Z41+AA41-E41</f>
        <v>13.900723525297561</v>
      </c>
      <c r="AE41" s="162"/>
    </row>
    <row r="42" spans="2:31">
      <c r="B42">
        <v>2</v>
      </c>
      <c r="C42" s="150">
        <f>DATE(2012,3,31)</f>
        <v>40999</v>
      </c>
      <c r="D42" s="81">
        <v>0</v>
      </c>
      <c r="E42" s="81">
        <v>0</v>
      </c>
      <c r="F42" s="81">
        <f>365*24</f>
        <v>8760</v>
      </c>
      <c r="G42" s="80">
        <f>$H$7*$H$8*$H$12*F42</f>
        <v>3122.5806451612902</v>
      </c>
      <c r="H42" s="80">
        <f>G42*$H$10</f>
        <v>218.58064516129033</v>
      </c>
      <c r="I42" s="80">
        <f t="shared" ref="I42:I61" si="0">G42-H42</f>
        <v>2904</v>
      </c>
      <c r="J42" s="79">
        <f ca="1">(I42*Tariff!$L$18*1000)/10^6</f>
        <v>15.241862401296157</v>
      </c>
      <c r="K42" s="106">
        <f ca="1">('Emission Reduction Sheet '!$F$25*$H$28*$H$29)/10^6</f>
        <v>0</v>
      </c>
      <c r="L42" s="80">
        <f t="shared" ref="L42:L59" si="1">J42+K42</f>
        <v>15.241862401296157</v>
      </c>
      <c r="M42" s="79">
        <v>0</v>
      </c>
      <c r="N42" s="80">
        <f t="shared" ref="N42:N61" si="2">$H$18</f>
        <v>0.193</v>
      </c>
      <c r="O42" s="80">
        <f>$H$21</f>
        <v>1.4892000000000001</v>
      </c>
      <c r="P42" s="95">
        <f>SUM(M42:O42)</f>
        <v>1.6822000000000001</v>
      </c>
      <c r="Q42" s="80">
        <f t="shared" ref="Q42:Q61" si="3">L42-P42</f>
        <v>13.559662401296157</v>
      </c>
      <c r="R42" s="80">
        <f ca="1">($H$13-'Capital Cost'!$N$16)*$H$27</f>
        <v>4.5804619350000007</v>
      </c>
      <c r="S42" s="80">
        <f t="shared" ref="S42:S61" si="4">Q42-R42</f>
        <v>8.979200466296156</v>
      </c>
      <c r="T42" s="80">
        <f ca="1">'Loan schedule'!D17</f>
        <v>7.9808045254437499</v>
      </c>
      <c r="U42" s="80">
        <f>S42-T42</f>
        <v>0.99839594085240613</v>
      </c>
      <c r="V42" s="97">
        <f ca="1">'Depreciation calculations'!D31</f>
        <v>0.19898530299158881</v>
      </c>
      <c r="W42" s="82">
        <f t="shared" ref="W42:W61" si="5">U42-V42</f>
        <v>0.79941063786081734</v>
      </c>
      <c r="X42" s="82">
        <f t="shared" ref="X42:X61" si="6">R42</f>
        <v>4.5804619350000007</v>
      </c>
      <c r="Y42" s="82">
        <f ca="1">'Loan schedule'!D16</f>
        <v>7.2102130100000013</v>
      </c>
      <c r="Z42" s="82">
        <v>0</v>
      </c>
      <c r="AA42" s="82">
        <f ca="1">IF('Depreciation calculations'!D21&lt;0,-'Depreciation calculations'!D21*IRR!$H$22,0)</f>
        <v>14.671717537046037</v>
      </c>
      <c r="AB42" s="83">
        <f t="shared" ref="AB42:AB61" si="7">W42+X42-Y42+Z42+AA42-E42</f>
        <v>12.841377099906854</v>
      </c>
      <c r="AE42" s="162"/>
    </row>
    <row r="43" spans="2:31">
      <c r="B43">
        <v>3</v>
      </c>
      <c r="C43" s="150">
        <f>DATE(2013,3,31)</f>
        <v>41364</v>
      </c>
      <c r="D43" s="81">
        <v>0</v>
      </c>
      <c r="E43" s="81">
        <v>0</v>
      </c>
      <c r="F43" s="81">
        <f t="shared" ref="F43:F60" si="8">365*24</f>
        <v>8760</v>
      </c>
      <c r="G43" s="80">
        <f t="shared" ref="G43:G61" si="9">$H$7*$H$8*$H$12*F43</f>
        <v>3122.5806451612902</v>
      </c>
      <c r="H43" s="80">
        <f t="shared" ref="H43:H61" si="10">G43*$H$10</f>
        <v>218.58064516129033</v>
      </c>
      <c r="I43" s="80">
        <f t="shared" si="0"/>
        <v>2904</v>
      </c>
      <c r="J43" s="79">
        <f ca="1">(I43*Tariff!$L$18*1000)/10^6</f>
        <v>15.241862401296157</v>
      </c>
      <c r="K43" s="106">
        <f ca="1">('Emission Reduction Sheet '!$F$25*$H$28*$H$29)/10^6</f>
        <v>0</v>
      </c>
      <c r="L43" s="80">
        <f t="shared" si="1"/>
        <v>15.241862401296157</v>
      </c>
      <c r="M43" s="79">
        <f>H19</f>
        <v>1.7</v>
      </c>
      <c r="N43" s="80">
        <f t="shared" si="2"/>
        <v>0.193</v>
      </c>
      <c r="O43" s="80">
        <f t="shared" ref="O43:O61" si="11">$H$21</f>
        <v>1.4892000000000001</v>
      </c>
      <c r="P43" s="95">
        <f t="shared" ref="P43:P61" si="12">SUM(M43:O43)</f>
        <v>3.3822000000000001</v>
      </c>
      <c r="Q43" s="80">
        <f t="shared" si="3"/>
        <v>11.859662401296156</v>
      </c>
      <c r="R43" s="80">
        <f ca="1">($H$13-'Capital Cost'!$N$16)*$H$27</f>
        <v>4.5804619350000007</v>
      </c>
      <c r="S43" s="80">
        <f t="shared" si="4"/>
        <v>7.2792004662961549</v>
      </c>
      <c r="T43" s="80">
        <f ca="1">'Loan schedule'!E17</f>
        <v>7.1516300292937496</v>
      </c>
      <c r="U43" s="80">
        <f t="shared" ref="U43:U61" si="13">S43-T43</f>
        <v>0.12757043700240533</v>
      </c>
      <c r="V43" s="97">
        <f ca="1">'Depreciation calculations'!E31</f>
        <v>2.5425425946764398E-2</v>
      </c>
      <c r="W43" s="82">
        <f t="shared" si="5"/>
        <v>0.10214501105564094</v>
      </c>
      <c r="X43" s="82">
        <f t="shared" si="6"/>
        <v>4.5804619350000007</v>
      </c>
      <c r="Y43" s="82">
        <f ca="1">'Loan schedule'!E16</f>
        <v>7.2102130100000013</v>
      </c>
      <c r="Z43" s="82">
        <v>0</v>
      </c>
      <c r="AA43" s="82">
        <f ca="1">IF('Depreciation calculations'!E21&lt;0,-'Depreciation calculations'!E21*IRR!$H$22,0)</f>
        <v>1.7165670972831868</v>
      </c>
      <c r="AB43" s="83">
        <f t="shared" si="7"/>
        <v>-0.81103896666117281</v>
      </c>
      <c r="AE43" s="162"/>
    </row>
    <row r="44" spans="2:31">
      <c r="B44">
        <v>4</v>
      </c>
      <c r="C44" s="150">
        <f>DATE(2014,3,31)</f>
        <v>41729</v>
      </c>
      <c r="D44" s="81">
        <v>0</v>
      </c>
      <c r="E44" s="81">
        <v>0</v>
      </c>
      <c r="F44" s="81">
        <f t="shared" si="8"/>
        <v>8760</v>
      </c>
      <c r="G44" s="80">
        <f t="shared" si="9"/>
        <v>3122.5806451612902</v>
      </c>
      <c r="H44" s="80">
        <f t="shared" si="10"/>
        <v>218.58064516129033</v>
      </c>
      <c r="I44" s="80">
        <f t="shared" si="0"/>
        <v>2904</v>
      </c>
      <c r="J44" s="79">
        <f ca="1">(I44*Tariff!$L$18*1000)/10^6</f>
        <v>15.241862401296157</v>
      </c>
      <c r="K44" s="106">
        <f ca="1">('Emission Reduction Sheet '!$F$25*$H$28*$H$29)/10^6</f>
        <v>0</v>
      </c>
      <c r="L44" s="80">
        <f t="shared" si="1"/>
        <v>15.241862401296157</v>
      </c>
      <c r="M44" s="79">
        <f>M43*(1+$H$20)</f>
        <v>1.7849999999999999</v>
      </c>
      <c r="N44" s="80">
        <f t="shared" si="2"/>
        <v>0.193</v>
      </c>
      <c r="O44" s="80">
        <f t="shared" si="11"/>
        <v>1.4892000000000001</v>
      </c>
      <c r="P44" s="95">
        <f t="shared" si="12"/>
        <v>3.4672000000000001</v>
      </c>
      <c r="Q44" s="80">
        <f t="shared" si="3"/>
        <v>11.774662401296156</v>
      </c>
      <c r="R44" s="80">
        <f ca="1">($H$13-'Capital Cost'!$N$16)*$H$27</f>
        <v>4.5804619350000007</v>
      </c>
      <c r="S44" s="80">
        <f t="shared" si="4"/>
        <v>7.1942004662961558</v>
      </c>
      <c r="T44" s="80">
        <f ca="1">'Loan schedule'!F17</f>
        <v>6.3224555331437511</v>
      </c>
      <c r="U44" s="80">
        <f t="shared" si="13"/>
        <v>0.87174493315240476</v>
      </c>
      <c r="V44" s="97">
        <f ca="1">'Depreciation calculations'!F31</f>
        <v>0.93685432277273029</v>
      </c>
      <c r="W44" s="82">
        <f t="shared" si="5"/>
        <v>-6.5109389620325531E-2</v>
      </c>
      <c r="X44" s="82">
        <f t="shared" si="6"/>
        <v>4.5804619350000007</v>
      </c>
      <c r="Y44" s="82">
        <f ca="1">'Loan schedule'!F16</f>
        <v>7.2102130100000013</v>
      </c>
      <c r="Z44" s="82">
        <v>0</v>
      </c>
      <c r="AA44" s="82">
        <f ca="1">IF('Depreciation calculations'!F21&lt;0,-'Depreciation calculations'!F21*IRR!$H$22,0)</f>
        <v>0</v>
      </c>
      <c r="AB44" s="83">
        <f t="shared" si="7"/>
        <v>-2.6948604646203265</v>
      </c>
      <c r="AE44" s="162"/>
    </row>
    <row r="45" spans="2:31">
      <c r="B45">
        <v>5</v>
      </c>
      <c r="C45" s="150">
        <f>DATE(2015,3,31)</f>
        <v>42094</v>
      </c>
      <c r="D45" s="81">
        <v>0</v>
      </c>
      <c r="E45" s="81">
        <v>0</v>
      </c>
      <c r="F45" s="81">
        <f t="shared" si="8"/>
        <v>8760</v>
      </c>
      <c r="G45" s="80">
        <f t="shared" si="9"/>
        <v>3122.5806451612902</v>
      </c>
      <c r="H45" s="80">
        <f t="shared" si="10"/>
        <v>218.58064516129033</v>
      </c>
      <c r="I45" s="80">
        <f t="shared" si="0"/>
        <v>2904</v>
      </c>
      <c r="J45" s="79">
        <f ca="1">(I45*Tariff!$L$18*1000)/10^6</f>
        <v>15.241862401296157</v>
      </c>
      <c r="K45" s="106">
        <f ca="1">('Emission Reduction Sheet '!$F$25*$H$28*$H$29)/10^6</f>
        <v>0</v>
      </c>
      <c r="L45" s="80">
        <f t="shared" si="1"/>
        <v>15.241862401296157</v>
      </c>
      <c r="M45" s="79">
        <f t="shared" ref="M45:M61" si="14">M44*(1+$H$20)</f>
        <v>1.87425</v>
      </c>
      <c r="N45" s="80">
        <f t="shared" si="2"/>
        <v>0.193</v>
      </c>
      <c r="O45" s="80">
        <f t="shared" si="11"/>
        <v>1.4892000000000001</v>
      </c>
      <c r="P45" s="95">
        <f t="shared" si="12"/>
        <v>3.5564499999999999</v>
      </c>
      <c r="Q45" s="80">
        <f t="shared" si="3"/>
        <v>11.685412401296157</v>
      </c>
      <c r="R45" s="80">
        <f ca="1">($H$13-'Capital Cost'!$N$16)*$H$27</f>
        <v>4.5804619350000007</v>
      </c>
      <c r="S45" s="80">
        <f t="shared" si="4"/>
        <v>7.104950466296156</v>
      </c>
      <c r="T45" s="80">
        <f ca="1">'Loan schedule'!G17</f>
        <v>5.4932810369937517</v>
      </c>
      <c r="U45" s="80">
        <f t="shared" si="13"/>
        <v>1.6116694293024043</v>
      </c>
      <c r="V45" s="97">
        <f ca="1">'Depreciation calculations'!G31</f>
        <v>1.9666289296428352</v>
      </c>
      <c r="W45" s="82">
        <f t="shared" si="5"/>
        <v>-0.35495950034043089</v>
      </c>
      <c r="X45" s="82">
        <f t="shared" si="6"/>
        <v>4.5804619350000007</v>
      </c>
      <c r="Y45" s="82">
        <f ca="1">'Loan schedule'!G16</f>
        <v>7.2102130100000013</v>
      </c>
      <c r="Z45" s="82">
        <v>0</v>
      </c>
      <c r="AA45" s="82">
        <f ca="1">IF('Depreciation calculations'!G21&lt;0,-'Depreciation calculations'!G21*IRR!H22,0)</f>
        <v>0</v>
      </c>
      <c r="AB45" s="83">
        <f t="shared" si="7"/>
        <v>-2.9847105753404319</v>
      </c>
      <c r="AE45" s="162"/>
    </row>
    <row r="46" spans="2:31">
      <c r="B46">
        <v>6</v>
      </c>
      <c r="C46" s="150">
        <f>DATE(2016,3,31)</f>
        <v>42460</v>
      </c>
      <c r="D46" s="81">
        <v>0</v>
      </c>
      <c r="E46" s="81">
        <v>0</v>
      </c>
      <c r="F46" s="81">
        <f t="shared" si="8"/>
        <v>8760</v>
      </c>
      <c r="G46" s="80">
        <f t="shared" si="9"/>
        <v>3122.5806451612902</v>
      </c>
      <c r="H46" s="80">
        <f t="shared" si="10"/>
        <v>218.58064516129033</v>
      </c>
      <c r="I46" s="80">
        <f t="shared" si="0"/>
        <v>2904</v>
      </c>
      <c r="J46" s="79">
        <f ca="1">(I46*Tariff!$L$18*1000)/10^6</f>
        <v>15.241862401296157</v>
      </c>
      <c r="K46" s="106">
        <f ca="1">('Emission Reduction Sheet '!$F$25*$H$28*$H$29)/10^6</f>
        <v>0</v>
      </c>
      <c r="L46" s="80">
        <f t="shared" si="1"/>
        <v>15.241862401296157</v>
      </c>
      <c r="M46" s="79">
        <f t="shared" si="14"/>
        <v>1.9679625000000001</v>
      </c>
      <c r="N46" s="80">
        <f t="shared" si="2"/>
        <v>0.193</v>
      </c>
      <c r="O46" s="80">
        <f t="shared" si="11"/>
        <v>1.4892000000000001</v>
      </c>
      <c r="P46" s="95">
        <f t="shared" si="12"/>
        <v>3.6501625000000004</v>
      </c>
      <c r="Q46" s="80">
        <f t="shared" si="3"/>
        <v>11.591699901296156</v>
      </c>
      <c r="R46" s="80">
        <f ca="1">($H$13-'Capital Cost'!$N$16)*$H$27</f>
        <v>4.5804619350000007</v>
      </c>
      <c r="S46" s="80">
        <f t="shared" si="4"/>
        <v>7.0112379662961555</v>
      </c>
      <c r="T46" s="80">
        <f ca="1">'Loan schedule'!H17</f>
        <v>4.6641065408437532</v>
      </c>
      <c r="U46" s="80">
        <f t="shared" si="13"/>
        <v>2.3471314254524023</v>
      </c>
      <c r="V46" s="97">
        <f ca="1">'Depreciation calculations'!H31</f>
        <v>2.3219534286222272</v>
      </c>
      <c r="W46" s="82">
        <f t="shared" si="5"/>
        <v>2.5177996830175076E-2</v>
      </c>
      <c r="X46" s="82">
        <f t="shared" si="6"/>
        <v>4.5804619350000007</v>
      </c>
      <c r="Y46" s="82">
        <f ca="1">'Loan schedule'!H16</f>
        <v>7.2102130100000013</v>
      </c>
      <c r="Z46" s="82">
        <v>0</v>
      </c>
      <c r="AA46" s="82">
        <f ca="1">IF('Depreciation calculations'!H21&lt;0,-'Depreciation calculations'!H21*IRR!H22,0)</f>
        <v>0</v>
      </c>
      <c r="AB46" s="83">
        <f t="shared" si="7"/>
        <v>-2.6045730781698255</v>
      </c>
      <c r="AE46" s="162"/>
    </row>
    <row r="47" spans="2:31">
      <c r="B47">
        <v>7</v>
      </c>
      <c r="C47" s="150">
        <f>DATE(2017,3,31)</f>
        <v>42825</v>
      </c>
      <c r="D47" s="81">
        <v>0</v>
      </c>
      <c r="E47" s="81">
        <v>0</v>
      </c>
      <c r="F47" s="81">
        <f t="shared" si="8"/>
        <v>8760</v>
      </c>
      <c r="G47" s="80">
        <f t="shared" si="9"/>
        <v>3122.5806451612902</v>
      </c>
      <c r="H47" s="80">
        <f t="shared" si="10"/>
        <v>218.58064516129033</v>
      </c>
      <c r="I47" s="80">
        <f t="shared" si="0"/>
        <v>2904</v>
      </c>
      <c r="J47" s="79">
        <f ca="1">(I47*Tariff!$L$18*1000)/10^6</f>
        <v>15.241862401296157</v>
      </c>
      <c r="K47" s="106">
        <f ca="1">('Emission Reduction Sheet '!$F$25*$H$28*$H$29)/10^6</f>
        <v>0</v>
      </c>
      <c r="L47" s="80">
        <f t="shared" si="1"/>
        <v>15.241862401296157</v>
      </c>
      <c r="M47" s="79">
        <f t="shared" si="14"/>
        <v>2.0663606250000002</v>
      </c>
      <c r="N47" s="80">
        <f t="shared" si="2"/>
        <v>0.193</v>
      </c>
      <c r="O47" s="80">
        <f t="shared" si="11"/>
        <v>1.4892000000000001</v>
      </c>
      <c r="P47" s="95">
        <f t="shared" si="12"/>
        <v>3.7485606250000005</v>
      </c>
      <c r="Q47" s="80">
        <f t="shared" si="3"/>
        <v>11.493301776296157</v>
      </c>
      <c r="R47" s="80">
        <f ca="1">($H$13-'Capital Cost'!$N$16)*$H$27</f>
        <v>4.5804619350000007</v>
      </c>
      <c r="S47" s="80">
        <f t="shared" si="4"/>
        <v>6.9128398412961563</v>
      </c>
      <c r="T47" s="80">
        <f ca="1">'Loan schedule'!I17</f>
        <v>3.8349320446937538</v>
      </c>
      <c r="U47" s="80">
        <f t="shared" si="13"/>
        <v>3.0779077966024024</v>
      </c>
      <c r="V47" s="97">
        <f ca="1">'Depreciation calculations'!I31</f>
        <v>2.5908871948989862</v>
      </c>
      <c r="W47" s="82">
        <f t="shared" si="5"/>
        <v>0.48702060170341621</v>
      </c>
      <c r="X47" s="82">
        <f t="shared" si="6"/>
        <v>4.5804619350000007</v>
      </c>
      <c r="Y47" s="82">
        <f ca="1">'Loan schedule'!I16</f>
        <v>7.2102130100000013</v>
      </c>
      <c r="Z47" s="82">
        <v>0</v>
      </c>
      <c r="AA47" s="82">
        <f ca="1">IF('Depreciation calculations'!I21&lt;0,-'Depreciation calculations'!I21*IRR!H22,0)</f>
        <v>0</v>
      </c>
      <c r="AB47" s="83">
        <f t="shared" si="7"/>
        <v>-2.1427304732965844</v>
      </c>
      <c r="AE47" s="162"/>
    </row>
    <row r="48" spans="2:31">
      <c r="B48">
        <v>8</v>
      </c>
      <c r="C48" s="150">
        <f>DATE(2018,3,31)</f>
        <v>43190</v>
      </c>
      <c r="D48" s="81">
        <v>0</v>
      </c>
      <c r="E48" s="81">
        <v>0</v>
      </c>
      <c r="F48" s="81">
        <f t="shared" si="8"/>
        <v>8760</v>
      </c>
      <c r="G48" s="80">
        <f t="shared" si="9"/>
        <v>3122.5806451612902</v>
      </c>
      <c r="H48" s="80">
        <f t="shared" si="10"/>
        <v>218.58064516129033</v>
      </c>
      <c r="I48" s="80">
        <f t="shared" si="0"/>
        <v>2904</v>
      </c>
      <c r="J48" s="79">
        <f ca="1">(I48*Tariff!$L$18*1000)/10^6</f>
        <v>15.241862401296157</v>
      </c>
      <c r="K48" s="106">
        <f ca="1">('Emission Reduction Sheet '!$F$25*$H$28*$H$29)/10^6</f>
        <v>0</v>
      </c>
      <c r="L48" s="80">
        <f t="shared" si="1"/>
        <v>15.241862401296157</v>
      </c>
      <c r="M48" s="79">
        <f t="shared" si="14"/>
        <v>2.1696786562500003</v>
      </c>
      <c r="N48" s="80">
        <f t="shared" si="2"/>
        <v>0.193</v>
      </c>
      <c r="O48" s="80">
        <f t="shared" si="11"/>
        <v>1.4892000000000001</v>
      </c>
      <c r="P48" s="95">
        <f t="shared" si="12"/>
        <v>3.8518786562500003</v>
      </c>
      <c r="Q48" s="80">
        <f t="shared" si="3"/>
        <v>11.389983745046155</v>
      </c>
      <c r="R48" s="80">
        <f ca="1">($H$13-'Capital Cost'!$N$16)*$H$27</f>
        <v>4.5804619350000007</v>
      </c>
      <c r="S48" s="80">
        <f t="shared" si="4"/>
        <v>6.8095218100461548</v>
      </c>
      <c r="T48" s="80">
        <f ca="1">'Loan schedule'!J17</f>
        <v>3.005757548543754</v>
      </c>
      <c r="U48" s="80">
        <f t="shared" si="13"/>
        <v>3.8037642615024008</v>
      </c>
      <c r="V48" s="97">
        <f ca="1">'Depreciation calculations'!J31</f>
        <v>2.8411926517914705</v>
      </c>
      <c r="W48" s="82">
        <f t="shared" si="5"/>
        <v>0.96257160971093025</v>
      </c>
      <c r="X48" s="82">
        <f t="shared" si="6"/>
        <v>4.5804619350000007</v>
      </c>
      <c r="Y48" s="82">
        <f ca="1">'Loan schedule'!J16</f>
        <v>7.2102130100000013</v>
      </c>
      <c r="Z48" s="82">
        <v>0</v>
      </c>
      <c r="AA48" s="82">
        <f ca="1">IF('Depreciation calculations'!J21&lt;0,-'Depreciation calculations'!J21*IRR!H22,0)</f>
        <v>0</v>
      </c>
      <c r="AB48" s="83">
        <f t="shared" si="7"/>
        <v>-1.6671794652890704</v>
      </c>
      <c r="AE48" s="162"/>
    </row>
    <row r="49" spans="2:31">
      <c r="B49">
        <v>9</v>
      </c>
      <c r="C49" s="150">
        <f>DATE(2019,3,31)</f>
        <v>43555</v>
      </c>
      <c r="D49" s="81">
        <v>0</v>
      </c>
      <c r="E49" s="81">
        <v>0</v>
      </c>
      <c r="F49" s="81">
        <f t="shared" si="8"/>
        <v>8760</v>
      </c>
      <c r="G49" s="80">
        <f t="shared" si="9"/>
        <v>3122.5806451612902</v>
      </c>
      <c r="H49" s="80">
        <f t="shared" si="10"/>
        <v>218.58064516129033</v>
      </c>
      <c r="I49" s="80">
        <f t="shared" si="0"/>
        <v>2904</v>
      </c>
      <c r="J49" s="79">
        <f ca="1">(I49*Tariff!$L$18*1000)/10^6</f>
        <v>15.241862401296157</v>
      </c>
      <c r="K49" s="106">
        <f ca="1">('Emission Reduction Sheet '!$F$25*$H$28*$H$29)/10^6</f>
        <v>0</v>
      </c>
      <c r="L49" s="80">
        <f t="shared" si="1"/>
        <v>15.241862401296157</v>
      </c>
      <c r="M49" s="79">
        <f t="shared" si="14"/>
        <v>2.2781625890625006</v>
      </c>
      <c r="N49" s="80">
        <f t="shared" si="2"/>
        <v>0.193</v>
      </c>
      <c r="O49" s="80">
        <f t="shared" si="11"/>
        <v>1.4892000000000001</v>
      </c>
      <c r="P49" s="95">
        <f t="shared" si="12"/>
        <v>3.9603625890625009</v>
      </c>
      <c r="Q49" s="80">
        <f t="shared" si="3"/>
        <v>11.281499812233655</v>
      </c>
      <c r="R49" s="80">
        <f ca="1">($H$13-'Capital Cost'!$N$16)*$H$27</f>
        <v>4.5804619350000007</v>
      </c>
      <c r="S49" s="80">
        <f>Q49-R49</f>
        <v>6.7010378772336541</v>
      </c>
      <c r="T49" s="80">
        <f ca="1">'Loan schedule'!K17</f>
        <v>2.1765830523937537</v>
      </c>
      <c r="U49" s="80">
        <f t="shared" si="13"/>
        <v>4.5244548248398999</v>
      </c>
      <c r="V49" s="97">
        <f ca="1">'Depreciation calculations'!K31</f>
        <v>3.0863547758211576</v>
      </c>
      <c r="W49" s="82">
        <f t="shared" si="5"/>
        <v>1.4381000490187423</v>
      </c>
      <c r="X49" s="82">
        <f t="shared" si="6"/>
        <v>4.5804619350000007</v>
      </c>
      <c r="Y49" s="82">
        <f ca="1">'Loan schedule'!K16</f>
        <v>7.2102130100000013</v>
      </c>
      <c r="Z49" s="82">
        <v>0</v>
      </c>
      <c r="AA49" s="82">
        <f ca="1">IF('Depreciation calculations'!K21&lt;0,-'Depreciation calculations'!K21*IRR!H22,0)</f>
        <v>0</v>
      </c>
      <c r="AB49" s="83">
        <f t="shared" si="7"/>
        <v>-1.1916510259812583</v>
      </c>
      <c r="AE49" s="162"/>
    </row>
    <row r="50" spans="2:31">
      <c r="B50">
        <v>10</v>
      </c>
      <c r="C50" s="150">
        <f>DATE(2020,3,31)</f>
        <v>43921</v>
      </c>
      <c r="D50" s="81">
        <v>0</v>
      </c>
      <c r="E50" s="81">
        <v>0</v>
      </c>
      <c r="F50" s="81">
        <f t="shared" si="8"/>
        <v>8760</v>
      </c>
      <c r="G50" s="80">
        <f t="shared" si="9"/>
        <v>3122.5806451612902</v>
      </c>
      <c r="H50" s="80">
        <f t="shared" si="10"/>
        <v>218.58064516129033</v>
      </c>
      <c r="I50" s="80">
        <f t="shared" si="0"/>
        <v>2904</v>
      </c>
      <c r="J50" s="79">
        <f ca="1">(I50*Tariff!$L$18*1000)/10^6</f>
        <v>15.241862401296157</v>
      </c>
      <c r="K50" s="106">
        <f ca="1">('Emission Reduction Sheet '!$F$25*$H$28*$H$29)/10^6</f>
        <v>0</v>
      </c>
      <c r="L50" s="80">
        <f t="shared" si="1"/>
        <v>15.241862401296157</v>
      </c>
      <c r="M50" s="79">
        <f t="shared" si="14"/>
        <v>2.3920707185156256</v>
      </c>
      <c r="N50" s="80">
        <f t="shared" si="2"/>
        <v>0.193</v>
      </c>
      <c r="O50" s="80">
        <f t="shared" si="11"/>
        <v>1.4892000000000001</v>
      </c>
      <c r="P50" s="95">
        <f t="shared" si="12"/>
        <v>4.0742707185156259</v>
      </c>
      <c r="Q50" s="80">
        <f t="shared" si="3"/>
        <v>11.167591682780531</v>
      </c>
      <c r="R50" s="80">
        <f ca="1">($H$13-'Capital Cost'!$N$16)*$H$27</f>
        <v>4.5804619350000007</v>
      </c>
      <c r="S50" s="80">
        <f t="shared" si="4"/>
        <v>6.58712974778053</v>
      </c>
      <c r="T50" s="80">
        <f ca="1">'Loan schedule'!L17</f>
        <v>1.3474085562437532</v>
      </c>
      <c r="U50" s="80">
        <f t="shared" si="13"/>
        <v>5.239721191536777</v>
      </c>
      <c r="V50" s="97">
        <f ca="1">'Depreciation calculations'!L31</f>
        <v>3.3289996787430529</v>
      </c>
      <c r="W50" s="82">
        <f t="shared" si="5"/>
        <v>1.910721512793724</v>
      </c>
      <c r="X50" s="82">
        <f t="shared" si="6"/>
        <v>4.5804619350000007</v>
      </c>
      <c r="Y50" s="82">
        <f ca="1">'Loan schedule'!L16</f>
        <v>7.2102130100000013</v>
      </c>
      <c r="Z50" s="82">
        <v>0</v>
      </c>
      <c r="AA50" s="82">
        <f ca="1">IF('Depreciation calculations'!L21&lt;0,-'Depreciation calculations'!L21*IRR!H22,0)</f>
        <v>0</v>
      </c>
      <c r="AB50" s="83">
        <f t="shared" si="7"/>
        <v>-0.71902956220627612</v>
      </c>
      <c r="AE50" s="162"/>
    </row>
    <row r="51" spans="2:31">
      <c r="B51">
        <v>11</v>
      </c>
      <c r="C51" s="150">
        <f>DATE(2021,3,31)</f>
        <v>44286</v>
      </c>
      <c r="D51" s="81">
        <v>0</v>
      </c>
      <c r="E51" s="81">
        <v>0</v>
      </c>
      <c r="F51" s="81">
        <f t="shared" si="8"/>
        <v>8760</v>
      </c>
      <c r="G51" s="80">
        <f t="shared" si="9"/>
        <v>3122.5806451612902</v>
      </c>
      <c r="H51" s="80">
        <f t="shared" si="10"/>
        <v>218.58064516129033</v>
      </c>
      <c r="I51" s="80">
        <f t="shared" si="0"/>
        <v>2904</v>
      </c>
      <c r="J51" s="79">
        <f ca="1">(I51*Tariff!$L$18*1000)/10^6</f>
        <v>15.241862401296157</v>
      </c>
      <c r="K51" s="106">
        <f ca="1">('Emission Reduction Sheet '!$F$25*$H$28*$H$29)/10^6</f>
        <v>0</v>
      </c>
      <c r="L51" s="80">
        <f t="shared" si="1"/>
        <v>15.241862401296157</v>
      </c>
      <c r="M51" s="79">
        <f t="shared" si="14"/>
        <v>2.5116742544414068</v>
      </c>
      <c r="N51" s="80">
        <f t="shared" si="2"/>
        <v>0.193</v>
      </c>
      <c r="O51" s="80">
        <f t="shared" si="11"/>
        <v>1.4892000000000001</v>
      </c>
      <c r="P51" s="95">
        <f t="shared" si="12"/>
        <v>4.1938742544414067</v>
      </c>
      <c r="Q51" s="80">
        <f t="shared" si="3"/>
        <v>11.047988146854749</v>
      </c>
      <c r="R51" s="80">
        <f ca="1">($H$13-'Capital Cost'!$N$16)*$H$27</f>
        <v>4.5804619350000007</v>
      </c>
      <c r="S51" s="80">
        <f t="shared" si="4"/>
        <v>6.4675262118547483</v>
      </c>
      <c r="T51" s="80">
        <f ca="1">'Loan schedule'!M17</f>
        <v>0.51823406009375295</v>
      </c>
      <c r="U51" s="80">
        <f t="shared" si="13"/>
        <v>5.9492921517609956</v>
      </c>
      <c r="V51" s="97">
        <f ca="1">'Depreciation calculations'!M31</f>
        <v>3.5695781551813952</v>
      </c>
      <c r="W51" s="82">
        <f t="shared" si="5"/>
        <v>2.3797139965796004</v>
      </c>
      <c r="X51" s="82">
        <f t="shared" si="6"/>
        <v>4.5804619350000007</v>
      </c>
      <c r="Y51" s="82">
        <f ca="1">'Loan schedule'!M16</f>
        <v>7.2102130100000013</v>
      </c>
      <c r="Z51" s="82">
        <v>0</v>
      </c>
      <c r="AA51" s="82">
        <f ca="1">IF('Depreciation calculations'!M21&lt;0,-'Depreciation calculations'!M21*IRR!H22,0)</f>
        <v>0</v>
      </c>
      <c r="AB51" s="83">
        <f t="shared" si="7"/>
        <v>-0.25003707842040068</v>
      </c>
      <c r="AE51" s="162"/>
    </row>
    <row r="52" spans="2:31">
      <c r="B52">
        <v>12</v>
      </c>
      <c r="C52" s="150">
        <f>DATE(2022,3,31)</f>
        <v>44651</v>
      </c>
      <c r="D52" s="81">
        <v>0</v>
      </c>
      <c r="E52" s="81">
        <v>0</v>
      </c>
      <c r="F52" s="81">
        <f t="shared" si="8"/>
        <v>8760</v>
      </c>
      <c r="G52" s="80">
        <f t="shared" si="9"/>
        <v>3122.5806451612902</v>
      </c>
      <c r="H52" s="80">
        <f t="shared" si="10"/>
        <v>218.58064516129033</v>
      </c>
      <c r="I52" s="80">
        <f t="shared" si="0"/>
        <v>2904</v>
      </c>
      <c r="J52" s="79">
        <f ca="1">(I52*Tariff!$L$18*1000)/10^6</f>
        <v>15.241862401296157</v>
      </c>
      <c r="K52" s="106">
        <f ca="1">('Emission Reduction Sheet '!$F$25*$H$28*$H$29)/10^6</f>
        <v>0</v>
      </c>
      <c r="L52" s="80">
        <f t="shared" si="1"/>
        <v>15.241862401296157</v>
      </c>
      <c r="M52" s="79">
        <f t="shared" si="14"/>
        <v>2.6372579671634773</v>
      </c>
      <c r="N52" s="80">
        <f t="shared" si="2"/>
        <v>0.193</v>
      </c>
      <c r="O52" s="80">
        <f t="shared" si="11"/>
        <v>1.4892000000000001</v>
      </c>
      <c r="P52" s="95">
        <f t="shared" si="12"/>
        <v>4.3194579671634772</v>
      </c>
      <c r="Q52" s="80">
        <f t="shared" si="3"/>
        <v>10.92240443413268</v>
      </c>
      <c r="R52" s="80">
        <f ca="1">($H$13-'Capital Cost'!$N$16)*$H$27</f>
        <v>4.5804619350000007</v>
      </c>
      <c r="S52" s="80">
        <f t="shared" si="4"/>
        <v>6.3419424991326796</v>
      </c>
      <c r="T52" s="80">
        <v>0</v>
      </c>
      <c r="U52" s="80">
        <f t="shared" si="13"/>
        <v>6.3419424991326796</v>
      </c>
      <c r="V52" s="97">
        <f ca="1">'Depreciation calculations'!N31</f>
        <v>3.7026934071248614</v>
      </c>
      <c r="W52" s="82">
        <f t="shared" si="5"/>
        <v>2.6392490920078182</v>
      </c>
      <c r="X52" s="82">
        <f t="shared" si="6"/>
        <v>4.5804619350000007</v>
      </c>
      <c r="Y52" s="82">
        <v>0</v>
      </c>
      <c r="Z52" s="82">
        <v>0</v>
      </c>
      <c r="AA52" s="82">
        <f ca="1">IF('Depreciation calculations'!N21&lt;0,-'Depreciation calculations'!N21*IRR!H22,0)</f>
        <v>0</v>
      </c>
      <c r="AB52" s="83">
        <f t="shared" si="7"/>
        <v>7.2197110270078184</v>
      </c>
      <c r="AE52" s="162"/>
    </row>
    <row r="53" spans="2:31">
      <c r="B53">
        <v>13</v>
      </c>
      <c r="C53" s="150">
        <f>DATE(2023,3,31)</f>
        <v>45016</v>
      </c>
      <c r="D53" s="81">
        <v>0</v>
      </c>
      <c r="E53" s="81">
        <v>0</v>
      </c>
      <c r="F53" s="81">
        <f t="shared" si="8"/>
        <v>8760</v>
      </c>
      <c r="G53" s="80">
        <f t="shared" si="9"/>
        <v>3122.5806451612902</v>
      </c>
      <c r="H53" s="80">
        <f t="shared" si="10"/>
        <v>218.58064516129033</v>
      </c>
      <c r="I53" s="80">
        <f t="shared" si="0"/>
        <v>2904</v>
      </c>
      <c r="J53" s="79">
        <f ca="1">(I53*Tariff!$L$18*1000)/10^6</f>
        <v>15.241862401296157</v>
      </c>
      <c r="K53" s="106">
        <f ca="1">('Emission Reduction Sheet '!$F$25*$H$28*$H$29)/10^6</f>
        <v>0</v>
      </c>
      <c r="L53" s="80">
        <f t="shared" si="1"/>
        <v>15.241862401296157</v>
      </c>
      <c r="M53" s="79">
        <f t="shared" si="14"/>
        <v>2.7691208655216513</v>
      </c>
      <c r="N53" s="80">
        <f t="shared" si="2"/>
        <v>0.193</v>
      </c>
      <c r="O53" s="80">
        <f t="shared" si="11"/>
        <v>1.4892000000000001</v>
      </c>
      <c r="P53" s="95">
        <f t="shared" si="12"/>
        <v>4.4513208655216516</v>
      </c>
      <c r="Q53" s="80">
        <f t="shared" si="3"/>
        <v>10.790541535774505</v>
      </c>
      <c r="R53" s="80">
        <f ca="1">($H$13-'Capital Cost'!$N$16)*$H$27</f>
        <v>4.5804619350000007</v>
      </c>
      <c r="S53" s="80">
        <f t="shared" si="4"/>
        <v>6.2100796007745043</v>
      </c>
      <c r="T53" s="80">
        <v>0</v>
      </c>
      <c r="U53" s="80">
        <f t="shared" si="13"/>
        <v>6.2100796007745043</v>
      </c>
      <c r="V53" s="97">
        <f ca="1">'Depreciation calculations'!O31</f>
        <v>5.5337060860719616</v>
      </c>
      <c r="W53" s="82">
        <f t="shared" si="5"/>
        <v>0.6763735147025427</v>
      </c>
      <c r="X53" s="82">
        <f t="shared" si="6"/>
        <v>4.5804619350000007</v>
      </c>
      <c r="Y53" s="82">
        <v>0</v>
      </c>
      <c r="Z53" s="82">
        <v>0</v>
      </c>
      <c r="AA53" s="82">
        <f ca="1">IF('Depreciation calculations'!O21&lt;0,-'Depreciation calculations'!O21*IRR!H22,0)</f>
        <v>0</v>
      </c>
      <c r="AB53" s="83">
        <f t="shared" si="7"/>
        <v>5.2568354497025434</v>
      </c>
      <c r="AE53" s="162"/>
    </row>
    <row r="54" spans="2:31">
      <c r="B54">
        <v>14</v>
      </c>
      <c r="C54" s="150">
        <f>DATE(2024,3,31)</f>
        <v>45382</v>
      </c>
      <c r="D54" s="81">
        <v>0</v>
      </c>
      <c r="E54" s="81">
        <v>0</v>
      </c>
      <c r="F54" s="81">
        <f t="shared" si="8"/>
        <v>8760</v>
      </c>
      <c r="G54" s="80">
        <f t="shared" si="9"/>
        <v>3122.5806451612902</v>
      </c>
      <c r="H54" s="80">
        <f t="shared" si="10"/>
        <v>218.58064516129033</v>
      </c>
      <c r="I54" s="80">
        <f t="shared" si="0"/>
        <v>2904</v>
      </c>
      <c r="J54" s="79">
        <f ca="1">(I54*Tariff!$L$18*1000)/10^6</f>
        <v>15.241862401296157</v>
      </c>
      <c r="K54" s="106">
        <f ca="1">('Emission Reduction Sheet '!$F$25*$H$28*$H$29)/10^6</f>
        <v>0</v>
      </c>
      <c r="L54" s="80">
        <f t="shared" si="1"/>
        <v>15.241862401296157</v>
      </c>
      <c r="M54" s="79">
        <f t="shared" si="14"/>
        <v>2.9075769087977341</v>
      </c>
      <c r="N54" s="80">
        <f t="shared" si="2"/>
        <v>0.193</v>
      </c>
      <c r="O54" s="80">
        <f t="shared" si="11"/>
        <v>1.4892000000000001</v>
      </c>
      <c r="P54" s="95">
        <f t="shared" si="12"/>
        <v>4.5897769087977345</v>
      </c>
      <c r="Q54" s="80">
        <f t="shared" si="3"/>
        <v>10.652085492498422</v>
      </c>
      <c r="R54" s="80">
        <f ca="1">($H$13-'Capital Cost'!$N$16)*$H$27</f>
        <v>4.5804619350000007</v>
      </c>
      <c r="S54" s="80">
        <f t="shared" si="4"/>
        <v>6.0716235574984214</v>
      </c>
      <c r="T54" s="80">
        <v>0</v>
      </c>
      <c r="U54" s="80">
        <f t="shared" si="13"/>
        <v>6.0716235574984214</v>
      </c>
      <c r="V54" s="97">
        <f ca="1">'Depreciation calculations'!P31</f>
        <v>1.875712844653628</v>
      </c>
      <c r="W54" s="82">
        <f t="shared" si="5"/>
        <v>4.1959107128447934</v>
      </c>
      <c r="X54" s="82">
        <f t="shared" si="6"/>
        <v>4.5804619350000007</v>
      </c>
      <c r="Y54" s="82">
        <v>0</v>
      </c>
      <c r="Z54" s="82">
        <v>0</v>
      </c>
      <c r="AA54" s="82">
        <f ca="1">IF('Depreciation calculations'!P21&lt;0,-'Depreciation calculations'!P21*IRR!H22,0)</f>
        <v>0</v>
      </c>
      <c r="AB54" s="83">
        <f t="shared" si="7"/>
        <v>8.776372647844795</v>
      </c>
      <c r="AE54" s="162"/>
    </row>
    <row r="55" spans="2:31">
      <c r="B55">
        <v>15</v>
      </c>
      <c r="C55" s="150">
        <f>DATE(2025,3,31)</f>
        <v>45747</v>
      </c>
      <c r="D55" s="81">
        <v>0</v>
      </c>
      <c r="E55" s="81">
        <v>0</v>
      </c>
      <c r="F55" s="81">
        <f t="shared" si="8"/>
        <v>8760</v>
      </c>
      <c r="G55" s="80">
        <f t="shared" si="9"/>
        <v>3122.5806451612902</v>
      </c>
      <c r="H55" s="80">
        <f t="shared" si="10"/>
        <v>218.58064516129033</v>
      </c>
      <c r="I55" s="80">
        <f t="shared" si="0"/>
        <v>2904</v>
      </c>
      <c r="J55" s="79">
        <f ca="1">(I55*Tariff!$L$18*1000)/10^6</f>
        <v>15.241862401296157</v>
      </c>
      <c r="K55" s="106">
        <f ca="1">('Emission Reduction Sheet '!$F$25*$H$28*$H$29)/10^6</f>
        <v>0</v>
      </c>
      <c r="L55" s="80">
        <f t="shared" si="1"/>
        <v>15.241862401296157</v>
      </c>
      <c r="M55" s="79">
        <f t="shared" si="14"/>
        <v>3.0529557542376211</v>
      </c>
      <c r="N55" s="80">
        <f t="shared" si="2"/>
        <v>0.193</v>
      </c>
      <c r="O55" s="80">
        <f t="shared" si="11"/>
        <v>1.4892000000000001</v>
      </c>
      <c r="P55" s="95">
        <f t="shared" si="12"/>
        <v>4.7351557542376215</v>
      </c>
      <c r="Q55" s="80">
        <f t="shared" si="3"/>
        <v>10.506706647058536</v>
      </c>
      <c r="R55" s="80">
        <f ca="1">($H$13-'Capital Cost'!$N$16)*$H$27</f>
        <v>4.5804619350000007</v>
      </c>
      <c r="S55" s="80">
        <f t="shared" si="4"/>
        <v>5.9262447120585353</v>
      </c>
      <c r="T55" s="80">
        <v>0</v>
      </c>
      <c r="U55" s="80">
        <f t="shared" si="13"/>
        <v>5.9262447120585353</v>
      </c>
      <c r="V55" s="97">
        <f ca="1">'Depreciation calculations'!Q31</f>
        <v>1.1811302023368264</v>
      </c>
      <c r="W55" s="82">
        <f t="shared" si="5"/>
        <v>4.7451145097217093</v>
      </c>
      <c r="X55" s="82">
        <f t="shared" si="6"/>
        <v>4.5804619350000007</v>
      </c>
      <c r="Y55" s="82">
        <v>0</v>
      </c>
      <c r="Z55" s="82">
        <v>0</v>
      </c>
      <c r="AA55" s="82">
        <f ca="1">IF('Depreciation calculations'!Q21&lt;0,-'Depreciation calculations'!Q21*IRR!H22,0)</f>
        <v>0</v>
      </c>
      <c r="AB55" s="83">
        <f t="shared" si="7"/>
        <v>9.32557644472171</v>
      </c>
      <c r="AE55" s="162"/>
    </row>
    <row r="56" spans="2:31">
      <c r="B56">
        <v>16</v>
      </c>
      <c r="C56" s="150">
        <f>DATE(2026,3,31)</f>
        <v>46112</v>
      </c>
      <c r="D56" s="81">
        <v>0</v>
      </c>
      <c r="E56" s="81">
        <v>0</v>
      </c>
      <c r="F56" s="81">
        <f t="shared" si="8"/>
        <v>8760</v>
      </c>
      <c r="G56" s="80">
        <f t="shared" si="9"/>
        <v>3122.5806451612902</v>
      </c>
      <c r="H56" s="80">
        <f t="shared" si="10"/>
        <v>218.58064516129033</v>
      </c>
      <c r="I56" s="80">
        <f t="shared" si="0"/>
        <v>2904</v>
      </c>
      <c r="J56" s="79">
        <f ca="1">(I56*Tariff!$L$18*1000)/10^6</f>
        <v>15.241862401296157</v>
      </c>
      <c r="K56" s="106">
        <f ca="1">('Emission Reduction Sheet '!$F$25*$H$28*$H$29)/10^6</f>
        <v>0</v>
      </c>
      <c r="L56" s="80">
        <f t="shared" si="1"/>
        <v>15.241862401296157</v>
      </c>
      <c r="M56" s="79">
        <f t="shared" si="14"/>
        <v>3.2056035419495021</v>
      </c>
      <c r="N56" s="80">
        <f t="shared" si="2"/>
        <v>0.193</v>
      </c>
      <c r="O56" s="80">
        <f t="shared" si="11"/>
        <v>1.4892000000000001</v>
      </c>
      <c r="P56" s="95">
        <f t="shared" si="12"/>
        <v>4.8878035419495021</v>
      </c>
      <c r="Q56" s="80">
        <f t="shared" si="3"/>
        <v>10.354058859346654</v>
      </c>
      <c r="R56" s="80">
        <f ca="1">($H$13-'Capital Cost'!$N$16)*$H$27</f>
        <v>4.5804619350000007</v>
      </c>
      <c r="S56" s="80">
        <f t="shared" si="4"/>
        <v>5.7735969243466538</v>
      </c>
      <c r="T56" s="80">
        <v>0</v>
      </c>
      <c r="U56" s="80">
        <f t="shared" si="13"/>
        <v>5.7735969243466538</v>
      </c>
      <c r="V56" s="97">
        <f ca="1">'Depreciation calculations'!R31</f>
        <v>1.15070673500691</v>
      </c>
      <c r="W56" s="82">
        <f t="shared" si="5"/>
        <v>4.6228901893397438</v>
      </c>
      <c r="X56" s="82">
        <f t="shared" si="6"/>
        <v>4.5804619350000007</v>
      </c>
      <c r="Y56" s="82">
        <v>0</v>
      </c>
      <c r="Z56" s="82">
        <v>0</v>
      </c>
      <c r="AA56" s="82">
        <f ca="1">IF('Depreciation calculations'!R21&lt;0,-'Depreciation calculations'!R21*IRR!H22,0)</f>
        <v>0</v>
      </c>
      <c r="AB56" s="83">
        <f t="shared" si="7"/>
        <v>9.2033521243397445</v>
      </c>
      <c r="AE56" s="162"/>
    </row>
    <row r="57" spans="2:31">
      <c r="B57">
        <v>17</v>
      </c>
      <c r="C57" s="150">
        <f>DATE(2027,3,31)</f>
        <v>46477</v>
      </c>
      <c r="D57" s="81">
        <v>0</v>
      </c>
      <c r="E57" s="81">
        <v>0</v>
      </c>
      <c r="F57" s="81">
        <f t="shared" si="8"/>
        <v>8760</v>
      </c>
      <c r="G57" s="80">
        <f t="shared" si="9"/>
        <v>3122.5806451612902</v>
      </c>
      <c r="H57" s="80">
        <f t="shared" si="10"/>
        <v>218.58064516129033</v>
      </c>
      <c r="I57" s="80">
        <f t="shared" si="0"/>
        <v>2904</v>
      </c>
      <c r="J57" s="79">
        <f ca="1">(I57*Tariff!$L$18*1000)/10^6</f>
        <v>15.241862401296157</v>
      </c>
      <c r="K57" s="106">
        <f ca="1">('Emission Reduction Sheet '!$F$25*$H$28*$H$29)/10^6</f>
        <v>0</v>
      </c>
      <c r="L57" s="80">
        <f t="shared" si="1"/>
        <v>15.241862401296157</v>
      </c>
      <c r="M57" s="79">
        <f t="shared" si="14"/>
        <v>3.3658837190469773</v>
      </c>
      <c r="N57" s="80">
        <f t="shared" si="2"/>
        <v>0.193</v>
      </c>
      <c r="O57" s="80">
        <f t="shared" si="11"/>
        <v>1.4892000000000001</v>
      </c>
      <c r="P57" s="95">
        <f t="shared" si="12"/>
        <v>5.0480837190469776</v>
      </c>
      <c r="Q57" s="80">
        <f t="shared" si="3"/>
        <v>10.193778682249178</v>
      </c>
      <c r="R57" s="80">
        <f ca="1">($H$13-'Capital Cost'!$N$16)*$H$27</f>
        <v>4.5804619350000007</v>
      </c>
      <c r="S57" s="80">
        <f t="shared" si="4"/>
        <v>5.6133167472491774</v>
      </c>
      <c r="T57" s="80">
        <v>0</v>
      </c>
      <c r="U57" s="80">
        <f t="shared" si="13"/>
        <v>5.6133167472491774</v>
      </c>
      <c r="V57" s="97">
        <f ca="1">'Depreciation calculations'!S31</f>
        <v>1.1238540353960014</v>
      </c>
      <c r="W57" s="82">
        <f t="shared" si="5"/>
        <v>4.489462711853176</v>
      </c>
      <c r="X57" s="82">
        <f t="shared" si="6"/>
        <v>4.5804619350000007</v>
      </c>
      <c r="Y57" s="82">
        <v>0</v>
      </c>
      <c r="Z57" s="82">
        <v>0</v>
      </c>
      <c r="AA57" s="82">
        <f ca="1">IF('Depreciation calculations'!S21&lt;0,-'Depreciation calculations'!S21*IRR!H22,0)</f>
        <v>0</v>
      </c>
      <c r="AB57" s="83">
        <f t="shared" si="7"/>
        <v>9.0699246468531776</v>
      </c>
      <c r="AE57" s="162"/>
    </row>
    <row r="58" spans="2:31">
      <c r="B58">
        <v>18</v>
      </c>
      <c r="C58" s="150">
        <f>DATE(2028,3,31)</f>
        <v>46843</v>
      </c>
      <c r="D58" s="81">
        <v>0</v>
      </c>
      <c r="E58" s="81">
        <v>0</v>
      </c>
      <c r="F58" s="81">
        <f t="shared" si="8"/>
        <v>8760</v>
      </c>
      <c r="G58" s="80">
        <f t="shared" si="9"/>
        <v>3122.5806451612902</v>
      </c>
      <c r="H58" s="80">
        <f t="shared" si="10"/>
        <v>218.58064516129033</v>
      </c>
      <c r="I58" s="80">
        <f t="shared" si="0"/>
        <v>2904</v>
      </c>
      <c r="J58" s="79">
        <f ca="1">(I58*Tariff!$L$18*1000)/10^6</f>
        <v>15.241862401296157</v>
      </c>
      <c r="K58" s="106">
        <f ca="1">('Emission Reduction Sheet '!$F$25*$H$28*$H$29)/10^6</f>
        <v>0</v>
      </c>
      <c r="L58" s="80">
        <f t="shared" si="1"/>
        <v>15.241862401296157</v>
      </c>
      <c r="M58" s="79">
        <f t="shared" si="14"/>
        <v>3.5341779049993263</v>
      </c>
      <c r="N58" s="80">
        <f t="shared" si="2"/>
        <v>0.193</v>
      </c>
      <c r="O58" s="80">
        <f t="shared" si="11"/>
        <v>1.4892000000000001</v>
      </c>
      <c r="P58" s="95">
        <f t="shared" si="12"/>
        <v>5.2163779049993266</v>
      </c>
      <c r="Q58" s="80">
        <f t="shared" si="3"/>
        <v>10.02548449629683</v>
      </c>
      <c r="R58" s="80">
        <f ca="1">($H$13-'Capital Cost'!$N$16)*$H$27</f>
        <v>4.5804619350000007</v>
      </c>
      <c r="S58" s="80">
        <f t="shared" si="4"/>
        <v>5.4450225612968293</v>
      </c>
      <c r="T58" s="80">
        <v>0</v>
      </c>
      <c r="U58" s="80">
        <f t="shared" si="13"/>
        <v>5.4450225612968293</v>
      </c>
      <c r="V58" s="97">
        <f ca="1">'Depreciation calculations'!T31</f>
        <v>3.3986392441360782</v>
      </c>
      <c r="W58" s="82">
        <f t="shared" si="5"/>
        <v>2.0463833171607511</v>
      </c>
      <c r="X58" s="82">
        <f t="shared" si="6"/>
        <v>4.5804619350000007</v>
      </c>
      <c r="Y58" s="82">
        <v>0</v>
      </c>
      <c r="Z58" s="82">
        <v>0</v>
      </c>
      <c r="AA58" s="82">
        <f ca="1">IF('Depreciation calculations'!T21&lt;0,-'Depreciation calculations'!T21*IRR!H22,0)</f>
        <v>0</v>
      </c>
      <c r="AB58" s="83">
        <f t="shared" si="7"/>
        <v>6.6268452521607522</v>
      </c>
      <c r="AE58" s="162"/>
    </row>
    <row r="59" spans="2:31">
      <c r="B59">
        <v>19</v>
      </c>
      <c r="C59" s="150">
        <f>DATE(2029,3,31)</f>
        <v>47208</v>
      </c>
      <c r="D59" s="81">
        <v>0</v>
      </c>
      <c r="E59" s="81">
        <v>0</v>
      </c>
      <c r="F59" s="81">
        <f t="shared" si="8"/>
        <v>8760</v>
      </c>
      <c r="G59" s="80">
        <f t="shared" si="9"/>
        <v>3122.5806451612902</v>
      </c>
      <c r="H59" s="80">
        <f t="shared" si="10"/>
        <v>218.58064516129033</v>
      </c>
      <c r="I59" s="80">
        <f t="shared" si="0"/>
        <v>2904</v>
      </c>
      <c r="J59" s="79">
        <f ca="1">(I59*Tariff!$L$18*1000)/10^6</f>
        <v>15.241862401296157</v>
      </c>
      <c r="K59" s="106">
        <f ca="1">('Emission Reduction Sheet '!$F$25*$H$28*$H$29)/10^6</f>
        <v>0</v>
      </c>
      <c r="L59" s="80">
        <f t="shared" si="1"/>
        <v>15.241862401296157</v>
      </c>
      <c r="M59" s="79">
        <f t="shared" si="14"/>
        <v>3.710886800249293</v>
      </c>
      <c r="N59" s="80">
        <f t="shared" si="2"/>
        <v>0.193</v>
      </c>
      <c r="O59" s="80">
        <f t="shared" si="11"/>
        <v>1.4892000000000001</v>
      </c>
      <c r="P59" s="95">
        <f t="shared" si="12"/>
        <v>5.3930868002492929</v>
      </c>
      <c r="Q59" s="80">
        <f t="shared" si="3"/>
        <v>9.8487756010468637</v>
      </c>
      <c r="R59" s="80">
        <f ca="1">($H$13-'Capital Cost'!$N$16)*$H$27</f>
        <v>4.5804619350000007</v>
      </c>
      <c r="S59" s="80">
        <f t="shared" si="4"/>
        <v>5.268313666046863</v>
      </c>
      <c r="T59" s="80">
        <v>0</v>
      </c>
      <c r="U59" s="80">
        <f t="shared" si="13"/>
        <v>5.268313666046863</v>
      </c>
      <c r="V59" s="97">
        <f ca="1">'Depreciation calculations'!U31</f>
        <v>3.3387349287331776</v>
      </c>
      <c r="W59" s="82">
        <f t="shared" si="5"/>
        <v>1.9295787373136855</v>
      </c>
      <c r="X59" s="82">
        <f t="shared" si="6"/>
        <v>4.5804619350000007</v>
      </c>
      <c r="Y59" s="82">
        <v>0</v>
      </c>
      <c r="Z59" s="82">
        <v>0</v>
      </c>
      <c r="AA59" s="82">
        <f ca="1">IF('Depreciation calculations'!U21&lt;0,-'Depreciation calculations'!U21*IRR!H22,0)</f>
        <v>0</v>
      </c>
      <c r="AB59" s="83">
        <f t="shared" si="7"/>
        <v>6.5100406723136857</v>
      </c>
      <c r="AE59" s="162"/>
    </row>
    <row r="60" spans="2:31">
      <c r="B60">
        <v>20</v>
      </c>
      <c r="C60" s="150">
        <f>DATE(2030,3,31)</f>
        <v>47573</v>
      </c>
      <c r="D60" s="81">
        <v>0</v>
      </c>
      <c r="E60" s="81">
        <v>0</v>
      </c>
      <c r="F60" s="81">
        <f t="shared" si="8"/>
        <v>8760</v>
      </c>
      <c r="G60" s="80">
        <f t="shared" si="9"/>
        <v>3122.5806451612902</v>
      </c>
      <c r="H60" s="80">
        <f t="shared" si="10"/>
        <v>218.58064516129033</v>
      </c>
      <c r="I60" s="80">
        <f t="shared" si="0"/>
        <v>2904</v>
      </c>
      <c r="J60" s="79">
        <f ca="1">(I60*Tariff!$L$18*1000)/10^6</f>
        <v>15.241862401296157</v>
      </c>
      <c r="K60" s="106">
        <f ca="1">('Emission Reduction Sheet '!$F$25*$H$28*$H$29)/10^6</f>
        <v>0</v>
      </c>
      <c r="L60" s="80">
        <f>J60+K60</f>
        <v>15.241862401296157</v>
      </c>
      <c r="M60" s="79">
        <f t="shared" si="14"/>
        <v>3.896431140261758</v>
      </c>
      <c r="N60" s="80">
        <f t="shared" si="2"/>
        <v>0.193</v>
      </c>
      <c r="O60" s="80">
        <f t="shared" si="11"/>
        <v>1.4892000000000001</v>
      </c>
      <c r="P60" s="95">
        <f t="shared" si="12"/>
        <v>5.5786311402617583</v>
      </c>
      <c r="Q60" s="80">
        <f t="shared" si="3"/>
        <v>9.6632312610343973</v>
      </c>
      <c r="R60" s="80">
        <f ca="1">($H$13-'Capital Cost'!$N$16)*$H$27</f>
        <v>4.5804619350000007</v>
      </c>
      <c r="S60" s="80">
        <f t="shared" si="4"/>
        <v>5.0827693260343967</v>
      </c>
      <c r="T60" s="80">
        <v>0</v>
      </c>
      <c r="U60" s="80">
        <f t="shared" si="13"/>
        <v>5.0827693260343967</v>
      </c>
      <c r="V60" s="97">
        <f ca="1">'Depreciation calculations'!V31</f>
        <v>3.2758353974863175</v>
      </c>
      <c r="W60" s="82">
        <f t="shared" si="5"/>
        <v>1.8069339285480792</v>
      </c>
      <c r="X60" s="82">
        <f t="shared" si="6"/>
        <v>4.5804619350000007</v>
      </c>
      <c r="Y60" s="82">
        <v>0</v>
      </c>
      <c r="Z60" s="82">
        <v>0</v>
      </c>
      <c r="AA60" s="82">
        <f ca="1">IF('Depreciation calculations'!V21&lt;0,-'Depreciation calculations'!V21*IRR!H22,0)</f>
        <v>0</v>
      </c>
      <c r="AB60" s="83">
        <f t="shared" si="7"/>
        <v>6.3873958635480799</v>
      </c>
      <c r="AE60" s="162"/>
    </row>
    <row r="61" spans="2:31">
      <c r="B61">
        <v>21</v>
      </c>
      <c r="C61" s="150">
        <f>DATE(2031,3,31)</f>
        <v>47938</v>
      </c>
      <c r="D61" s="81">
        <v>0</v>
      </c>
      <c r="E61" s="81">
        <v>0</v>
      </c>
      <c r="F61" s="81">
        <v>8760</v>
      </c>
      <c r="G61" s="80">
        <f t="shared" si="9"/>
        <v>3122.5806451612902</v>
      </c>
      <c r="H61" s="80">
        <f t="shared" si="10"/>
        <v>218.58064516129033</v>
      </c>
      <c r="I61" s="80">
        <f t="shared" si="0"/>
        <v>2904</v>
      </c>
      <c r="J61" s="79">
        <f ca="1">(I61*Tariff!$L$18*1000)/10^6</f>
        <v>15.241862401296157</v>
      </c>
      <c r="K61" s="106">
        <f ca="1">('Emission Reduction Sheet '!$F$25*$H$28*$H$29)/10^6</f>
        <v>0</v>
      </c>
      <c r="L61" s="84">
        <f>J61+K61</f>
        <v>15.241862401296157</v>
      </c>
      <c r="M61" s="79">
        <f t="shared" si="14"/>
        <v>4.0912526972748458</v>
      </c>
      <c r="N61" s="80">
        <f t="shared" si="2"/>
        <v>0.193</v>
      </c>
      <c r="O61" s="80">
        <f t="shared" si="11"/>
        <v>1.4892000000000001</v>
      </c>
      <c r="P61" s="95">
        <f t="shared" si="12"/>
        <v>5.7734526972748457</v>
      </c>
      <c r="Q61" s="80">
        <f t="shared" si="3"/>
        <v>9.4684097040213118</v>
      </c>
      <c r="R61" s="80">
        <f ca="1">($H$13-'Capital Cost'!$N$16)*$H$27</f>
        <v>4.5804619350000007</v>
      </c>
      <c r="S61" s="80">
        <f t="shared" si="4"/>
        <v>4.8879477690213111</v>
      </c>
      <c r="T61" s="80">
        <v>0</v>
      </c>
      <c r="U61" s="80">
        <f t="shared" si="13"/>
        <v>4.8879477690213111</v>
      </c>
      <c r="V61" s="97">
        <f ca="1">'Depreciation calculations'!W31</f>
        <v>3.2097908896623579</v>
      </c>
      <c r="W61" s="82">
        <f t="shared" si="5"/>
        <v>1.6781568793589532</v>
      </c>
      <c r="X61" s="82">
        <f t="shared" si="6"/>
        <v>4.5804619350000007</v>
      </c>
      <c r="Y61" s="82">
        <v>0</v>
      </c>
      <c r="Z61" s="82">
        <f>D40-SUM(R41:R61)</f>
        <v>11.331058246095878</v>
      </c>
      <c r="AA61" s="82">
        <f ca="1">IF('Depreciation calculations'!W21&lt;0,-'Depreciation calculations'!W21*IRR!H22,0)</f>
        <v>0</v>
      </c>
      <c r="AB61" s="83">
        <f t="shared" si="7"/>
        <v>17.589677060454832</v>
      </c>
      <c r="AE61" s="162"/>
    </row>
    <row r="62" spans="2:31">
      <c r="C62" s="85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94"/>
      <c r="O62" s="93"/>
      <c r="P62" s="93"/>
      <c r="Q62" s="9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</row>
    <row r="63" spans="2:31" ht="30.75" thickBot="1">
      <c r="C63" s="88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107"/>
      <c r="Y63" s="107"/>
      <c r="Z63" s="107"/>
      <c r="AA63" s="107" t="s">
        <v>86</v>
      </c>
      <c r="AB63" s="138">
        <f>IRR(AB40:AB61)</f>
        <v>0.10674831585154992</v>
      </c>
      <c r="AE63" s="162"/>
    </row>
    <row r="65" spans="6:12" ht="15.75" thickBot="1"/>
    <row r="66" spans="6:12" ht="15.75" thickBot="1">
      <c r="F66" s="209" t="s">
        <v>171</v>
      </c>
      <c r="G66" s="210"/>
      <c r="H66" s="210"/>
      <c r="I66" s="211"/>
      <c r="L66" s="167"/>
    </row>
    <row r="67" spans="6:12" ht="60.75" thickBot="1">
      <c r="F67" s="207" t="s">
        <v>172</v>
      </c>
      <c r="G67" s="194" t="s">
        <v>173</v>
      </c>
      <c r="H67" s="194" t="s">
        <v>174</v>
      </c>
      <c r="I67" s="195" t="s">
        <v>182</v>
      </c>
    </row>
    <row r="68" spans="6:12" ht="15.75" thickBot="1">
      <c r="F68" s="208"/>
      <c r="G68" s="196" t="s">
        <v>175</v>
      </c>
      <c r="H68" s="196" t="s">
        <v>175</v>
      </c>
      <c r="I68" s="197"/>
    </row>
    <row r="69" spans="6:12" ht="15.75" thickBot="1">
      <c r="F69" s="198" t="s">
        <v>176</v>
      </c>
      <c r="G69" s="199" t="s">
        <v>177</v>
      </c>
      <c r="H69" s="200">
        <v>0.1067</v>
      </c>
      <c r="I69" s="201"/>
    </row>
    <row r="70" spans="6:12" ht="29.25" customHeight="1" thickBot="1">
      <c r="F70" s="202" t="s">
        <v>178</v>
      </c>
      <c r="G70" s="192">
        <v>0.1</v>
      </c>
      <c r="H70" s="193">
        <v>7.1800000000000003E-2</v>
      </c>
      <c r="I70" s="204">
        <v>-0.2</v>
      </c>
    </row>
    <row r="71" spans="6:12" ht="15.75" thickBot="1">
      <c r="F71" s="203"/>
      <c r="G71" s="192">
        <v>-0.1</v>
      </c>
      <c r="H71" s="193">
        <v>0.14099999999999999</v>
      </c>
      <c r="I71" s="205"/>
    </row>
    <row r="72" spans="6:12" ht="15.75" thickBot="1">
      <c r="F72" s="202" t="s">
        <v>179</v>
      </c>
      <c r="G72" s="192">
        <v>0.1</v>
      </c>
      <c r="H72" s="193">
        <v>9.98E-2</v>
      </c>
      <c r="I72" s="205"/>
    </row>
    <row r="73" spans="6:12" ht="15.75" thickBot="1">
      <c r="F73" s="203"/>
      <c r="G73" s="192">
        <v>-0.2</v>
      </c>
      <c r="H73" s="193">
        <v>0.11749999999999999</v>
      </c>
      <c r="I73" s="205"/>
    </row>
    <row r="74" spans="6:12" ht="29.25" customHeight="1" thickBot="1">
      <c r="F74" s="202" t="s">
        <v>180</v>
      </c>
      <c r="G74" s="192">
        <v>0.1</v>
      </c>
      <c r="H74" s="193">
        <v>0.1464</v>
      </c>
      <c r="I74" s="204">
        <v>0.2</v>
      </c>
    </row>
    <row r="75" spans="6:12" ht="15.75" thickBot="1">
      <c r="F75" s="203"/>
      <c r="G75" s="192">
        <v>-0.1</v>
      </c>
      <c r="H75" s="193">
        <v>5.4100000000000002E-2</v>
      </c>
      <c r="I75" s="205"/>
    </row>
    <row r="76" spans="6:12" ht="29.25" customHeight="1" thickBot="1">
      <c r="F76" s="202" t="s">
        <v>181</v>
      </c>
      <c r="G76" s="192">
        <v>0.1</v>
      </c>
      <c r="H76" s="193">
        <v>0.1464</v>
      </c>
      <c r="I76" s="204">
        <v>0.2</v>
      </c>
    </row>
    <row r="77" spans="6:12" ht="15.75" thickBot="1">
      <c r="F77" s="203"/>
      <c r="G77" s="192">
        <v>-0.1</v>
      </c>
      <c r="H77" s="193">
        <v>5.4100000000000002E-2</v>
      </c>
      <c r="I77" s="206"/>
    </row>
    <row r="80" spans="6:12">
      <c r="F80" s="191"/>
    </row>
  </sheetData>
  <mergeCells count="10">
    <mergeCell ref="F67:F68"/>
    <mergeCell ref="F70:F71"/>
    <mergeCell ref="F72:F73"/>
    <mergeCell ref="F66:I66"/>
    <mergeCell ref="F76:F77"/>
    <mergeCell ref="I70:I71"/>
    <mergeCell ref="I72:I73"/>
    <mergeCell ref="I74:I75"/>
    <mergeCell ref="I76:I77"/>
    <mergeCell ref="F74:F75"/>
  </mergeCells>
  <phoneticPr fontId="0" type="noConversion"/>
  <hyperlinks>
    <hyperlink ref="M16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E3:R17"/>
  <sheetViews>
    <sheetView topLeftCell="B1" workbookViewId="0">
      <selection activeCell="J20" sqref="J20"/>
    </sheetView>
  </sheetViews>
  <sheetFormatPr defaultRowHeight="15"/>
  <cols>
    <col min="5" max="5" width="12.42578125" customWidth="1"/>
    <col min="10" max="10" width="14.85546875" customWidth="1"/>
    <col min="11" max="11" width="11.28515625" customWidth="1"/>
    <col min="14" max="14" width="16.5703125" customWidth="1"/>
  </cols>
  <sheetData>
    <row r="3" spans="5:18">
      <c r="H3" s="4"/>
      <c r="I3" s="4" t="s">
        <v>0</v>
      </c>
      <c r="J3" s="4"/>
      <c r="K3" s="4"/>
    </row>
    <row r="4" spans="5:18" ht="15.75" thickBot="1">
      <c r="R4" s="140">
        <f ca="1">IRR!H31</f>
        <v>1</v>
      </c>
    </row>
    <row r="5" spans="5:18" ht="45">
      <c r="E5" s="5" t="s">
        <v>1</v>
      </c>
      <c r="F5" s="6"/>
      <c r="G5" s="6"/>
      <c r="H5" s="6"/>
      <c r="I5" s="6"/>
      <c r="J5" s="6" t="s">
        <v>165</v>
      </c>
      <c r="K5" s="6" t="s">
        <v>162</v>
      </c>
      <c r="L5" s="6" t="s">
        <v>163</v>
      </c>
      <c r="M5" s="6" t="s">
        <v>164</v>
      </c>
      <c r="N5" s="185" t="s">
        <v>166</v>
      </c>
    </row>
    <row r="6" spans="5:18">
      <c r="E6" s="1" t="s">
        <v>2</v>
      </c>
      <c r="F6" s="2"/>
      <c r="G6" s="2"/>
      <c r="H6" s="2"/>
      <c r="I6" s="2"/>
      <c r="J6" s="2">
        <v>73983000</v>
      </c>
      <c r="K6" s="2">
        <v>0</v>
      </c>
      <c r="L6" s="2">
        <v>0</v>
      </c>
      <c r="M6" s="2">
        <v>0</v>
      </c>
      <c r="N6" s="139">
        <f>((J6+K6)-(L6+M6))/10^6*$R$4</f>
        <v>73.983000000000004</v>
      </c>
    </row>
    <row r="7" spans="5:18">
      <c r="E7" s="1" t="s">
        <v>3</v>
      </c>
      <c r="F7" s="2"/>
      <c r="G7" s="2"/>
      <c r="H7" s="2"/>
      <c r="I7" s="2"/>
      <c r="J7" s="2">
        <v>11500000</v>
      </c>
      <c r="K7" s="2">
        <v>0</v>
      </c>
      <c r="L7" s="2">
        <v>0</v>
      </c>
      <c r="M7" s="2">
        <v>0</v>
      </c>
      <c r="N7" s="139">
        <f t="shared" ref="N7:N16" si="0">((J7+K7)-(L7+M7))/10^6*$R$4</f>
        <v>11.5</v>
      </c>
    </row>
    <row r="8" spans="5:18">
      <c r="E8" s="1" t="s">
        <v>4</v>
      </c>
      <c r="F8" s="2"/>
      <c r="G8" s="2"/>
      <c r="H8" s="2"/>
      <c r="I8" s="2"/>
      <c r="J8" s="2">
        <v>1136000</v>
      </c>
      <c r="K8" s="2">
        <v>0</v>
      </c>
      <c r="L8" s="2">
        <v>0</v>
      </c>
      <c r="M8" s="2">
        <v>0</v>
      </c>
      <c r="N8" s="139">
        <f t="shared" si="0"/>
        <v>1.1359999999999999</v>
      </c>
    </row>
    <row r="9" spans="5:18">
      <c r="E9" s="1" t="s">
        <v>8</v>
      </c>
      <c r="F9" s="2"/>
      <c r="G9" s="2"/>
      <c r="H9" s="2"/>
      <c r="I9" s="2"/>
      <c r="J9" s="2">
        <v>3000000</v>
      </c>
      <c r="K9" s="2">
        <v>123600</v>
      </c>
      <c r="L9" s="2">
        <v>62472</v>
      </c>
      <c r="M9" s="2">
        <v>18742</v>
      </c>
      <c r="N9" s="139">
        <f t="shared" si="0"/>
        <v>3.042386</v>
      </c>
    </row>
    <row r="10" spans="5:18">
      <c r="E10" s="1" t="s">
        <v>9</v>
      </c>
      <c r="F10" s="2"/>
      <c r="G10" s="2"/>
      <c r="H10" s="2"/>
      <c r="I10" s="2"/>
      <c r="J10" s="2">
        <v>1051000</v>
      </c>
      <c r="K10" s="2">
        <v>43301</v>
      </c>
      <c r="L10" s="2">
        <v>21886</v>
      </c>
      <c r="M10" s="2">
        <v>18742</v>
      </c>
      <c r="N10" s="139">
        <f t="shared" si="0"/>
        <v>1.0536730000000001</v>
      </c>
    </row>
    <row r="11" spans="5:18">
      <c r="E11" s="1" t="s">
        <v>10</v>
      </c>
      <c r="F11" s="2"/>
      <c r="G11" s="2"/>
      <c r="H11" s="2"/>
      <c r="I11" s="2"/>
      <c r="J11" s="2">
        <v>3032000</v>
      </c>
      <c r="K11" s="2">
        <v>124918</v>
      </c>
      <c r="L11" s="2">
        <v>63138</v>
      </c>
      <c r="M11" s="2">
        <v>63138</v>
      </c>
      <c r="N11" s="139">
        <f t="shared" si="0"/>
        <v>3.0306419999999998</v>
      </c>
    </row>
    <row r="12" spans="5:18">
      <c r="E12" s="1" t="s">
        <v>5</v>
      </c>
      <c r="F12" s="2"/>
      <c r="G12" s="2"/>
      <c r="H12" s="2"/>
      <c r="I12" s="2"/>
      <c r="J12" s="2">
        <v>1193000</v>
      </c>
      <c r="K12" s="2">
        <v>122879</v>
      </c>
      <c r="L12" s="2">
        <v>26318</v>
      </c>
      <c r="M12" s="2">
        <v>0</v>
      </c>
      <c r="N12" s="139">
        <f t="shared" si="0"/>
        <v>1.289561</v>
      </c>
    </row>
    <row r="13" spans="5:18">
      <c r="E13" s="1" t="s">
        <v>11</v>
      </c>
      <c r="F13" s="2"/>
      <c r="G13" s="2"/>
      <c r="H13" s="2"/>
      <c r="I13" s="2"/>
      <c r="J13" s="2">
        <v>150000</v>
      </c>
      <c r="K13" s="2">
        <v>15450</v>
      </c>
      <c r="L13" s="2">
        <v>3309</v>
      </c>
      <c r="M13" s="2">
        <v>0</v>
      </c>
      <c r="N13" s="139">
        <f t="shared" si="0"/>
        <v>0.16214100000000001</v>
      </c>
    </row>
    <row r="14" spans="5:18" s="149" customFormat="1">
      <c r="E14" s="1" t="s">
        <v>6</v>
      </c>
      <c r="F14" s="2"/>
      <c r="G14" s="2"/>
      <c r="H14" s="2"/>
      <c r="I14" s="2"/>
      <c r="J14" s="2">
        <v>6000000</v>
      </c>
      <c r="K14" s="2">
        <v>618000</v>
      </c>
      <c r="L14" s="2">
        <v>132360</v>
      </c>
      <c r="M14" s="2">
        <v>0</v>
      </c>
      <c r="N14" s="139">
        <f t="shared" si="0"/>
        <v>6.4856400000000001</v>
      </c>
    </row>
    <row r="15" spans="5:18" s="149" customFormat="1">
      <c r="E15" s="1" t="s">
        <v>12</v>
      </c>
      <c r="F15" s="2"/>
      <c r="G15" s="2"/>
      <c r="H15" s="2"/>
      <c r="I15" s="2"/>
      <c r="J15" s="2">
        <v>105000</v>
      </c>
      <c r="K15" s="2">
        <v>0</v>
      </c>
      <c r="L15" s="2">
        <v>0</v>
      </c>
      <c r="M15" s="2">
        <v>0</v>
      </c>
      <c r="N15" s="139">
        <f t="shared" si="0"/>
        <v>0.105</v>
      </c>
    </row>
    <row r="16" spans="5:18">
      <c r="E16" s="1" t="s">
        <v>132</v>
      </c>
      <c r="F16" s="2"/>
      <c r="G16" s="2"/>
      <c r="H16" s="2"/>
      <c r="I16" s="2"/>
      <c r="J16" s="2">
        <v>1350000</v>
      </c>
      <c r="K16" s="2">
        <v>0</v>
      </c>
      <c r="L16" s="2">
        <v>135000</v>
      </c>
      <c r="M16" s="2">
        <v>0</v>
      </c>
      <c r="N16" s="139">
        <f t="shared" si="0"/>
        <v>1.2150000000000001</v>
      </c>
    </row>
    <row r="17" spans="5:14" ht="15.75" thickBot="1">
      <c r="E17" s="7" t="s">
        <v>78</v>
      </c>
      <c r="F17" s="8"/>
      <c r="G17" s="8"/>
      <c r="H17" s="8"/>
      <c r="I17" s="8"/>
      <c r="J17" s="8"/>
      <c r="K17" s="8"/>
      <c r="L17" s="8"/>
      <c r="M17" s="8"/>
      <c r="N17" s="90">
        <f>SUM(N6:N16)</f>
        <v>103.00304300000002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4:M23"/>
  <sheetViews>
    <sheetView topLeftCell="B1" workbookViewId="0">
      <selection activeCell="E23" sqref="E23"/>
    </sheetView>
  </sheetViews>
  <sheetFormatPr defaultRowHeight="15"/>
  <cols>
    <col min="3" max="3" width="24.42578125" customWidth="1"/>
    <col min="4" max="4" width="10" bestFit="1" customWidth="1"/>
    <col min="5" max="5" width="10.7109375" customWidth="1"/>
    <col min="7" max="7" width="12.42578125" customWidth="1"/>
    <col min="11" max="11" width="10.140625" customWidth="1"/>
    <col min="12" max="12" width="11.7109375" bestFit="1" customWidth="1"/>
  </cols>
  <sheetData>
    <row r="4" spans="3:13" ht="15.75" thickBot="1"/>
    <row r="5" spans="3:13" ht="30">
      <c r="C5" s="108" t="s">
        <v>80</v>
      </c>
      <c r="D5" s="15" t="s">
        <v>110</v>
      </c>
      <c r="E5" s="15" t="s">
        <v>111</v>
      </c>
      <c r="F5" s="15" t="s">
        <v>112</v>
      </c>
      <c r="G5" s="15" t="s">
        <v>113</v>
      </c>
      <c r="H5" s="15" t="s">
        <v>114</v>
      </c>
      <c r="I5" s="15" t="s">
        <v>115</v>
      </c>
      <c r="J5" s="15" t="s">
        <v>116</v>
      </c>
      <c r="K5" s="15" t="s">
        <v>117</v>
      </c>
      <c r="L5" s="135" t="s">
        <v>118</v>
      </c>
      <c r="M5" s="135" t="s">
        <v>119</v>
      </c>
    </row>
    <row r="6" spans="3:13">
      <c r="C6" s="16" t="s">
        <v>108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3:13">
      <c r="C7" s="16" t="s">
        <v>120</v>
      </c>
      <c r="D7" s="21">
        <f ca="1">IRR!H15</f>
        <v>72.102130100000011</v>
      </c>
      <c r="E7" s="21">
        <f>D15</f>
        <v>64.891917089999993</v>
      </c>
      <c r="F7" s="21">
        <f t="shared" ref="F7:K7" si="0">E15</f>
        <v>57.681704080000003</v>
      </c>
      <c r="G7" s="21">
        <f t="shared" si="0"/>
        <v>50.471491070000013</v>
      </c>
      <c r="H7" s="21">
        <f t="shared" si="0"/>
        <v>43.261278060000024</v>
      </c>
      <c r="I7" s="21">
        <f t="shared" si="0"/>
        <v>36.051065050000034</v>
      </c>
      <c r="J7" s="21">
        <f t="shared" si="0"/>
        <v>28.840852040000037</v>
      </c>
      <c r="K7" s="21">
        <f t="shared" si="0"/>
        <v>21.630639030000033</v>
      </c>
      <c r="L7" s="21">
        <f>K15</f>
        <v>14.420426020000029</v>
      </c>
      <c r="M7" s="21">
        <f>L15</f>
        <v>7.2102130100000261</v>
      </c>
    </row>
    <row r="8" spans="3:13">
      <c r="C8" s="16" t="s">
        <v>121</v>
      </c>
      <c r="D8" s="21">
        <f ca="1">D7/IRR!H17</f>
        <v>1.8025532525000003</v>
      </c>
      <c r="E8" s="21">
        <f>$D$8</f>
        <v>1.8025532525000003</v>
      </c>
      <c r="F8" s="21">
        <f t="shared" ref="F8:M8" si="1">$D$8</f>
        <v>1.8025532525000003</v>
      </c>
      <c r="G8" s="21">
        <f t="shared" si="1"/>
        <v>1.8025532525000003</v>
      </c>
      <c r="H8" s="21">
        <f t="shared" si="1"/>
        <v>1.8025532525000003</v>
      </c>
      <c r="I8" s="21">
        <f t="shared" si="1"/>
        <v>1.8025532525000003</v>
      </c>
      <c r="J8" s="21">
        <f t="shared" si="1"/>
        <v>1.8025532525000003</v>
      </c>
      <c r="K8" s="21">
        <f t="shared" si="1"/>
        <v>1.8025532525000003</v>
      </c>
      <c r="L8" s="21">
        <f t="shared" si="1"/>
        <v>1.8025532525000003</v>
      </c>
      <c r="M8" s="21">
        <f t="shared" si="1"/>
        <v>1.8025532525000003</v>
      </c>
    </row>
    <row r="9" spans="3:13">
      <c r="C9" s="16" t="s">
        <v>122</v>
      </c>
      <c r="D9" s="21">
        <f>D7-D8</f>
        <v>70.299576847500006</v>
      </c>
      <c r="E9" s="21">
        <f>E7-E8</f>
        <v>63.089363837499995</v>
      </c>
      <c r="F9" s="21">
        <f t="shared" ref="F9:M9" si="2">F7-F8</f>
        <v>55.879150827500006</v>
      </c>
      <c r="G9" s="21">
        <f t="shared" si="2"/>
        <v>48.668937817500016</v>
      </c>
      <c r="H9" s="21">
        <f t="shared" si="2"/>
        <v>41.458724807500026</v>
      </c>
      <c r="I9" s="21">
        <f t="shared" si="2"/>
        <v>34.248511797500036</v>
      </c>
      <c r="J9" s="21">
        <f t="shared" si="2"/>
        <v>27.038298787500036</v>
      </c>
      <c r="K9" s="21">
        <f t="shared" si="2"/>
        <v>19.828085777500032</v>
      </c>
      <c r="L9" s="21">
        <f t="shared" si="2"/>
        <v>12.617872767500028</v>
      </c>
      <c r="M9" s="21">
        <f t="shared" si="2"/>
        <v>5.407659757500026</v>
      </c>
    </row>
    <row r="10" spans="3:13">
      <c r="C10" s="16" t="s">
        <v>123</v>
      </c>
      <c r="D10" s="21">
        <f>$D$8</f>
        <v>1.8025532525000003</v>
      </c>
      <c r="E10" s="21">
        <f t="shared" ref="E10:M10" si="3">$D$8</f>
        <v>1.8025532525000003</v>
      </c>
      <c r="F10" s="21">
        <f t="shared" si="3"/>
        <v>1.8025532525000003</v>
      </c>
      <c r="G10" s="21">
        <f t="shared" si="3"/>
        <v>1.8025532525000003</v>
      </c>
      <c r="H10" s="21">
        <f t="shared" si="3"/>
        <v>1.8025532525000003</v>
      </c>
      <c r="I10" s="21">
        <f t="shared" si="3"/>
        <v>1.8025532525000003</v>
      </c>
      <c r="J10" s="21">
        <f t="shared" si="3"/>
        <v>1.8025532525000003</v>
      </c>
      <c r="K10" s="21">
        <f t="shared" si="3"/>
        <v>1.8025532525000003</v>
      </c>
      <c r="L10" s="21">
        <f t="shared" si="3"/>
        <v>1.8025532525000003</v>
      </c>
      <c r="M10" s="21">
        <f t="shared" si="3"/>
        <v>1.8025532525000003</v>
      </c>
    </row>
    <row r="11" spans="3:13">
      <c r="C11" s="16" t="s">
        <v>124</v>
      </c>
      <c r="D11" s="21">
        <f>D9-D10</f>
        <v>68.497023595000002</v>
      </c>
      <c r="E11" s="21">
        <f t="shared" ref="E11:M11" si="4">E9-E10</f>
        <v>61.286810584999998</v>
      </c>
      <c r="F11" s="21">
        <f t="shared" si="4"/>
        <v>54.076597575000008</v>
      </c>
      <c r="G11" s="21">
        <f t="shared" si="4"/>
        <v>46.866384565000018</v>
      </c>
      <c r="H11" s="21">
        <f t="shared" si="4"/>
        <v>39.656171555000029</v>
      </c>
      <c r="I11" s="21">
        <f t="shared" si="4"/>
        <v>32.445958545000039</v>
      </c>
      <c r="J11" s="21">
        <f t="shared" si="4"/>
        <v>25.235745535000035</v>
      </c>
      <c r="K11" s="21">
        <f t="shared" si="4"/>
        <v>18.025532525000031</v>
      </c>
      <c r="L11" s="21">
        <f t="shared" si="4"/>
        <v>10.815319515000027</v>
      </c>
      <c r="M11" s="21">
        <f t="shared" si="4"/>
        <v>3.6051065050000259</v>
      </c>
    </row>
    <row r="12" spans="3:13">
      <c r="C12" s="16" t="s">
        <v>125</v>
      </c>
      <c r="D12" s="21">
        <f>$D$8</f>
        <v>1.8025532525000003</v>
      </c>
      <c r="E12" s="21">
        <f t="shared" ref="E12:M12" si="5">$D$8</f>
        <v>1.8025532525000003</v>
      </c>
      <c r="F12" s="21">
        <f t="shared" si="5"/>
        <v>1.8025532525000003</v>
      </c>
      <c r="G12" s="21">
        <f t="shared" si="5"/>
        <v>1.8025532525000003</v>
      </c>
      <c r="H12" s="21">
        <f t="shared" si="5"/>
        <v>1.8025532525000003</v>
      </c>
      <c r="I12" s="21">
        <f t="shared" si="5"/>
        <v>1.8025532525000003</v>
      </c>
      <c r="J12" s="21">
        <f t="shared" si="5"/>
        <v>1.8025532525000003</v>
      </c>
      <c r="K12" s="21">
        <f t="shared" si="5"/>
        <v>1.8025532525000003</v>
      </c>
      <c r="L12" s="21">
        <f t="shared" si="5"/>
        <v>1.8025532525000003</v>
      </c>
      <c r="M12" s="21">
        <f t="shared" si="5"/>
        <v>1.8025532525000003</v>
      </c>
    </row>
    <row r="13" spans="3:13">
      <c r="C13" s="16" t="s">
        <v>126</v>
      </c>
      <c r="D13" s="21">
        <f>D11-D12</f>
        <v>66.694470342499997</v>
      </c>
      <c r="E13" s="21">
        <f t="shared" ref="E13:M13" si="6">E11-E12</f>
        <v>59.4842573325</v>
      </c>
      <c r="F13" s="21">
        <f t="shared" si="6"/>
        <v>52.274044322500011</v>
      </c>
      <c r="G13" s="21">
        <f t="shared" si="6"/>
        <v>45.063831312500021</v>
      </c>
      <c r="H13" s="21">
        <f t="shared" si="6"/>
        <v>37.853618302500031</v>
      </c>
      <c r="I13" s="21">
        <f t="shared" si="6"/>
        <v>30.643405292500038</v>
      </c>
      <c r="J13" s="21">
        <f t="shared" si="6"/>
        <v>23.433192282500034</v>
      </c>
      <c r="K13" s="21">
        <f t="shared" si="6"/>
        <v>16.22297927250003</v>
      </c>
      <c r="L13" s="21">
        <f t="shared" si="6"/>
        <v>9.0127662625000262</v>
      </c>
      <c r="M13" s="21">
        <f t="shared" si="6"/>
        <v>1.8025532525000256</v>
      </c>
    </row>
    <row r="14" spans="3:13">
      <c r="C14" s="16" t="s">
        <v>127</v>
      </c>
      <c r="D14" s="21">
        <f>$D$8</f>
        <v>1.8025532525000003</v>
      </c>
      <c r="E14" s="21">
        <f t="shared" ref="E14:M14" si="7">$D$8</f>
        <v>1.8025532525000003</v>
      </c>
      <c r="F14" s="21">
        <f t="shared" si="7"/>
        <v>1.8025532525000003</v>
      </c>
      <c r="G14" s="21">
        <f t="shared" si="7"/>
        <v>1.8025532525000003</v>
      </c>
      <c r="H14" s="21">
        <f t="shared" si="7"/>
        <v>1.8025532525000003</v>
      </c>
      <c r="I14" s="21">
        <f t="shared" si="7"/>
        <v>1.8025532525000003</v>
      </c>
      <c r="J14" s="21">
        <f t="shared" si="7"/>
        <v>1.8025532525000003</v>
      </c>
      <c r="K14" s="21">
        <f t="shared" si="7"/>
        <v>1.8025532525000003</v>
      </c>
      <c r="L14" s="21">
        <f t="shared" si="7"/>
        <v>1.8025532525000003</v>
      </c>
      <c r="M14" s="21">
        <f t="shared" si="7"/>
        <v>1.8025532525000003</v>
      </c>
    </row>
    <row r="15" spans="3:13">
      <c r="C15" s="17" t="s">
        <v>28</v>
      </c>
      <c r="D15" s="22">
        <f>D13-D14</f>
        <v>64.891917089999993</v>
      </c>
      <c r="E15" s="22">
        <f>E13-E14</f>
        <v>57.681704080000003</v>
      </c>
      <c r="F15" s="22">
        <f t="shared" ref="F15:M15" si="8">F13-F14</f>
        <v>50.471491070000013</v>
      </c>
      <c r="G15" s="22">
        <f t="shared" si="8"/>
        <v>43.261278060000024</v>
      </c>
      <c r="H15" s="22">
        <f t="shared" si="8"/>
        <v>36.051065050000034</v>
      </c>
      <c r="I15" s="22">
        <f t="shared" si="8"/>
        <v>28.840852040000037</v>
      </c>
      <c r="J15" s="22">
        <f t="shared" si="8"/>
        <v>21.630639030000033</v>
      </c>
      <c r="K15" s="22">
        <f t="shared" si="8"/>
        <v>14.420426020000029</v>
      </c>
      <c r="L15" s="22">
        <f t="shared" si="8"/>
        <v>7.2102130100000261</v>
      </c>
      <c r="M15" s="22">
        <f t="shared" si="8"/>
        <v>2.5313084961453569E-14</v>
      </c>
    </row>
    <row r="16" spans="3:13">
      <c r="C16" s="17" t="s">
        <v>30</v>
      </c>
      <c r="D16" s="22">
        <f>D8+D10+D12+D14</f>
        <v>7.2102130100000013</v>
      </c>
      <c r="E16" s="22">
        <f>E8+E10+E12+E14</f>
        <v>7.2102130100000013</v>
      </c>
      <c r="F16" s="22">
        <f t="shared" ref="F16:M16" si="9">F8+F10+F12+F14</f>
        <v>7.2102130100000013</v>
      </c>
      <c r="G16" s="22">
        <f t="shared" si="9"/>
        <v>7.2102130100000013</v>
      </c>
      <c r="H16" s="22">
        <f t="shared" si="9"/>
        <v>7.2102130100000013</v>
      </c>
      <c r="I16" s="22">
        <f t="shared" si="9"/>
        <v>7.2102130100000013</v>
      </c>
      <c r="J16" s="22">
        <f t="shared" si="9"/>
        <v>7.2102130100000013</v>
      </c>
      <c r="K16" s="22">
        <f t="shared" si="9"/>
        <v>7.2102130100000013</v>
      </c>
      <c r="L16" s="22">
        <f t="shared" si="9"/>
        <v>7.2102130100000013</v>
      </c>
      <c r="M16" s="22">
        <f t="shared" si="9"/>
        <v>7.2102130100000013</v>
      </c>
    </row>
    <row r="17" spans="3:13">
      <c r="C17" s="17" t="s">
        <v>29</v>
      </c>
      <c r="D17" s="22">
        <f ca="1">(D7*IRR!$H$16/4)+(D9*IRR!$H$16/4)+(D11*IRR!$H$16/4)+(D13*IRR!$H$16/4)</f>
        <v>7.9808045254437499</v>
      </c>
      <c r="E17" s="22">
        <f ca="1">(E7*IRR!$H$16/4)+(E9*IRR!$H$16/4)+(E11*IRR!$H$16/4)+(E13*IRR!$H$16/4)</f>
        <v>7.1516300292937496</v>
      </c>
      <c r="F17" s="22">
        <f ca="1">(F7*IRR!$H$16/4)+(F9*IRR!$H$16/4)+(F11*IRR!$H$16/4)+(F13*IRR!$H$16/4)</f>
        <v>6.3224555331437511</v>
      </c>
      <c r="G17" s="22">
        <f ca="1">(G7*IRR!$H$16/4)+(G9*IRR!$H$16/4)+(G11*IRR!$H$16/4)+(G13*IRR!$H$16/4)</f>
        <v>5.4932810369937517</v>
      </c>
      <c r="H17" s="22">
        <f ca="1">(H7*IRR!$H$16/4)+(H9*IRR!$H$16/4)+(H11*IRR!$H$16/4)+(H13*IRR!$H$16/4)</f>
        <v>4.6641065408437532</v>
      </c>
      <c r="I17" s="22">
        <f ca="1">(I7*IRR!$H$16/4)+(I9*IRR!$H$16/4)+(I11*IRR!$H$16/4)+(I13*IRR!$H$16/4)</f>
        <v>3.8349320446937538</v>
      </c>
      <c r="J17" s="22">
        <f ca="1">(J7*IRR!$H$16/4)+(J9*IRR!$H$16/4)+(J11*IRR!$H$16/4)+(J13*IRR!$H$16/4)</f>
        <v>3.005757548543754</v>
      </c>
      <c r="K17" s="22">
        <f ca="1">(K7*IRR!$H$16/4)+(K9*IRR!$H$16/4)+(K11*IRR!$H$16/4)+(K13*IRR!$H$16/4)</f>
        <v>2.1765830523937537</v>
      </c>
      <c r="L17" s="22">
        <f ca="1">(L7*IRR!$H$16/4)+(L9*IRR!$H$16/4)+(L11*IRR!$H$16/4)+(L13*IRR!$H$16/4)</f>
        <v>1.3474085562437532</v>
      </c>
      <c r="M17" s="22">
        <f ca="1">(M7*IRR!$H$16/4)+(M9*IRR!$H$16/4)+(M11*IRR!$H$16/4)+(M13*IRR!$H$16/4)</f>
        <v>0.51823406009375295</v>
      </c>
    </row>
    <row r="20" spans="3:13">
      <c r="D20" s="147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3:13">
      <c r="D21" s="147"/>
      <c r="E21" s="147"/>
      <c r="F21" s="147"/>
      <c r="G21" s="147"/>
      <c r="H21" s="147"/>
      <c r="I21" s="147"/>
      <c r="J21" s="147"/>
      <c r="K21" s="147"/>
      <c r="L21" s="147"/>
      <c r="M21" s="147"/>
    </row>
    <row r="22" spans="3:13">
      <c r="D22" s="147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3:13">
      <c r="D23" s="147"/>
      <c r="E23" s="147"/>
      <c r="F23" s="147"/>
      <c r="G23" s="147"/>
      <c r="H23" s="147"/>
      <c r="I23" s="147"/>
      <c r="J23" s="147"/>
      <c r="K23" s="147"/>
      <c r="L23" s="147"/>
      <c r="M23" s="147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P22"/>
  <sheetViews>
    <sheetView zoomScale="89" zoomScaleNormal="89" workbookViewId="0">
      <selection activeCell="L25" sqref="L25"/>
    </sheetView>
  </sheetViews>
  <sheetFormatPr defaultRowHeight="15"/>
  <cols>
    <col min="1" max="2" width="9.140625" style="26"/>
    <col min="3" max="4" width="12.5703125" style="26" customWidth="1"/>
    <col min="5" max="5" width="14.5703125" style="26" customWidth="1"/>
    <col min="6" max="7" width="13.42578125" style="26" customWidth="1"/>
    <col min="8" max="8" width="14.85546875" style="26" customWidth="1"/>
    <col min="9" max="10" width="14.42578125" style="26" customWidth="1"/>
    <col min="11" max="11" width="16" style="26" customWidth="1"/>
    <col min="12" max="12" width="11.42578125" style="26" customWidth="1"/>
    <col min="13" max="13" width="9.140625" style="26"/>
    <col min="14" max="14" width="11.7109375" style="26" customWidth="1"/>
    <col min="15" max="15" width="13.140625" style="26" customWidth="1"/>
    <col min="16" max="16" width="17.140625" style="26" customWidth="1"/>
    <col min="17" max="16384" width="9.140625" style="26"/>
  </cols>
  <sheetData>
    <row r="3" spans="2:16" ht="15.75" thickBot="1"/>
    <row r="4" spans="2:16" ht="45">
      <c r="B4" s="28" t="s">
        <v>44</v>
      </c>
      <c r="C4" s="28" t="s">
        <v>45</v>
      </c>
      <c r="D4" s="28" t="s">
        <v>37</v>
      </c>
      <c r="E4" s="28" t="s">
        <v>46</v>
      </c>
      <c r="F4" s="28" t="s">
        <v>47</v>
      </c>
      <c r="G4" s="28" t="s">
        <v>48</v>
      </c>
      <c r="H4" s="28" t="s">
        <v>49</v>
      </c>
      <c r="I4" s="28" t="s">
        <v>50</v>
      </c>
      <c r="J4" s="28" t="s">
        <v>51</v>
      </c>
      <c r="K4" s="28" t="s">
        <v>52</v>
      </c>
      <c r="L4" s="28" t="s">
        <v>128</v>
      </c>
      <c r="N4" s="175" t="s">
        <v>51</v>
      </c>
      <c r="O4" s="176" t="s">
        <v>159</v>
      </c>
      <c r="P4" s="177" t="s">
        <v>160</v>
      </c>
    </row>
    <row r="5" spans="2:16">
      <c r="B5" s="27">
        <v>1</v>
      </c>
      <c r="C5" s="33">
        <v>40057</v>
      </c>
      <c r="D5" s="34">
        <v>4815</v>
      </c>
      <c r="E5" s="35">
        <v>18297</v>
      </c>
      <c r="F5" s="35">
        <v>4092.75</v>
      </c>
      <c r="G5" s="35">
        <v>0</v>
      </c>
      <c r="H5" s="35">
        <v>0</v>
      </c>
      <c r="I5" s="35">
        <f>SUM(E5:H5)</f>
        <v>22389.75</v>
      </c>
      <c r="J5" s="35">
        <f>I5*$P$18</f>
        <v>3340.2887319107449</v>
      </c>
      <c r="K5" s="35">
        <f>I5+J5</f>
        <v>25730.038731910747</v>
      </c>
      <c r="L5" s="36">
        <f>K5/D5</f>
        <v>5.3437255933355656</v>
      </c>
      <c r="N5" s="174">
        <v>6928.46</v>
      </c>
      <c r="O5" s="178">
        <v>46939.75</v>
      </c>
      <c r="P5" s="179">
        <f>N5/O5</f>
        <v>0.14760325736715685</v>
      </c>
    </row>
    <row r="6" spans="2:16">
      <c r="B6" s="37">
        <f>B5+1</f>
        <v>2</v>
      </c>
      <c r="C6" s="33">
        <v>40087</v>
      </c>
      <c r="D6" s="34">
        <v>11860</v>
      </c>
      <c r="E6" s="35">
        <v>45068</v>
      </c>
      <c r="F6" s="35">
        <v>10081</v>
      </c>
      <c r="G6" s="35">
        <v>0</v>
      </c>
      <c r="H6" s="35">
        <v>-2066.04</v>
      </c>
      <c r="I6" s="35">
        <f>SUM(E6:H6)</f>
        <v>53082.96</v>
      </c>
      <c r="J6" s="35">
        <f>I6*$P$18</f>
        <v>7919.3565423673235</v>
      </c>
      <c r="K6" s="35">
        <f t="shared" ref="K6:K17" si="0">I6+J6</f>
        <v>61002.31654236732</v>
      </c>
      <c r="L6" s="36">
        <f>K6/D6</f>
        <v>5.1435342784458111</v>
      </c>
      <c r="N6" s="174">
        <v>11532.44</v>
      </c>
      <c r="O6" s="178">
        <v>77632.960000000006</v>
      </c>
      <c r="P6" s="179">
        <f t="shared" ref="P6:P17" si="1">N6/O6</f>
        <v>0.14855082171283948</v>
      </c>
    </row>
    <row r="7" spans="2:16">
      <c r="B7" s="37">
        <f>B6+1</f>
        <v>3</v>
      </c>
      <c r="C7" s="33">
        <v>40118</v>
      </c>
      <c r="D7" s="34">
        <v>7860</v>
      </c>
      <c r="E7" s="35">
        <v>29868</v>
      </c>
      <c r="F7" s="35">
        <v>6602.4</v>
      </c>
      <c r="G7" s="35">
        <v>0</v>
      </c>
      <c r="H7" s="35">
        <v>-1649.64</v>
      </c>
      <c r="I7" s="35">
        <f>SUM(E7:H7)</f>
        <v>34820.76</v>
      </c>
      <c r="J7" s="35">
        <f t="shared" ref="J7:J16" si="2">I7*$P$18</f>
        <v>5194.8499766441519</v>
      </c>
      <c r="K7" s="35">
        <f t="shared" si="0"/>
        <v>40015.609976644155</v>
      </c>
      <c r="L7" s="36">
        <f t="shared" ref="L7:L17" si="3">K7/D7</f>
        <v>5.091044526290605</v>
      </c>
      <c r="N7" s="174">
        <v>8991.11</v>
      </c>
      <c r="O7" s="178">
        <v>60690.76</v>
      </c>
      <c r="P7" s="179">
        <f t="shared" si="1"/>
        <v>0.14814627465531821</v>
      </c>
    </row>
    <row r="8" spans="2:16">
      <c r="B8" s="37">
        <f>B7+1</f>
        <v>4</v>
      </c>
      <c r="C8" s="33">
        <v>40148</v>
      </c>
      <c r="D8" s="34">
        <v>9315</v>
      </c>
      <c r="E8" s="35">
        <v>35397</v>
      </c>
      <c r="F8" s="35">
        <v>7824.6</v>
      </c>
      <c r="G8" s="35">
        <v>0</v>
      </c>
      <c r="H8" s="35">
        <v>-2404.41</v>
      </c>
      <c r="I8" s="35">
        <f>SUM(E8:H8)</f>
        <v>40817.19</v>
      </c>
      <c r="J8" s="35">
        <f t="shared" si="2"/>
        <v>6089.4471722667713</v>
      </c>
      <c r="K8" s="35">
        <f t="shared" si="0"/>
        <v>46906.637172266775</v>
      </c>
      <c r="L8" s="36">
        <f t="shared" si="3"/>
        <v>5.0356024876292835</v>
      </c>
      <c r="N8" s="174">
        <v>12835.08</v>
      </c>
      <c r="O8" s="178">
        <v>86317</v>
      </c>
      <c r="P8" s="179">
        <f t="shared" si="1"/>
        <v>0.14869701217604875</v>
      </c>
    </row>
    <row r="9" spans="2:16">
      <c r="B9" s="37">
        <f>B8+1</f>
        <v>5</v>
      </c>
      <c r="C9" s="33">
        <v>40179</v>
      </c>
      <c r="D9" s="34">
        <v>8700</v>
      </c>
      <c r="E9" s="35">
        <v>33060</v>
      </c>
      <c r="F9" s="35">
        <v>7308</v>
      </c>
      <c r="G9" s="35">
        <v>0</v>
      </c>
      <c r="H9" s="35">
        <v>-568.6</v>
      </c>
      <c r="I9" s="35">
        <f t="shared" ref="I9:I17" si="4">SUM(E9:H9)</f>
        <v>39799.4</v>
      </c>
      <c r="J9" s="35">
        <f t="shared" si="2"/>
        <v>5937.6048127740823</v>
      </c>
      <c r="K9" s="35">
        <f t="shared" si="0"/>
        <v>45737.004812774081</v>
      </c>
      <c r="L9" s="36">
        <f t="shared" si="3"/>
        <v>5.257126989974032</v>
      </c>
      <c r="N9" s="174">
        <v>9481.0400000000009</v>
      </c>
      <c r="O9" s="178">
        <v>63956.9</v>
      </c>
      <c r="P9" s="179">
        <f t="shared" si="1"/>
        <v>0.14824108110305534</v>
      </c>
    </row>
    <row r="10" spans="2:16">
      <c r="B10" s="37">
        <f>B9+1</f>
        <v>6</v>
      </c>
      <c r="C10" s="33">
        <v>40210</v>
      </c>
      <c r="D10" s="34">
        <v>10550</v>
      </c>
      <c r="E10" s="35">
        <v>40090</v>
      </c>
      <c r="F10" s="35">
        <v>8862</v>
      </c>
      <c r="G10" s="35">
        <v>0</v>
      </c>
      <c r="H10" s="35">
        <v>-1827.45</v>
      </c>
      <c r="I10" s="35">
        <f t="shared" si="4"/>
        <v>47124.55</v>
      </c>
      <c r="J10" s="35">
        <f t="shared" si="2"/>
        <v>7030.4314858970956</v>
      </c>
      <c r="K10" s="35">
        <f t="shared" si="0"/>
        <v>54154.9814858971</v>
      </c>
      <c r="L10" s="36">
        <f t="shared" si="3"/>
        <v>5.1331736005589672</v>
      </c>
      <c r="N10" s="174">
        <v>14761.04</v>
      </c>
      <c r="O10" s="178">
        <v>99157.05</v>
      </c>
      <c r="P10" s="179">
        <f t="shared" si="1"/>
        <v>0.14886525970669762</v>
      </c>
    </row>
    <row r="11" spans="2:16">
      <c r="B11" s="37">
        <v>7</v>
      </c>
      <c r="C11" s="33">
        <v>40238</v>
      </c>
      <c r="D11" s="34">
        <v>3260</v>
      </c>
      <c r="E11" s="35">
        <v>12388</v>
      </c>
      <c r="F11" s="35">
        <v>2738.4</v>
      </c>
      <c r="G11" s="35">
        <v>0</v>
      </c>
      <c r="H11" s="35">
        <v>0</v>
      </c>
      <c r="I11" s="35">
        <f t="shared" si="4"/>
        <v>15126.4</v>
      </c>
      <c r="J11" s="35">
        <f t="shared" si="2"/>
        <v>2256.6818957056103</v>
      </c>
      <c r="K11" s="35">
        <f t="shared" si="0"/>
        <v>17383.081895705611</v>
      </c>
      <c r="L11" s="36">
        <f t="shared" si="3"/>
        <v>5.3322337103391444</v>
      </c>
      <c r="N11" s="174">
        <v>5838.96</v>
      </c>
      <c r="O11" s="178">
        <v>39676.400000000001</v>
      </c>
      <c r="P11" s="179">
        <f t="shared" si="1"/>
        <v>0.14716456130092448</v>
      </c>
    </row>
    <row r="12" spans="2:16">
      <c r="B12" s="37">
        <v>8</v>
      </c>
      <c r="C12" s="33">
        <v>40269</v>
      </c>
      <c r="D12" s="34">
        <v>2015</v>
      </c>
      <c r="E12" s="35">
        <v>7852</v>
      </c>
      <c r="F12" s="35">
        <v>1571.7</v>
      </c>
      <c r="G12" s="35">
        <v>0</v>
      </c>
      <c r="H12" s="35">
        <v>-258.58999999999997</v>
      </c>
      <c r="I12" s="35">
        <f t="shared" si="4"/>
        <v>9165.11</v>
      </c>
      <c r="J12" s="35">
        <f t="shared" si="2"/>
        <v>1367.3271769324128</v>
      </c>
      <c r="K12" s="35">
        <f t="shared" si="0"/>
        <v>10532.437176932413</v>
      </c>
      <c r="L12" s="36">
        <f t="shared" si="3"/>
        <v>5.2270159687009494</v>
      </c>
      <c r="N12" s="174">
        <v>5808.48</v>
      </c>
      <c r="O12" s="178">
        <v>39473.17</v>
      </c>
      <c r="P12" s="179">
        <f t="shared" si="1"/>
        <v>0.14715007687500142</v>
      </c>
    </row>
    <row r="13" spans="2:16">
      <c r="B13" s="37">
        <v>9</v>
      </c>
      <c r="C13" s="33">
        <v>40299</v>
      </c>
      <c r="D13" s="34">
        <v>3980</v>
      </c>
      <c r="E13" s="35">
        <v>15522</v>
      </c>
      <c r="F13" s="35">
        <v>3104.4</v>
      </c>
      <c r="G13" s="35">
        <v>0</v>
      </c>
      <c r="H13" s="35">
        <v>0</v>
      </c>
      <c r="I13" s="35">
        <f t="shared" si="4"/>
        <v>18626.400000000001</v>
      </c>
      <c r="J13" s="35">
        <f t="shared" si="2"/>
        <v>2778.8409444528102</v>
      </c>
      <c r="K13" s="35">
        <f t="shared" si="0"/>
        <v>21405.240944452813</v>
      </c>
      <c r="L13" s="36">
        <f t="shared" si="3"/>
        <v>5.3782012423248275</v>
      </c>
      <c r="N13" s="174">
        <v>7541.46</v>
      </c>
      <c r="O13" s="178">
        <v>51026.400000000001</v>
      </c>
      <c r="P13" s="179">
        <f t="shared" si="1"/>
        <v>0.14779525892479187</v>
      </c>
    </row>
    <row r="14" spans="2:16">
      <c r="B14" s="37">
        <v>10</v>
      </c>
      <c r="C14" s="33">
        <v>40330</v>
      </c>
      <c r="D14" s="34">
        <v>6075</v>
      </c>
      <c r="E14" s="35">
        <v>23692.5</v>
      </c>
      <c r="F14" s="35">
        <v>4738.5</v>
      </c>
      <c r="G14" s="35">
        <v>0</v>
      </c>
      <c r="H14" s="35">
        <v>-236.93</v>
      </c>
      <c r="I14" s="35">
        <f t="shared" si="4"/>
        <v>28194.07</v>
      </c>
      <c r="J14" s="35">
        <f t="shared" si="2"/>
        <v>4206.2253632891288</v>
      </c>
      <c r="K14" s="35">
        <f t="shared" si="0"/>
        <v>32400.295363289129</v>
      </c>
      <c r="L14" s="36">
        <f t="shared" si="3"/>
        <v>5.3333819528047952</v>
      </c>
      <c r="N14" s="174">
        <v>8691.61</v>
      </c>
      <c r="O14" s="178">
        <v>58694.07</v>
      </c>
      <c r="P14" s="179">
        <f t="shared" si="1"/>
        <v>0.14808327314837769</v>
      </c>
    </row>
    <row r="15" spans="2:16">
      <c r="B15" s="37">
        <v>11</v>
      </c>
      <c r="C15" s="33">
        <v>40360</v>
      </c>
      <c r="D15" s="34">
        <v>10250</v>
      </c>
      <c r="E15" s="35">
        <v>39975</v>
      </c>
      <c r="F15" s="35">
        <v>7175</v>
      </c>
      <c r="G15" s="35">
        <v>0</v>
      </c>
      <c r="H15" s="35">
        <v>-1199.25</v>
      </c>
      <c r="I15" s="35">
        <f t="shared" si="4"/>
        <v>45950.75</v>
      </c>
      <c r="J15" s="35">
        <f t="shared" si="2"/>
        <v>6855.3142597772485</v>
      </c>
      <c r="K15" s="35">
        <f t="shared" si="0"/>
        <v>52806.064259777246</v>
      </c>
      <c r="L15" s="36">
        <f t="shared" si="3"/>
        <v>5.1518111472953407</v>
      </c>
      <c r="N15" s="174">
        <v>11355.11</v>
      </c>
      <c r="O15" s="178">
        <v>76450.75</v>
      </c>
      <c r="P15" s="179">
        <f t="shared" si="1"/>
        <v>0.14852843170276289</v>
      </c>
    </row>
    <row r="16" spans="2:16">
      <c r="B16" s="37">
        <v>12</v>
      </c>
      <c r="C16" s="33">
        <v>40391</v>
      </c>
      <c r="D16" s="34">
        <v>5370</v>
      </c>
      <c r="E16" s="35">
        <v>22347</v>
      </c>
      <c r="F16" s="35">
        <v>4011</v>
      </c>
      <c r="G16" s="35">
        <v>0</v>
      </c>
      <c r="H16" s="35">
        <v>-670.41</v>
      </c>
      <c r="I16" s="35">
        <f t="shared" si="4"/>
        <v>25687.59</v>
      </c>
      <c r="J16" s="35">
        <f t="shared" si="2"/>
        <v>3832.2878740023061</v>
      </c>
      <c r="K16" s="35">
        <f t="shared" si="0"/>
        <v>29519.877874002304</v>
      </c>
      <c r="L16" s="36">
        <f t="shared" si="3"/>
        <v>5.4971839616391627</v>
      </c>
      <c r="N16" s="174">
        <v>8660.26</v>
      </c>
      <c r="O16" s="178">
        <v>58485.09</v>
      </c>
      <c r="P16" s="179">
        <f t="shared" si="1"/>
        <v>0.14807637296958936</v>
      </c>
    </row>
    <row r="17" spans="2:16">
      <c r="B17" s="37">
        <v>13</v>
      </c>
      <c r="C17" s="33">
        <v>40422</v>
      </c>
      <c r="D17" s="34">
        <v>215380</v>
      </c>
      <c r="E17" s="35">
        <v>837564</v>
      </c>
      <c r="F17" s="35">
        <v>150766</v>
      </c>
      <c r="G17" s="35">
        <v>48265</v>
      </c>
      <c r="H17" s="35">
        <v>-41878.199999999997</v>
      </c>
      <c r="I17" s="35">
        <f t="shared" si="4"/>
        <v>994716.8</v>
      </c>
      <c r="J17" s="35">
        <f>I17*$P$18</f>
        <v>148400.10801738806</v>
      </c>
      <c r="K17" s="35">
        <f t="shared" si="0"/>
        <v>1143116.9080173881</v>
      </c>
      <c r="L17" s="36">
        <f t="shared" si="3"/>
        <v>5.3074422324142825</v>
      </c>
      <c r="N17" s="174">
        <v>156377.51999999999</v>
      </c>
      <c r="O17" s="178">
        <v>1043266.8</v>
      </c>
      <c r="P17" s="179">
        <f t="shared" si="1"/>
        <v>0.14989216564736843</v>
      </c>
    </row>
    <row r="18" spans="2:16" ht="15.75" thickBot="1">
      <c r="B18" s="29"/>
      <c r="C18" s="30" t="s">
        <v>7</v>
      </c>
      <c r="D18" s="31">
        <f t="shared" ref="D18:K18" si="5">SUM(D5:D17)</f>
        <v>299430</v>
      </c>
      <c r="E18" s="32">
        <f t="shared" si="5"/>
        <v>1161120.5</v>
      </c>
      <c r="F18" s="32">
        <f t="shared" si="5"/>
        <v>218875.75</v>
      </c>
      <c r="G18" s="32">
        <f t="shared" si="5"/>
        <v>48265</v>
      </c>
      <c r="H18" s="32">
        <f t="shared" si="5"/>
        <v>-52759.519999999997</v>
      </c>
      <c r="I18" s="32">
        <f t="shared" si="5"/>
        <v>1375501.73</v>
      </c>
      <c r="J18" s="32">
        <f>SUM(J5:J17)</f>
        <v>205208.76425340775</v>
      </c>
      <c r="K18" s="32">
        <f t="shared" si="5"/>
        <v>1580710.4942534077</v>
      </c>
      <c r="L18" s="136">
        <f ca="1">AVERAGE(L5:L17)*IRR!H34</f>
        <v>5.2485752070579057</v>
      </c>
      <c r="N18" s="180">
        <f>SUM(N5:N17)</f>
        <v>268802.57</v>
      </c>
      <c r="O18" s="181">
        <f>SUM(O5:O17)</f>
        <v>1801767.1</v>
      </c>
      <c r="P18" s="182">
        <f>N18/O18</f>
        <v>0.14918829964205696</v>
      </c>
    </row>
    <row r="20" spans="2:16">
      <c r="C20" s="67"/>
      <c r="K20" s="146"/>
    </row>
    <row r="22" spans="2:16">
      <c r="D22" s="145"/>
      <c r="E22" s="145"/>
      <c r="K22" s="145"/>
      <c r="L22" s="146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3:W31"/>
  <sheetViews>
    <sheetView topLeftCell="J13" workbookViewId="0">
      <selection activeCell="S31" sqref="S31"/>
    </sheetView>
  </sheetViews>
  <sheetFormatPr defaultRowHeight="15"/>
  <cols>
    <col min="1" max="1" width="9.140625" style="26"/>
    <col min="2" max="2" width="30.85546875" style="26" customWidth="1"/>
    <col min="3" max="3" width="22.42578125" style="26" customWidth="1"/>
    <col min="4" max="4" width="14.85546875" style="26" customWidth="1"/>
    <col min="5" max="5" width="15.85546875" style="26" customWidth="1"/>
    <col min="6" max="6" width="16" style="26" customWidth="1"/>
    <col min="7" max="7" width="16.7109375" style="26" customWidth="1"/>
    <col min="8" max="8" width="15.140625" style="26" customWidth="1"/>
    <col min="9" max="9" width="16" style="26" customWidth="1"/>
    <col min="10" max="10" width="15.5703125" style="26" customWidth="1"/>
    <col min="11" max="11" width="15.28515625" style="26" customWidth="1"/>
    <col min="12" max="22" width="14.28515625" style="26" bestFit="1" customWidth="1"/>
    <col min="23" max="23" width="15.5703125" style="26" customWidth="1"/>
    <col min="24" max="16384" width="9.140625" style="26"/>
  </cols>
  <sheetData>
    <row r="3" spans="2:23" ht="15.75" thickBot="1"/>
    <row r="4" spans="2:23">
      <c r="B4" s="212" t="s">
        <v>55</v>
      </c>
      <c r="C4" s="213"/>
      <c r="D4" s="213"/>
      <c r="E4" s="214"/>
    </row>
    <row r="5" spans="2:23">
      <c r="B5" s="54"/>
      <c r="C5" s="55"/>
      <c r="D5" s="55"/>
      <c r="E5" s="56"/>
    </row>
    <row r="6" spans="2:23">
      <c r="B6" s="54" t="s">
        <v>56</v>
      </c>
      <c r="C6" s="55"/>
      <c r="D6" s="64">
        <f ca="1">'Capital Cost'!N17-'Capital Cost'!N16</f>
        <v>101.78804300000002</v>
      </c>
      <c r="E6" s="56"/>
    </row>
    <row r="7" spans="2:23">
      <c r="B7" s="54" t="s">
        <v>61</v>
      </c>
      <c r="C7" s="55"/>
      <c r="D7" s="55">
        <v>0</v>
      </c>
      <c r="E7" s="56"/>
    </row>
    <row r="8" spans="2:23" ht="15.75" thickBot="1"/>
    <row r="9" spans="2:23">
      <c r="B9" s="59" t="s">
        <v>60</v>
      </c>
      <c r="C9" s="59">
        <v>1</v>
      </c>
      <c r="D9" s="57">
        <v>2</v>
      </c>
      <c r="E9" s="57">
        <v>3</v>
      </c>
      <c r="F9" s="57">
        <v>4</v>
      </c>
      <c r="G9" s="58">
        <v>5</v>
      </c>
      <c r="H9" s="59">
        <v>6</v>
      </c>
      <c r="I9" s="57">
        <v>7</v>
      </c>
      <c r="J9" s="57">
        <v>8</v>
      </c>
      <c r="K9" s="57">
        <v>9</v>
      </c>
      <c r="L9" s="57">
        <v>10</v>
      </c>
      <c r="M9" s="57">
        <v>11</v>
      </c>
      <c r="N9" s="57">
        <v>12</v>
      </c>
      <c r="O9" s="57">
        <v>13</v>
      </c>
      <c r="P9" s="57">
        <v>14</v>
      </c>
      <c r="Q9" s="57">
        <v>15</v>
      </c>
      <c r="R9" s="57">
        <v>16</v>
      </c>
      <c r="S9" s="57">
        <v>17</v>
      </c>
      <c r="T9" s="57">
        <v>18</v>
      </c>
      <c r="U9" s="57">
        <v>19</v>
      </c>
      <c r="V9" s="57">
        <v>20</v>
      </c>
      <c r="W9" s="60">
        <v>21</v>
      </c>
    </row>
    <row r="10" spans="2:23">
      <c r="B10" s="61"/>
      <c r="C10" s="154">
        <v>40633</v>
      </c>
      <c r="D10" s="62">
        <v>40999</v>
      </c>
      <c r="E10" s="62">
        <v>41364</v>
      </c>
      <c r="F10" s="62">
        <v>41729</v>
      </c>
      <c r="G10" s="62">
        <v>42094</v>
      </c>
      <c r="H10" s="62">
        <v>42460</v>
      </c>
      <c r="I10" s="62">
        <v>42825</v>
      </c>
      <c r="J10" s="62">
        <v>43190</v>
      </c>
      <c r="K10" s="62">
        <v>43555</v>
      </c>
      <c r="L10" s="62">
        <v>43921</v>
      </c>
      <c r="M10" s="62">
        <v>44286</v>
      </c>
      <c r="N10" s="62">
        <v>44651</v>
      </c>
      <c r="O10" s="62">
        <v>45016</v>
      </c>
      <c r="P10" s="62">
        <v>45382</v>
      </c>
      <c r="Q10" s="62">
        <v>45747</v>
      </c>
      <c r="R10" s="62">
        <v>46112</v>
      </c>
      <c r="S10" s="62">
        <v>46477</v>
      </c>
      <c r="T10" s="62">
        <v>46843</v>
      </c>
      <c r="U10" s="62">
        <v>47208</v>
      </c>
      <c r="V10" s="62">
        <v>47573</v>
      </c>
      <c r="W10" s="63">
        <v>47938</v>
      </c>
    </row>
    <row r="11" spans="2:23">
      <c r="B11" s="55" t="s">
        <v>41</v>
      </c>
      <c r="C11" s="64">
        <f ca="1">IF((IRR!H6-'Depreciation calculations'!C10)&gt;180,'Depreciation calculations'!D6*IRR!H25,'Depreciation calculations'!D6*IRR!H25*0.5)</f>
        <v>40.715217200000012</v>
      </c>
      <c r="D11" s="64">
        <f ca="1">($D$6-SUM($C$11:C11))*IRR!$H$25</f>
        <v>48.858260640000005</v>
      </c>
      <c r="E11" s="64">
        <f ca="1">($D$6-SUM($C$11:D11))*IRR!$H$25</f>
        <v>9.7716521280000066</v>
      </c>
      <c r="F11" s="64">
        <f ca="1">($D$6-SUM($C$11:E11))*IRR!$H$25</f>
        <v>1.9543304256000056</v>
      </c>
      <c r="G11" s="64">
        <f ca="1">($D$6-SUM($C$11:F11))*IRR!$H$25</f>
        <v>0.39086608512000115</v>
      </c>
      <c r="H11" s="64">
        <f ca="1">($D$6-SUM($C$11:G11))*IRR!$H$25</f>
        <v>7.8173217024004774E-2</v>
      </c>
      <c r="I11" s="64">
        <f ca="1">($D$6-SUM($C$11:H11))*IRR!$H$25</f>
        <v>1.5634643404803229E-2</v>
      </c>
      <c r="J11" s="64">
        <f ca="1">($D$6-SUM($C$11:I11))*IRR!$H$25</f>
        <v>3.1269286809560981E-3</v>
      </c>
      <c r="K11" s="64">
        <f ca="1">($D$6-SUM($C$11:J11))*IRR!$H$25</f>
        <v>6.2538573619121964E-4</v>
      </c>
      <c r="L11" s="64">
        <f ca="1">($D$6-SUM($C$11:K11))*IRR!$H$25</f>
        <v>1.2507714724279141E-4</v>
      </c>
      <c r="M11" s="64">
        <f ca="1">($D$6-SUM($C$11:L11))*IRR!$H$25</f>
        <v>2.5015429446284543E-5</v>
      </c>
      <c r="N11" s="64">
        <f ca="1">($D$6-SUM($C$11:M11))*IRR!$H$25</f>
        <v>5.003085891530646E-6</v>
      </c>
      <c r="O11" s="64">
        <f ca="1">($D$6-SUM($C$11:N11))*IRR!$H$25</f>
        <v>1.0006171805798659E-6</v>
      </c>
      <c r="P11" s="64">
        <f ca="1">($D$6-SUM($C$11:O11))*IRR!$H$25</f>
        <v>2.0012344066344669E-7</v>
      </c>
      <c r="Q11" s="64">
        <f ca="1">($D$6-SUM($C$11:P11))*IRR!$H$25</f>
        <v>4.0024690406426092E-8</v>
      </c>
      <c r="R11" s="64">
        <f ca="1">($D$6-SUM($C$11:Q11))*IRR!$H$25</f>
        <v>8.0049403550219719E-9</v>
      </c>
      <c r="S11" s="64">
        <f ca="1">($D$6-SUM($C$11:R11))*IRR!$H$25</f>
        <v>1.6009835235308857E-9</v>
      </c>
      <c r="T11" s="64">
        <f ca="1">($D$6-SUM($C$11:S11))*IRR!$H$25</f>
        <v>3.2019897844293155E-10</v>
      </c>
      <c r="U11" s="64">
        <f ca="1">($D$6-SUM($C$11:T11))*IRR!$H$25</f>
        <v>6.4039795688586317E-11</v>
      </c>
      <c r="V11" s="64">
        <f ca="1">($D$6-SUM($C$11:U11))*IRR!$H$25</f>
        <v>1.2812506611226127E-11</v>
      </c>
      <c r="W11" s="64">
        <f ca="1">($D$6-SUM($C$11:V11))*IRR!$H$25</f>
        <v>2.5579538487363607E-12</v>
      </c>
    </row>
    <row r="12" spans="2:23" ht="15.75" thickBot="1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</row>
    <row r="13" spans="2:23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2:23" ht="15.75" thickBot="1"/>
    <row r="15" spans="2:23" ht="15.75" thickBot="1">
      <c r="B15" s="38"/>
      <c r="C15" s="39"/>
      <c r="D15" s="39"/>
      <c r="E15" s="39"/>
      <c r="F15" s="215" t="s">
        <v>67</v>
      </c>
      <c r="G15" s="215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</row>
    <row r="16" spans="2:23" ht="15.75" thickBot="1">
      <c r="B16" s="58"/>
      <c r="C16" s="57"/>
      <c r="D16" s="57">
        <v>1</v>
      </c>
      <c r="E16" s="57">
        <v>2</v>
      </c>
      <c r="F16" s="59">
        <v>3</v>
      </c>
      <c r="G16" s="59">
        <v>4</v>
      </c>
      <c r="H16" s="57">
        <v>5</v>
      </c>
      <c r="I16" s="57">
        <v>6</v>
      </c>
      <c r="J16" s="57">
        <v>7</v>
      </c>
      <c r="K16" s="57">
        <v>8</v>
      </c>
      <c r="L16" s="57">
        <v>9</v>
      </c>
      <c r="M16" s="57">
        <v>10</v>
      </c>
      <c r="N16" s="57">
        <v>11</v>
      </c>
      <c r="O16" s="57">
        <v>12</v>
      </c>
      <c r="P16" s="57">
        <v>13</v>
      </c>
      <c r="Q16" s="57">
        <v>14</v>
      </c>
      <c r="R16" s="57">
        <v>15</v>
      </c>
      <c r="S16" s="57">
        <v>16</v>
      </c>
      <c r="T16" s="57">
        <v>17</v>
      </c>
      <c r="U16" s="57">
        <v>18</v>
      </c>
      <c r="V16" s="57">
        <v>19</v>
      </c>
      <c r="W16" s="60">
        <v>20</v>
      </c>
    </row>
    <row r="17" spans="2:23">
      <c r="B17" s="41"/>
      <c r="C17" s="160">
        <f>DATE(2011,3,31)</f>
        <v>40633</v>
      </c>
      <c r="D17" s="42">
        <f>DATE(2012,3,31)</f>
        <v>40999</v>
      </c>
      <c r="E17" s="42">
        <f>DATE(2013,3,31)</f>
        <v>41364</v>
      </c>
      <c r="F17" s="42">
        <f>DATE(2014,3,31)</f>
        <v>41729</v>
      </c>
      <c r="G17" s="42">
        <f>DATE(2015,3,31)</f>
        <v>42094</v>
      </c>
      <c r="H17" s="42">
        <f>DATE(2016,3,31)</f>
        <v>42460</v>
      </c>
      <c r="I17" s="42">
        <f>DATE(2017,3,31)</f>
        <v>42825</v>
      </c>
      <c r="J17" s="42">
        <f>DATE(2018,3,31)</f>
        <v>43190</v>
      </c>
      <c r="K17" s="42">
        <f>DATE(2019,3,31)</f>
        <v>43555</v>
      </c>
      <c r="L17" s="42">
        <f>DATE(2020,3,31)</f>
        <v>43921</v>
      </c>
      <c r="M17" s="42">
        <f>DATE(2021,3,31)</f>
        <v>44286</v>
      </c>
      <c r="N17" s="42">
        <f>DATE(2022,3,31)</f>
        <v>44651</v>
      </c>
      <c r="O17" s="42">
        <f>DATE(2023,3,31)</f>
        <v>45016</v>
      </c>
      <c r="P17" s="42">
        <f>DATE(2024,3,31)</f>
        <v>45382</v>
      </c>
      <c r="Q17" s="42">
        <f>DATE(2025,3,31)</f>
        <v>45747</v>
      </c>
      <c r="R17" s="42">
        <f>DATE(2026,3,31)</f>
        <v>46112</v>
      </c>
      <c r="S17" s="42">
        <f>DATE(2027,3,31)</f>
        <v>46477</v>
      </c>
      <c r="T17" s="42">
        <f>DATE(2028,3,31)</f>
        <v>46843</v>
      </c>
      <c r="U17" s="42">
        <f>DATE(2029,3,31)</f>
        <v>47208</v>
      </c>
      <c r="V17" s="42">
        <f>DATE(2030,3,31)</f>
        <v>47573</v>
      </c>
      <c r="W17" s="42">
        <f>DATE(2031,3,31)</f>
        <v>47938</v>
      </c>
    </row>
    <row r="18" spans="2:23">
      <c r="B18" s="43" t="s">
        <v>62</v>
      </c>
      <c r="C18" s="155">
        <f ca="1">IRR!U41</f>
        <v>0.12300274611364599</v>
      </c>
      <c r="D18" s="44">
        <f ca="1">IRR!U42</f>
        <v>0.99839594085240613</v>
      </c>
      <c r="E18" s="44">
        <f ca="1">IRR!U43</f>
        <v>0.12757043700240533</v>
      </c>
      <c r="F18" s="44">
        <f ca="1">IRR!U44</f>
        <v>0.87174493315240476</v>
      </c>
      <c r="G18" s="44">
        <f ca="1">IRR!U45</f>
        <v>1.6116694293024043</v>
      </c>
      <c r="H18" s="44">
        <f ca="1">IRR!U46</f>
        <v>2.3471314254524023</v>
      </c>
      <c r="I18" s="44">
        <f ca="1">IRR!U47</f>
        <v>3.0779077966024024</v>
      </c>
      <c r="J18" s="44">
        <f ca="1">IRR!U48</f>
        <v>3.8037642615024008</v>
      </c>
      <c r="K18" s="44">
        <f ca="1">IRR!U49</f>
        <v>4.5244548248398999</v>
      </c>
      <c r="L18" s="44">
        <f ca="1">IRR!U50</f>
        <v>5.239721191536777</v>
      </c>
      <c r="M18" s="44">
        <f ca="1">IRR!U51</f>
        <v>5.9492921517609956</v>
      </c>
      <c r="N18" s="44">
        <f ca="1">IRR!U52</f>
        <v>6.3419424991326796</v>
      </c>
      <c r="O18" s="44">
        <f ca="1">IRR!U53</f>
        <v>6.2100796007745043</v>
      </c>
      <c r="P18" s="44">
        <f ca="1">IRR!U54</f>
        <v>6.0716235574984214</v>
      </c>
      <c r="Q18" s="44">
        <f ca="1">IRR!U55</f>
        <v>5.9262447120585353</v>
      </c>
      <c r="R18" s="44">
        <f ca="1">IRR!U56</f>
        <v>5.7735969243466538</v>
      </c>
      <c r="S18" s="44">
        <f ca="1">IRR!U57</f>
        <v>5.6133167472491774</v>
      </c>
      <c r="T18" s="44">
        <f ca="1">IRR!U58</f>
        <v>5.4450225612968293</v>
      </c>
      <c r="U18" s="44">
        <f ca="1">IRR!U59</f>
        <v>5.268313666046863</v>
      </c>
      <c r="V18" s="44">
        <f ca="1">IRR!U60</f>
        <v>5.0827693260343967</v>
      </c>
      <c r="W18" s="45">
        <f ca="1">IRR!U61</f>
        <v>4.8879477690213111</v>
      </c>
    </row>
    <row r="19" spans="2:23">
      <c r="B19" s="46" t="s">
        <v>145</v>
      </c>
      <c r="C19" s="156">
        <f ca="1">IRR!R41</f>
        <v>6.2746053904109603E-2</v>
      </c>
      <c r="D19" s="47">
        <f ca="1">IRR!R42</f>
        <v>4.5804619350000007</v>
      </c>
      <c r="E19" s="47">
        <f ca="1">IRR!R43</f>
        <v>4.5804619350000007</v>
      </c>
      <c r="F19" s="47">
        <f ca="1">IRR!R44</f>
        <v>4.5804619350000007</v>
      </c>
      <c r="G19" s="47">
        <f ca="1">IRR!R45</f>
        <v>4.5804619350000007</v>
      </c>
      <c r="H19" s="47">
        <f ca="1">IRR!R46</f>
        <v>4.5804619350000007</v>
      </c>
      <c r="I19" s="47">
        <f ca="1">IRR!R47</f>
        <v>4.5804619350000007</v>
      </c>
      <c r="J19" s="47">
        <f ca="1">IRR!R48</f>
        <v>4.5804619350000007</v>
      </c>
      <c r="K19" s="47">
        <f ca="1">IRR!R49</f>
        <v>4.5804619350000007</v>
      </c>
      <c r="L19" s="47">
        <f ca="1">IRR!R50</f>
        <v>4.5804619350000007</v>
      </c>
      <c r="M19" s="47">
        <f ca="1">IRR!R51</f>
        <v>4.5804619350000007</v>
      </c>
      <c r="N19" s="47">
        <f ca="1">IRR!R52</f>
        <v>4.5804619350000007</v>
      </c>
      <c r="O19" s="47">
        <f ca="1">IRR!R53</f>
        <v>4.5804619350000007</v>
      </c>
      <c r="P19" s="47">
        <f ca="1">IRR!R54</f>
        <v>4.5804619350000007</v>
      </c>
      <c r="Q19" s="47">
        <f ca="1">IRR!R55</f>
        <v>4.5804619350000007</v>
      </c>
      <c r="R19" s="47">
        <f ca="1">IRR!R56</f>
        <v>4.5804619350000007</v>
      </c>
      <c r="S19" s="47">
        <f ca="1">IRR!R57</f>
        <v>4.5804619350000007</v>
      </c>
      <c r="T19" s="47">
        <f ca="1">IRR!R58</f>
        <v>4.5804619350000007</v>
      </c>
      <c r="U19" s="47">
        <f ca="1">IRR!R59</f>
        <v>4.5804619350000007</v>
      </c>
      <c r="V19" s="47">
        <f ca="1">IRR!R60</f>
        <v>4.5804619350000007</v>
      </c>
      <c r="W19" s="47">
        <f ca="1">IRR!R61</f>
        <v>4.5804619350000007</v>
      </c>
    </row>
    <row r="20" spans="2:23" ht="30">
      <c r="B20" s="49" t="s">
        <v>144</v>
      </c>
      <c r="C20" s="157">
        <f>C11</f>
        <v>40.715217200000012</v>
      </c>
      <c r="D20" s="50">
        <f>D11</f>
        <v>48.858260640000005</v>
      </c>
      <c r="E20" s="50">
        <f t="shared" ref="E20:W20" si="0">E11</f>
        <v>9.7716521280000066</v>
      </c>
      <c r="F20" s="50">
        <f t="shared" si="0"/>
        <v>1.9543304256000056</v>
      </c>
      <c r="G20" s="50">
        <f t="shared" si="0"/>
        <v>0.39086608512000115</v>
      </c>
      <c r="H20" s="50">
        <f t="shared" si="0"/>
        <v>7.8173217024004774E-2</v>
      </c>
      <c r="I20" s="50">
        <f t="shared" si="0"/>
        <v>1.5634643404803229E-2</v>
      </c>
      <c r="J20" s="50">
        <f t="shared" si="0"/>
        <v>3.1269286809560981E-3</v>
      </c>
      <c r="K20" s="50">
        <f t="shared" si="0"/>
        <v>6.2538573619121964E-4</v>
      </c>
      <c r="L20" s="50">
        <f t="shared" si="0"/>
        <v>1.2507714724279141E-4</v>
      </c>
      <c r="M20" s="50">
        <f t="shared" si="0"/>
        <v>2.5015429446284543E-5</v>
      </c>
      <c r="N20" s="50">
        <f t="shared" si="0"/>
        <v>5.003085891530646E-6</v>
      </c>
      <c r="O20" s="50">
        <f t="shared" si="0"/>
        <v>1.0006171805798659E-6</v>
      </c>
      <c r="P20" s="50">
        <f t="shared" si="0"/>
        <v>2.0012344066344669E-7</v>
      </c>
      <c r="Q20" s="50">
        <f t="shared" si="0"/>
        <v>4.0024690406426092E-8</v>
      </c>
      <c r="R20" s="50">
        <f t="shared" si="0"/>
        <v>8.0049403550219719E-9</v>
      </c>
      <c r="S20" s="50">
        <f t="shared" si="0"/>
        <v>1.6009835235308857E-9</v>
      </c>
      <c r="T20" s="50">
        <f t="shared" si="0"/>
        <v>3.2019897844293155E-10</v>
      </c>
      <c r="U20" s="50">
        <f t="shared" si="0"/>
        <v>6.4039795688586317E-11</v>
      </c>
      <c r="V20" s="50">
        <f t="shared" si="0"/>
        <v>1.2812506611226127E-11</v>
      </c>
      <c r="W20" s="50">
        <f t="shared" si="0"/>
        <v>2.5579538487363607E-12</v>
      </c>
    </row>
    <row r="21" spans="2:23">
      <c r="B21" s="51" t="s">
        <v>63</v>
      </c>
      <c r="C21" s="158">
        <f>C18+C19-C20</f>
        <v>-40.529468399982257</v>
      </c>
      <c r="D21" s="47">
        <f>D18+D19-D20</f>
        <v>-43.279402764147598</v>
      </c>
      <c r="E21" s="47">
        <f>E18+E19-E20</f>
        <v>-5.0636197559976006</v>
      </c>
      <c r="F21" s="47">
        <f t="shared" ref="F21:W21" si="1">F18+F19-F20</f>
        <v>3.4978764425523998</v>
      </c>
      <c r="G21" s="47">
        <f t="shared" si="1"/>
        <v>5.8012652791824042</v>
      </c>
      <c r="H21" s="47">
        <f t="shared" si="1"/>
        <v>6.8494201434283983</v>
      </c>
      <c r="I21" s="47">
        <f t="shared" si="1"/>
        <v>7.6427350881975995</v>
      </c>
      <c r="J21" s="47">
        <f t="shared" si="1"/>
        <v>8.3810992678214458</v>
      </c>
      <c r="K21" s="47">
        <f t="shared" si="1"/>
        <v>9.1042913741037097</v>
      </c>
      <c r="L21" s="47">
        <f t="shared" si="1"/>
        <v>9.8200580493895355</v>
      </c>
      <c r="M21" s="47">
        <f t="shared" si="1"/>
        <v>10.529729071331548</v>
      </c>
      <c r="N21" s="47">
        <f t="shared" si="1"/>
        <v>10.922399431046788</v>
      </c>
      <c r="O21" s="47">
        <f t="shared" si="1"/>
        <v>10.790540535157325</v>
      </c>
      <c r="P21" s="47">
        <f t="shared" si="1"/>
        <v>10.652085292374981</v>
      </c>
      <c r="Q21" s="47">
        <f t="shared" si="1"/>
        <v>10.506706607033845</v>
      </c>
      <c r="R21" s="47">
        <f t="shared" si="1"/>
        <v>10.354058851341714</v>
      </c>
      <c r="S21" s="47">
        <f t="shared" si="1"/>
        <v>10.193778680648194</v>
      </c>
      <c r="T21" s="47">
        <f t="shared" si="1"/>
        <v>10.025484495976631</v>
      </c>
      <c r="U21" s="47">
        <f t="shared" si="1"/>
        <v>9.8487756009828242</v>
      </c>
      <c r="V21" s="47">
        <f t="shared" si="1"/>
        <v>9.6632312610215845</v>
      </c>
      <c r="W21" s="47">
        <f t="shared" si="1"/>
        <v>9.4684097040187538</v>
      </c>
    </row>
    <row r="22" spans="2:23" ht="27.75" customHeight="1">
      <c r="B22" s="46" t="s">
        <v>149</v>
      </c>
      <c r="C22" s="153">
        <v>0</v>
      </c>
      <c r="D22" s="47">
        <f>MIN(C23,0)</f>
        <v>-40.529468399982257</v>
      </c>
      <c r="E22" s="47">
        <f>MIN(D23,0)</f>
        <v>-83.808871164129854</v>
      </c>
      <c r="F22" s="47">
        <f t="shared" ref="F22:W22" si="2">MIN(E23,0)</f>
        <v>-88.872490920127461</v>
      </c>
      <c r="G22" s="47">
        <f t="shared" si="2"/>
        <v>-85.374614477575065</v>
      </c>
      <c r="H22" s="47">
        <f t="shared" si="2"/>
        <v>-79.573349198392663</v>
      </c>
      <c r="I22" s="47">
        <f t="shared" si="2"/>
        <v>-72.723929054964259</v>
      </c>
      <c r="J22" s="47">
        <f t="shared" si="2"/>
        <v>-65.081193966766662</v>
      </c>
      <c r="K22" s="47">
        <f t="shared" si="2"/>
        <v>-56.700094698945215</v>
      </c>
      <c r="L22" s="47">
        <f t="shared" si="2"/>
        <v>-47.595803324841505</v>
      </c>
      <c r="M22" s="47">
        <f t="shared" si="2"/>
        <v>-37.775745275451968</v>
      </c>
      <c r="N22" s="47">
        <f t="shared" si="2"/>
        <v>-27.246016204120419</v>
      </c>
      <c r="O22" s="47">
        <f t="shared" si="2"/>
        <v>-16.323616773073631</v>
      </c>
      <c r="P22" s="47">
        <f t="shared" si="2"/>
        <v>-5.5330762379163065</v>
      </c>
      <c r="Q22" s="47">
        <f>MIN(P23,0)</f>
        <v>0</v>
      </c>
      <c r="R22" s="47">
        <f>MIN(Q23,0)</f>
        <v>0</v>
      </c>
      <c r="S22" s="47">
        <f t="shared" si="2"/>
        <v>0</v>
      </c>
      <c r="T22" s="47">
        <f t="shared" si="2"/>
        <v>0</v>
      </c>
      <c r="U22" s="47">
        <f t="shared" si="2"/>
        <v>0</v>
      </c>
      <c r="V22" s="47">
        <f t="shared" si="2"/>
        <v>0</v>
      </c>
      <c r="W22" s="47">
        <f t="shared" si="2"/>
        <v>0</v>
      </c>
    </row>
    <row r="23" spans="2:23" ht="26.25" customHeight="1">
      <c r="B23" s="46" t="s">
        <v>150</v>
      </c>
      <c r="C23" s="158">
        <f>C21+C22</f>
        <v>-40.529468399982257</v>
      </c>
      <c r="D23" s="158">
        <f>D21+D22</f>
        <v>-83.808871164129854</v>
      </c>
      <c r="E23" s="158">
        <f t="shared" ref="E23:W23" si="3">E21+E22</f>
        <v>-88.872490920127461</v>
      </c>
      <c r="F23" s="158">
        <f t="shared" si="3"/>
        <v>-85.374614477575065</v>
      </c>
      <c r="G23" s="158">
        <f t="shared" si="3"/>
        <v>-79.573349198392663</v>
      </c>
      <c r="H23" s="158">
        <f t="shared" si="3"/>
        <v>-72.723929054964259</v>
      </c>
      <c r="I23" s="158">
        <f t="shared" si="3"/>
        <v>-65.081193966766662</v>
      </c>
      <c r="J23" s="158">
        <f t="shared" si="3"/>
        <v>-56.700094698945215</v>
      </c>
      <c r="K23" s="158">
        <f t="shared" si="3"/>
        <v>-47.595803324841505</v>
      </c>
      <c r="L23" s="158">
        <f t="shared" si="3"/>
        <v>-37.775745275451968</v>
      </c>
      <c r="M23" s="158">
        <f t="shared" si="3"/>
        <v>-27.246016204120419</v>
      </c>
      <c r="N23" s="158">
        <f t="shared" si="3"/>
        <v>-16.323616773073631</v>
      </c>
      <c r="O23" s="158">
        <f t="shared" si="3"/>
        <v>-5.5330762379163065</v>
      </c>
      <c r="P23" s="158">
        <f t="shared" si="3"/>
        <v>5.1190090544586742</v>
      </c>
      <c r="Q23" s="158">
        <f t="shared" si="3"/>
        <v>10.506706607033845</v>
      </c>
      <c r="R23" s="158">
        <f t="shared" si="3"/>
        <v>10.354058851341714</v>
      </c>
      <c r="S23" s="158">
        <f t="shared" si="3"/>
        <v>10.193778680648194</v>
      </c>
      <c r="T23" s="158">
        <f t="shared" si="3"/>
        <v>10.025484495976631</v>
      </c>
      <c r="U23" s="158">
        <f t="shared" si="3"/>
        <v>9.8487756009828242</v>
      </c>
      <c r="V23" s="158">
        <f t="shared" si="3"/>
        <v>9.6632312610215845</v>
      </c>
      <c r="W23" s="158">
        <f t="shared" si="3"/>
        <v>9.4684097040187538</v>
      </c>
    </row>
    <row r="24" spans="2:23">
      <c r="B24" s="51"/>
      <c r="C24" s="153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59"/>
    </row>
    <row r="25" spans="2:23">
      <c r="B25" s="51" t="s">
        <v>64</v>
      </c>
      <c r="C25" s="153">
        <f>IF(C23&gt;0,1,0)</f>
        <v>0</v>
      </c>
      <c r="D25" s="153">
        <f t="shared" ref="D25:W25" si="4">IF(D23&gt;0,1,0)</f>
        <v>0</v>
      </c>
      <c r="E25" s="153">
        <f t="shared" si="4"/>
        <v>0</v>
      </c>
      <c r="F25" s="153">
        <f t="shared" si="4"/>
        <v>0</v>
      </c>
      <c r="G25" s="153">
        <f t="shared" si="4"/>
        <v>0</v>
      </c>
      <c r="H25" s="153">
        <f t="shared" si="4"/>
        <v>0</v>
      </c>
      <c r="I25" s="153">
        <f t="shared" si="4"/>
        <v>0</v>
      </c>
      <c r="J25" s="153">
        <f t="shared" si="4"/>
        <v>0</v>
      </c>
      <c r="K25" s="153">
        <f t="shared" si="4"/>
        <v>0</v>
      </c>
      <c r="L25" s="153">
        <f t="shared" si="4"/>
        <v>0</v>
      </c>
      <c r="M25" s="153">
        <f t="shared" si="4"/>
        <v>0</v>
      </c>
      <c r="N25" s="153">
        <f t="shared" si="4"/>
        <v>0</v>
      </c>
      <c r="O25" s="153">
        <f>IF(O23&gt;0,1,0)</f>
        <v>0</v>
      </c>
      <c r="P25" s="153">
        <f t="shared" si="4"/>
        <v>1</v>
      </c>
      <c r="Q25" s="153">
        <f t="shared" si="4"/>
        <v>1</v>
      </c>
      <c r="R25" s="153">
        <f t="shared" si="4"/>
        <v>1</v>
      </c>
      <c r="S25" s="153">
        <f t="shared" si="4"/>
        <v>1</v>
      </c>
      <c r="T25" s="153">
        <f t="shared" si="4"/>
        <v>1</v>
      </c>
      <c r="U25" s="153">
        <f t="shared" si="4"/>
        <v>1</v>
      </c>
      <c r="V25" s="153">
        <f t="shared" si="4"/>
        <v>1</v>
      </c>
      <c r="W25" s="153">
        <f t="shared" si="4"/>
        <v>1</v>
      </c>
    </row>
    <row r="26" spans="2:23">
      <c r="B26" s="51" t="s">
        <v>151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8">
        <f>O23</f>
        <v>-5.5330762379163065</v>
      </c>
      <c r="P26" s="158">
        <f>P23</f>
        <v>5.1190090544586742</v>
      </c>
      <c r="Q26" s="158">
        <f>Q23</f>
        <v>10.506706607033845</v>
      </c>
      <c r="R26" s="158">
        <f>R23</f>
        <v>10.354058851341714</v>
      </c>
      <c r="S26" s="153">
        <v>0</v>
      </c>
      <c r="T26" s="153">
        <v>0</v>
      </c>
      <c r="U26" s="153">
        <v>0</v>
      </c>
      <c r="V26" s="153">
        <v>0</v>
      </c>
      <c r="W26" s="153">
        <v>0</v>
      </c>
    </row>
    <row r="27" spans="2:23">
      <c r="B27" s="51" t="s">
        <v>152</v>
      </c>
      <c r="C27" s="158">
        <f>MAX(C21-C26,0)</f>
        <v>0</v>
      </c>
      <c r="D27" s="158">
        <f t="shared" ref="D27:W27" si="5">MAX(D21-D26,0)</f>
        <v>0</v>
      </c>
      <c r="E27" s="158">
        <f t="shared" si="5"/>
        <v>0</v>
      </c>
      <c r="F27" s="158">
        <f>MAX(F21-F26,0)</f>
        <v>3.4978764425523998</v>
      </c>
      <c r="G27" s="158">
        <f t="shared" si="5"/>
        <v>5.8012652791824042</v>
      </c>
      <c r="H27" s="158">
        <f t="shared" si="5"/>
        <v>6.8494201434283983</v>
      </c>
      <c r="I27" s="158">
        <f t="shared" si="5"/>
        <v>7.6427350881975995</v>
      </c>
      <c r="J27" s="158">
        <f t="shared" si="5"/>
        <v>8.3810992678214458</v>
      </c>
      <c r="K27" s="158">
        <f t="shared" si="5"/>
        <v>9.1042913741037097</v>
      </c>
      <c r="L27" s="158">
        <f t="shared" si="5"/>
        <v>9.8200580493895355</v>
      </c>
      <c r="M27" s="158">
        <f t="shared" si="5"/>
        <v>10.529729071331548</v>
      </c>
      <c r="N27" s="158">
        <f t="shared" si="5"/>
        <v>10.922399431046788</v>
      </c>
      <c r="O27" s="158">
        <f>MAX(O21-O26,0)</f>
        <v>16.323616773073631</v>
      </c>
      <c r="P27" s="158">
        <f>MAX(P21-P26,0)</f>
        <v>5.5330762379163065</v>
      </c>
      <c r="Q27" s="158">
        <f>MAX(Q21-Q26,0)</f>
        <v>0</v>
      </c>
      <c r="R27" s="158">
        <f t="shared" si="5"/>
        <v>0</v>
      </c>
      <c r="S27" s="158">
        <f t="shared" si="5"/>
        <v>10.193778680648194</v>
      </c>
      <c r="T27" s="158">
        <f t="shared" si="5"/>
        <v>10.025484495976631</v>
      </c>
      <c r="U27" s="158">
        <f t="shared" si="5"/>
        <v>9.8487756009828242</v>
      </c>
      <c r="V27" s="158">
        <f t="shared" si="5"/>
        <v>9.6632312610215845</v>
      </c>
      <c r="W27" s="158">
        <f t="shared" si="5"/>
        <v>9.4684097040187538</v>
      </c>
    </row>
    <row r="28" spans="2:23">
      <c r="B28" s="51" t="s">
        <v>70</v>
      </c>
      <c r="C28" s="158">
        <f ca="1">MAX(C27*IRR!$H$22,0)</f>
        <v>0</v>
      </c>
      <c r="D28" s="158">
        <f ca="1">MAX(D27*IRR!$H$22,0)</f>
        <v>0</v>
      </c>
      <c r="E28" s="158">
        <f ca="1">MAX(E27*IRR!$H$22,0)</f>
        <v>0</v>
      </c>
      <c r="F28" s="158">
        <f ca="1">MAX(F27*IRR!$H$22,0)</f>
        <v>1.1857801140252637</v>
      </c>
      <c r="G28" s="158">
        <f ca="1">MAX(G27*IRR!$H$22,0)</f>
        <v>1.9666289296428352</v>
      </c>
      <c r="H28" s="158">
        <f ca="1">MAX(H27*IRR!$H$22,0)</f>
        <v>2.3219534286222272</v>
      </c>
      <c r="I28" s="158">
        <f ca="1">MAX(I27*IRR!$H$22,0)</f>
        <v>2.5908871948989862</v>
      </c>
      <c r="J28" s="158">
        <f ca="1">MAX(J27*IRR!$H$22,0)</f>
        <v>2.8411926517914705</v>
      </c>
      <c r="K28" s="158">
        <f ca="1">MAX(K27*IRR!$H$22,0)</f>
        <v>3.0863547758211576</v>
      </c>
      <c r="L28" s="158">
        <f ca="1">MAX(L27*IRR!$H$22,0)</f>
        <v>3.3289996787430529</v>
      </c>
      <c r="M28" s="158">
        <f ca="1">MAX(M27*IRR!$H$22,0)</f>
        <v>3.5695781551813952</v>
      </c>
      <c r="N28" s="158">
        <f ca="1">MAX(N27*IRR!$H$22,0)</f>
        <v>3.7026934071248614</v>
      </c>
      <c r="O28" s="158">
        <f ca="1">MAX(O27*IRR!$H$22,0)</f>
        <v>5.5337060860719616</v>
      </c>
      <c r="P28" s="158">
        <f ca="1">MAX(P27*IRR!$H$22,0)</f>
        <v>1.875712844653628</v>
      </c>
      <c r="Q28" s="158">
        <f ca="1">MAX(Q27*IRR!$H$22,0)</f>
        <v>0</v>
      </c>
      <c r="R28" s="158">
        <f ca="1">MAX(R27*IRR!$H$22,0)</f>
        <v>0</v>
      </c>
      <c r="S28" s="158">
        <f ca="1">MAX(S27*IRR!$H$22,0)</f>
        <v>3.4556909727397378</v>
      </c>
      <c r="T28" s="158">
        <f ca="1">MAX(T27*IRR!$H$22,0)</f>
        <v>3.3986392441360782</v>
      </c>
      <c r="U28" s="158">
        <f ca="1">MAX(U27*IRR!$H$22,0)</f>
        <v>3.3387349287331776</v>
      </c>
      <c r="V28" s="158">
        <f ca="1">MAX(V27*IRR!$H$22,0)</f>
        <v>3.2758353974863175</v>
      </c>
      <c r="W28" s="158">
        <f ca="1">MAX(W27*IRR!$H$22,0)</f>
        <v>3.2097908896623579</v>
      </c>
    </row>
    <row r="29" spans="2:23">
      <c r="B29" s="51" t="s">
        <v>65</v>
      </c>
      <c r="C29" s="164">
        <f ca="1">IF(C25&gt;0,C18*IRR!$H$23,MAX('Depreciation calculations'!C18*IRR!$H$23,0))</f>
        <v>2.4515062314180217E-2</v>
      </c>
      <c r="D29" s="158">
        <f ca="1">IF(D25&gt;0,D18*IRR!$H$23,MAX('Depreciation calculations'!D18*IRR!$H$23,0))</f>
        <v>0.19898530299158881</v>
      </c>
      <c r="E29" s="158">
        <f ca="1">IF(E25&gt;0,E18*IRR!$H$23,MAX('Depreciation calculations'!E18*IRR!$H$23,0))</f>
        <v>2.5425425946764398E-2</v>
      </c>
      <c r="F29" s="158">
        <f ca="1">IF(F25&gt;0,F18*IRR!$H$23,MAX('Depreciation calculations'!F18*IRR!$H$23,0))</f>
        <v>0.17374312390194005</v>
      </c>
      <c r="G29" s="158">
        <f ca="1">IF(G25&gt;0,G18*IRR!$H$23,MAX('Depreciation calculations'!G18*IRR!$H$23,0))</f>
        <v>0.32121377560711573</v>
      </c>
      <c r="H29" s="158">
        <f ca="1">IF(H25&gt;0,H18*IRR!$H$23,MAX('Depreciation calculations'!H18*IRR!$H$23,0))</f>
        <v>0.46779502874979106</v>
      </c>
      <c r="I29" s="158">
        <f ca="1">IF(I25&gt;0,I18*IRR!$H$23,MAX('Depreciation calculations'!I18*IRR!$H$23,0))</f>
        <v>0.6134424134018418</v>
      </c>
      <c r="J29" s="158">
        <f ca="1">IF(J25&gt;0,J18*IRR!$H$23,MAX('Depreciation calculations'!J18*IRR!$H$23,0))</f>
        <v>0.75810923613873604</v>
      </c>
      <c r="K29" s="158">
        <f ca="1">IF(K25&gt;0,K18*IRR!$H$23,MAX('Depreciation calculations'!K18*IRR!$H$23,0))</f>
        <v>0.90174646886471632</v>
      </c>
      <c r="L29" s="158">
        <f ca="1">IF(L25&gt;0,L18*IRR!$H$23,MAX('Depreciation calculations'!L18*IRR!$H$23,0))</f>
        <v>1.0443026320792375</v>
      </c>
      <c r="M29" s="158">
        <f ca="1">IF(M25&gt;0,M18*IRR!$H$23,MAX('Depreciation calculations'!M18*IRR!$H$23,0))</f>
        <v>1.1857236723067253</v>
      </c>
      <c r="N29" s="158">
        <f ca="1">IF(N25&gt;0,N18*IRR!$H$23,MAX('Depreciation calculations'!N18*IRR!$H$23,0))</f>
        <v>1.2639808497896388</v>
      </c>
      <c r="O29" s="158">
        <f ca="1">IF(O25&gt;0,O18*IRR!$H$23,MAX('Depreciation calculations'!O18*IRR!$H$23,0))</f>
        <v>1.2376999148323626</v>
      </c>
      <c r="P29" s="158">
        <f ca="1">IF(P25&gt;0,P18*IRR!$H$23,MAX('Depreciation calculations'!P18*IRR!$H$23,0))</f>
        <v>1.2101049331272229</v>
      </c>
      <c r="Q29" s="158">
        <f ca="1">IF(Q25&gt;0,Q18*IRR!$H$23,MAX('Depreciation calculations'!Q18*IRR!$H$23,0))</f>
        <v>1.1811302023368264</v>
      </c>
      <c r="R29" s="158">
        <f ca="1">IF(R25&gt;0,R18*IRR!$H$23,MAX('Depreciation calculations'!R18*IRR!$H$23,0))</f>
        <v>1.15070673500691</v>
      </c>
      <c r="S29" s="158">
        <f ca="1">IF(S25&gt;0,S18*IRR!$H$23,MAX('Depreciation calculations'!S18*IRR!$H$23,0))</f>
        <v>1.1187620943104974</v>
      </c>
      <c r="T29" s="158">
        <f ca="1">IF(T25&gt;0,T18*IRR!$H$23,MAX('Depreciation calculations'!T18*IRR!$H$23,0))</f>
        <v>1.0852202215792646</v>
      </c>
      <c r="U29" s="158">
        <f ca="1">IF(U25&gt;0,U18*IRR!$H$23,MAX('Depreciation calculations'!U18*IRR!$H$23,0))</f>
        <v>1.0500012552114701</v>
      </c>
      <c r="V29" s="158">
        <f ca="1">IF(V25&gt;0,V18*IRR!$H$23,MAX('Depreciation calculations'!V18*IRR!$H$23,0))</f>
        <v>1.0130213405252855</v>
      </c>
      <c r="W29" s="158">
        <f ca="1">IF(W25&gt;0,W18*IRR!$H$23,MAX('Depreciation calculations'!W18*IRR!$H$23,0))</f>
        <v>0.97419243010479251</v>
      </c>
    </row>
    <row r="30" spans="2:23">
      <c r="B30" s="51"/>
      <c r="C30" s="153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</row>
    <row r="31" spans="2:23" ht="30.75" thickBot="1">
      <c r="B31" s="188" t="s">
        <v>66</v>
      </c>
      <c r="C31" s="161">
        <f>MAX(C28,C29)</f>
        <v>2.4515062314180217E-2</v>
      </c>
      <c r="D31" s="52">
        <f>MAX(D28,D29)</f>
        <v>0.19898530299158881</v>
      </c>
      <c r="E31" s="52">
        <f t="shared" ref="E31:V31" si="6">MAX(E28,E29)</f>
        <v>2.5425425946764398E-2</v>
      </c>
      <c r="F31" s="52">
        <f>MAX(F28,F29)-SUM(C31:E31)</f>
        <v>0.93685432277273029</v>
      </c>
      <c r="G31" s="52">
        <f t="shared" si="6"/>
        <v>1.9666289296428352</v>
      </c>
      <c r="H31" s="52">
        <f t="shared" si="6"/>
        <v>2.3219534286222272</v>
      </c>
      <c r="I31" s="52">
        <f t="shared" si="6"/>
        <v>2.5908871948989862</v>
      </c>
      <c r="J31" s="52">
        <f t="shared" si="6"/>
        <v>2.8411926517914705</v>
      </c>
      <c r="K31" s="52">
        <f t="shared" si="6"/>
        <v>3.0863547758211576</v>
      </c>
      <c r="L31" s="52">
        <f t="shared" si="6"/>
        <v>3.3289996787430529</v>
      </c>
      <c r="M31" s="52">
        <f t="shared" si="6"/>
        <v>3.5695781551813952</v>
      </c>
      <c r="N31" s="52">
        <f t="shared" si="6"/>
        <v>3.7026934071248614</v>
      </c>
      <c r="O31" s="52">
        <f t="shared" si="6"/>
        <v>5.5337060860719616</v>
      </c>
      <c r="P31" s="52">
        <f t="shared" si="6"/>
        <v>1.875712844653628</v>
      </c>
      <c r="Q31" s="52">
        <f t="shared" si="6"/>
        <v>1.1811302023368264</v>
      </c>
      <c r="R31" s="52">
        <f t="shared" si="6"/>
        <v>1.15070673500691</v>
      </c>
      <c r="S31" s="52">
        <f>MAX(S28,S29)-Q31-R31</f>
        <v>1.1238540353960014</v>
      </c>
      <c r="T31" s="52">
        <f t="shared" si="6"/>
        <v>3.3986392441360782</v>
      </c>
      <c r="U31" s="52">
        <f t="shared" si="6"/>
        <v>3.3387349287331776</v>
      </c>
      <c r="V31" s="52">
        <f t="shared" si="6"/>
        <v>3.2758353974863175</v>
      </c>
      <c r="W31" s="53">
        <f>MAX(W28,W29)</f>
        <v>3.2097908896623579</v>
      </c>
    </row>
  </sheetData>
  <mergeCells count="2">
    <mergeCell ref="B4:E4"/>
    <mergeCell ref="F15:G1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D3:G25"/>
  <sheetViews>
    <sheetView workbookViewId="0">
      <selection activeCell="J8" sqref="J8"/>
    </sheetView>
  </sheetViews>
  <sheetFormatPr defaultRowHeight="12.75"/>
  <cols>
    <col min="1" max="3" width="9.140625" style="24"/>
    <col min="4" max="4" width="13.85546875" style="24" customWidth="1"/>
    <col min="5" max="5" width="36.7109375" style="24" customWidth="1"/>
    <col min="6" max="6" width="11.42578125" style="24" customWidth="1"/>
    <col min="7" max="7" width="14" style="24" customWidth="1"/>
    <col min="8" max="16384" width="9.140625" style="24"/>
  </cols>
  <sheetData>
    <row r="3" spans="4:7" ht="13.5" thickBot="1"/>
    <row r="4" spans="4:7">
      <c r="D4" s="113"/>
      <c r="E4" s="126" t="s">
        <v>88</v>
      </c>
      <c r="F4" s="114"/>
      <c r="G4" s="115"/>
    </row>
    <row r="5" spans="4:7">
      <c r="D5" s="109"/>
      <c r="E5" s="110"/>
      <c r="F5" s="111"/>
      <c r="G5" s="112"/>
    </row>
    <row r="6" spans="4:7" ht="23.25" customHeight="1">
      <c r="D6" s="109"/>
      <c r="E6" s="216"/>
      <c r="F6" s="216"/>
      <c r="G6" s="217"/>
    </row>
    <row r="7" spans="4:7" ht="21.75" customHeight="1">
      <c r="D7" s="123" t="s">
        <v>25</v>
      </c>
      <c r="E7" s="124" t="s">
        <v>89</v>
      </c>
      <c r="F7" s="124" t="s">
        <v>26</v>
      </c>
      <c r="G7" s="125" t="s">
        <v>27</v>
      </c>
    </row>
    <row r="8" spans="4:7" ht="47.25" customHeight="1">
      <c r="D8" s="1"/>
      <c r="E8" s="116" t="s">
        <v>90</v>
      </c>
      <c r="F8" s="187">
        <f ca="1">IRR!G42</f>
        <v>3122.5806451612902</v>
      </c>
      <c r="G8" s="118" t="s">
        <v>91</v>
      </c>
    </row>
    <row r="9" spans="4:7" ht="26.25" customHeight="1">
      <c r="D9" s="1"/>
      <c r="E9" s="119" t="s">
        <v>92</v>
      </c>
      <c r="F9" s="117">
        <v>0.95340000000000003</v>
      </c>
      <c r="G9" s="118" t="s">
        <v>93</v>
      </c>
    </row>
    <row r="10" spans="4:7" ht="19.5" customHeight="1" thickBot="1">
      <c r="D10" s="120"/>
      <c r="E10" s="121" t="s">
        <v>94</v>
      </c>
      <c r="F10" s="165">
        <f>F8*F9</f>
        <v>2977.0683870967741</v>
      </c>
      <c r="G10" s="122" t="s">
        <v>95</v>
      </c>
    </row>
    <row r="12" spans="4:7" ht="13.5" thickBot="1"/>
    <row r="13" spans="4:7">
      <c r="D13" s="113"/>
      <c r="E13" s="126" t="s">
        <v>96</v>
      </c>
      <c r="F13" s="114"/>
      <c r="G13" s="115"/>
    </row>
    <row r="14" spans="4:7">
      <c r="D14" s="127"/>
      <c r="E14" s="117"/>
      <c r="F14" s="128"/>
      <c r="G14" s="129"/>
    </row>
    <row r="15" spans="4:7" ht="24.75" customHeight="1" thickBot="1">
      <c r="D15" s="130" t="s">
        <v>98</v>
      </c>
      <c r="E15" s="131" t="s">
        <v>96</v>
      </c>
      <c r="F15" s="131">
        <v>0</v>
      </c>
      <c r="G15" s="132" t="s">
        <v>95</v>
      </c>
    </row>
    <row r="17" spans="4:7" ht="13.5" thickBot="1"/>
    <row r="18" spans="4:7">
      <c r="D18" s="113"/>
      <c r="E18" s="126" t="s">
        <v>97</v>
      </c>
      <c r="F18" s="114"/>
      <c r="G18" s="115"/>
    </row>
    <row r="19" spans="4:7">
      <c r="D19" s="127"/>
      <c r="E19" s="117"/>
      <c r="F19" s="128"/>
      <c r="G19" s="129"/>
    </row>
    <row r="20" spans="4:7" ht="15.75" thickBot="1">
      <c r="D20" s="130" t="s">
        <v>99</v>
      </c>
      <c r="E20" s="131" t="s">
        <v>100</v>
      </c>
      <c r="F20" s="131">
        <v>0</v>
      </c>
      <c r="G20" s="132" t="s">
        <v>95</v>
      </c>
    </row>
    <row r="22" spans="4:7" ht="13.5" thickBot="1"/>
    <row r="23" spans="4:7">
      <c r="D23" s="113"/>
      <c r="E23" s="126" t="s">
        <v>101</v>
      </c>
      <c r="F23" s="114"/>
      <c r="G23" s="115"/>
    </row>
    <row r="24" spans="4:7" ht="18.75">
      <c r="D24" s="127"/>
      <c r="E24" s="133" t="s">
        <v>102</v>
      </c>
      <c r="F24" s="128"/>
      <c r="G24" s="129"/>
    </row>
    <row r="25" spans="4:7" ht="15.75" thickBot="1">
      <c r="D25" s="130" t="s">
        <v>103</v>
      </c>
      <c r="E25" s="131" t="s">
        <v>104</v>
      </c>
      <c r="F25" s="134">
        <f>F10-F15-F20</f>
        <v>2977.0683870967741</v>
      </c>
      <c r="G25" s="132" t="s">
        <v>95</v>
      </c>
    </row>
  </sheetData>
  <mergeCells count="1">
    <mergeCell ref="E6:G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  <oleObjects>
    <oleObject progId="Equation.3" shapeId="2049" r:id="rId3"/>
    <oleObject progId="Equation.3" shapeId="2050" r:id="rId4"/>
    <oleObject progId="Equation.3" shapeId="2051" r:id="rId5"/>
    <oleObject progId="Equation.3" shapeId="2052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IRR</vt:lpstr>
      <vt:lpstr>Capital Cost</vt:lpstr>
      <vt:lpstr>Loan schedule</vt:lpstr>
      <vt:lpstr>Tariff</vt:lpstr>
      <vt:lpstr>Depreciation calculations</vt:lpstr>
      <vt:lpstr>Emission Reduction Sheet </vt:lpstr>
      <vt:lpstr>IRR!_ftn1</vt:lpstr>
      <vt:lpstr>IRR!_ftnref1</vt:lpstr>
    </vt:vector>
  </TitlesOfParts>
  <Company>Deloitte Touche Tohmatsu Services,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Deloitte</dc:creator>
  <cp:lastModifiedBy>premkumar</cp:lastModifiedBy>
  <dcterms:created xsi:type="dcterms:W3CDTF">2011-10-22T17:40:51Z</dcterms:created>
  <dcterms:modified xsi:type="dcterms:W3CDTF">2012-11-09T10:37:00Z</dcterms:modified>
</cp:coreProperties>
</file>