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drana\OneDrive\Desktop\TR approved project documents for completness check\TR approved project documents for completness check\"/>
    </mc:Choice>
  </mc:AlternateContent>
  <xr:revisionPtr revIDLastSave="0" documentId="13_ncr:1_{AA7062EE-B9AC-43BF-B2B6-F1A6337AAE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R and SDG Summary" sheetId="1" r:id="rId1"/>
    <sheet name="SDG 7 &amp; 13" sheetId="2" r:id="rId2"/>
    <sheet name="SDG 8" sheetId="3" r:id="rId3"/>
    <sheet name="Ex-ante" sheetId="4" r:id="rId4"/>
    <sheet name="PLF Analysi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H9" i="5"/>
  <c r="D9" i="5"/>
  <c r="H45" i="3" l="1"/>
  <c r="H35" i="3"/>
  <c r="H25" i="3"/>
  <c r="B21" i="3"/>
  <c r="E12" i="4" l="1"/>
  <c r="H10" i="4" l="1"/>
  <c r="D10" i="4"/>
  <c r="G11" i="4"/>
  <c r="D5" i="4"/>
  <c r="H11" i="4" l="1"/>
  <c r="D11" i="4"/>
  <c r="C15" i="3" l="1"/>
  <c r="E14" i="3"/>
  <c r="E15" i="3" s="1"/>
  <c r="D10" i="3"/>
  <c r="C10" i="3"/>
  <c r="E9" i="3"/>
  <c r="E10" i="3" s="1"/>
  <c r="D5" i="3"/>
  <c r="C5" i="3"/>
  <c r="E28" i="1" s="1"/>
  <c r="E4" i="3"/>
  <c r="E5" i="3" s="1"/>
  <c r="R13" i="2"/>
  <c r="K12" i="2"/>
  <c r="J12" i="2"/>
  <c r="N12" i="2" s="1"/>
  <c r="P12" i="2" s="1"/>
  <c r="K11" i="2"/>
  <c r="J11" i="2"/>
  <c r="K10" i="2"/>
  <c r="J10" i="2"/>
  <c r="K9" i="2"/>
  <c r="J9" i="2"/>
  <c r="K8" i="2"/>
  <c r="J8" i="2"/>
  <c r="N8" i="2" s="1"/>
  <c r="P8" i="2" s="1"/>
  <c r="S8" i="2" s="1"/>
  <c r="K7" i="2"/>
  <c r="J7" i="2"/>
  <c r="C14" i="1"/>
  <c r="E27" i="1" l="1"/>
  <c r="G12" i="4"/>
  <c r="G13" i="4" s="1"/>
  <c r="F12" i="4"/>
  <c r="E29" i="1"/>
  <c r="S12" i="2"/>
  <c r="N11" i="2"/>
  <c r="P11" i="2" s="1"/>
  <c r="S11" i="2" s="1"/>
  <c r="N10" i="2"/>
  <c r="P10" i="2" s="1"/>
  <c r="S10" i="2" s="1"/>
  <c r="N7" i="2"/>
  <c r="P7" i="2" s="1"/>
  <c r="N9" i="2"/>
  <c r="P9" i="2" s="1"/>
  <c r="S9" i="2" s="1"/>
  <c r="C19" i="1"/>
  <c r="P13" i="2" l="1"/>
  <c r="N13" i="2"/>
  <c r="S7" i="2"/>
  <c r="S13" i="2" s="1"/>
  <c r="E30" i="1" l="1"/>
  <c r="C21" i="1" s="1"/>
  <c r="C22" i="1" s="1"/>
  <c r="H12" i="4"/>
  <c r="H13" i="4" s="1"/>
  <c r="D12" i="4"/>
  <c r="D13" i="4" s="1"/>
  <c r="E26" i="1"/>
  <c r="C20" i="1" s="1"/>
  <c r="D11" i="5" s="1"/>
  <c r="H11" i="5" l="1"/>
  <c r="H13" i="5" s="1"/>
  <c r="H14" i="5" s="1"/>
  <c r="D13" i="5"/>
  <c r="D14" i="5" s="1"/>
</calcChain>
</file>

<file path=xl/sharedStrings.xml><?xml version="1.0" encoding="utf-8"?>
<sst xmlns="http://schemas.openxmlformats.org/spreadsheetml/2006/main" count="204" uniqueCount="134">
  <si>
    <t>ER Sheet Version Number</t>
  </si>
  <si>
    <t xml:space="preserve">Title of the project </t>
  </si>
  <si>
    <t>Version Dated</t>
  </si>
  <si>
    <t>MWh</t>
  </si>
  <si>
    <t>tCO2e</t>
  </si>
  <si>
    <t>SDG Indicator</t>
  </si>
  <si>
    <t>SDG</t>
  </si>
  <si>
    <t>Values achieved</t>
  </si>
  <si>
    <t>Unit</t>
  </si>
  <si>
    <t>Affordable and Clean Energy</t>
  </si>
  <si>
    <t>SDG 7</t>
  </si>
  <si>
    <t>Decent Work and Economic Growth</t>
  </si>
  <si>
    <t>SDG 8</t>
  </si>
  <si>
    <t>Number  of employees</t>
  </si>
  <si>
    <t>Number  of Trainings</t>
  </si>
  <si>
    <t xml:space="preserve">Income generation </t>
  </si>
  <si>
    <t>Climate Action</t>
  </si>
  <si>
    <t>SDG 13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</si>
  <si>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e per annum</t>
    </r>
  </si>
  <si>
    <t>120 MW Solar PV Plant by Juniper Green Sigma 
Private Ltd. in Gujarat</t>
  </si>
  <si>
    <t>ER Comparison for current Monitoring period</t>
  </si>
  <si>
    <t>Capacity (MW)</t>
  </si>
  <si>
    <t>Start Date of Monitoring Period</t>
  </si>
  <si>
    <t>End Date of Monitoring Period</t>
  </si>
  <si>
    <t>Number of Days for Current Monitoring Period</t>
  </si>
  <si>
    <t>Days</t>
  </si>
  <si>
    <t>Annual generation as per registered PDD</t>
  </si>
  <si>
    <t>MWh/yr</t>
  </si>
  <si>
    <r>
      <t>EF</t>
    </r>
    <r>
      <rPr>
        <vertAlign val="subscript"/>
        <sz val="11"/>
        <color rgb="FF000000"/>
        <rFont val="Calibri"/>
        <family val="2"/>
        <scheme val="minor"/>
      </rPr>
      <t>grid,CM,y</t>
    </r>
  </si>
  <si>
    <t>tCO2 / MWh</t>
  </si>
  <si>
    <t>ER Estimation for Current Monitoring Period</t>
  </si>
  <si>
    <t>Actual Net generation for Current Monitoring Period</t>
  </si>
  <si>
    <t>Estimated generation for current monitoring period</t>
  </si>
  <si>
    <t>Actual ER for Current Monitoring Period</t>
  </si>
  <si>
    <t>Change in Emission Reductions</t>
  </si>
  <si>
    <t>%</t>
  </si>
  <si>
    <t>Annual ER Estimation as per Registered PDD</t>
  </si>
  <si>
    <t>GS: 7572 - 120 MW SOLAR PV PLANT BY JUNIPER GREEN SIGMA PRIVATE LTD. IN GUJARAT</t>
  </si>
  <si>
    <t>Total (120 MW)</t>
  </si>
  <si>
    <t>Emission Reductions</t>
  </si>
  <si>
    <t>45 MW (KHADOL)</t>
  </si>
  <si>
    <t>35 MW (BABSAR)</t>
  </si>
  <si>
    <t>40 MW (BHORDU)</t>
  </si>
  <si>
    <t>Month(s)</t>
  </si>
  <si>
    <t>Net Electricity Generation (MWh)</t>
  </si>
  <si>
    <t>Grid Emission Factor 
(tCO2 / MWh)</t>
  </si>
  <si>
    <t>Baseline Emission (tCO2)</t>
  </si>
  <si>
    <t>Projetc Emission (tCO2)</t>
  </si>
  <si>
    <t>Leakage Emission (tCO2)</t>
  </si>
  <si>
    <t>Vintage wise Emission (tCO2)</t>
  </si>
  <si>
    <t>(JMR)</t>
  </si>
  <si>
    <t xml:space="preserve"> (JMR)</t>
  </si>
  <si>
    <t>As Per JMR</t>
  </si>
  <si>
    <r>
      <t>As Per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Invoice</t>
    </r>
  </si>
  <si>
    <t>Total</t>
  </si>
  <si>
    <t>Capacity and site name--&gt;</t>
  </si>
  <si>
    <t>From</t>
  </si>
  <si>
    <t>To</t>
  </si>
  <si>
    <t>Monitoring Period: 01/01/2024 to 30/06/2024 (Inclusive of both the dates)</t>
  </si>
  <si>
    <t>SDG 8: Decent Work and Economic Growth</t>
  </si>
  <si>
    <t xml:space="preserve">Parameter </t>
  </si>
  <si>
    <t xml:space="preserve">Vintage </t>
  </si>
  <si>
    <t>Project value</t>
  </si>
  <si>
    <t>Baseline Value</t>
  </si>
  <si>
    <t>Net Benefit</t>
  </si>
  <si>
    <t xml:space="preserve">Number of training provided to employees &amp; O&amp;M staff  </t>
  </si>
  <si>
    <t>Vintage</t>
  </si>
  <si>
    <t>Income generation for O&amp;M (Lakh INR)</t>
  </si>
  <si>
    <t xml:space="preserve">Baseline Value </t>
  </si>
  <si>
    <t xml:space="preserve">Net Benefit </t>
  </si>
  <si>
    <t xml:space="preserve">Number of O&amp;M Staff involved </t>
  </si>
  <si>
    <t>Average</t>
  </si>
  <si>
    <t>01/01/2024 to 30/06/2024</t>
  </si>
  <si>
    <t>Start date of Monitoring period</t>
  </si>
  <si>
    <t xml:space="preserve">End date of Monitoring period </t>
  </si>
  <si>
    <t>Total days in the Monitoring period</t>
  </si>
  <si>
    <t>Details</t>
  </si>
  <si>
    <t>Electricity Generation (MWh)</t>
  </si>
  <si>
    <t>Training</t>
  </si>
  <si>
    <t>Income generation (INR)</t>
  </si>
  <si>
    <t>Employment</t>
  </si>
  <si>
    <t>ER (tCO2)</t>
  </si>
  <si>
    <t>PDD Estimate/Year</t>
  </si>
  <si>
    <t>NA</t>
  </si>
  <si>
    <t xml:space="preserve">Estimated for this monitoring period </t>
  </si>
  <si>
    <t>Actual Benefit for the monitoring peirod</t>
  </si>
  <si>
    <t xml:space="preserve">Difference </t>
  </si>
  <si>
    <t>Export (MWh)</t>
  </si>
  <si>
    <t>Import (MWh)</t>
  </si>
  <si>
    <t>tCO2/yr</t>
  </si>
  <si>
    <t>S.No.</t>
  </si>
  <si>
    <t>Date</t>
  </si>
  <si>
    <t>Topics</t>
  </si>
  <si>
    <t>No. of participants</t>
  </si>
  <si>
    <t xml:space="preserve">Total No. of Trainings </t>
  </si>
  <si>
    <t>23/01/2024</t>
  </si>
  <si>
    <t>Employee details</t>
  </si>
  <si>
    <t>Organisation</t>
  </si>
  <si>
    <t>Number of employees</t>
  </si>
  <si>
    <t>Permanent Employees</t>
  </si>
  <si>
    <t>Temporary Employees</t>
  </si>
  <si>
    <t>Total Employment</t>
  </si>
  <si>
    <t>Tilting Activity, General Safety Training, ERT</t>
  </si>
  <si>
    <t>14/03/2024</t>
  </si>
  <si>
    <t>BBS Training</t>
  </si>
  <si>
    <t>Road Safety Training</t>
  </si>
  <si>
    <t>17/02/2024</t>
  </si>
  <si>
    <t>Electrical Safety Training</t>
  </si>
  <si>
    <t>General Safety Training, LSSR</t>
  </si>
  <si>
    <t>22/5/2024</t>
  </si>
  <si>
    <t>24/01/2024</t>
  </si>
  <si>
    <t>16/02/2024</t>
  </si>
  <si>
    <t>17/05/2024</t>
  </si>
  <si>
    <t>25/01/2024</t>
  </si>
  <si>
    <t>20/04/2024</t>
  </si>
  <si>
    <t>15/05/2024</t>
  </si>
  <si>
    <t>PLF Comparison</t>
  </si>
  <si>
    <t>(Current Monitoring period i.e., 6 months)</t>
  </si>
  <si>
    <t>Estimated PLF as per registerd PDD</t>
  </si>
  <si>
    <t>Current monitoring period</t>
  </si>
  <si>
    <t>Actual Generation (MWh)</t>
  </si>
  <si>
    <t>Total no. of days</t>
  </si>
  <si>
    <t>Total generation</t>
  </si>
  <si>
    <t>Capacity</t>
  </si>
  <si>
    <t>Actual PLF</t>
  </si>
  <si>
    <t>Percentage Variation in PLF with respect to Registered PDD</t>
  </si>
  <si>
    <t>As per IRR sheet</t>
  </si>
  <si>
    <t>Breaching value of PLF as per registered PDD</t>
  </si>
  <si>
    <t>IRR as per registered PDD</t>
  </si>
  <si>
    <t>Benchmark is</t>
  </si>
  <si>
    <t>(Current + Previous Monitoring period i.e., complete year)</t>
  </si>
  <si>
    <t xml:space="preserve">ER SUMMARY-GS: 7572 - 120 MW SOLAR PV PLANT BY JUNIPER GREEN SIGMA PRIVATE LTD. IN GUJARAT </t>
  </si>
  <si>
    <t>MWh.</t>
  </si>
  <si>
    <t>As per the registered PDD the estimated PLF is 28.36% and as per the actual generation during the current monitoring period, PLF is 30.71% which is 8.29% higher as compared to estimated PLF. Although the IRR will breach the benchmark value at a PLF variation of more than 22.30%. As the percentage variation is less than the breaching value hence, with the actual PLF also the IRR is not breaching the benchmark value. Additionally, for the complete year (01/07/2023 to 30/06/2024), the actual PLF is 27.58% which is 2.75% lesser compared with registered PLF.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</si>
</sst>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[$-409]d\-mmm\-yy;@"/>
    <numFmt numFmtId="167" formatCode="m/d/yyyy;@"/>
    <numFmt numFmtId="168" formatCode="[$-409]mmm\-yy;@"/>
    <numFmt numFmtId="169" formatCode="0.000000000000000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 Light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6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3" fillId="2" borderId="5" xfId="0" applyFont="1" applyFill="1" applyBorder="1" applyAlignment="1">
      <alignment horizontal="left" vertical="center" wrapText="1"/>
    </xf>
    <xf numFmtId="3" fontId="0" fillId="0" borderId="7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0" fillId="0" borderId="4" xfId="0" applyBorder="1" applyAlignment="1">
      <alignment vertical="center"/>
    </xf>
    <xf numFmtId="15" fontId="7" fillId="0" borderId="21" xfId="0" applyNumberFormat="1" applyFont="1" applyBorder="1" applyAlignment="1">
      <alignment vertical="center"/>
    </xf>
    <xf numFmtId="0" fontId="0" fillId="3" borderId="4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3" fontId="7" fillId="0" borderId="21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3" fontId="7" fillId="0" borderId="34" xfId="0" applyNumberFormat="1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10" fontId="7" fillId="0" borderId="18" xfId="0" applyNumberFormat="1" applyFont="1" applyBorder="1" applyAlignment="1">
      <alignment vertical="center"/>
    </xf>
    <xf numFmtId="0" fontId="0" fillId="3" borderId="6" xfId="0" applyFill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/>
    </xf>
    <xf numFmtId="0" fontId="3" fillId="5" borderId="26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0" fillId="3" borderId="0" xfId="0" applyFill="1"/>
    <xf numFmtId="0" fontId="2" fillId="11" borderId="7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166" fontId="12" fillId="8" borderId="7" xfId="0" applyNumberFormat="1" applyFont="1" applyFill="1" applyBorder="1" applyAlignment="1">
      <alignment horizontal="center" vertical="center"/>
    </xf>
    <xf numFmtId="164" fontId="0" fillId="3" borderId="7" xfId="1" applyFont="1" applyFill="1" applyBorder="1"/>
    <xf numFmtId="0" fontId="2" fillId="3" borderId="7" xfId="0" applyFont="1" applyFill="1" applyBorder="1" applyAlignment="1">
      <alignment horizontal="center"/>
    </xf>
    <xf numFmtId="164" fontId="2" fillId="3" borderId="7" xfId="1" applyFont="1" applyFill="1" applyBorder="1"/>
    <xf numFmtId="2" fontId="2" fillId="3" borderId="7" xfId="0" applyNumberFormat="1" applyFont="1" applyFill="1" applyBorder="1"/>
    <xf numFmtId="0" fontId="2" fillId="8" borderId="7" xfId="0" applyFont="1" applyFill="1" applyBorder="1" applyAlignment="1">
      <alignment horizontal="center" vertical="center"/>
    </xf>
    <xf numFmtId="0" fontId="2" fillId="0" borderId="38" xfId="0" applyFont="1" applyBorder="1"/>
    <xf numFmtId="17" fontId="2" fillId="5" borderId="7" xfId="0" applyNumberFormat="1" applyFont="1" applyFill="1" applyBorder="1" applyAlignment="1">
      <alignment horizontal="center"/>
    </xf>
    <xf numFmtId="15" fontId="0" fillId="0" borderId="7" xfId="0" applyNumberFormat="1" applyBorder="1"/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center" wrapText="1"/>
    </xf>
    <xf numFmtId="164" fontId="7" fillId="0" borderId="7" xfId="1" applyFont="1" applyBorder="1" applyAlignment="1">
      <alignment horizontal="center" vertical="top" wrapText="1"/>
    </xf>
    <xf numFmtId="164" fontId="12" fillId="0" borderId="7" xfId="1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1" fontId="0" fillId="0" borderId="7" xfId="0" applyNumberFormat="1" applyBorder="1" applyAlignment="1">
      <alignment horizontal="center" vertical="top" wrapText="1"/>
    </xf>
    <xf numFmtId="1" fontId="12" fillId="0" borderId="7" xfId="0" applyNumberFormat="1" applyFont="1" applyBorder="1" applyAlignment="1">
      <alignment horizontal="center" vertical="top" wrapText="1"/>
    </xf>
    <xf numFmtId="0" fontId="0" fillId="0" borderId="7" xfId="0" applyBorder="1"/>
    <xf numFmtId="3" fontId="0" fillId="0" borderId="7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64" fontId="0" fillId="0" borderId="7" xfId="1" applyFont="1" applyBorder="1" applyAlignment="1">
      <alignment horizontal="right"/>
    </xf>
    <xf numFmtId="1" fontId="0" fillId="0" borderId="7" xfId="0" applyNumberFormat="1" applyBorder="1" applyAlignment="1">
      <alignment horizontal="right"/>
    </xf>
    <xf numFmtId="165" fontId="0" fillId="0" borderId="7" xfId="1" applyNumberFormat="1" applyFont="1" applyBorder="1" applyAlignment="1">
      <alignment horizontal="right"/>
    </xf>
    <xf numFmtId="4" fontId="0" fillId="0" borderId="7" xfId="0" applyNumberFormat="1" applyBorder="1" applyAlignment="1">
      <alignment horizontal="right"/>
    </xf>
    <xf numFmtId="10" fontId="0" fillId="0" borderId="7" xfId="2" applyNumberFormat="1" applyFont="1" applyBorder="1" applyAlignment="1">
      <alignment horizontal="right"/>
    </xf>
    <xf numFmtId="164" fontId="7" fillId="3" borderId="7" xfId="1" applyFont="1" applyFill="1" applyBorder="1" applyAlignment="1">
      <alignment horizontal="center" vertical="center"/>
    </xf>
    <xf numFmtId="164" fontId="0" fillId="3" borderId="7" xfId="1" applyFont="1" applyFill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164" fontId="0" fillId="3" borderId="0" xfId="0" applyNumberFormat="1" applyFill="1"/>
    <xf numFmtId="1" fontId="0" fillId="3" borderId="7" xfId="1" applyNumberFormat="1" applyFont="1" applyFill="1" applyBorder="1"/>
    <xf numFmtId="1" fontId="2" fillId="3" borderId="7" xfId="1" applyNumberFormat="1" applyFont="1" applyFill="1" applyBorder="1"/>
    <xf numFmtId="1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164" fontId="0" fillId="0" borderId="7" xfId="1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7" fontId="13" fillId="3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8" fontId="14" fillId="3" borderId="7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0" xfId="0" applyFont="1"/>
    <xf numFmtId="0" fontId="16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10" fontId="2" fillId="3" borderId="2" xfId="0" applyNumberFormat="1" applyFont="1" applyFill="1" applyBorder="1" applyAlignment="1">
      <alignment horizontal="right" vertical="center"/>
    </xf>
    <xf numFmtId="10" fontId="0" fillId="3" borderId="0" xfId="2" applyNumberFormat="1" applyFont="1" applyFill="1" applyAlignment="1">
      <alignment vertical="center"/>
    </xf>
    <xf numFmtId="0" fontId="0" fillId="3" borderId="4" xfId="0" applyFill="1" applyBorder="1" applyAlignment="1">
      <alignment horizontal="right" vertical="center"/>
    </xf>
    <xf numFmtId="15" fontId="7" fillId="14" borderId="3" xfId="0" applyNumberFormat="1" applyFont="1" applyFill="1" applyBorder="1" applyAlignment="1">
      <alignment horizontal="center" vertical="center"/>
    </xf>
    <xf numFmtId="15" fontId="7" fillId="14" borderId="7" xfId="0" applyNumberFormat="1" applyFont="1" applyFill="1" applyBorder="1" applyAlignment="1">
      <alignment horizontal="center" vertical="center"/>
    </xf>
    <xf numFmtId="164" fontId="2" fillId="3" borderId="4" xfId="3" applyFont="1" applyFill="1" applyBorder="1" applyAlignment="1">
      <alignment horizontal="right" vertical="center"/>
    </xf>
    <xf numFmtId="3" fontId="0" fillId="3" borderId="0" xfId="0" applyNumberFormat="1" applyFill="1" applyAlignment="1">
      <alignment vertical="center"/>
    </xf>
    <xf numFmtId="10" fontId="1" fillId="3" borderId="4" xfId="2" applyNumberFormat="1" applyFont="1" applyFill="1" applyBorder="1" applyAlignment="1">
      <alignment horizontal="right" vertical="center"/>
    </xf>
    <xf numFmtId="10" fontId="1" fillId="3" borderId="47" xfId="2" applyNumberFormat="1" applyFont="1" applyFill="1" applyBorder="1" applyAlignment="1">
      <alignment horizontal="right" vertical="center"/>
    </xf>
    <xf numFmtId="10" fontId="1" fillId="3" borderId="6" xfId="2" applyNumberFormat="1" applyFont="1" applyFill="1" applyBorder="1" applyAlignment="1">
      <alignment horizontal="right" vertical="center"/>
    </xf>
    <xf numFmtId="10" fontId="0" fillId="3" borderId="0" xfId="0" applyNumberFormat="1" applyFill="1" applyAlignment="1">
      <alignment vertical="center"/>
    </xf>
    <xf numFmtId="169" fontId="0" fillId="3" borderId="0" xfId="0" applyNumberFormat="1" applyFill="1" applyAlignment="1">
      <alignment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3" fillId="9" borderId="35" xfId="0" applyFont="1" applyFill="1" applyBorder="1" applyAlignment="1">
      <alignment horizontal="center"/>
    </xf>
    <xf numFmtId="0" fontId="3" fillId="9" borderId="36" xfId="0" applyFont="1" applyFill="1" applyBorder="1" applyAlignment="1">
      <alignment horizontal="center"/>
    </xf>
    <xf numFmtId="0" fontId="3" fillId="9" borderId="22" xfId="0" applyFont="1" applyFill="1" applyBorder="1" applyAlignment="1">
      <alignment horizontal="center"/>
    </xf>
    <xf numFmtId="0" fontId="3" fillId="9" borderId="37" xfId="0" applyFont="1" applyFill="1" applyBorder="1" applyAlignment="1">
      <alignment horizontal="center"/>
    </xf>
    <xf numFmtId="0" fontId="3" fillId="9" borderId="38" xfId="0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wrapText="1"/>
    </xf>
    <xf numFmtId="0" fontId="2" fillId="11" borderId="7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17" fontId="2" fillId="5" borderId="39" xfId="0" applyNumberFormat="1" applyFont="1" applyFill="1" applyBorder="1" applyAlignment="1">
      <alignment horizontal="center"/>
    </xf>
    <xf numFmtId="17" fontId="2" fillId="5" borderId="41" xfId="0" applyNumberFormat="1" applyFont="1" applyFill="1" applyBorder="1" applyAlignment="1">
      <alignment horizontal="center"/>
    </xf>
    <xf numFmtId="17" fontId="2" fillId="5" borderId="20" xfId="0" applyNumberFormat="1" applyFont="1" applyFill="1" applyBorder="1" applyAlignment="1">
      <alignment horizontal="center"/>
    </xf>
    <xf numFmtId="168" fontId="14" fillId="3" borderId="7" xfId="0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14" borderId="3" xfId="0" applyFont="1" applyFill="1" applyBorder="1" applyAlignment="1">
      <alignment horizontal="left" vertical="center"/>
    </xf>
    <xf numFmtId="0" fontId="2" fillId="14" borderId="7" xfId="0" applyFont="1" applyFill="1" applyBorder="1" applyAlignment="1">
      <alignment horizontal="left" vertical="center"/>
    </xf>
    <xf numFmtId="0" fontId="2" fillId="14" borderId="33" xfId="0" applyFont="1" applyFill="1" applyBorder="1" applyAlignment="1">
      <alignment horizontal="center" vertical="center" wrapText="1"/>
    </xf>
    <xf numFmtId="0" fontId="2" fillId="14" borderId="41" xfId="0" applyFont="1" applyFill="1" applyBorder="1" applyAlignment="1">
      <alignment horizontal="center" vertical="center" wrapText="1"/>
    </xf>
    <xf numFmtId="0" fontId="2" fillId="14" borderId="48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/>
    </xf>
    <xf numFmtId="0" fontId="18" fillId="3" borderId="42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0" fontId="18" fillId="3" borderId="44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14" borderId="1" xfId="0" applyFont="1" applyFill="1" applyBorder="1" applyAlignment="1">
      <alignment horizontal="left" vertical="center"/>
    </xf>
    <xf numFmtId="0" fontId="2" fillId="14" borderId="46" xfId="0" applyFont="1" applyFill="1" applyBorder="1" applyAlignment="1">
      <alignment horizontal="left" vertical="center"/>
    </xf>
    <xf numFmtId="0" fontId="2" fillId="14" borderId="3" xfId="0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/>
    </xf>
    <xf numFmtId="165" fontId="3" fillId="3" borderId="4" xfId="3" applyNumberFormat="1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left" vertical="center" wrapText="1"/>
    </xf>
    <xf numFmtId="0" fontId="2" fillId="14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14" borderId="24" xfId="0" applyFont="1" applyFill="1" applyBorder="1" applyAlignment="1">
      <alignment horizontal="center" vertical="center" wrapText="1"/>
    </xf>
    <xf numFmtId="0" fontId="2" fillId="14" borderId="23" xfId="0" applyFont="1" applyFill="1" applyBorder="1" applyAlignment="1">
      <alignment horizontal="center" vertical="center" wrapText="1"/>
    </xf>
    <xf numFmtId="0" fontId="2" fillId="14" borderId="20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EE9F1EE8-3148-43FF-8043-76E646B65334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0"/>
  <sheetViews>
    <sheetView tabSelected="1" topLeftCell="A11" workbookViewId="0">
      <selection activeCell="C16" sqref="C16"/>
    </sheetView>
  </sheetViews>
  <sheetFormatPr defaultRowHeight="14.5" x14ac:dyDescent="0.35"/>
  <cols>
    <col min="2" max="2" width="37.7265625" customWidth="1"/>
    <col min="3" max="3" width="27" customWidth="1"/>
    <col min="4" max="4" width="19" customWidth="1"/>
    <col min="5" max="5" width="11.54296875" bestFit="1" customWidth="1"/>
    <col min="6" max="6" width="22.7265625" customWidth="1"/>
    <col min="8" max="8" width="11.26953125" bestFit="1" customWidth="1"/>
  </cols>
  <sheetData>
    <row r="1" spans="2:9" ht="15" thickBot="1" x14ac:dyDescent="0.4"/>
    <row r="2" spans="2:9" ht="19" thickBot="1" x14ac:dyDescent="0.4">
      <c r="B2" s="104" t="s">
        <v>131</v>
      </c>
      <c r="C2" s="105"/>
      <c r="D2" s="105"/>
      <c r="E2" s="105"/>
      <c r="F2" s="105"/>
      <c r="G2" s="105"/>
      <c r="H2" s="105"/>
      <c r="I2" s="106"/>
    </row>
    <row r="4" spans="2:9" ht="15" thickBot="1" x14ac:dyDescent="0.4"/>
    <row r="5" spans="2:9" ht="15.5" x14ac:dyDescent="0.35">
      <c r="B5" s="1" t="s">
        <v>0</v>
      </c>
      <c r="C5" s="69">
        <v>3</v>
      </c>
    </row>
    <row r="6" spans="2:9" ht="43.5" x14ac:dyDescent="0.35">
      <c r="B6" s="2" t="s">
        <v>1</v>
      </c>
      <c r="C6" s="3" t="s">
        <v>19</v>
      </c>
    </row>
    <row r="7" spans="2:9" ht="16" thickBot="1" x14ac:dyDescent="0.4">
      <c r="B7" s="4" t="s">
        <v>2</v>
      </c>
      <c r="C7" s="70">
        <v>45643</v>
      </c>
    </row>
    <row r="9" spans="2:9" ht="15" thickBot="1" x14ac:dyDescent="0.4"/>
    <row r="10" spans="2:9" ht="19" thickBot="1" x14ac:dyDescent="0.4">
      <c r="B10" s="109" t="s">
        <v>20</v>
      </c>
      <c r="C10" s="110"/>
      <c r="D10" s="13" t="s">
        <v>8</v>
      </c>
    </row>
    <row r="11" spans="2:9" x14ac:dyDescent="0.35">
      <c r="B11" s="25" t="s">
        <v>21</v>
      </c>
      <c r="C11" s="14">
        <v>120</v>
      </c>
      <c r="D11" s="15" t="s">
        <v>3</v>
      </c>
    </row>
    <row r="12" spans="2:9" x14ac:dyDescent="0.35">
      <c r="B12" s="26" t="s">
        <v>22</v>
      </c>
      <c r="C12" s="16">
        <v>45292</v>
      </c>
      <c r="D12" s="17"/>
    </row>
    <row r="13" spans="2:9" x14ac:dyDescent="0.35">
      <c r="B13" s="26" t="s">
        <v>23</v>
      </c>
      <c r="C13" s="16">
        <v>45473</v>
      </c>
      <c r="D13" s="17"/>
    </row>
    <row r="14" spans="2:9" ht="29" x14ac:dyDescent="0.35">
      <c r="B14" s="27" t="s">
        <v>24</v>
      </c>
      <c r="C14" s="18">
        <f>C13-C12+1</f>
        <v>182</v>
      </c>
      <c r="D14" s="17" t="s">
        <v>25</v>
      </c>
    </row>
    <row r="15" spans="2:9" x14ac:dyDescent="0.35">
      <c r="B15" s="26" t="s">
        <v>26</v>
      </c>
      <c r="C15" s="19">
        <v>292335</v>
      </c>
      <c r="D15" s="17" t="s">
        <v>27</v>
      </c>
    </row>
    <row r="16" spans="2:9" ht="29" x14ac:dyDescent="0.35">
      <c r="B16" s="27" t="s">
        <v>32</v>
      </c>
      <c r="C16" s="22">
        <f>(C15*C14)/365</f>
        <v>145767.04109589042</v>
      </c>
      <c r="D16" s="15" t="s">
        <v>27</v>
      </c>
    </row>
    <row r="17" spans="2:6" ht="16.5" x14ac:dyDescent="0.35">
      <c r="B17" s="26" t="s">
        <v>28</v>
      </c>
      <c r="C17" s="20">
        <v>0.94189999999999996</v>
      </c>
      <c r="D17" s="17" t="s">
        <v>29</v>
      </c>
    </row>
    <row r="18" spans="2:6" ht="29" x14ac:dyDescent="0.35">
      <c r="B18" s="27" t="s">
        <v>36</v>
      </c>
      <c r="C18" s="19">
        <v>275350</v>
      </c>
      <c r="D18" s="17" t="s">
        <v>89</v>
      </c>
    </row>
    <row r="19" spans="2:6" ht="29" x14ac:dyDescent="0.35">
      <c r="B19" s="28" t="s">
        <v>30</v>
      </c>
      <c r="C19" s="21">
        <f>ROUNDDOWN(C18*C14/365,0)</f>
        <v>137297</v>
      </c>
      <c r="D19" s="17" t="s">
        <v>4</v>
      </c>
    </row>
    <row r="20" spans="2:6" ht="29" x14ac:dyDescent="0.35">
      <c r="B20" s="27" t="s">
        <v>31</v>
      </c>
      <c r="C20" s="22">
        <f>E26</f>
        <v>160978.41099999999</v>
      </c>
      <c r="D20" s="15" t="s">
        <v>3</v>
      </c>
    </row>
    <row r="21" spans="2:6" x14ac:dyDescent="0.35">
      <c r="B21" s="26" t="s">
        <v>33</v>
      </c>
      <c r="C21" s="19">
        <f>E30</f>
        <v>151625</v>
      </c>
      <c r="D21" s="17" t="s">
        <v>4</v>
      </c>
    </row>
    <row r="22" spans="2:6" ht="15" thickBot="1" x14ac:dyDescent="0.4">
      <c r="B22" s="29" t="s">
        <v>34</v>
      </c>
      <c r="C22" s="23">
        <f>(C21-C19)/C19</f>
        <v>0.10435770628637188</v>
      </c>
      <c r="D22" s="24" t="s">
        <v>35</v>
      </c>
    </row>
    <row r="24" spans="2:6" ht="15" thickBot="1" x14ac:dyDescent="0.4"/>
    <row r="25" spans="2:6" ht="15" customHeight="1" thickBot="1" x14ac:dyDescent="0.4">
      <c r="B25" s="102" t="s">
        <v>5</v>
      </c>
      <c r="C25" s="103"/>
      <c r="D25" s="30" t="s">
        <v>6</v>
      </c>
      <c r="E25" s="30" t="s">
        <v>7</v>
      </c>
      <c r="F25" s="31" t="s">
        <v>8</v>
      </c>
    </row>
    <row r="26" spans="2:6" x14ac:dyDescent="0.35">
      <c r="B26" s="107" t="s">
        <v>9</v>
      </c>
      <c r="C26" s="108"/>
      <c r="D26" s="10" t="s">
        <v>10</v>
      </c>
      <c r="E26" s="11">
        <f>'SDG 7 &amp; 13'!N13</f>
        <v>160978.41099999999</v>
      </c>
      <c r="F26" s="12" t="s">
        <v>132</v>
      </c>
    </row>
    <row r="27" spans="2:6" ht="16.5" customHeight="1" x14ac:dyDescent="0.35">
      <c r="B27" s="111" t="s">
        <v>11</v>
      </c>
      <c r="C27" s="112"/>
      <c r="D27" s="117" t="s">
        <v>12</v>
      </c>
      <c r="E27" s="68">
        <f>'SDG 8'!C15</f>
        <v>23</v>
      </c>
      <c r="F27" s="6" t="s">
        <v>13</v>
      </c>
    </row>
    <row r="28" spans="2:6" x14ac:dyDescent="0.35">
      <c r="B28" s="113"/>
      <c r="C28" s="114"/>
      <c r="D28" s="117"/>
      <c r="E28" s="67">
        <f>'SDG 8'!C5</f>
        <v>15</v>
      </c>
      <c r="F28" s="6" t="s">
        <v>14</v>
      </c>
    </row>
    <row r="29" spans="2:6" x14ac:dyDescent="0.35">
      <c r="B29" s="115"/>
      <c r="C29" s="116"/>
      <c r="D29" s="117"/>
      <c r="E29" s="5">
        <f>'SDG 8'!C10</f>
        <v>5238725</v>
      </c>
      <c r="F29" s="6" t="s">
        <v>15</v>
      </c>
    </row>
    <row r="30" spans="2:6" ht="17" thickBot="1" x14ac:dyDescent="0.4">
      <c r="B30" s="100" t="s">
        <v>16</v>
      </c>
      <c r="C30" s="101"/>
      <c r="D30" s="7" t="s">
        <v>17</v>
      </c>
      <c r="E30" s="8">
        <f>'SDG 7 &amp; 13'!S13</f>
        <v>151625</v>
      </c>
      <c r="F30" s="9" t="s">
        <v>18</v>
      </c>
    </row>
  </sheetData>
  <mergeCells count="7">
    <mergeCell ref="B30:C30"/>
    <mergeCell ref="B25:C25"/>
    <mergeCell ref="B2:I2"/>
    <mergeCell ref="B26:C26"/>
    <mergeCell ref="B10:C10"/>
    <mergeCell ref="B27:C29"/>
    <mergeCell ref="D27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8F64-E5E0-448B-82C0-392381756FAB}">
  <dimension ref="B2:S16"/>
  <sheetViews>
    <sheetView workbookViewId="0">
      <selection activeCell="M16" sqref="M16"/>
    </sheetView>
  </sheetViews>
  <sheetFormatPr defaultColWidth="9.26953125" defaultRowHeight="14.5" x14ac:dyDescent="0.35"/>
  <cols>
    <col min="1" max="2" width="9.26953125" style="32"/>
    <col min="3" max="3" width="14.26953125" style="32" bestFit="1" customWidth="1"/>
    <col min="4" max="4" width="14" style="32" bestFit="1" customWidth="1"/>
    <col min="5" max="5" width="14.26953125" style="32" bestFit="1" customWidth="1"/>
    <col min="6" max="6" width="14" style="32" bestFit="1" customWidth="1"/>
    <col min="7" max="7" width="14.26953125" style="32" bestFit="1" customWidth="1"/>
    <col min="8" max="8" width="14" style="32" bestFit="1" customWidth="1"/>
    <col min="9" max="9" width="14.26953125" style="32" bestFit="1" customWidth="1"/>
    <col min="10" max="10" width="14" style="32" bestFit="1" customWidth="1"/>
    <col min="11" max="11" width="14.26953125" style="32" bestFit="1" customWidth="1"/>
    <col min="12" max="12" width="14" style="32" bestFit="1" customWidth="1"/>
    <col min="13" max="13" width="14.26953125" style="32" bestFit="1" customWidth="1"/>
    <col min="14" max="14" width="15.7265625" style="32" customWidth="1"/>
    <col min="15" max="15" width="21.54296875" style="32" customWidth="1"/>
    <col min="16" max="16" width="14.26953125" style="32" bestFit="1" customWidth="1"/>
    <col min="17" max="18" width="9.26953125" style="32"/>
    <col min="19" max="19" width="13" style="32" customWidth="1"/>
    <col min="20" max="16384" width="9.26953125" style="32"/>
  </cols>
  <sheetData>
    <row r="2" spans="2:19" ht="18.5" x14ac:dyDescent="0.35">
      <c r="B2" s="120" t="s">
        <v>37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1"/>
    </row>
    <row r="3" spans="2:19" ht="15.5" x14ac:dyDescent="0.35">
      <c r="B3" s="122"/>
      <c r="C3" s="122"/>
      <c r="D3" s="123" t="s">
        <v>58</v>
      </c>
      <c r="E3" s="123"/>
      <c r="F3" s="123"/>
      <c r="G3" s="123"/>
      <c r="H3" s="123"/>
      <c r="I3" s="123"/>
      <c r="J3" s="124" t="s">
        <v>38</v>
      </c>
      <c r="K3" s="124"/>
      <c r="L3" s="124"/>
      <c r="M3" s="124"/>
      <c r="N3" s="125" t="s">
        <v>39</v>
      </c>
      <c r="O3" s="126"/>
      <c r="P3" s="126"/>
      <c r="Q3" s="126"/>
      <c r="R3" s="126"/>
      <c r="S3" s="127"/>
    </row>
    <row r="4" spans="2:19" ht="15.75" customHeight="1" x14ac:dyDescent="0.35">
      <c r="B4" s="122" t="s">
        <v>55</v>
      </c>
      <c r="C4" s="122"/>
      <c r="D4" s="131" t="s">
        <v>40</v>
      </c>
      <c r="E4" s="131"/>
      <c r="F4" s="131" t="s">
        <v>41</v>
      </c>
      <c r="G4" s="131"/>
      <c r="H4" s="131" t="s">
        <v>42</v>
      </c>
      <c r="I4" s="131"/>
      <c r="J4" s="124"/>
      <c r="K4" s="124"/>
      <c r="L4" s="124"/>
      <c r="M4" s="124"/>
      <c r="N4" s="128"/>
      <c r="O4" s="129"/>
      <c r="P4" s="129"/>
      <c r="Q4" s="129"/>
      <c r="R4" s="129"/>
      <c r="S4" s="130"/>
    </row>
    <row r="5" spans="2:19" ht="37.9" customHeight="1" x14ac:dyDescent="0.35">
      <c r="B5" s="118" t="s">
        <v>43</v>
      </c>
      <c r="C5" s="119"/>
      <c r="D5" s="33" t="s">
        <v>87</v>
      </c>
      <c r="E5" s="33" t="s">
        <v>88</v>
      </c>
      <c r="F5" s="33" t="s">
        <v>87</v>
      </c>
      <c r="G5" s="33" t="s">
        <v>88</v>
      </c>
      <c r="H5" s="33" t="s">
        <v>87</v>
      </c>
      <c r="I5" s="33" t="s">
        <v>88</v>
      </c>
      <c r="J5" s="33" t="s">
        <v>87</v>
      </c>
      <c r="K5" s="33" t="s">
        <v>88</v>
      </c>
      <c r="L5" s="34" t="s">
        <v>87</v>
      </c>
      <c r="M5" s="34" t="s">
        <v>88</v>
      </c>
      <c r="N5" s="132" t="s">
        <v>44</v>
      </c>
      <c r="O5" s="132" t="s">
        <v>45</v>
      </c>
      <c r="P5" s="132" t="s">
        <v>46</v>
      </c>
      <c r="Q5" s="132" t="s">
        <v>47</v>
      </c>
      <c r="R5" s="132" t="s">
        <v>48</v>
      </c>
      <c r="S5" s="132" t="s">
        <v>49</v>
      </c>
    </row>
    <row r="6" spans="2:19" x14ac:dyDescent="0.35">
      <c r="B6" s="40" t="s">
        <v>56</v>
      </c>
      <c r="C6" s="40" t="s">
        <v>57</v>
      </c>
      <c r="D6" s="133" t="s">
        <v>50</v>
      </c>
      <c r="E6" s="133"/>
      <c r="F6" s="133" t="s">
        <v>51</v>
      </c>
      <c r="G6" s="133"/>
      <c r="H6" s="133" t="s">
        <v>51</v>
      </c>
      <c r="I6" s="133"/>
      <c r="J6" s="133" t="s">
        <v>52</v>
      </c>
      <c r="K6" s="133"/>
      <c r="L6" s="134" t="s">
        <v>53</v>
      </c>
      <c r="M6" s="134"/>
      <c r="N6" s="132"/>
      <c r="O6" s="132"/>
      <c r="P6" s="132"/>
      <c r="Q6" s="132"/>
      <c r="R6" s="132"/>
      <c r="S6" s="132"/>
    </row>
    <row r="7" spans="2:19" x14ac:dyDescent="0.35">
      <c r="B7" s="35">
        <v>45292</v>
      </c>
      <c r="C7" s="35">
        <v>45322</v>
      </c>
      <c r="D7" s="61">
        <v>9367.2479999999996</v>
      </c>
      <c r="E7" s="61">
        <v>35.146000000000001</v>
      </c>
      <c r="F7" s="61">
        <v>7657.78</v>
      </c>
      <c r="G7" s="61">
        <v>24.599</v>
      </c>
      <c r="H7" s="61">
        <v>8974.7659999999996</v>
      </c>
      <c r="I7" s="62">
        <v>31.228999999999999</v>
      </c>
      <c r="J7" s="62">
        <f t="shared" ref="J7:K12" si="0">D7+F7+H7</f>
        <v>25999.793999999998</v>
      </c>
      <c r="K7" s="63">
        <f t="shared" si="0"/>
        <v>90.974000000000004</v>
      </c>
      <c r="L7" s="62">
        <v>25999.79</v>
      </c>
      <c r="M7" s="63">
        <v>90.97</v>
      </c>
      <c r="N7" s="36">
        <f>MIN(J7,L7)-MIN(K7,M7)</f>
        <v>25908.82</v>
      </c>
      <c r="O7" s="36">
        <v>0.94189999999999996</v>
      </c>
      <c r="P7" s="36">
        <f>N7*O7</f>
        <v>24403.517558</v>
      </c>
      <c r="Q7" s="65">
        <v>0</v>
      </c>
      <c r="R7" s="65">
        <v>0</v>
      </c>
      <c r="S7" s="36">
        <f>P7-Q7-R7</f>
        <v>24403.517558</v>
      </c>
    </row>
    <row r="8" spans="2:19" x14ac:dyDescent="0.35">
      <c r="B8" s="35">
        <v>45323</v>
      </c>
      <c r="C8" s="35">
        <v>45351</v>
      </c>
      <c r="D8" s="61">
        <v>9504.3860000000004</v>
      </c>
      <c r="E8" s="61">
        <v>31.925000000000001</v>
      </c>
      <c r="F8" s="61">
        <v>7413.2979999999998</v>
      </c>
      <c r="G8" s="61">
        <v>22.686</v>
      </c>
      <c r="H8" s="61">
        <v>8467.8359999999993</v>
      </c>
      <c r="I8" s="62">
        <v>27.652999999999999</v>
      </c>
      <c r="J8" s="62">
        <f t="shared" si="0"/>
        <v>25385.52</v>
      </c>
      <c r="K8" s="63">
        <f t="shared" si="0"/>
        <v>82.26400000000001</v>
      </c>
      <c r="L8" s="62">
        <v>25385.52</v>
      </c>
      <c r="M8" s="63">
        <v>82.26</v>
      </c>
      <c r="N8" s="36">
        <f t="shared" ref="N8:N12" si="1">MIN(J8,L8)-MIN(K8,M8)</f>
        <v>25303.260000000002</v>
      </c>
      <c r="O8" s="36">
        <v>0.94189999999999996</v>
      </c>
      <c r="P8" s="36">
        <f t="shared" ref="P8:P12" si="2">N8*O8</f>
        <v>23833.140594</v>
      </c>
      <c r="Q8" s="65">
        <v>0</v>
      </c>
      <c r="R8" s="65">
        <v>0</v>
      </c>
      <c r="S8" s="36">
        <f t="shared" ref="S8:S12" si="3">P8-Q8-R8</f>
        <v>23833.140594</v>
      </c>
    </row>
    <row r="9" spans="2:19" x14ac:dyDescent="0.35">
      <c r="B9" s="35">
        <v>45352</v>
      </c>
      <c r="C9" s="35">
        <v>45382</v>
      </c>
      <c r="D9" s="61">
        <v>10759.832</v>
      </c>
      <c r="E9" s="61">
        <v>32.6</v>
      </c>
      <c r="F9" s="61">
        <v>8331.6910000000007</v>
      </c>
      <c r="G9" s="61">
        <v>22.867000000000001</v>
      </c>
      <c r="H9" s="61">
        <v>9768.91</v>
      </c>
      <c r="I9" s="62">
        <v>27.533000000000001</v>
      </c>
      <c r="J9" s="63">
        <f t="shared" si="0"/>
        <v>28860.433000000001</v>
      </c>
      <c r="K9" s="63">
        <f t="shared" si="0"/>
        <v>83</v>
      </c>
      <c r="L9" s="63">
        <v>28860.43</v>
      </c>
      <c r="M9" s="63">
        <v>83</v>
      </c>
      <c r="N9" s="36">
        <f t="shared" si="1"/>
        <v>28777.43</v>
      </c>
      <c r="O9" s="36">
        <v>0.94189999999999996</v>
      </c>
      <c r="P9" s="36">
        <f t="shared" si="2"/>
        <v>27105.461316999998</v>
      </c>
      <c r="Q9" s="65">
        <v>0</v>
      </c>
      <c r="R9" s="65">
        <v>0</v>
      </c>
      <c r="S9" s="36">
        <f t="shared" si="3"/>
        <v>27105.461316999998</v>
      </c>
    </row>
    <row r="10" spans="2:19" x14ac:dyDescent="0.35">
      <c r="B10" s="35">
        <v>45383</v>
      </c>
      <c r="C10" s="35">
        <v>45412</v>
      </c>
      <c r="D10" s="61">
        <v>10212.045</v>
      </c>
      <c r="E10" s="61">
        <v>29.606000000000002</v>
      </c>
      <c r="F10" s="61">
        <v>7774.2839999999997</v>
      </c>
      <c r="G10" s="61">
        <v>20.792000000000002</v>
      </c>
      <c r="H10" s="61">
        <v>9298.152</v>
      </c>
      <c r="I10" s="62">
        <v>25.158999999999999</v>
      </c>
      <c r="J10" s="63">
        <f t="shared" si="0"/>
        <v>27284.481</v>
      </c>
      <c r="K10" s="63">
        <f t="shared" si="0"/>
        <v>75.557000000000002</v>
      </c>
      <c r="L10" s="63">
        <v>27284.48</v>
      </c>
      <c r="M10" s="63">
        <v>75.56</v>
      </c>
      <c r="N10" s="36">
        <f t="shared" si="1"/>
        <v>27208.922999999999</v>
      </c>
      <c r="O10" s="36">
        <v>0.94189999999999996</v>
      </c>
      <c r="P10" s="36">
        <f t="shared" si="2"/>
        <v>25628.084573699998</v>
      </c>
      <c r="Q10" s="65">
        <v>0</v>
      </c>
      <c r="R10" s="65">
        <v>0</v>
      </c>
      <c r="S10" s="36">
        <f t="shared" si="3"/>
        <v>25628.084573699998</v>
      </c>
    </row>
    <row r="11" spans="2:19" x14ac:dyDescent="0.35">
      <c r="B11" s="35">
        <v>45413</v>
      </c>
      <c r="C11" s="35">
        <v>45443</v>
      </c>
      <c r="D11" s="61">
        <v>10675.822</v>
      </c>
      <c r="E11" s="61">
        <v>29.317</v>
      </c>
      <c r="F11" s="61">
        <v>8311.0730000000003</v>
      </c>
      <c r="G11" s="61">
        <v>20.827999999999999</v>
      </c>
      <c r="H11" s="61">
        <v>9563.0229999999992</v>
      </c>
      <c r="I11" s="62">
        <v>24.355</v>
      </c>
      <c r="J11" s="63">
        <f t="shared" si="0"/>
        <v>28549.917999999998</v>
      </c>
      <c r="K11" s="63">
        <f t="shared" si="0"/>
        <v>74.5</v>
      </c>
      <c r="L11" s="63">
        <v>28549.919999999998</v>
      </c>
      <c r="M11" s="63">
        <v>74.5</v>
      </c>
      <c r="N11" s="36">
        <f t="shared" si="1"/>
        <v>28475.417999999998</v>
      </c>
      <c r="O11" s="36">
        <v>0.94189999999999996</v>
      </c>
      <c r="P11" s="36">
        <f t="shared" si="2"/>
        <v>26820.996214199997</v>
      </c>
      <c r="Q11" s="65">
        <v>0</v>
      </c>
      <c r="R11" s="65">
        <v>0</v>
      </c>
      <c r="S11" s="36">
        <f t="shared" si="3"/>
        <v>26820.996214199997</v>
      </c>
    </row>
    <row r="12" spans="2:19" x14ac:dyDescent="0.35">
      <c r="B12" s="35">
        <v>45444</v>
      </c>
      <c r="C12" s="35">
        <v>45473</v>
      </c>
      <c r="D12" s="71">
        <v>9268.5059999999994</v>
      </c>
      <c r="E12" s="71">
        <v>31.463000000000001</v>
      </c>
      <c r="F12" s="71">
        <v>7452.902</v>
      </c>
      <c r="G12" s="71">
        <v>19.795000000000002</v>
      </c>
      <c r="H12" s="71">
        <v>8657.616</v>
      </c>
      <c r="I12" s="71">
        <v>23.202999999999999</v>
      </c>
      <c r="J12" s="71">
        <f t="shared" si="0"/>
        <v>25379.023999999998</v>
      </c>
      <c r="K12" s="71">
        <f t="shared" si="0"/>
        <v>74.460999999999999</v>
      </c>
      <c r="L12" s="71">
        <v>25379.02</v>
      </c>
      <c r="M12" s="71">
        <v>74.459999999999994</v>
      </c>
      <c r="N12" s="36">
        <f t="shared" si="1"/>
        <v>25304.560000000001</v>
      </c>
      <c r="O12" s="36">
        <v>0.94189999999999996</v>
      </c>
      <c r="P12" s="36">
        <f t="shared" si="2"/>
        <v>23834.365064000001</v>
      </c>
      <c r="Q12" s="65">
        <v>0</v>
      </c>
      <c r="R12" s="65">
        <v>0</v>
      </c>
      <c r="S12" s="36">
        <f t="shared" si="3"/>
        <v>23834.365064000001</v>
      </c>
    </row>
    <row r="13" spans="2:19" x14ac:dyDescent="0.35">
      <c r="M13" s="37" t="s">
        <v>54</v>
      </c>
      <c r="N13" s="38">
        <f>SUM(N7:N12)</f>
        <v>160978.41099999999</v>
      </c>
      <c r="O13" s="39"/>
      <c r="P13" s="38">
        <f>ROUNDDOWN(SUM(P7:P12),0)</f>
        <v>151625</v>
      </c>
      <c r="Q13" s="66">
        <v>0</v>
      </c>
      <c r="R13" s="66">
        <f t="shared" ref="R13" si="4">SUM(R7:R12)</f>
        <v>0</v>
      </c>
      <c r="S13" s="38">
        <f>ROUNDDOWN(SUM(S7:S12),0)</f>
        <v>151625</v>
      </c>
    </row>
    <row r="15" spans="2:19" x14ac:dyDescent="0.35">
      <c r="D15" s="64"/>
    </row>
    <row r="16" spans="2:19" x14ac:dyDescent="0.35">
      <c r="D16" s="64"/>
      <c r="E16" s="64"/>
      <c r="F16" s="64"/>
      <c r="G16" s="64"/>
    </row>
  </sheetData>
  <mergeCells count="21">
    <mergeCell ref="N5:N6"/>
    <mergeCell ref="O5:O6"/>
    <mergeCell ref="P5:P6"/>
    <mergeCell ref="Q5:Q6"/>
    <mergeCell ref="R5:R6"/>
    <mergeCell ref="B5:C5"/>
    <mergeCell ref="B2:S2"/>
    <mergeCell ref="B3:C3"/>
    <mergeCell ref="D3:I3"/>
    <mergeCell ref="J3:M4"/>
    <mergeCell ref="N3:S4"/>
    <mergeCell ref="B4:C4"/>
    <mergeCell ref="D4:E4"/>
    <mergeCell ref="F4:G4"/>
    <mergeCell ref="H4:I4"/>
    <mergeCell ref="S5:S6"/>
    <mergeCell ref="D6:E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505E-0105-4AC8-9E6F-7A8673FF2B70}">
  <dimension ref="A2:H45"/>
  <sheetViews>
    <sheetView workbookViewId="0">
      <selection activeCell="B32" sqref="B32"/>
    </sheetView>
  </sheetViews>
  <sheetFormatPr defaultRowHeight="14.5" x14ac:dyDescent="0.35"/>
  <cols>
    <col min="1" max="1" width="25.26953125" customWidth="1"/>
    <col min="2" max="2" width="30.54296875" customWidth="1"/>
    <col min="3" max="3" width="16.7265625" customWidth="1"/>
    <col min="4" max="4" width="22.7265625" customWidth="1"/>
    <col min="5" max="5" width="21.7265625" customWidth="1"/>
    <col min="6" max="6" width="40.26953125" customWidth="1"/>
    <col min="7" max="7" width="23.453125" customWidth="1"/>
    <col min="8" max="8" width="20.7265625" customWidth="1"/>
  </cols>
  <sheetData>
    <row r="2" spans="1:5" x14ac:dyDescent="0.35">
      <c r="A2" s="41" t="s">
        <v>59</v>
      </c>
      <c r="B2" s="41"/>
    </row>
    <row r="3" spans="1:5" x14ac:dyDescent="0.35">
      <c r="A3" s="42" t="s">
        <v>60</v>
      </c>
      <c r="B3" s="42" t="s">
        <v>61</v>
      </c>
      <c r="C3" s="42" t="s">
        <v>62</v>
      </c>
      <c r="D3" s="42" t="s">
        <v>63</v>
      </c>
      <c r="E3" s="42" t="s">
        <v>64</v>
      </c>
    </row>
    <row r="4" spans="1:5" ht="14.65" customHeight="1" x14ac:dyDescent="0.35">
      <c r="A4" s="139" t="s">
        <v>65</v>
      </c>
      <c r="B4" s="43" t="s">
        <v>72</v>
      </c>
      <c r="C4" s="44">
        <v>15</v>
      </c>
      <c r="D4" s="45">
        <v>0</v>
      </c>
      <c r="E4" s="44">
        <f>C4-D4</f>
        <v>15</v>
      </c>
    </row>
    <row r="5" spans="1:5" x14ac:dyDescent="0.35">
      <c r="A5" s="140"/>
      <c r="B5" s="46" t="s">
        <v>54</v>
      </c>
      <c r="C5" s="47">
        <f>SUM(C4:C4)</f>
        <v>15</v>
      </c>
      <c r="D5" s="47">
        <f>SUM(D4:D4)</f>
        <v>0</v>
      </c>
      <c r="E5" s="47">
        <f>SUM(E4:E4)</f>
        <v>15</v>
      </c>
    </row>
    <row r="8" spans="1:5" x14ac:dyDescent="0.35">
      <c r="A8" s="42" t="s">
        <v>60</v>
      </c>
      <c r="B8" s="42" t="s">
        <v>66</v>
      </c>
      <c r="C8" s="42" t="s">
        <v>62</v>
      </c>
      <c r="D8" s="42" t="s">
        <v>63</v>
      </c>
      <c r="E8" s="42" t="s">
        <v>64</v>
      </c>
    </row>
    <row r="9" spans="1:5" ht="14.65" customHeight="1" x14ac:dyDescent="0.35">
      <c r="A9" s="139" t="s">
        <v>67</v>
      </c>
      <c r="B9" s="43" t="s">
        <v>72</v>
      </c>
      <c r="C9" s="48">
        <v>5238725</v>
      </c>
      <c r="D9" s="45">
        <v>0</v>
      </c>
      <c r="E9" s="48">
        <f>C9-D9</f>
        <v>5238725</v>
      </c>
    </row>
    <row r="10" spans="1:5" x14ac:dyDescent="0.35">
      <c r="A10" s="140"/>
      <c r="B10" s="46" t="s">
        <v>54</v>
      </c>
      <c r="C10" s="49">
        <f>SUM(C9:C9)</f>
        <v>5238725</v>
      </c>
      <c r="D10" s="50">
        <f>SUM(D9:D9)</f>
        <v>0</v>
      </c>
      <c r="E10" s="49">
        <f>SUM(E9:E9)</f>
        <v>5238725</v>
      </c>
    </row>
    <row r="13" spans="1:5" x14ac:dyDescent="0.35">
      <c r="A13" s="42" t="s">
        <v>60</v>
      </c>
      <c r="B13" s="42" t="s">
        <v>66</v>
      </c>
      <c r="C13" s="42" t="s">
        <v>62</v>
      </c>
      <c r="D13" s="42" t="s">
        <v>68</v>
      </c>
      <c r="E13" s="42" t="s">
        <v>69</v>
      </c>
    </row>
    <row r="14" spans="1:5" ht="14.65" customHeight="1" x14ac:dyDescent="0.35">
      <c r="A14" s="139" t="s">
        <v>70</v>
      </c>
      <c r="B14" s="43" t="s">
        <v>72</v>
      </c>
      <c r="C14" s="51">
        <v>23</v>
      </c>
      <c r="D14" s="45">
        <v>0</v>
      </c>
      <c r="E14" s="51">
        <f>C14-D14</f>
        <v>23</v>
      </c>
    </row>
    <row r="15" spans="1:5" x14ac:dyDescent="0.35">
      <c r="A15" s="140"/>
      <c r="B15" s="46" t="s">
        <v>71</v>
      </c>
      <c r="C15" s="52">
        <f>C14</f>
        <v>23</v>
      </c>
      <c r="D15" s="50">
        <v>0</v>
      </c>
      <c r="E15" s="52">
        <f>E14</f>
        <v>23</v>
      </c>
    </row>
    <row r="17" spans="1:8" x14ac:dyDescent="0.35">
      <c r="A17" t="s">
        <v>96</v>
      </c>
      <c r="B17" s="83"/>
    </row>
    <row r="18" spans="1:8" x14ac:dyDescent="0.35">
      <c r="A18" s="42" t="s">
        <v>97</v>
      </c>
      <c r="B18" s="42" t="s">
        <v>98</v>
      </c>
      <c r="D18" s="135" t="s">
        <v>40</v>
      </c>
      <c r="E18" s="136"/>
      <c r="F18" s="136"/>
      <c r="G18" s="136"/>
      <c r="H18" s="137"/>
    </row>
    <row r="19" spans="1:8" x14ac:dyDescent="0.35">
      <c r="A19" s="72" t="s">
        <v>99</v>
      </c>
      <c r="B19" s="84">
        <v>23</v>
      </c>
      <c r="D19" s="72" t="s">
        <v>90</v>
      </c>
      <c r="E19" s="72" t="s">
        <v>91</v>
      </c>
      <c r="F19" s="72" t="s">
        <v>92</v>
      </c>
      <c r="G19" s="72" t="s">
        <v>93</v>
      </c>
      <c r="H19" s="72" t="s">
        <v>94</v>
      </c>
    </row>
    <row r="20" spans="1:8" x14ac:dyDescent="0.35">
      <c r="A20" s="72" t="s">
        <v>100</v>
      </c>
      <c r="B20" s="84">
        <v>0</v>
      </c>
      <c r="D20" s="73">
        <v>1</v>
      </c>
      <c r="E20" s="77" t="s">
        <v>95</v>
      </c>
      <c r="F20" s="76" t="s">
        <v>104</v>
      </c>
      <c r="G20" s="76">
        <v>7</v>
      </c>
      <c r="H20" s="76">
        <v>1</v>
      </c>
    </row>
    <row r="21" spans="1:8" x14ac:dyDescent="0.35">
      <c r="A21" s="72" t="s">
        <v>101</v>
      </c>
      <c r="B21" s="85">
        <f>SUM(B19:B20)</f>
        <v>23</v>
      </c>
      <c r="D21" s="73">
        <v>2</v>
      </c>
      <c r="E21" s="78" t="s">
        <v>106</v>
      </c>
      <c r="F21" s="79" t="s">
        <v>105</v>
      </c>
      <c r="G21" s="75">
        <v>4</v>
      </c>
      <c r="H21" s="76">
        <v>1</v>
      </c>
    </row>
    <row r="22" spans="1:8" x14ac:dyDescent="0.35">
      <c r="D22" s="73">
        <v>3</v>
      </c>
      <c r="E22" s="74">
        <v>45325</v>
      </c>
      <c r="F22" s="75" t="s">
        <v>102</v>
      </c>
      <c r="G22" s="75">
        <v>12</v>
      </c>
      <c r="H22" s="76">
        <v>1</v>
      </c>
    </row>
    <row r="23" spans="1:8" x14ac:dyDescent="0.35">
      <c r="D23" s="73">
        <v>4</v>
      </c>
      <c r="E23" s="77">
        <v>45355</v>
      </c>
      <c r="F23" s="76" t="s">
        <v>107</v>
      </c>
      <c r="G23" s="76">
        <v>5</v>
      </c>
      <c r="H23" s="76">
        <v>1</v>
      </c>
    </row>
    <row r="24" spans="1:8" x14ac:dyDescent="0.35">
      <c r="D24" s="73">
        <v>5</v>
      </c>
      <c r="E24" s="77" t="s">
        <v>109</v>
      </c>
      <c r="F24" s="80" t="s">
        <v>108</v>
      </c>
      <c r="G24" s="80">
        <v>4</v>
      </c>
      <c r="H24" s="76">
        <v>1</v>
      </c>
    </row>
    <row r="25" spans="1:8" x14ac:dyDescent="0.35">
      <c r="D25" s="138" t="s">
        <v>54</v>
      </c>
      <c r="E25" s="138"/>
      <c r="F25" s="138"/>
      <c r="G25" s="81"/>
      <c r="H25" s="82">
        <f>SUM(H20:H24)</f>
        <v>5</v>
      </c>
    </row>
    <row r="28" spans="1:8" x14ac:dyDescent="0.35">
      <c r="D28" s="135" t="s">
        <v>41</v>
      </c>
      <c r="E28" s="136"/>
      <c r="F28" s="136"/>
      <c r="G28" s="136"/>
      <c r="H28" s="137"/>
    </row>
    <row r="29" spans="1:8" x14ac:dyDescent="0.35">
      <c r="D29" s="72" t="s">
        <v>90</v>
      </c>
      <c r="E29" s="72" t="s">
        <v>91</v>
      </c>
      <c r="F29" s="72" t="s">
        <v>92</v>
      </c>
      <c r="G29" s="72" t="s">
        <v>93</v>
      </c>
      <c r="H29" s="72" t="s">
        <v>94</v>
      </c>
    </row>
    <row r="30" spans="1:8" x14ac:dyDescent="0.35">
      <c r="D30" s="73">
        <v>1</v>
      </c>
      <c r="E30" s="77" t="s">
        <v>110</v>
      </c>
      <c r="F30" s="76" t="s">
        <v>104</v>
      </c>
      <c r="G30" s="76">
        <v>8</v>
      </c>
      <c r="H30" s="76">
        <v>1</v>
      </c>
    </row>
    <row r="31" spans="1:8" x14ac:dyDescent="0.35">
      <c r="D31" s="73">
        <v>2</v>
      </c>
      <c r="E31" s="78" t="s">
        <v>111</v>
      </c>
      <c r="F31" s="79" t="s">
        <v>105</v>
      </c>
      <c r="G31" s="75">
        <v>5</v>
      </c>
      <c r="H31" s="76">
        <v>1</v>
      </c>
    </row>
    <row r="32" spans="1:8" x14ac:dyDescent="0.35">
      <c r="D32" s="73">
        <v>3</v>
      </c>
      <c r="E32" s="74">
        <v>45476</v>
      </c>
      <c r="F32" s="75" t="s">
        <v>102</v>
      </c>
      <c r="G32" s="75">
        <v>10</v>
      </c>
      <c r="H32" s="76">
        <v>1</v>
      </c>
    </row>
    <row r="33" spans="4:8" x14ac:dyDescent="0.35">
      <c r="D33" s="73">
        <v>4</v>
      </c>
      <c r="E33" s="77">
        <v>45416</v>
      </c>
      <c r="F33" s="76" t="s">
        <v>107</v>
      </c>
      <c r="G33" s="76">
        <v>4</v>
      </c>
      <c r="H33" s="76">
        <v>1</v>
      </c>
    </row>
    <row r="34" spans="4:8" x14ac:dyDescent="0.35">
      <c r="D34" s="73">
        <v>5</v>
      </c>
      <c r="E34" s="77" t="s">
        <v>112</v>
      </c>
      <c r="F34" s="80" t="s">
        <v>108</v>
      </c>
      <c r="G34" s="80">
        <v>7</v>
      </c>
      <c r="H34" s="76">
        <v>1</v>
      </c>
    </row>
    <row r="35" spans="4:8" x14ac:dyDescent="0.35">
      <c r="D35" s="138" t="s">
        <v>54</v>
      </c>
      <c r="E35" s="138"/>
      <c r="F35" s="138"/>
      <c r="G35" s="81"/>
      <c r="H35" s="82">
        <f>SUM(H30:H34)</f>
        <v>5</v>
      </c>
    </row>
    <row r="38" spans="4:8" x14ac:dyDescent="0.35">
      <c r="D38" s="135" t="s">
        <v>42</v>
      </c>
      <c r="E38" s="136"/>
      <c r="F38" s="136"/>
      <c r="G38" s="136"/>
      <c r="H38" s="137"/>
    </row>
    <row r="39" spans="4:8" x14ac:dyDescent="0.35">
      <c r="D39" s="72" t="s">
        <v>90</v>
      </c>
      <c r="E39" s="72" t="s">
        <v>91</v>
      </c>
      <c r="F39" s="72" t="s">
        <v>92</v>
      </c>
      <c r="G39" s="72" t="s">
        <v>93</v>
      </c>
      <c r="H39" s="72" t="s">
        <v>94</v>
      </c>
    </row>
    <row r="40" spans="4:8" x14ac:dyDescent="0.35">
      <c r="D40" s="73">
        <v>1</v>
      </c>
      <c r="E40" s="77" t="s">
        <v>113</v>
      </c>
      <c r="F40" s="76" t="s">
        <v>104</v>
      </c>
      <c r="G40" s="76">
        <v>7</v>
      </c>
      <c r="H40" s="76">
        <v>1</v>
      </c>
    </row>
    <row r="41" spans="4:8" x14ac:dyDescent="0.35">
      <c r="D41" s="73">
        <v>2</v>
      </c>
      <c r="E41" s="78" t="s">
        <v>111</v>
      </c>
      <c r="F41" s="79" t="s">
        <v>105</v>
      </c>
      <c r="G41" s="75">
        <v>5</v>
      </c>
      <c r="H41" s="76">
        <v>1</v>
      </c>
    </row>
    <row r="42" spans="4:8" x14ac:dyDescent="0.35">
      <c r="D42" s="73">
        <v>3</v>
      </c>
      <c r="E42" s="74" t="s">
        <v>103</v>
      </c>
      <c r="F42" s="75" t="s">
        <v>102</v>
      </c>
      <c r="G42" s="75">
        <v>27</v>
      </c>
      <c r="H42" s="76">
        <v>1</v>
      </c>
    </row>
    <row r="43" spans="4:8" x14ac:dyDescent="0.35">
      <c r="D43" s="73">
        <v>4</v>
      </c>
      <c r="E43" s="77" t="s">
        <v>114</v>
      </c>
      <c r="F43" s="76" t="s">
        <v>107</v>
      </c>
      <c r="G43" s="76">
        <v>4</v>
      </c>
      <c r="H43" s="76">
        <v>1</v>
      </c>
    </row>
    <row r="44" spans="4:8" x14ac:dyDescent="0.35">
      <c r="D44" s="73">
        <v>5</v>
      </c>
      <c r="E44" s="77" t="s">
        <v>115</v>
      </c>
      <c r="F44" s="80" t="s">
        <v>108</v>
      </c>
      <c r="G44" s="80">
        <v>4</v>
      </c>
      <c r="H44" s="76">
        <v>1</v>
      </c>
    </row>
    <row r="45" spans="4:8" x14ac:dyDescent="0.35">
      <c r="D45" s="138" t="s">
        <v>54</v>
      </c>
      <c r="E45" s="138"/>
      <c r="F45" s="138"/>
      <c r="G45" s="81"/>
      <c r="H45" s="82">
        <f>SUM(H40:H44)</f>
        <v>5</v>
      </c>
    </row>
  </sheetData>
  <mergeCells count="9">
    <mergeCell ref="D28:H28"/>
    <mergeCell ref="D38:H38"/>
    <mergeCell ref="D35:F35"/>
    <mergeCell ref="D45:F45"/>
    <mergeCell ref="A4:A5"/>
    <mergeCell ref="A9:A10"/>
    <mergeCell ref="A14:A15"/>
    <mergeCell ref="D18:H18"/>
    <mergeCell ref="D25:F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CE8D-DFD4-4019-BF8E-FE3CEF2F0BAB}">
  <dimension ref="C3:H13"/>
  <sheetViews>
    <sheetView workbookViewId="0">
      <selection activeCell="E17" sqref="E17"/>
    </sheetView>
  </sheetViews>
  <sheetFormatPr defaultRowHeight="14.5" x14ac:dyDescent="0.35"/>
  <cols>
    <col min="3" max="3" width="37.453125" bestFit="1" customWidth="1"/>
    <col min="4" max="4" width="27.7265625" bestFit="1" customWidth="1"/>
    <col min="5" max="5" width="15.54296875" customWidth="1"/>
    <col min="6" max="6" width="35.7265625" customWidth="1"/>
    <col min="7" max="7" width="16.26953125" customWidth="1"/>
    <col min="8" max="8" width="14" customWidth="1"/>
  </cols>
  <sheetData>
    <row r="3" spans="3:8" x14ac:dyDescent="0.35">
      <c r="C3" s="53" t="s">
        <v>73</v>
      </c>
      <c r="D3" s="43">
        <v>45292</v>
      </c>
    </row>
    <row r="4" spans="3:8" x14ac:dyDescent="0.35">
      <c r="C4" s="53" t="s">
        <v>74</v>
      </c>
      <c r="D4" s="43">
        <v>45473</v>
      </c>
    </row>
    <row r="5" spans="3:8" x14ac:dyDescent="0.35">
      <c r="C5" s="53" t="s">
        <v>75</v>
      </c>
      <c r="D5" s="53">
        <f>D4-D3+1</f>
        <v>182</v>
      </c>
    </row>
    <row r="8" spans="3:8" x14ac:dyDescent="0.35">
      <c r="C8" s="42" t="s">
        <v>76</v>
      </c>
      <c r="D8" s="42" t="s">
        <v>10</v>
      </c>
      <c r="E8" s="135" t="s">
        <v>12</v>
      </c>
      <c r="F8" s="136"/>
      <c r="G8" s="137"/>
      <c r="H8" s="42" t="s">
        <v>17</v>
      </c>
    </row>
    <row r="9" spans="3:8" x14ac:dyDescent="0.35">
      <c r="C9" s="42"/>
      <c r="D9" s="42" t="s">
        <v>77</v>
      </c>
      <c r="E9" s="42" t="s">
        <v>78</v>
      </c>
      <c r="F9" s="42" t="s">
        <v>79</v>
      </c>
      <c r="G9" s="42" t="s">
        <v>80</v>
      </c>
      <c r="H9" s="42" t="s">
        <v>81</v>
      </c>
    </row>
    <row r="10" spans="3:8" x14ac:dyDescent="0.35">
      <c r="C10" s="53" t="s">
        <v>82</v>
      </c>
      <c r="D10" s="54">
        <f>'ER and SDG Summary'!C15</f>
        <v>292335</v>
      </c>
      <c r="E10" s="55">
        <v>1</v>
      </c>
      <c r="F10" s="55" t="s">
        <v>83</v>
      </c>
      <c r="G10" s="55">
        <v>15</v>
      </c>
      <c r="H10" s="54">
        <f>'ER and SDG Summary'!C18</f>
        <v>275350</v>
      </c>
    </row>
    <row r="11" spans="3:8" x14ac:dyDescent="0.35">
      <c r="C11" s="53" t="s">
        <v>84</v>
      </c>
      <c r="D11" s="56">
        <f>D10*D5/365</f>
        <v>145767.04109589042</v>
      </c>
      <c r="E11" s="55" t="s">
        <v>83</v>
      </c>
      <c r="F11" s="57" t="s">
        <v>83</v>
      </c>
      <c r="G11" s="55">
        <f>G10</f>
        <v>15</v>
      </c>
      <c r="H11" s="58">
        <f>ROUNDDOWN(H10*D5/365,0)</f>
        <v>137297</v>
      </c>
    </row>
    <row r="12" spans="3:8" x14ac:dyDescent="0.35">
      <c r="C12" s="53" t="s">
        <v>85</v>
      </c>
      <c r="D12" s="59">
        <f>'SDG 7 &amp; 13'!N13</f>
        <v>160978.41099999999</v>
      </c>
      <c r="E12" s="55">
        <f>'SDG 8'!C4</f>
        <v>15</v>
      </c>
      <c r="F12" s="54">
        <f>'SDG 8'!C10</f>
        <v>5238725</v>
      </c>
      <c r="G12" s="57">
        <f>'SDG 8'!C15</f>
        <v>23</v>
      </c>
      <c r="H12" s="58">
        <f>'SDG 7 &amp; 13'!S13</f>
        <v>151625</v>
      </c>
    </row>
    <row r="13" spans="3:8" x14ac:dyDescent="0.35">
      <c r="C13" s="53" t="s">
        <v>86</v>
      </c>
      <c r="D13" s="60">
        <f>(D12-D11)/D11</f>
        <v>0.10435397322844073</v>
      </c>
      <c r="E13" s="55" t="s">
        <v>83</v>
      </c>
      <c r="F13" s="60" t="s">
        <v>83</v>
      </c>
      <c r="G13" s="60">
        <f>(G12-G11)/G11</f>
        <v>0.53333333333333333</v>
      </c>
      <c r="H13" s="60">
        <f>(H12-H11)/H11</f>
        <v>0.10435770628637188</v>
      </c>
    </row>
  </sheetData>
  <mergeCells count="1">
    <mergeCell ref="E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9545D-469D-478C-BBD7-6249659697E1}">
  <dimension ref="B1:I26"/>
  <sheetViews>
    <sheetView topLeftCell="A7" workbookViewId="0">
      <selection activeCell="C20" sqref="C20"/>
    </sheetView>
  </sheetViews>
  <sheetFormatPr defaultColWidth="20.7265625" defaultRowHeight="14.5" x14ac:dyDescent="0.35"/>
  <cols>
    <col min="1" max="2" width="20.7265625" style="86"/>
    <col min="3" max="3" width="24.26953125" style="86" customWidth="1"/>
    <col min="4" max="4" width="24" style="86" bestFit="1" customWidth="1"/>
    <col min="5" max="5" width="3.453125" style="86" customWidth="1"/>
    <col min="6" max="7" width="20.7265625" style="86"/>
    <col min="8" max="8" width="24" style="86" bestFit="1" customWidth="1"/>
    <col min="9" max="16384" width="20.7265625" style="86"/>
  </cols>
  <sheetData>
    <row r="1" spans="2:9" ht="15" thickBot="1" x14ac:dyDescent="0.4"/>
    <row r="2" spans="2:9" x14ac:dyDescent="0.35">
      <c r="B2" s="146" t="s">
        <v>116</v>
      </c>
      <c r="C2" s="147"/>
      <c r="D2" s="147"/>
      <c r="E2" s="147"/>
      <c r="F2" s="147"/>
      <c r="G2" s="147"/>
      <c r="H2" s="148"/>
    </row>
    <row r="3" spans="2:9" ht="15" thickBot="1" x14ac:dyDescent="0.4">
      <c r="B3" s="149"/>
      <c r="C3" s="150"/>
      <c r="D3" s="150"/>
      <c r="E3" s="150"/>
      <c r="F3" s="150"/>
      <c r="G3" s="150"/>
      <c r="H3" s="151"/>
    </row>
    <row r="4" spans="2:9" x14ac:dyDescent="0.35">
      <c r="B4" s="87"/>
      <c r="C4" s="87"/>
      <c r="D4" s="87"/>
      <c r="E4" s="87"/>
      <c r="F4" s="87"/>
      <c r="G4" s="87"/>
      <c r="H4" s="87"/>
    </row>
    <row r="5" spans="2:9" ht="18.5" x14ac:dyDescent="0.35">
      <c r="B5" s="152" t="s">
        <v>117</v>
      </c>
      <c r="C5" s="153"/>
      <c r="D5" s="153"/>
      <c r="F5" s="152" t="s">
        <v>130</v>
      </c>
      <c r="G5" s="153"/>
      <c r="H5" s="153"/>
    </row>
    <row r="6" spans="2:9" ht="15" thickBot="1" x14ac:dyDescent="0.4"/>
    <row r="7" spans="2:9" x14ac:dyDescent="0.35">
      <c r="B7" s="154" t="s">
        <v>118</v>
      </c>
      <c r="C7" s="155"/>
      <c r="D7" s="88">
        <v>0.28360000000000002</v>
      </c>
      <c r="E7" s="89"/>
      <c r="F7" s="154" t="s">
        <v>118</v>
      </c>
      <c r="G7" s="155"/>
      <c r="H7" s="88">
        <v>0.28360000000000002</v>
      </c>
    </row>
    <row r="8" spans="2:9" x14ac:dyDescent="0.35">
      <c r="B8" s="141" t="s">
        <v>119</v>
      </c>
      <c r="C8" s="142"/>
      <c r="D8" s="90" t="s">
        <v>120</v>
      </c>
      <c r="F8" s="141" t="s">
        <v>119</v>
      </c>
      <c r="G8" s="142"/>
      <c r="H8" s="90" t="s">
        <v>120</v>
      </c>
    </row>
    <row r="9" spans="2:9" x14ac:dyDescent="0.35">
      <c r="B9" s="156" t="s">
        <v>121</v>
      </c>
      <c r="C9" s="157"/>
      <c r="D9" s="158">
        <f>(C10-B10)+1</f>
        <v>182</v>
      </c>
      <c r="F9" s="156" t="s">
        <v>121</v>
      </c>
      <c r="G9" s="157"/>
      <c r="H9" s="158">
        <f>(G10-F10)+1</f>
        <v>366</v>
      </c>
    </row>
    <row r="10" spans="2:9" x14ac:dyDescent="0.35">
      <c r="B10" s="91">
        <v>45292</v>
      </c>
      <c r="C10" s="92">
        <v>45473</v>
      </c>
      <c r="D10" s="158"/>
      <c r="F10" s="91">
        <v>45108</v>
      </c>
      <c r="G10" s="92">
        <v>45473</v>
      </c>
      <c r="H10" s="158"/>
    </row>
    <row r="11" spans="2:9" x14ac:dyDescent="0.35">
      <c r="B11" s="141" t="s">
        <v>122</v>
      </c>
      <c r="C11" s="142"/>
      <c r="D11" s="93">
        <f>'ER and SDG Summary'!C20</f>
        <v>160978.41099999999</v>
      </c>
      <c r="F11" s="141" t="s">
        <v>122</v>
      </c>
      <c r="G11" s="142"/>
      <c r="H11" s="93">
        <f>129743.08+D11</f>
        <v>290721.49099999998</v>
      </c>
      <c r="I11" s="94"/>
    </row>
    <row r="12" spans="2:9" x14ac:dyDescent="0.35">
      <c r="B12" s="141" t="s">
        <v>123</v>
      </c>
      <c r="C12" s="142"/>
      <c r="D12" s="90">
        <v>120</v>
      </c>
      <c r="F12" s="141" t="s">
        <v>123</v>
      </c>
      <c r="G12" s="142"/>
      <c r="H12" s="90">
        <v>120</v>
      </c>
    </row>
    <row r="13" spans="2:9" x14ac:dyDescent="0.35">
      <c r="B13" s="141" t="s">
        <v>124</v>
      </c>
      <c r="C13" s="142"/>
      <c r="D13" s="95">
        <f>D11/(D9*24*D12)</f>
        <v>0.30711693185286931</v>
      </c>
      <c r="F13" s="141" t="s">
        <v>124</v>
      </c>
      <c r="G13" s="142"/>
      <c r="H13" s="95">
        <f>H11/(H9*H12*24)</f>
        <v>0.27580590752125073</v>
      </c>
      <c r="I13" s="89"/>
    </row>
    <row r="14" spans="2:9" ht="29.25" customHeight="1" x14ac:dyDescent="0.35">
      <c r="B14" s="159" t="s">
        <v>125</v>
      </c>
      <c r="C14" s="160"/>
      <c r="D14" s="95">
        <f>(D13-D7)/D7</f>
        <v>8.2922890877536293E-2</v>
      </c>
      <c r="F14" s="159" t="s">
        <v>125</v>
      </c>
      <c r="G14" s="160"/>
      <c r="H14" s="95">
        <f>(H13-H7)/H7</f>
        <v>-2.7482695623234459E-2</v>
      </c>
    </row>
    <row r="15" spans="2:9" x14ac:dyDescent="0.35">
      <c r="B15" s="143" t="s">
        <v>126</v>
      </c>
      <c r="C15" s="144"/>
      <c r="D15" s="145"/>
      <c r="F15" s="143" t="s">
        <v>126</v>
      </c>
      <c r="G15" s="144"/>
      <c r="H15" s="145"/>
    </row>
    <row r="16" spans="2:9" x14ac:dyDescent="0.35">
      <c r="B16" s="143" t="s">
        <v>127</v>
      </c>
      <c r="C16" s="164"/>
      <c r="D16" s="96">
        <v>0.223</v>
      </c>
      <c r="F16" s="143" t="s">
        <v>127</v>
      </c>
      <c r="G16" s="164"/>
      <c r="H16" s="96">
        <v>0.223</v>
      </c>
    </row>
    <row r="17" spans="2:8" x14ac:dyDescent="0.35">
      <c r="B17" s="143" t="s">
        <v>128</v>
      </c>
      <c r="C17" s="164"/>
      <c r="D17" s="96">
        <v>8.2600000000000007E-2</v>
      </c>
      <c r="F17" s="143" t="s">
        <v>128</v>
      </c>
      <c r="G17" s="164"/>
      <c r="H17" s="96">
        <v>8.2600000000000007E-2</v>
      </c>
    </row>
    <row r="18" spans="2:8" ht="15" thickBot="1" x14ac:dyDescent="0.4">
      <c r="B18" s="162" t="s">
        <v>129</v>
      </c>
      <c r="C18" s="163"/>
      <c r="D18" s="97">
        <v>0.14169999999999999</v>
      </c>
      <c r="F18" s="162" t="s">
        <v>129</v>
      </c>
      <c r="G18" s="163"/>
      <c r="H18" s="97">
        <v>0.14169999999999999</v>
      </c>
    </row>
    <row r="20" spans="2:8" ht="15" customHeight="1" x14ac:dyDescent="0.35">
      <c r="D20" s="99"/>
      <c r="F20" s="94"/>
      <c r="H20" s="98"/>
    </row>
    <row r="21" spans="2:8" x14ac:dyDescent="0.35">
      <c r="B21" s="161" t="s">
        <v>133</v>
      </c>
      <c r="C21" s="161"/>
      <c r="D21" s="161"/>
      <c r="E21" s="161"/>
      <c r="F21" s="161"/>
      <c r="G21" s="161"/>
      <c r="H21" s="161"/>
    </row>
    <row r="22" spans="2:8" x14ac:dyDescent="0.35">
      <c r="B22" s="161"/>
      <c r="C22" s="161"/>
      <c r="D22" s="161"/>
      <c r="E22" s="161"/>
      <c r="F22" s="161"/>
      <c r="G22" s="161"/>
      <c r="H22" s="161"/>
    </row>
    <row r="23" spans="2:8" ht="37.5" customHeight="1" x14ac:dyDescent="0.35">
      <c r="B23" s="161"/>
      <c r="C23" s="161"/>
      <c r="D23" s="161"/>
      <c r="E23" s="161"/>
      <c r="F23" s="161"/>
      <c r="G23" s="161"/>
      <c r="H23" s="161"/>
    </row>
    <row r="25" spans="2:8" ht="36.75" customHeight="1" x14ac:dyDescent="0.35"/>
    <row r="26" spans="2:8" x14ac:dyDescent="0.35">
      <c r="B26"/>
    </row>
  </sheetData>
  <mergeCells count="28">
    <mergeCell ref="B21:H23"/>
    <mergeCell ref="B18:C18"/>
    <mergeCell ref="F18:G18"/>
    <mergeCell ref="B16:C16"/>
    <mergeCell ref="F16:G16"/>
    <mergeCell ref="B17:C17"/>
    <mergeCell ref="F17:G17"/>
    <mergeCell ref="F12:G12"/>
    <mergeCell ref="B13:C13"/>
    <mergeCell ref="F13:G13"/>
    <mergeCell ref="B14:C14"/>
    <mergeCell ref="F14:G14"/>
    <mergeCell ref="B8:C8"/>
    <mergeCell ref="F8:G8"/>
    <mergeCell ref="B15:D15"/>
    <mergeCell ref="F15:H15"/>
    <mergeCell ref="B2:H3"/>
    <mergeCell ref="B5:D5"/>
    <mergeCell ref="F5:H5"/>
    <mergeCell ref="B7:C7"/>
    <mergeCell ref="F7:G7"/>
    <mergeCell ref="B9:C9"/>
    <mergeCell ref="D9:D10"/>
    <mergeCell ref="F9:G9"/>
    <mergeCell ref="H9:H10"/>
    <mergeCell ref="B11:C11"/>
    <mergeCell ref="F11:G11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ER and SDG Summary</vt:lpstr>
      <vt:lpstr>SDG 7 &amp; 13</vt:lpstr>
      <vt:lpstr>SDG 8</vt:lpstr>
      <vt:lpstr>Ex-ante</vt:lpstr>
      <vt:lpstr>PLF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m</dc:creator>
  <cp:lastModifiedBy>Anamika Kumari</cp:lastModifiedBy>
  <dcterms:created xsi:type="dcterms:W3CDTF">2015-06-05T18:17:20Z</dcterms:created>
  <dcterms:modified xsi:type="dcterms:W3CDTF">2024-12-18T05:00:03Z</dcterms:modified>
</cp:coreProperties>
</file>