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ps-Carbon\GS VER\GSVER119_Juniper_Gujarat 120 MW(5th Part)\1. Working\4. Board Reply\PR1\PR1-replied\Final\PR RESPONSE PACK GS 7572\PR RESPONSE PACK GS 7572\"/>
    </mc:Choice>
  </mc:AlternateContent>
  <xr:revisionPtr revIDLastSave="0" documentId="13_ncr:1_{DE4DF5D2-644C-423F-BBF5-8A757C513B37}" xr6:coauthVersionLast="47" xr6:coauthVersionMax="47" xr10:uidLastSave="{00000000-0000-0000-0000-000000000000}"/>
  <bookViews>
    <workbookView xWindow="-120" yWindow="-120" windowWidth="20730" windowHeight="11760" tabRatio="618" activeTab="4" xr2:uid="{00000000-000D-0000-FFFF-FFFF00000000}"/>
  </bookViews>
  <sheets>
    <sheet name="ER Summary " sheetId="4" r:id="rId1"/>
    <sheet name="PLF Analysis" sheetId="8" r:id="rId2"/>
    <sheet name="SDG 07" sheetId="5" r:id="rId3"/>
    <sheet name="SDG 8" sheetId="6" r:id="rId4"/>
    <sheet name="SDG 13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8" l="1"/>
  <c r="H14" i="8"/>
  <c r="H15" i="8"/>
  <c r="D15" i="8"/>
  <c r="C38" i="4"/>
  <c r="C44" i="4"/>
  <c r="C46" i="4" s="1"/>
  <c r="H11" i="8"/>
  <c r="H9" i="8"/>
  <c r="H13" i="8" l="1"/>
  <c r="G6" i="6" l="1"/>
  <c r="I8" i="5"/>
  <c r="J8" i="5"/>
  <c r="I9" i="5"/>
  <c r="J9" i="5"/>
  <c r="I10" i="5"/>
  <c r="J10" i="5"/>
  <c r="I11" i="5"/>
  <c r="J11" i="5"/>
  <c r="I12" i="5"/>
  <c r="J12" i="5"/>
  <c r="J7" i="5"/>
  <c r="I7" i="5"/>
  <c r="E5" i="1" l="1"/>
  <c r="H5" i="1" s="1"/>
  <c r="J5" i="1" l="1"/>
  <c r="F5" i="1"/>
  <c r="G5" i="1" s="1"/>
  <c r="F9" i="1"/>
  <c r="F7" i="1"/>
  <c r="F10" i="1"/>
  <c r="F8" i="1"/>
  <c r="F6" i="1"/>
  <c r="I5" i="4"/>
  <c r="D11" i="4" s="1"/>
  <c r="G5" i="4"/>
  <c r="D7" i="4" s="1"/>
  <c r="C10" i="8" s="1"/>
  <c r="D9" i="8" s="1"/>
  <c r="D13" i="8" s="1"/>
  <c r="D14" i="8" s="1"/>
  <c r="F5" i="4"/>
  <c r="D6" i="4" s="1"/>
  <c r="D7" i="1"/>
  <c r="D8" i="1"/>
  <c r="D9" i="1"/>
  <c r="D10" i="1"/>
  <c r="D6" i="1"/>
  <c r="D5" i="1"/>
  <c r="E7" i="1" l="1"/>
  <c r="H7" i="1" s="1"/>
  <c r="E6" i="1"/>
  <c r="G6" i="1" s="1"/>
  <c r="E8" i="1"/>
  <c r="G8" i="1" s="1"/>
  <c r="E10" i="1"/>
  <c r="E9" i="1"/>
  <c r="F11" i="1"/>
  <c r="D8" i="4"/>
  <c r="D13" i="4" l="1"/>
  <c r="D12" i="4"/>
  <c r="J7" i="1"/>
  <c r="H8" i="1"/>
  <c r="H6" i="1"/>
  <c r="J6" i="1" s="1"/>
  <c r="G7" i="1"/>
  <c r="G9" i="1"/>
  <c r="H9" i="1"/>
  <c r="G10" i="1"/>
  <c r="H10" i="1"/>
  <c r="J10" i="1" s="1"/>
  <c r="E11" i="1"/>
  <c r="J8" i="1" l="1"/>
  <c r="J9" i="1"/>
  <c r="H11" i="1"/>
  <c r="H5" i="4" s="1"/>
  <c r="K5" i="1" l="1"/>
  <c r="K11" i="1" s="1"/>
  <c r="D15" i="4" s="1"/>
  <c r="D17" i="4" s="1"/>
  <c r="J11" i="1"/>
  <c r="I13" i="4"/>
  <c r="D14" i="4" l="1"/>
  <c r="D16" i="4" s="1"/>
  <c r="J5" i="4"/>
  <c r="I17" i="4" s="1"/>
  <c r="F19" i="8" s="1"/>
</calcChain>
</file>

<file path=xl/sharedStrings.xml><?xml version="1.0" encoding="utf-8"?>
<sst xmlns="http://schemas.openxmlformats.org/spreadsheetml/2006/main" count="128" uniqueCount="97">
  <si>
    <t>To</t>
  </si>
  <si>
    <t>From</t>
  </si>
  <si>
    <t>TOTAL</t>
  </si>
  <si>
    <t>SDG Indicator</t>
  </si>
  <si>
    <t>Values achieved</t>
  </si>
  <si>
    <t>Unit</t>
  </si>
  <si>
    <t>Affordable and Clean Energy</t>
  </si>
  <si>
    <t>MWh</t>
  </si>
  <si>
    <t>Decent Work and Economic Growth</t>
  </si>
  <si>
    <t>Number  of employees</t>
  </si>
  <si>
    <t>Number  of Trainings</t>
  </si>
  <si>
    <t>Climate Action</t>
  </si>
  <si>
    <t>SDG</t>
  </si>
  <si>
    <t>ER Comparison</t>
  </si>
  <si>
    <t>Start Date of Monitoring Period</t>
  </si>
  <si>
    <t>End Date of Monitoring Period</t>
  </si>
  <si>
    <t>Number of Days for Current Monitoring Period</t>
  </si>
  <si>
    <t>SDG 8</t>
  </si>
  <si>
    <t>SDG 13</t>
  </si>
  <si>
    <t>SDG 7</t>
  </si>
  <si>
    <t>Month</t>
  </si>
  <si>
    <t>Net Electricity Generation
(MWh)</t>
  </si>
  <si>
    <t>Capacity (MW)</t>
  </si>
  <si>
    <t>Village/ Taluka</t>
  </si>
  <si>
    <t>As Per JMR</t>
  </si>
  <si>
    <t>Site</t>
  </si>
  <si>
    <t>Date</t>
  </si>
  <si>
    <t xml:space="preserve">No. of attendees </t>
  </si>
  <si>
    <t>Generation value (as per JMR)</t>
  </si>
  <si>
    <t>Check</t>
  </si>
  <si>
    <t>Generation value (as per Invoice)</t>
  </si>
  <si>
    <t>Topic</t>
  </si>
  <si>
    <r>
      <t>As Per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Invoice</t>
    </r>
  </si>
  <si>
    <t>SPV</t>
  </si>
  <si>
    <t>Month(s)</t>
  </si>
  <si>
    <t>Current Monitoring Period</t>
  </si>
  <si>
    <t xml:space="preserve">Income generation 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</si>
  <si>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per annum</t>
    </r>
  </si>
  <si>
    <r>
      <t>EF</t>
    </r>
    <r>
      <rPr>
        <b/>
        <vertAlign val="subscript"/>
        <sz val="12"/>
        <color rgb="FF000000"/>
        <rFont val="Calibri"/>
        <family val="2"/>
        <scheme val="minor"/>
      </rPr>
      <t>grid,CM,y</t>
    </r>
  </si>
  <si>
    <t>Total (120 MW)</t>
  </si>
  <si>
    <t>(JMR)</t>
  </si>
  <si>
    <t xml:space="preserve"> (JMR)</t>
  </si>
  <si>
    <t>GS: 7572 - 120 MW SOLAR PV PLANT BY JUNIPER GREEN SIGMA PRIVATE LTD. IN GUJARAT</t>
  </si>
  <si>
    <t>Monitoring Period: 01-01-2023 to 30-06-2023 (Inclusive of both the period)</t>
  </si>
  <si>
    <t>Net Electricity Generation (MWh)</t>
  </si>
  <si>
    <r>
      <t>Grid Emission Factor 
(tCO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/ MWh)</t>
    </r>
  </si>
  <si>
    <r>
      <t>Baseline Emission
(tCO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</si>
  <si>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r>
      <t>Vintage wise Emission
(tCO</t>
    </r>
    <r>
      <rPr>
        <b/>
        <vertAlign val="sub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)</t>
    </r>
  </si>
  <si>
    <t>Export</t>
  </si>
  <si>
    <t>Import</t>
  </si>
  <si>
    <t>ER SUMMARY- Juniper 120 MW</t>
  </si>
  <si>
    <t>Total</t>
  </si>
  <si>
    <t>Khadol</t>
  </si>
  <si>
    <t>Babsar</t>
  </si>
  <si>
    <t>Fire Safety Training</t>
  </si>
  <si>
    <t>Road Safety Training</t>
  </si>
  <si>
    <t>Bhordu</t>
  </si>
  <si>
    <t>PPEs Training</t>
  </si>
  <si>
    <t>Section 111A Training</t>
  </si>
  <si>
    <t xml:space="preserve">National Safety video demonstration video training </t>
  </si>
  <si>
    <t xml:space="preserve">PTW (Permit To Work) Training </t>
  </si>
  <si>
    <t>Emergency Response Training</t>
  </si>
  <si>
    <t>Quality of employment - Training Record</t>
  </si>
  <si>
    <t>Type</t>
  </si>
  <si>
    <t>Quantity</t>
  </si>
  <si>
    <t>Skilled</t>
  </si>
  <si>
    <t>Unskilled</t>
  </si>
  <si>
    <t>Current monitoring period</t>
  </si>
  <si>
    <t>Actual Generation (MWh)</t>
  </si>
  <si>
    <t>Total no. of days</t>
  </si>
  <si>
    <t>Total generation</t>
  </si>
  <si>
    <t>Capacity</t>
  </si>
  <si>
    <t>Actual PLF</t>
  </si>
  <si>
    <t>Percentage Variation in PLF with respect to Registered PDD</t>
  </si>
  <si>
    <t>Estimated PLF as per registerd PDD</t>
  </si>
  <si>
    <t>*Above results clearly show that the PLF with breaching value is higher than actual PLF hence project is additional</t>
  </si>
  <si>
    <t>PLF Comparison</t>
  </si>
  <si>
    <t>(Current Monitoring period i.e., 6 months)</t>
  </si>
  <si>
    <t>(Current + Previous Monitoring period i.e., 1 Year)</t>
  </si>
  <si>
    <t>Quantity of employment</t>
  </si>
  <si>
    <t>Waste Management</t>
  </si>
  <si>
    <t>Rear Parking Training</t>
  </si>
  <si>
    <t>Training on Battery server room</t>
  </si>
  <si>
    <t>Height work on IDT transformer</t>
  </si>
  <si>
    <t>*No new employees hired during current monitoring period</t>
  </si>
  <si>
    <t>Annual Net generation as per Registered PDD (MWh/yr)</t>
  </si>
  <si>
    <r>
      <t>Annual ER Estimation as per Registered PDD (tCO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e)</t>
    </r>
  </si>
  <si>
    <r>
      <t>EF</t>
    </r>
    <r>
      <rPr>
        <vertAlign val="subscript"/>
        <sz val="11"/>
        <color rgb="FF000000"/>
        <rFont val="Calibri"/>
        <family val="2"/>
        <scheme val="minor"/>
      </rPr>
      <t xml:space="preserve">grid,CM,y </t>
    </r>
    <r>
      <rPr>
        <sz val="11"/>
        <color rgb="FF000000"/>
        <rFont val="Calibri"/>
        <family val="2"/>
        <scheme val="minor"/>
      </rPr>
      <t>(tCO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e/MWh)</t>
    </r>
  </si>
  <si>
    <t>Net generation Estimation for Current Monitoring Period (MWh)</t>
  </si>
  <si>
    <r>
      <t>ER Estimation for Current Monitoring Period (tCO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e)</t>
    </r>
  </si>
  <si>
    <t>Actual Net generation for Current Monitoring Period (MWh)</t>
  </si>
  <si>
    <r>
      <t>Actual ER for Current Monitoring Period (tCO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e)</t>
    </r>
  </si>
  <si>
    <t>Change in Net generation (%)</t>
  </si>
  <si>
    <t>Change in Emission Reductions (%)</t>
  </si>
  <si>
    <t>23 Trainings</t>
  </si>
  <si>
    <r>
      <t>Emission Reduction
(tCO</t>
    </r>
    <r>
      <rPr>
        <b/>
        <vertAlign val="sub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</t>
    </r>
  </si>
  <si>
    <t>As per registered PDD IRR for the project activity was 8.26% at the PLF of 28.36 % and the IRR benchmark was 14.17%.
As per sensitivty analysis project will breach the benchmark of 14.17% when the PLF increases by 22.30% 
ie. when PLFx(1+22.30%) = 28.36% * (1+22.30%) = 34.68%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</si>
</sst>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000"/>
    <numFmt numFmtId="166" formatCode="_ * #,##0_ ;_ * \-#,##0_ ;_ * &quot;-&quot;??_ ;_ @_ "/>
    <numFmt numFmtId="167" formatCode="[$-409]d\-mmm\-yy;@"/>
    <numFmt numFmtId="168" formatCode="_(* #,##0_);_(* \(#,##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bscript"/>
      <sz val="12"/>
      <color rgb="FF000000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0">
    <xf numFmtId="0" fontId="0" fillId="0" borderId="0" xfId="0"/>
    <xf numFmtId="2" fontId="6" fillId="0" borderId="4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5" borderId="0" xfId="0" applyFill="1"/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2" fillId="10" borderId="22" xfId="0" applyFont="1" applyFill="1" applyBorder="1" applyAlignment="1">
      <alignment horizontal="center" vertical="center"/>
    </xf>
    <xf numFmtId="17" fontId="5" fillId="10" borderId="12" xfId="0" applyNumberFormat="1" applyFont="1" applyFill="1" applyBorder="1" applyAlignment="1">
      <alignment horizontal="center" vertical="center"/>
    </xf>
    <xf numFmtId="17" fontId="5" fillId="10" borderId="9" xfId="0" applyNumberFormat="1" applyFont="1" applyFill="1" applyBorder="1" applyAlignment="1">
      <alignment horizontal="center" vertical="center"/>
    </xf>
    <xf numFmtId="17" fontId="5" fillId="10" borderId="24" xfId="0" applyNumberFormat="1" applyFont="1" applyFill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166" fontId="0" fillId="0" borderId="24" xfId="2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15" fontId="6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" fontId="6" fillId="0" borderId="10" xfId="0" applyNumberFormat="1" applyFont="1" applyBorder="1" applyAlignment="1">
      <alignment vertical="center"/>
    </xf>
    <xf numFmtId="10" fontId="6" fillId="0" borderId="11" xfId="0" applyNumberFormat="1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/>
    </xf>
    <xf numFmtId="167" fontId="0" fillId="0" borderId="40" xfId="0" applyNumberFormat="1" applyBorder="1" applyAlignment="1">
      <alignment horizontal="center" vertical="center" wrapText="1"/>
    </xf>
    <xf numFmtId="167" fontId="0" fillId="0" borderId="41" xfId="0" applyNumberFormat="1" applyBorder="1" applyAlignment="1">
      <alignment horizontal="center" vertical="center" wrapText="1"/>
    </xf>
    <xf numFmtId="167" fontId="0" fillId="5" borderId="0" xfId="0" applyNumberFormat="1" applyFill="1" applyAlignment="1">
      <alignment horizontal="center" vertical="center" wrapText="1"/>
    </xf>
    <xf numFmtId="3" fontId="0" fillId="5" borderId="0" xfId="0" applyNumberForma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166" fontId="0" fillId="5" borderId="0" xfId="2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166" fontId="2" fillId="5" borderId="0" xfId="2" applyNumberFormat="1" applyFont="1" applyFill="1" applyBorder="1" applyAlignment="1">
      <alignment horizontal="center" vertical="center"/>
    </xf>
    <xf numFmtId="166" fontId="0" fillId="5" borderId="0" xfId="2" applyNumberFormat="1" applyFont="1" applyFill="1" applyAlignment="1">
      <alignment vertical="center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horizontal="center" vertical="center"/>
    </xf>
    <xf numFmtId="165" fontId="0" fillId="0" borderId="44" xfId="0" applyNumberFormat="1" applyBorder="1" applyAlignment="1">
      <alignment horizontal="center" vertical="center" wrapText="1"/>
    </xf>
    <xf numFmtId="165" fontId="0" fillId="0" borderId="45" xfId="0" applyNumberFormat="1" applyBorder="1" applyAlignment="1">
      <alignment horizontal="center" vertical="center" wrapText="1"/>
    </xf>
    <xf numFmtId="165" fontId="0" fillId="0" borderId="56" xfId="0" applyNumberFormat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37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15" fontId="0" fillId="5" borderId="0" xfId="0" applyNumberFormat="1" applyFill="1" applyAlignment="1">
      <alignment vertical="center"/>
    </xf>
    <xf numFmtId="15" fontId="6" fillId="13" borderId="59" xfId="0" applyNumberFormat="1" applyFont="1" applyFill="1" applyBorder="1" applyAlignment="1">
      <alignment horizontal="center" vertical="center"/>
    </xf>
    <xf numFmtId="15" fontId="6" fillId="13" borderId="9" xfId="0" applyNumberFormat="1" applyFont="1" applyFill="1" applyBorder="1" applyAlignment="1">
      <alignment horizontal="center" vertical="center"/>
    </xf>
    <xf numFmtId="17" fontId="6" fillId="13" borderId="53" xfId="0" applyNumberFormat="1" applyFont="1" applyFill="1" applyBorder="1" applyAlignment="1">
      <alignment horizontal="center" vertical="center"/>
    </xf>
    <xf numFmtId="15" fontId="6" fillId="13" borderId="14" xfId="0" applyNumberFormat="1" applyFont="1" applyFill="1" applyBorder="1" applyAlignment="1">
      <alignment horizontal="center" vertical="center"/>
    </xf>
    <xf numFmtId="15" fontId="6" fillId="13" borderId="10" xfId="0" applyNumberFormat="1" applyFont="1" applyFill="1" applyBorder="1" applyAlignment="1">
      <alignment horizontal="center" vertical="center"/>
    </xf>
    <xf numFmtId="17" fontId="6" fillId="13" borderId="51" xfId="0" applyNumberFormat="1" applyFont="1" applyFill="1" applyBorder="1" applyAlignment="1">
      <alignment horizontal="center" vertical="center"/>
    </xf>
    <xf numFmtId="15" fontId="6" fillId="13" borderId="60" xfId="0" applyNumberFormat="1" applyFont="1" applyFill="1" applyBorder="1" applyAlignment="1">
      <alignment horizontal="center" vertical="center"/>
    </xf>
    <xf numFmtId="15" fontId="6" fillId="13" borderId="11" xfId="0" applyNumberFormat="1" applyFont="1" applyFill="1" applyBorder="1" applyAlignment="1">
      <alignment horizontal="center" vertical="center"/>
    </xf>
    <xf numFmtId="17" fontId="6" fillId="13" borderId="57" xfId="0" applyNumberFormat="1" applyFont="1" applyFill="1" applyBorder="1" applyAlignment="1">
      <alignment horizontal="center" vertical="center"/>
    </xf>
    <xf numFmtId="2" fontId="0" fillId="0" borderId="42" xfId="0" applyNumberFormat="1" applyBorder="1" applyAlignment="1">
      <alignment horizontal="center" vertical="center"/>
    </xf>
    <xf numFmtId="2" fontId="0" fillId="0" borderId="43" xfId="0" applyNumberFormat="1" applyBorder="1" applyAlignment="1">
      <alignment horizontal="center" vertical="center"/>
    </xf>
    <xf numFmtId="2" fontId="0" fillId="0" borderId="44" xfId="2" applyNumberFormat="1" applyFon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54" xfId="0" applyNumberFormat="1" applyBorder="1" applyAlignment="1">
      <alignment horizontal="center" vertical="center"/>
    </xf>
    <xf numFmtId="2" fontId="0" fillId="0" borderId="55" xfId="0" applyNumberFormat="1" applyBorder="1" applyAlignment="1">
      <alignment horizontal="center" vertical="center"/>
    </xf>
    <xf numFmtId="2" fontId="0" fillId="0" borderId="56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165" fontId="0" fillId="5" borderId="0" xfId="0" applyNumberForma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5" borderId="0" xfId="0" applyNumberFormat="1" applyFill="1"/>
    <xf numFmtId="15" fontId="6" fillId="13" borderId="6" xfId="0" applyNumberFormat="1" applyFont="1" applyFill="1" applyBorder="1" applyAlignment="1">
      <alignment horizontal="center" vertical="center"/>
    </xf>
    <xf numFmtId="15" fontId="6" fillId="13" borderId="7" xfId="0" applyNumberFormat="1" applyFont="1" applyFill="1" applyBorder="1" applyAlignment="1">
      <alignment horizontal="center" vertical="center"/>
    </xf>
    <xf numFmtId="168" fontId="2" fillId="5" borderId="51" xfId="4" applyNumberFormat="1" applyFont="1" applyFill="1" applyBorder="1" applyAlignment="1">
      <alignment horizontal="right" vertical="center"/>
    </xf>
    <xf numFmtId="10" fontId="0" fillId="5" borderId="0" xfId="3" applyNumberFormat="1" applyFont="1" applyFill="1" applyAlignment="1">
      <alignment vertical="center"/>
    </xf>
    <xf numFmtId="0" fontId="0" fillId="5" borderId="51" xfId="0" applyFill="1" applyBorder="1" applyAlignment="1">
      <alignment horizontal="right" vertical="center"/>
    </xf>
    <xf numFmtId="10" fontId="1" fillId="5" borderId="51" xfId="3" applyNumberFormat="1" applyFont="1" applyFill="1" applyBorder="1" applyAlignment="1">
      <alignment horizontal="right" vertical="center"/>
    </xf>
    <xf numFmtId="10" fontId="2" fillId="5" borderId="52" xfId="3" applyNumberFormat="1" applyFont="1" applyFill="1" applyBorder="1" applyAlignment="1">
      <alignment horizontal="right" vertical="center"/>
    </xf>
    <xf numFmtId="10" fontId="2" fillId="5" borderId="50" xfId="0" applyNumberFormat="1" applyFont="1" applyFill="1" applyBorder="1" applyAlignment="1">
      <alignment horizontal="right" vertical="center"/>
    </xf>
    <xf numFmtId="43" fontId="0" fillId="5" borderId="0" xfId="2" applyFont="1" applyFill="1" applyAlignment="1">
      <alignment vertical="center"/>
    </xf>
    <xf numFmtId="3" fontId="0" fillId="5" borderId="0" xfId="0" applyNumberFormat="1" applyFill="1" applyAlignment="1">
      <alignment vertical="center"/>
    </xf>
    <xf numFmtId="2" fontId="0" fillId="5" borderId="0" xfId="0" applyNumberFormat="1" applyFill="1" applyAlignment="1">
      <alignment vertical="center"/>
    </xf>
    <xf numFmtId="0" fontId="6" fillId="0" borderId="10" xfId="0" applyFont="1" applyBorder="1" applyAlignment="1">
      <alignment vertical="center" wrapText="1"/>
    </xf>
    <xf numFmtId="166" fontId="6" fillId="0" borderId="10" xfId="2" applyNumberFormat="1" applyFont="1" applyFill="1" applyBorder="1" applyAlignment="1">
      <alignment vertical="center" wrapText="1"/>
    </xf>
    <xf numFmtId="4" fontId="6" fillId="0" borderId="10" xfId="0" applyNumberFormat="1" applyFont="1" applyBorder="1" applyAlignment="1">
      <alignment vertical="center"/>
    </xf>
    <xf numFmtId="10" fontId="6" fillId="0" borderId="10" xfId="0" applyNumberFormat="1" applyFont="1" applyBorder="1" applyAlignment="1">
      <alignment vertical="center"/>
    </xf>
    <xf numFmtId="0" fontId="20" fillId="5" borderId="0" xfId="0" applyFont="1" applyFill="1" applyAlignment="1">
      <alignment horizontal="center" vertical="center"/>
    </xf>
    <xf numFmtId="167" fontId="21" fillId="5" borderId="0" xfId="0" applyNumberFormat="1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2" fillId="13" borderId="64" xfId="0" applyFont="1" applyFill="1" applyBorder="1" applyAlignment="1">
      <alignment horizontal="center" vertical="center"/>
    </xf>
    <xf numFmtId="167" fontId="22" fillId="13" borderId="64" xfId="0" applyNumberFormat="1" applyFont="1" applyFill="1" applyBorder="1" applyAlignment="1">
      <alignment horizontal="center" vertical="center"/>
    </xf>
    <xf numFmtId="0" fontId="22" fillId="13" borderId="22" xfId="0" applyFont="1" applyFill="1" applyBorder="1" applyAlignment="1">
      <alignment horizontal="center" vertical="center"/>
    </xf>
    <xf numFmtId="15" fontId="24" fillId="14" borderId="12" xfId="0" applyNumberFormat="1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15" fontId="24" fillId="14" borderId="1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7" fillId="5" borderId="22" xfId="0" applyFont="1" applyFill="1" applyBorder="1" applyAlignment="1">
      <alignment horizontal="center" vertical="center"/>
    </xf>
    <xf numFmtId="0" fontId="21" fillId="5" borderId="29" xfId="0" applyFont="1" applyFill="1" applyBorder="1" applyAlignment="1">
      <alignment horizontal="center" vertical="center"/>
    </xf>
    <xf numFmtId="15" fontId="24" fillId="14" borderId="11" xfId="0" applyNumberFormat="1" applyFont="1" applyFill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167" fontId="28" fillId="5" borderId="19" xfId="0" applyNumberFormat="1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167" fontId="28" fillId="5" borderId="14" xfId="0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51" xfId="0" applyFont="1" applyBorder="1" applyAlignment="1">
      <alignment horizontal="center" vertical="center"/>
    </xf>
    <xf numFmtId="167" fontId="28" fillId="5" borderId="60" xfId="0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15" fontId="24" fillId="14" borderId="14" xfId="0" applyNumberFormat="1" applyFont="1" applyFill="1" applyBorder="1" applyAlignment="1">
      <alignment horizontal="center" vertical="center"/>
    </xf>
    <xf numFmtId="15" fontId="24" fillId="14" borderId="15" xfId="0" applyNumberFormat="1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67" fontId="28" fillId="5" borderId="9" xfId="0" applyNumberFormat="1" applyFont="1" applyFill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167" fontId="28" fillId="5" borderId="10" xfId="0" applyNumberFormat="1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167" fontId="28" fillId="5" borderId="11" xfId="0" applyNumberFormat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9" fillId="5" borderId="0" xfId="0" applyFont="1" applyFill="1" applyAlignment="1">
      <alignment horizontal="center" vertical="center" wrapText="1"/>
    </xf>
    <xf numFmtId="167" fontId="28" fillId="5" borderId="0" xfId="0" applyNumberFormat="1" applyFont="1" applyFill="1" applyAlignment="1">
      <alignment horizontal="center" vertical="center" wrapText="1"/>
    </xf>
    <xf numFmtId="0" fontId="6" fillId="0" borderId="59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4" fontId="2" fillId="0" borderId="3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2" xfId="0" applyNumberFormat="1" applyFont="1" applyBorder="1" applyAlignment="1">
      <alignment horizontal="center" vertical="center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28" xfId="0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19" fillId="5" borderId="18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left" vertical="center"/>
    </xf>
    <xf numFmtId="0" fontId="2" fillId="13" borderId="5" xfId="0" applyFont="1" applyFill="1" applyBorder="1" applyAlignment="1">
      <alignment horizontal="left" vertical="center"/>
    </xf>
    <xf numFmtId="0" fontId="2" fillId="13" borderId="14" xfId="0" applyFont="1" applyFill="1" applyBorder="1" applyAlignment="1">
      <alignment horizontal="left" vertical="center" wrapText="1"/>
    </xf>
    <xf numFmtId="0" fontId="2" fillId="13" borderId="51" xfId="0" applyFont="1" applyFill="1" applyBorder="1" applyAlignment="1">
      <alignment horizontal="left" vertical="center" wrapText="1"/>
    </xf>
    <xf numFmtId="0" fontId="2" fillId="13" borderId="6" xfId="0" applyFont="1" applyFill="1" applyBorder="1" applyAlignment="1">
      <alignment horizontal="left" vertical="center" wrapText="1"/>
    </xf>
    <xf numFmtId="0" fontId="2" fillId="13" borderId="7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13" borderId="2" xfId="0" applyFont="1" applyFill="1" applyBorder="1" applyAlignment="1">
      <alignment horizontal="left" vertical="center"/>
    </xf>
    <xf numFmtId="0" fontId="2" fillId="13" borderId="3" xfId="0" applyFont="1" applyFill="1" applyBorder="1" applyAlignment="1">
      <alignment horizontal="left" vertical="center"/>
    </xf>
    <xf numFmtId="0" fontId="2" fillId="13" borderId="54" xfId="0" applyFont="1" applyFill="1" applyBorder="1" applyAlignment="1">
      <alignment horizontal="left" vertical="center"/>
    </xf>
    <xf numFmtId="0" fontId="2" fillId="13" borderId="55" xfId="0" applyFont="1" applyFill="1" applyBorder="1" applyAlignment="1">
      <alignment horizontal="left" vertical="center"/>
    </xf>
    <xf numFmtId="0" fontId="2" fillId="13" borderId="17" xfId="0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168" fontId="9" fillId="5" borderId="57" xfId="4" applyNumberFormat="1" applyFont="1" applyFill="1" applyBorder="1" applyAlignment="1">
      <alignment horizontal="center" vertical="center"/>
    </xf>
    <xf numFmtId="168" fontId="9" fillId="5" borderId="53" xfId="4" applyNumberFormat="1" applyFont="1" applyFill="1" applyBorder="1" applyAlignment="1">
      <alignment horizontal="center" vertical="center"/>
    </xf>
    <xf numFmtId="0" fontId="2" fillId="13" borderId="42" xfId="0" applyFont="1" applyFill="1" applyBorder="1" applyAlignment="1">
      <alignment horizontal="left" vertical="center"/>
    </xf>
    <xf numFmtId="0" fontId="2" fillId="13" borderId="43" xfId="0" applyFont="1" applyFill="1" applyBorder="1" applyAlignment="1">
      <alignment horizontal="left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center"/>
    </xf>
    <xf numFmtId="0" fontId="3" fillId="12" borderId="29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 wrapText="1"/>
    </xf>
    <xf numFmtId="0" fontId="9" fillId="9" borderId="28" xfId="0" applyFont="1" applyFill="1" applyBorder="1" applyAlignment="1">
      <alignment horizontal="center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34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/>
    </xf>
    <xf numFmtId="0" fontId="22" fillId="5" borderId="29" xfId="0" applyFont="1" applyFill="1" applyBorder="1" applyAlignment="1">
      <alignment horizontal="center" vertical="center"/>
    </xf>
    <xf numFmtId="0" fontId="23" fillId="13" borderId="19" xfId="0" applyFont="1" applyFill="1" applyBorder="1" applyAlignment="1">
      <alignment horizontal="center" vertical="center" wrapText="1"/>
    </xf>
    <xf numFmtId="0" fontId="23" fillId="13" borderId="14" xfId="0" applyFont="1" applyFill="1" applyBorder="1" applyAlignment="1">
      <alignment horizontal="center" vertical="center" wrapText="1"/>
    </xf>
    <xf numFmtId="0" fontId="23" fillId="13" borderId="15" xfId="0" applyFont="1" applyFill="1" applyBorder="1" applyAlignment="1">
      <alignment horizontal="center" vertical="center" wrapText="1"/>
    </xf>
    <xf numFmtId="0" fontId="23" fillId="13" borderId="60" xfId="0" applyFont="1" applyFill="1" applyBorder="1" applyAlignment="1">
      <alignment horizontal="center" vertical="center" wrapText="1"/>
    </xf>
    <xf numFmtId="0" fontId="23" fillId="13" borderId="9" xfId="0" applyFont="1" applyFill="1" applyBorder="1" applyAlignment="1">
      <alignment horizontal="center" vertical="center" wrapText="1"/>
    </xf>
    <xf numFmtId="0" fontId="23" fillId="13" borderId="10" xfId="0" applyFont="1" applyFill="1" applyBorder="1" applyAlignment="1">
      <alignment horizontal="center" vertical="center" wrapText="1"/>
    </xf>
    <xf numFmtId="0" fontId="23" fillId="13" borderId="23" xfId="0" applyFont="1" applyFill="1" applyBorder="1" applyAlignment="1">
      <alignment horizontal="center" vertical="center" wrapText="1"/>
    </xf>
    <xf numFmtId="0" fontId="23" fillId="13" borderId="11" xfId="0" applyFont="1" applyFill="1" applyBorder="1" applyAlignment="1">
      <alignment horizontal="center" vertical="center" wrapText="1"/>
    </xf>
    <xf numFmtId="0" fontId="22" fillId="5" borderId="28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0" fontId="2" fillId="13" borderId="58" xfId="0" applyFont="1" applyFill="1" applyBorder="1" applyAlignment="1">
      <alignment horizontal="center" vertical="center"/>
    </xf>
    <xf numFmtId="0" fontId="2" fillId="13" borderId="32" xfId="0" applyFont="1" applyFill="1" applyBorder="1" applyAlignment="1">
      <alignment horizontal="center" vertical="center"/>
    </xf>
    <xf numFmtId="0" fontId="17" fillId="2" borderId="50" xfId="1" applyFont="1" applyFill="1" applyBorder="1" applyAlignment="1">
      <alignment horizontal="center" vertical="center" wrapText="1"/>
    </xf>
    <xf numFmtId="0" fontId="17" fillId="2" borderId="51" xfId="1" applyFont="1" applyFill="1" applyBorder="1" applyAlignment="1">
      <alignment horizontal="center" vertical="center"/>
    </xf>
    <xf numFmtId="0" fontId="17" fillId="2" borderId="52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49" xfId="1" applyFont="1" applyFill="1" applyBorder="1" applyAlignment="1">
      <alignment horizontal="center" vertical="center" wrapText="1"/>
    </xf>
    <xf numFmtId="0" fontId="9" fillId="2" borderId="45" xfId="1" applyFont="1" applyFill="1" applyBorder="1" applyAlignment="1">
      <alignment horizontal="center" vertical="center"/>
    </xf>
    <xf numFmtId="0" fontId="9" fillId="2" borderId="46" xfId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3" fontId="2" fillId="0" borderId="53" xfId="0" applyNumberFormat="1" applyFont="1" applyBorder="1" applyAlignment="1">
      <alignment horizontal="center" vertical="center" wrapText="1"/>
    </xf>
    <xf numFmtId="3" fontId="2" fillId="0" borderId="51" xfId="0" applyNumberFormat="1" applyFont="1" applyBorder="1" applyAlignment="1">
      <alignment horizontal="center" vertical="center" wrapText="1"/>
    </xf>
    <xf numFmtId="3" fontId="2" fillId="0" borderId="57" xfId="0" applyNumberFormat="1" applyFont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</cellXfs>
  <cellStyles count="5">
    <cellStyle name="Comma" xfId="2" builtinId="3"/>
    <cellStyle name="Comma 2" xfId="4" xr:uid="{674EAD21-1544-4512-B44D-D2D09DA0430D}"/>
    <cellStyle name="Normal" xfId="0" builtinId="0"/>
    <cellStyle name="Normal 17" xfId="1" xr:uid="{00000000-0005-0000-0000-000002000000}"/>
    <cellStyle name="Percent" xfId="3" builtin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N46"/>
  <sheetViews>
    <sheetView topLeftCell="A4" zoomScale="125" zoomScaleNormal="90" workbookViewId="0">
      <selection activeCell="D17" sqref="D17"/>
    </sheetView>
  </sheetViews>
  <sheetFormatPr defaultColWidth="9.140625" defaultRowHeight="15"/>
  <cols>
    <col min="1" max="2" width="9.140625" style="45"/>
    <col min="3" max="3" width="52.42578125" style="45" bestFit="1" customWidth="1"/>
    <col min="4" max="4" width="11.42578125" style="45" bestFit="1" customWidth="1"/>
    <col min="5" max="5" width="9.140625" style="45" bestFit="1" customWidth="1"/>
    <col min="6" max="6" width="8.42578125" style="44" bestFit="1" customWidth="1"/>
    <col min="7" max="7" width="9.7109375" style="44" bestFit="1" customWidth="1"/>
    <col min="8" max="8" width="12" style="45" bestFit="1" customWidth="1"/>
    <col min="9" max="9" width="16.7109375" style="45" bestFit="1" customWidth="1"/>
    <col min="10" max="10" width="21.7109375" style="45" bestFit="1" customWidth="1"/>
    <col min="11" max="16384" width="9.140625" style="45"/>
  </cols>
  <sheetData>
    <row r="1" spans="1:14" ht="15.75" thickBot="1"/>
    <row r="2" spans="1:14" ht="19.5" thickBot="1">
      <c r="C2" s="166" t="s">
        <v>50</v>
      </c>
      <c r="D2" s="167"/>
      <c r="E2" s="167"/>
      <c r="F2" s="167"/>
      <c r="G2" s="167"/>
      <c r="H2" s="167"/>
      <c r="I2" s="167"/>
      <c r="J2" s="168"/>
    </row>
    <row r="3" spans="1:14" ht="15.75" thickBot="1"/>
    <row r="4" spans="1:14" ht="63.75" thickBot="1">
      <c r="A4" s="100"/>
      <c r="C4" s="158" t="s">
        <v>13</v>
      </c>
      <c r="D4" s="159"/>
      <c r="F4" s="156" t="s">
        <v>35</v>
      </c>
      <c r="G4" s="157"/>
      <c r="H4" s="36" t="s">
        <v>21</v>
      </c>
      <c r="I4" s="37" t="s">
        <v>38</v>
      </c>
      <c r="J4" s="36" t="s">
        <v>95</v>
      </c>
    </row>
    <row r="5" spans="1:14" ht="15.75" thickBot="1">
      <c r="C5" s="147" t="s">
        <v>22</v>
      </c>
      <c r="D5" s="150">
        <v>120</v>
      </c>
      <c r="F5" s="38">
        <f>'SDG 13'!B5</f>
        <v>44927</v>
      </c>
      <c r="G5" s="39">
        <f>'SDG 13'!C10</f>
        <v>45107</v>
      </c>
      <c r="H5" s="19">
        <f>'SDG 13'!H11</f>
        <v>160663.78</v>
      </c>
      <c r="I5" s="27">
        <f>'SDG 13'!I11</f>
        <v>0.94189999999999996</v>
      </c>
      <c r="J5" s="20">
        <f>ROUNDDOWN(H5*I5,0)</f>
        <v>151329</v>
      </c>
    </row>
    <row r="6" spans="1:14">
      <c r="C6" s="148" t="s">
        <v>14</v>
      </c>
      <c r="D6" s="28">
        <f>F5</f>
        <v>44927</v>
      </c>
      <c r="F6" s="40"/>
      <c r="G6" s="40"/>
      <c r="H6" s="41"/>
      <c r="I6" s="42"/>
      <c r="J6" s="43"/>
    </row>
    <row r="7" spans="1:14">
      <c r="C7" s="148" t="s">
        <v>15</v>
      </c>
      <c r="D7" s="28">
        <f>G5</f>
        <v>45107</v>
      </c>
      <c r="F7" s="40"/>
      <c r="G7" s="40"/>
      <c r="H7" s="41"/>
      <c r="I7" s="42"/>
      <c r="J7" s="43"/>
    </row>
    <row r="8" spans="1:14">
      <c r="C8" s="148" t="s">
        <v>16</v>
      </c>
      <c r="D8" s="29">
        <f>D7-D6+1</f>
        <v>181</v>
      </c>
      <c r="J8" s="46"/>
    </row>
    <row r="9" spans="1:14">
      <c r="C9" s="148" t="s">
        <v>85</v>
      </c>
      <c r="D9" s="30">
        <v>292335</v>
      </c>
      <c r="J9" s="46"/>
      <c r="N9" s="65"/>
    </row>
    <row r="10" spans="1:14" ht="18.75" thickBot="1">
      <c r="C10" s="148" t="s">
        <v>86</v>
      </c>
      <c r="D10" s="30">
        <v>275350</v>
      </c>
      <c r="E10" s="47"/>
      <c r="N10" s="65"/>
    </row>
    <row r="11" spans="1:14" ht="18.75" thickBot="1">
      <c r="C11" s="148" t="s">
        <v>87</v>
      </c>
      <c r="D11" s="101">
        <f>I5</f>
        <v>0.94189999999999996</v>
      </c>
      <c r="F11" s="169" t="s">
        <v>3</v>
      </c>
      <c r="G11" s="170"/>
      <c r="H11" s="160" t="s">
        <v>12</v>
      </c>
      <c r="I11" s="34" t="s">
        <v>4</v>
      </c>
      <c r="J11" s="160" t="s">
        <v>5</v>
      </c>
    </row>
    <row r="12" spans="1:14" ht="30.75" thickBot="1">
      <c r="C12" s="148" t="s">
        <v>88</v>
      </c>
      <c r="D12" s="102">
        <f>(D9*D8)/365</f>
        <v>144966.12328767125</v>
      </c>
      <c r="F12" s="171"/>
      <c r="G12" s="172"/>
      <c r="H12" s="161"/>
      <c r="I12" s="35"/>
      <c r="J12" s="161"/>
    </row>
    <row r="13" spans="1:14" ht="36" customHeight="1">
      <c r="C13" s="148" t="s">
        <v>89</v>
      </c>
      <c r="D13" s="30">
        <f>D10*D8/365</f>
        <v>136543.42465753425</v>
      </c>
      <c r="F13" s="173" t="s">
        <v>6</v>
      </c>
      <c r="G13" s="174"/>
      <c r="H13" s="61" t="s">
        <v>19</v>
      </c>
      <c r="I13" s="24">
        <f>H5</f>
        <v>160663.78</v>
      </c>
      <c r="J13" s="21" t="s">
        <v>7</v>
      </c>
    </row>
    <row r="14" spans="1:14" ht="30">
      <c r="C14" s="148" t="s">
        <v>90</v>
      </c>
      <c r="D14" s="103">
        <f>H5</f>
        <v>160663.78</v>
      </c>
      <c r="F14" s="175" t="s">
        <v>8</v>
      </c>
      <c r="G14" s="176"/>
      <c r="H14" s="163" t="s">
        <v>17</v>
      </c>
      <c r="I14" s="25">
        <v>19</v>
      </c>
      <c r="J14" s="22" t="s">
        <v>9</v>
      </c>
    </row>
    <row r="15" spans="1:14" ht="18">
      <c r="C15" s="148" t="s">
        <v>91</v>
      </c>
      <c r="D15" s="30">
        <f>'SDG 13'!K11</f>
        <v>151329</v>
      </c>
      <c r="F15" s="175"/>
      <c r="G15" s="176"/>
      <c r="H15" s="164"/>
      <c r="I15" s="32">
        <v>23</v>
      </c>
      <c r="J15" s="22" t="s">
        <v>10</v>
      </c>
    </row>
    <row r="16" spans="1:14">
      <c r="C16" s="148" t="s">
        <v>92</v>
      </c>
      <c r="D16" s="104">
        <f>(D14-D12)/D12</f>
        <v>0.10828500035955485</v>
      </c>
      <c r="F16" s="175"/>
      <c r="G16" s="176"/>
      <c r="H16" s="165"/>
      <c r="I16" s="33">
        <v>3948968</v>
      </c>
      <c r="J16" s="22" t="s">
        <v>36</v>
      </c>
    </row>
    <row r="17" spans="3:10" ht="18.75" thickBot="1">
      <c r="C17" s="149" t="s">
        <v>93</v>
      </c>
      <c r="D17" s="31">
        <f>(D15-D13)/D13</f>
        <v>0.10828478470896401</v>
      </c>
      <c r="F17" s="154" t="s">
        <v>11</v>
      </c>
      <c r="G17" s="155"/>
      <c r="H17" s="62" t="s">
        <v>18</v>
      </c>
      <c r="I17" s="26">
        <f>J5</f>
        <v>151329</v>
      </c>
      <c r="J17" s="23" t="s">
        <v>37</v>
      </c>
    </row>
    <row r="20" spans="3:10">
      <c r="G20" s="162"/>
    </row>
    <row r="21" spans="3:10">
      <c r="G21" s="162"/>
    </row>
    <row r="22" spans="3:10">
      <c r="G22" s="48"/>
    </row>
    <row r="23" spans="3:10">
      <c r="G23" s="48"/>
    </row>
    <row r="31" spans="3:10">
      <c r="E31" s="49"/>
    </row>
    <row r="38" spans="3:3">
      <c r="C38" s="45">
        <f>298072*0.9305</f>
        <v>277355.99599999998</v>
      </c>
    </row>
    <row r="42" spans="3:3">
      <c r="C42" s="45">
        <v>298072</v>
      </c>
    </row>
    <row r="43" spans="3:3">
      <c r="C43" s="45">
        <v>0.94189999999999996</v>
      </c>
    </row>
    <row r="44" spans="3:3">
      <c r="C44" s="45">
        <f>C42*C43</f>
        <v>280754.01679999998</v>
      </c>
    </row>
    <row r="45" spans="3:3">
      <c r="C45" s="45">
        <v>275305</v>
      </c>
    </row>
    <row r="46" spans="3:3">
      <c r="C46" s="45">
        <f>C44-C45</f>
        <v>5449.016799999983</v>
      </c>
    </row>
  </sheetData>
  <mergeCells count="11">
    <mergeCell ref="C2:J2"/>
    <mergeCell ref="F11:G12"/>
    <mergeCell ref="F13:G13"/>
    <mergeCell ref="F14:G16"/>
    <mergeCell ref="J11:J12"/>
    <mergeCell ref="F17:G17"/>
    <mergeCell ref="F4:G4"/>
    <mergeCell ref="C4:D4"/>
    <mergeCell ref="H11:H12"/>
    <mergeCell ref="G20:G21"/>
    <mergeCell ref="H14:H16"/>
  </mergeCells>
  <phoneticPr fontId="8" type="noConversion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74B4-DA07-4FEE-85EB-E3975975172B}">
  <dimension ref="B1:H22"/>
  <sheetViews>
    <sheetView zoomScale="115" zoomScaleNormal="115" workbookViewId="0">
      <selection activeCell="D11" sqref="D11"/>
    </sheetView>
  </sheetViews>
  <sheetFormatPr defaultColWidth="20.7109375" defaultRowHeight="15"/>
  <cols>
    <col min="1" max="2" width="20.7109375" style="45"/>
    <col min="3" max="3" width="29.140625" style="45" customWidth="1"/>
    <col min="4" max="4" width="24" style="45" bestFit="1" customWidth="1"/>
    <col min="5" max="5" width="3.42578125" style="45" customWidth="1"/>
    <col min="6" max="6" width="20.7109375" style="45"/>
    <col min="7" max="7" width="29" style="45" customWidth="1"/>
    <col min="8" max="8" width="24" style="45" bestFit="1" customWidth="1"/>
    <col min="9" max="16384" width="20.7109375" style="45"/>
  </cols>
  <sheetData>
    <row r="1" spans="2:8" ht="15.75" thickBot="1"/>
    <row r="2" spans="2:8">
      <c r="B2" s="177" t="s">
        <v>76</v>
      </c>
      <c r="C2" s="178"/>
      <c r="D2" s="178"/>
      <c r="E2" s="178"/>
      <c r="F2" s="178"/>
      <c r="G2" s="178"/>
      <c r="H2" s="179"/>
    </row>
    <row r="3" spans="2:8" ht="15.75" thickBot="1">
      <c r="B3" s="180"/>
      <c r="C3" s="181"/>
      <c r="D3" s="181"/>
      <c r="E3" s="181"/>
      <c r="F3" s="181"/>
      <c r="G3" s="181"/>
      <c r="H3" s="182"/>
    </row>
    <row r="4" spans="2:8">
      <c r="B4" s="49"/>
      <c r="C4" s="49"/>
      <c r="D4" s="49"/>
      <c r="E4" s="49"/>
      <c r="F4" s="49"/>
      <c r="G4" s="49"/>
      <c r="H4" s="49"/>
    </row>
    <row r="5" spans="2:8" ht="18.75">
      <c r="B5" s="190" t="s">
        <v>77</v>
      </c>
      <c r="C5" s="191"/>
      <c r="D5" s="191"/>
      <c r="F5" s="190" t="s">
        <v>78</v>
      </c>
      <c r="G5" s="191"/>
      <c r="H5" s="191"/>
    </row>
    <row r="6" spans="2:8" ht="15.75" thickBot="1"/>
    <row r="7" spans="2:8">
      <c r="B7" s="192" t="s">
        <v>74</v>
      </c>
      <c r="C7" s="193"/>
      <c r="D7" s="97">
        <v>0.28360000000000002</v>
      </c>
      <c r="E7" s="93"/>
      <c r="F7" s="192" t="s">
        <v>74</v>
      </c>
      <c r="G7" s="193"/>
      <c r="H7" s="97">
        <v>0.28360000000000002</v>
      </c>
    </row>
    <row r="8" spans="2:8" ht="15.75" thickBot="1">
      <c r="B8" s="194" t="s">
        <v>67</v>
      </c>
      <c r="C8" s="195"/>
      <c r="D8" s="94" t="s">
        <v>68</v>
      </c>
      <c r="F8" s="194" t="s">
        <v>67</v>
      </c>
      <c r="G8" s="195"/>
      <c r="H8" s="94" t="s">
        <v>68</v>
      </c>
    </row>
    <row r="9" spans="2:8">
      <c r="B9" s="196" t="s">
        <v>69</v>
      </c>
      <c r="C9" s="197"/>
      <c r="D9" s="198">
        <f>(C10-B10)+1</f>
        <v>181</v>
      </c>
      <c r="F9" s="196" t="s">
        <v>69</v>
      </c>
      <c r="G9" s="197"/>
      <c r="H9" s="198">
        <f>(G10-F10)+1</f>
        <v>365</v>
      </c>
    </row>
    <row r="10" spans="2:8" ht="15.75" thickBot="1">
      <c r="B10" s="90">
        <v>44927</v>
      </c>
      <c r="C10" s="91">
        <f>'ER Summary '!D7</f>
        <v>45107</v>
      </c>
      <c r="D10" s="199"/>
      <c r="F10" s="90">
        <v>44743</v>
      </c>
      <c r="G10" s="91">
        <v>45107</v>
      </c>
      <c r="H10" s="199"/>
    </row>
    <row r="11" spans="2:8">
      <c r="B11" s="200" t="s">
        <v>70</v>
      </c>
      <c r="C11" s="201"/>
      <c r="D11" s="92">
        <f>'ER Summary '!D14</f>
        <v>160663.78</v>
      </c>
      <c r="F11" s="200" t="s">
        <v>70</v>
      </c>
      <c r="G11" s="201"/>
      <c r="H11" s="92">
        <f>160664+136165</f>
        <v>296829</v>
      </c>
    </row>
    <row r="12" spans="2:8">
      <c r="B12" s="183" t="s">
        <v>71</v>
      </c>
      <c r="C12" s="184"/>
      <c r="D12" s="94">
        <v>120</v>
      </c>
      <c r="F12" s="183" t="s">
        <v>71</v>
      </c>
      <c r="G12" s="184"/>
      <c r="H12" s="94">
        <v>120</v>
      </c>
    </row>
    <row r="13" spans="2:8">
      <c r="B13" s="183" t="s">
        <v>72</v>
      </c>
      <c r="C13" s="184"/>
      <c r="D13" s="95">
        <f>D11/(D9*24*D12)</f>
        <v>0.30821013658686308</v>
      </c>
      <c r="F13" s="183" t="s">
        <v>72</v>
      </c>
      <c r="G13" s="184"/>
      <c r="H13" s="95">
        <f>H11/(H9*H12*24)</f>
        <v>0.28237157534246576</v>
      </c>
    </row>
    <row r="14" spans="2:8" ht="29.25" customHeight="1">
      <c r="B14" s="185" t="s">
        <v>73</v>
      </c>
      <c r="C14" s="186"/>
      <c r="D14" s="95">
        <f>(D13-D7)/D7</f>
        <v>8.6777632534778076E-2</v>
      </c>
      <c r="F14" s="185" t="s">
        <v>73</v>
      </c>
      <c r="G14" s="186"/>
      <c r="H14" s="95">
        <f>(H13-H7)/H7</f>
        <v>-4.3315396951137336E-3</v>
      </c>
    </row>
    <row r="15" spans="2:8" ht="120.4" customHeight="1" thickBot="1">
      <c r="B15" s="187" t="s">
        <v>96</v>
      </c>
      <c r="C15" s="188"/>
      <c r="D15" s="96">
        <f>(D7)+(22.3%*D7)</f>
        <v>0.34684280000000001</v>
      </c>
      <c r="F15" s="187" t="s">
        <v>96</v>
      </c>
      <c r="G15" s="188"/>
      <c r="H15" s="96">
        <f>(H7)+(H7*22.3%)</f>
        <v>0.34684280000000001</v>
      </c>
    </row>
    <row r="17" spans="2:8" ht="15" customHeight="1">
      <c r="B17" s="189" t="s">
        <v>75</v>
      </c>
      <c r="C17" s="189"/>
      <c r="D17" s="189"/>
      <c r="E17" s="189"/>
      <c r="F17" s="189"/>
      <c r="G17" s="189"/>
      <c r="H17" s="189"/>
    </row>
    <row r="18" spans="2:8">
      <c r="B18" s="189"/>
      <c r="C18" s="189"/>
      <c r="D18" s="189"/>
      <c r="E18" s="189"/>
      <c r="F18" s="189"/>
      <c r="G18" s="189"/>
      <c r="H18" s="189"/>
    </row>
    <row r="19" spans="2:8">
      <c r="F19" s="99">
        <f>128253+'ER Summary '!I17</f>
        <v>279582</v>
      </c>
    </row>
    <row r="20" spans="2:8">
      <c r="D20" s="98"/>
    </row>
    <row r="22" spans="2:8">
      <c r="C22" s="93"/>
    </row>
  </sheetData>
  <mergeCells count="22">
    <mergeCell ref="B17:H18"/>
    <mergeCell ref="F5:H5"/>
    <mergeCell ref="F7:G7"/>
    <mergeCell ref="F8:G8"/>
    <mergeCell ref="F9:G9"/>
    <mergeCell ref="H9:H10"/>
    <mergeCell ref="F11:G11"/>
    <mergeCell ref="B13:C13"/>
    <mergeCell ref="B15:C15"/>
    <mergeCell ref="B5:D5"/>
    <mergeCell ref="D9:D10"/>
    <mergeCell ref="B14:C14"/>
    <mergeCell ref="B7:C7"/>
    <mergeCell ref="B8:C8"/>
    <mergeCell ref="B9:C9"/>
    <mergeCell ref="B11:C11"/>
    <mergeCell ref="B2:H3"/>
    <mergeCell ref="F12:G12"/>
    <mergeCell ref="F13:G13"/>
    <mergeCell ref="F14:G14"/>
    <mergeCell ref="F15:G15"/>
    <mergeCell ref="B12:C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2"/>
  <sheetViews>
    <sheetView zoomScale="150" workbookViewId="0">
      <selection activeCell="F19" sqref="F19"/>
    </sheetView>
  </sheetViews>
  <sheetFormatPr defaultColWidth="9.140625" defaultRowHeight="15"/>
  <cols>
    <col min="1" max="1" width="9.140625" style="8"/>
    <col min="2" max="2" width="14.28515625" style="8" bestFit="1" customWidth="1"/>
    <col min="3" max="3" width="14" style="8" bestFit="1" customWidth="1"/>
    <col min="4" max="4" width="14.28515625" style="8" bestFit="1" customWidth="1"/>
    <col min="5" max="5" width="14" style="8" bestFit="1" customWidth="1"/>
    <col min="6" max="6" width="14.28515625" style="8" bestFit="1" customWidth="1"/>
    <col min="7" max="7" width="14" style="8" bestFit="1" customWidth="1"/>
    <col min="8" max="8" width="14.28515625" style="8" bestFit="1" customWidth="1"/>
    <col min="9" max="9" width="14" style="8" bestFit="1" customWidth="1"/>
    <col min="10" max="10" width="14.28515625" style="8" bestFit="1" customWidth="1"/>
    <col min="11" max="11" width="14" style="8" bestFit="1" customWidth="1"/>
    <col min="12" max="12" width="14.28515625" style="8" bestFit="1" customWidth="1"/>
    <col min="13" max="16384" width="9.140625" style="8"/>
  </cols>
  <sheetData>
    <row r="1" spans="2:14" ht="15.75" thickBot="1"/>
    <row r="2" spans="2:14" ht="19.5" thickBot="1">
      <c r="B2" s="202" t="s">
        <v>42</v>
      </c>
      <c r="C2" s="203"/>
      <c r="D2" s="203"/>
      <c r="E2" s="203"/>
      <c r="F2" s="203"/>
      <c r="G2" s="203"/>
      <c r="H2" s="203"/>
      <c r="I2" s="203"/>
      <c r="J2" s="203"/>
      <c r="K2" s="203"/>
      <c r="L2" s="204"/>
    </row>
    <row r="3" spans="2:14" ht="16.5" customHeight="1" thickBot="1">
      <c r="B3" s="15" t="s">
        <v>33</v>
      </c>
      <c r="C3" s="205" t="s">
        <v>43</v>
      </c>
      <c r="D3" s="206"/>
      <c r="E3" s="206"/>
      <c r="F3" s="206"/>
      <c r="G3" s="206"/>
      <c r="H3" s="207"/>
      <c r="I3" s="216" t="s">
        <v>39</v>
      </c>
      <c r="J3" s="217"/>
      <c r="K3" s="217"/>
      <c r="L3" s="218"/>
    </row>
    <row r="4" spans="2:14" ht="15.75" customHeight="1" thickBot="1">
      <c r="B4" s="15" t="s">
        <v>23</v>
      </c>
      <c r="C4" s="214">
        <v>45</v>
      </c>
      <c r="D4" s="215"/>
      <c r="E4" s="214">
        <v>35</v>
      </c>
      <c r="F4" s="215"/>
      <c r="G4" s="214">
        <v>40</v>
      </c>
      <c r="H4" s="215"/>
      <c r="I4" s="219"/>
      <c r="J4" s="220"/>
      <c r="K4" s="220"/>
      <c r="L4" s="221"/>
    </row>
    <row r="5" spans="2:14" ht="15.75" thickBot="1">
      <c r="B5" s="210" t="s">
        <v>34</v>
      </c>
      <c r="C5" s="57" t="s">
        <v>48</v>
      </c>
      <c r="D5" s="58" t="s">
        <v>49</v>
      </c>
      <c r="E5" s="57" t="s">
        <v>48</v>
      </c>
      <c r="F5" s="58" t="s">
        <v>49</v>
      </c>
      <c r="G5" s="57" t="s">
        <v>48</v>
      </c>
      <c r="H5" s="58" t="s">
        <v>49</v>
      </c>
      <c r="I5" s="57" t="s">
        <v>48</v>
      </c>
      <c r="J5" s="58" t="s">
        <v>49</v>
      </c>
      <c r="K5" s="60" t="s">
        <v>48</v>
      </c>
      <c r="L5" s="59" t="s">
        <v>49</v>
      </c>
    </row>
    <row r="6" spans="2:14" ht="15.75" thickBot="1">
      <c r="B6" s="211"/>
      <c r="C6" s="208" t="s">
        <v>40</v>
      </c>
      <c r="D6" s="209"/>
      <c r="E6" s="208" t="s">
        <v>41</v>
      </c>
      <c r="F6" s="209"/>
      <c r="G6" s="208" t="s">
        <v>41</v>
      </c>
      <c r="H6" s="209"/>
      <c r="I6" s="208" t="s">
        <v>24</v>
      </c>
      <c r="J6" s="209"/>
      <c r="K6" s="212" t="s">
        <v>32</v>
      </c>
      <c r="L6" s="213"/>
    </row>
    <row r="7" spans="2:14">
      <c r="B7" s="16">
        <v>44927</v>
      </c>
      <c r="C7" s="12">
        <v>9533.2819999999992</v>
      </c>
      <c r="D7" s="14">
        <v>36.82</v>
      </c>
      <c r="E7" s="12">
        <v>7796.4790000000003</v>
      </c>
      <c r="F7" s="14">
        <v>25.523</v>
      </c>
      <c r="G7" s="12">
        <v>8785.3490000000002</v>
      </c>
      <c r="H7" s="11">
        <v>30.132000000000001</v>
      </c>
      <c r="I7" s="9">
        <f t="shared" ref="I7:J12" si="0">C7+E7+G7</f>
        <v>26115.11</v>
      </c>
      <c r="J7" s="11">
        <f t="shared" si="0"/>
        <v>92.475000000000009</v>
      </c>
      <c r="K7" s="9">
        <v>26115.11</v>
      </c>
      <c r="L7" s="10">
        <v>92.475000000000009</v>
      </c>
      <c r="M7" s="89"/>
      <c r="N7" s="89"/>
    </row>
    <row r="8" spans="2:14">
      <c r="B8" s="17">
        <v>44958</v>
      </c>
      <c r="C8" s="1">
        <v>10329.25</v>
      </c>
      <c r="D8" s="13">
        <v>31.539000000000001</v>
      </c>
      <c r="E8" s="1">
        <v>7701.9750000000004</v>
      </c>
      <c r="F8" s="13">
        <v>22.535</v>
      </c>
      <c r="G8" s="1">
        <v>9150.6409999999996</v>
      </c>
      <c r="H8" s="6">
        <v>28.253</v>
      </c>
      <c r="I8" s="4">
        <f t="shared" si="0"/>
        <v>27181.865999999998</v>
      </c>
      <c r="J8" s="6">
        <f t="shared" si="0"/>
        <v>82.326999999999998</v>
      </c>
      <c r="K8" s="4">
        <v>27181.865999999998</v>
      </c>
      <c r="L8" s="2">
        <v>82.326999999999998</v>
      </c>
      <c r="M8" s="89"/>
      <c r="N8" s="89"/>
    </row>
    <row r="9" spans="2:14">
      <c r="B9" s="17">
        <v>44986</v>
      </c>
      <c r="C9" s="1">
        <v>10117.424000000001</v>
      </c>
      <c r="D9" s="13">
        <v>33.412999999999997</v>
      </c>
      <c r="E9" s="1">
        <v>8046.3620000000001</v>
      </c>
      <c r="F9" s="13">
        <v>23.963000000000001</v>
      </c>
      <c r="G9" s="1">
        <v>8953.5910000000003</v>
      </c>
      <c r="H9" s="6">
        <v>28.152000000000001</v>
      </c>
      <c r="I9" s="4">
        <f t="shared" si="0"/>
        <v>27117.377</v>
      </c>
      <c r="J9" s="6">
        <f t="shared" si="0"/>
        <v>85.527999999999992</v>
      </c>
      <c r="K9" s="4">
        <v>27117.377</v>
      </c>
      <c r="L9" s="2">
        <v>85.527999999999992</v>
      </c>
      <c r="M9" s="89"/>
      <c r="N9" s="89"/>
    </row>
    <row r="10" spans="2:14">
      <c r="B10" s="17">
        <v>45017</v>
      </c>
      <c r="C10" s="1">
        <v>10122.735000000001</v>
      </c>
      <c r="D10" s="13">
        <v>30.236999999999998</v>
      </c>
      <c r="E10" s="1">
        <v>8293.4920000000002</v>
      </c>
      <c r="F10" s="13">
        <v>21.864999999999998</v>
      </c>
      <c r="G10" s="1">
        <v>9682.5959999999995</v>
      </c>
      <c r="H10" s="6">
        <v>25.271999999999998</v>
      </c>
      <c r="I10" s="4">
        <f t="shared" si="0"/>
        <v>28098.822999999997</v>
      </c>
      <c r="J10" s="6">
        <f t="shared" si="0"/>
        <v>77.373999999999995</v>
      </c>
      <c r="K10" s="4">
        <v>28098.822999999997</v>
      </c>
      <c r="L10" s="2">
        <v>77.373999999999995</v>
      </c>
      <c r="M10" s="89"/>
      <c r="N10" s="89"/>
    </row>
    <row r="11" spans="2:14">
      <c r="B11" s="17">
        <v>45047</v>
      </c>
      <c r="C11" s="1">
        <v>11174.621999999999</v>
      </c>
      <c r="D11" s="13">
        <v>29.352</v>
      </c>
      <c r="E11" s="1">
        <v>8845.9830000000002</v>
      </c>
      <c r="F11" s="13">
        <v>21.277000000000001</v>
      </c>
      <c r="G11" s="1">
        <v>10113.458000000001</v>
      </c>
      <c r="H11" s="6">
        <v>25.202000000000002</v>
      </c>
      <c r="I11" s="4">
        <f t="shared" si="0"/>
        <v>30134.063000000002</v>
      </c>
      <c r="J11" s="6">
        <f t="shared" si="0"/>
        <v>75.831000000000003</v>
      </c>
      <c r="K11" s="4">
        <v>30134.063000000002</v>
      </c>
      <c r="L11" s="2">
        <v>75.831000000000003</v>
      </c>
      <c r="M11" s="89"/>
      <c r="N11" s="89"/>
    </row>
    <row r="12" spans="2:14" ht="15.75" thickBot="1">
      <c r="B12" s="18">
        <v>45078</v>
      </c>
      <c r="C12" s="63">
        <v>7899.2870000000003</v>
      </c>
      <c r="D12" s="64">
        <v>28.058</v>
      </c>
      <c r="E12" s="63">
        <v>6562.4359999999997</v>
      </c>
      <c r="F12" s="64">
        <v>19.504999999999999</v>
      </c>
      <c r="G12" s="63">
        <v>8038.7259999999997</v>
      </c>
      <c r="H12" s="7">
        <v>22.81</v>
      </c>
      <c r="I12" s="5">
        <f t="shared" si="0"/>
        <v>22500.449000000001</v>
      </c>
      <c r="J12" s="7">
        <f t="shared" si="0"/>
        <v>70.373000000000005</v>
      </c>
      <c r="K12" s="5">
        <v>22500.45</v>
      </c>
      <c r="L12" s="3">
        <v>70.37</v>
      </c>
      <c r="M12" s="89"/>
      <c r="N12" s="89"/>
    </row>
  </sheetData>
  <mergeCells count="12">
    <mergeCell ref="B2:L2"/>
    <mergeCell ref="C3:H3"/>
    <mergeCell ref="E6:F6"/>
    <mergeCell ref="B5:B6"/>
    <mergeCell ref="I6:J6"/>
    <mergeCell ref="K6:L6"/>
    <mergeCell ref="C4:D4"/>
    <mergeCell ref="E4:F4"/>
    <mergeCell ref="G4:H4"/>
    <mergeCell ref="I3:L4"/>
    <mergeCell ref="C6:D6"/>
    <mergeCell ref="G6:H6"/>
  </mergeCells>
  <phoneticPr fontId="8" type="noConversion"/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"/>
  <sheetViews>
    <sheetView zoomScale="150" zoomScaleNormal="80" workbookViewId="0">
      <pane ySplit="3" topLeftCell="A4" activePane="bottomLeft" state="frozen"/>
      <selection activeCell="B1" sqref="B1"/>
      <selection pane="bottomLeft" activeCell="F26" sqref="F26"/>
    </sheetView>
  </sheetViews>
  <sheetFormatPr defaultColWidth="13.7109375" defaultRowHeight="18"/>
  <cols>
    <col min="1" max="1" width="11.28515625" style="105" bestFit="1" customWidth="1"/>
    <col min="2" max="2" width="11.42578125" style="106" bestFit="1" customWidth="1"/>
    <col min="3" max="3" width="48.7109375" style="107" bestFit="1" customWidth="1"/>
    <col min="4" max="4" width="23.7109375" style="107" bestFit="1" customWidth="1"/>
    <col min="5" max="5" width="13.7109375" style="107"/>
    <col min="6" max="6" width="11.42578125" style="107" bestFit="1" customWidth="1"/>
    <col min="7" max="7" width="12.42578125" style="107" bestFit="1" customWidth="1"/>
    <col min="8" max="8" width="13.7109375" style="107"/>
    <col min="9" max="9" width="19" style="107" customWidth="1"/>
    <col min="10" max="16384" width="13.7109375" style="107"/>
  </cols>
  <sheetData>
    <row r="1" spans="1:9" ht="18.75" thickBot="1"/>
    <row r="2" spans="1:9" ht="18.75" thickBot="1">
      <c r="A2" s="222" t="s">
        <v>62</v>
      </c>
      <c r="B2" s="232"/>
      <c r="C2" s="232"/>
      <c r="D2" s="223"/>
      <c r="F2" s="222" t="s">
        <v>79</v>
      </c>
      <c r="G2" s="223"/>
    </row>
    <row r="3" spans="1:9" s="105" customFormat="1" ht="18.75" thickBot="1">
      <c r="A3" s="108" t="s">
        <v>25</v>
      </c>
      <c r="B3" s="109" t="s">
        <v>26</v>
      </c>
      <c r="C3" s="108" t="s">
        <v>31</v>
      </c>
      <c r="D3" s="108" t="s">
        <v>27</v>
      </c>
      <c r="F3" s="110" t="s">
        <v>63</v>
      </c>
      <c r="G3" s="110" t="s">
        <v>64</v>
      </c>
    </row>
    <row r="4" spans="1:9" ht="15.75">
      <c r="A4" s="224" t="s">
        <v>52</v>
      </c>
      <c r="B4" s="111">
        <v>44949</v>
      </c>
      <c r="C4" s="112" t="s">
        <v>55</v>
      </c>
      <c r="D4" s="113">
        <v>4</v>
      </c>
      <c r="F4" s="114" t="s">
        <v>65</v>
      </c>
      <c r="G4" s="115">
        <v>19</v>
      </c>
    </row>
    <row r="5" spans="1:9" ht="16.5" thickBot="1">
      <c r="A5" s="225"/>
      <c r="B5" s="116">
        <v>44974</v>
      </c>
      <c r="C5" s="117" t="s">
        <v>57</v>
      </c>
      <c r="D5" s="118">
        <v>3</v>
      </c>
      <c r="F5" s="119" t="s">
        <v>66</v>
      </c>
      <c r="G5" s="120">
        <v>0</v>
      </c>
    </row>
    <row r="6" spans="1:9" ht="15.75" thickBot="1">
      <c r="A6" s="225"/>
      <c r="B6" s="116">
        <v>44978</v>
      </c>
      <c r="C6" s="117" t="s">
        <v>58</v>
      </c>
      <c r="D6" s="118">
        <v>5</v>
      </c>
      <c r="F6" s="121" t="s">
        <v>51</v>
      </c>
      <c r="G6" s="122">
        <f>SUM(G4:G5)</f>
        <v>19</v>
      </c>
    </row>
    <row r="7" spans="1:9" ht="14.25">
      <c r="A7" s="225"/>
      <c r="B7" s="116">
        <v>45008</v>
      </c>
      <c r="C7" s="117" t="s">
        <v>59</v>
      </c>
      <c r="D7" s="118">
        <v>5</v>
      </c>
      <c r="F7" s="233" t="s">
        <v>84</v>
      </c>
      <c r="G7" s="233"/>
      <c r="H7" s="233"/>
      <c r="I7" s="233"/>
    </row>
    <row r="8" spans="1:9" ht="14.25">
      <c r="A8" s="225"/>
      <c r="B8" s="116">
        <v>45045</v>
      </c>
      <c r="C8" s="117" t="s">
        <v>54</v>
      </c>
      <c r="D8" s="118">
        <v>7</v>
      </c>
      <c r="F8" s="233"/>
      <c r="G8" s="233"/>
      <c r="H8" s="233"/>
      <c r="I8" s="233"/>
    </row>
    <row r="9" spans="1:9" ht="15" thickBot="1">
      <c r="A9" s="226"/>
      <c r="B9" s="123">
        <v>45089</v>
      </c>
      <c r="C9" s="136" t="s">
        <v>80</v>
      </c>
      <c r="D9" s="124">
        <v>3</v>
      </c>
    </row>
    <row r="10" spans="1:9" ht="14.25">
      <c r="A10" s="224" t="s">
        <v>53</v>
      </c>
      <c r="B10" s="125">
        <v>45038</v>
      </c>
      <c r="C10" s="126" t="s">
        <v>54</v>
      </c>
      <c r="D10" s="127">
        <v>4</v>
      </c>
    </row>
    <row r="11" spans="1:9" ht="14.25">
      <c r="A11" s="225"/>
      <c r="B11" s="128">
        <v>44962</v>
      </c>
      <c r="C11" s="129" t="s">
        <v>57</v>
      </c>
      <c r="D11" s="130">
        <v>5</v>
      </c>
    </row>
    <row r="12" spans="1:9" ht="14.25">
      <c r="A12" s="225"/>
      <c r="B12" s="128">
        <v>44947</v>
      </c>
      <c r="C12" s="129" t="s">
        <v>55</v>
      </c>
      <c r="D12" s="130">
        <v>4</v>
      </c>
    </row>
    <row r="13" spans="1:9" ht="14.25">
      <c r="A13" s="225"/>
      <c r="B13" s="128">
        <v>44979</v>
      </c>
      <c r="C13" s="129" t="s">
        <v>58</v>
      </c>
      <c r="D13" s="130">
        <v>4</v>
      </c>
    </row>
    <row r="14" spans="1:9" ht="14.25">
      <c r="A14" s="225"/>
      <c r="B14" s="128">
        <v>45005</v>
      </c>
      <c r="C14" s="129" t="s">
        <v>59</v>
      </c>
      <c r="D14" s="130">
        <v>4</v>
      </c>
    </row>
    <row r="15" spans="1:9" ht="14.25">
      <c r="A15" s="227"/>
      <c r="B15" s="131">
        <v>45072</v>
      </c>
      <c r="C15" s="132" t="s">
        <v>58</v>
      </c>
      <c r="D15" s="133">
        <v>1</v>
      </c>
    </row>
    <row r="16" spans="1:9" ht="14.25">
      <c r="A16" s="227"/>
      <c r="B16" s="134">
        <v>45086</v>
      </c>
      <c r="C16" s="117" t="s">
        <v>81</v>
      </c>
      <c r="D16" s="118">
        <v>4</v>
      </c>
    </row>
    <row r="17" spans="1:4" ht="14.25">
      <c r="A17" s="227"/>
      <c r="B17" s="134">
        <v>45093</v>
      </c>
      <c r="C17" s="117" t="s">
        <v>82</v>
      </c>
      <c r="D17" s="118">
        <v>3</v>
      </c>
    </row>
    <row r="18" spans="1:4" ht="15" thickBot="1">
      <c r="A18" s="226"/>
      <c r="B18" s="135">
        <v>45098</v>
      </c>
      <c r="C18" s="136" t="s">
        <v>83</v>
      </c>
      <c r="D18" s="124">
        <v>3</v>
      </c>
    </row>
    <row r="19" spans="1:4" ht="14.25">
      <c r="A19" s="228" t="s">
        <v>56</v>
      </c>
      <c r="B19" s="137">
        <v>44931</v>
      </c>
      <c r="C19" s="138" t="s">
        <v>60</v>
      </c>
      <c r="D19" s="138">
        <v>5</v>
      </c>
    </row>
    <row r="20" spans="1:4" ht="14.25">
      <c r="A20" s="229"/>
      <c r="B20" s="139">
        <v>44946</v>
      </c>
      <c r="C20" s="129" t="s">
        <v>55</v>
      </c>
      <c r="D20" s="132">
        <v>6</v>
      </c>
    </row>
    <row r="21" spans="1:4" ht="14.25">
      <c r="A21" s="229"/>
      <c r="B21" s="139">
        <v>44980</v>
      </c>
      <c r="C21" s="132" t="s">
        <v>58</v>
      </c>
      <c r="D21" s="132">
        <v>4</v>
      </c>
    </row>
    <row r="22" spans="1:4" ht="14.25">
      <c r="A22" s="229"/>
      <c r="B22" s="139">
        <v>44982</v>
      </c>
      <c r="C22" s="132" t="s">
        <v>57</v>
      </c>
      <c r="D22" s="132">
        <v>4</v>
      </c>
    </row>
    <row r="23" spans="1:4" ht="14.25">
      <c r="A23" s="229"/>
      <c r="B23" s="139">
        <v>45012</v>
      </c>
      <c r="C23" s="129" t="s">
        <v>59</v>
      </c>
      <c r="D23" s="132">
        <v>6</v>
      </c>
    </row>
    <row r="24" spans="1:4" ht="14.25">
      <c r="A24" s="230"/>
      <c r="B24" s="139">
        <v>45040</v>
      </c>
      <c r="C24" s="140" t="s">
        <v>54</v>
      </c>
      <c r="D24" s="141">
        <v>4</v>
      </c>
    </row>
    <row r="25" spans="1:4" ht="14.25">
      <c r="A25" s="230"/>
      <c r="B25" s="139">
        <v>45071</v>
      </c>
      <c r="C25" s="129" t="s">
        <v>61</v>
      </c>
      <c r="D25" s="132">
        <v>4</v>
      </c>
    </row>
    <row r="26" spans="1:4" ht="15" thickBot="1">
      <c r="A26" s="231"/>
      <c r="B26" s="142">
        <v>45072</v>
      </c>
      <c r="C26" s="143" t="s">
        <v>58</v>
      </c>
      <c r="D26" s="144">
        <v>3</v>
      </c>
    </row>
    <row r="27" spans="1:4" ht="18.75" thickBot="1">
      <c r="A27" s="222" t="s">
        <v>51</v>
      </c>
      <c r="B27" s="223"/>
      <c r="C27" s="222" t="s">
        <v>94</v>
      </c>
      <c r="D27" s="223"/>
    </row>
    <row r="33" spans="1:2">
      <c r="A33" s="145"/>
      <c r="B33" s="146"/>
    </row>
    <row r="34" spans="1:2">
      <c r="A34" s="145"/>
      <c r="B34" s="146"/>
    </row>
    <row r="36" spans="1:2">
      <c r="A36" s="145"/>
      <c r="B36" s="146"/>
    </row>
    <row r="39" spans="1:2">
      <c r="A39" s="145"/>
      <c r="B39" s="146"/>
    </row>
    <row r="40" spans="1:2">
      <c r="A40" s="145"/>
      <c r="B40" s="146"/>
    </row>
    <row r="41" spans="1:2">
      <c r="A41" s="145"/>
      <c r="B41" s="146"/>
    </row>
  </sheetData>
  <mergeCells count="8">
    <mergeCell ref="A27:B27"/>
    <mergeCell ref="C27:D27"/>
    <mergeCell ref="F2:G2"/>
    <mergeCell ref="A4:A9"/>
    <mergeCell ref="A10:A18"/>
    <mergeCell ref="A19:A26"/>
    <mergeCell ref="A2:D2"/>
    <mergeCell ref="F7:I8"/>
  </mergeCells>
  <phoneticPr fontId="8" type="noConversion"/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5"/>
  <sheetViews>
    <sheetView tabSelected="1" zoomScaleNormal="100" workbookViewId="0">
      <selection activeCell="I18" sqref="I18"/>
    </sheetView>
  </sheetViews>
  <sheetFormatPr defaultColWidth="9.140625" defaultRowHeight="15"/>
  <cols>
    <col min="1" max="1" width="9.140625" style="49"/>
    <col min="2" max="2" width="11.42578125" style="49" customWidth="1"/>
    <col min="3" max="3" width="10.140625" style="49" bestFit="1" customWidth="1"/>
    <col min="4" max="4" width="7.42578125" style="49" bestFit="1" customWidth="1"/>
    <col min="5" max="6" width="18.140625" style="49" bestFit="1" customWidth="1"/>
    <col min="7" max="7" width="8" style="49" bestFit="1" customWidth="1"/>
    <col min="8" max="8" width="15" style="49" bestFit="1" customWidth="1"/>
    <col min="9" max="9" width="21.140625" style="49" bestFit="1" customWidth="1"/>
    <col min="10" max="10" width="18.28515625" style="49" bestFit="1" customWidth="1"/>
    <col min="11" max="11" width="22.7109375" style="49" bestFit="1" customWidth="1"/>
    <col min="12" max="12" width="9.140625" style="49"/>
    <col min="13" max="13" width="10.7109375" style="49" bestFit="1" customWidth="1"/>
    <col min="14" max="16384" width="9.140625" style="49"/>
  </cols>
  <sheetData>
    <row r="1" spans="2:13" ht="15.75" thickBot="1"/>
    <row r="2" spans="2:13">
      <c r="B2" s="252" t="s">
        <v>1</v>
      </c>
      <c r="C2" s="255" t="s">
        <v>0</v>
      </c>
      <c r="D2" s="261" t="s">
        <v>20</v>
      </c>
      <c r="E2" s="264" t="s">
        <v>28</v>
      </c>
      <c r="F2" s="267" t="s">
        <v>30</v>
      </c>
      <c r="G2" s="234" t="s">
        <v>29</v>
      </c>
      <c r="H2" s="237" t="s">
        <v>44</v>
      </c>
      <c r="I2" s="249" t="s">
        <v>45</v>
      </c>
      <c r="J2" s="246" t="s">
        <v>46</v>
      </c>
      <c r="K2" s="243" t="s">
        <v>47</v>
      </c>
    </row>
    <row r="3" spans="2:13">
      <c r="B3" s="253"/>
      <c r="C3" s="256"/>
      <c r="D3" s="262"/>
      <c r="E3" s="265"/>
      <c r="F3" s="268"/>
      <c r="G3" s="235"/>
      <c r="H3" s="238"/>
      <c r="I3" s="250"/>
      <c r="J3" s="247"/>
      <c r="K3" s="244"/>
    </row>
    <row r="4" spans="2:13" ht="15.75" thickBot="1">
      <c r="B4" s="254"/>
      <c r="C4" s="257"/>
      <c r="D4" s="263"/>
      <c r="E4" s="266"/>
      <c r="F4" s="269"/>
      <c r="G4" s="236"/>
      <c r="H4" s="239"/>
      <c r="I4" s="251"/>
      <c r="J4" s="248"/>
      <c r="K4" s="245"/>
    </row>
    <row r="5" spans="2:13">
      <c r="B5" s="66">
        <v>44927</v>
      </c>
      <c r="C5" s="67">
        <v>44957</v>
      </c>
      <c r="D5" s="68">
        <f>B5</f>
        <v>44927</v>
      </c>
      <c r="E5" s="75">
        <f>'SDG 07'!I7-'SDG 07'!J7</f>
        <v>26022.635000000002</v>
      </c>
      <c r="F5" s="76">
        <f>'SDG 07'!K7-'SDG 07'!L7</f>
        <v>26022.635000000002</v>
      </c>
      <c r="G5" s="77">
        <f>E5-F5</f>
        <v>0</v>
      </c>
      <c r="H5" s="78">
        <f>E5</f>
        <v>26022.635000000002</v>
      </c>
      <c r="I5" s="50">
        <v>0.94189999999999996</v>
      </c>
      <c r="J5" s="78">
        <f t="shared" ref="J5:J10" si="0">H5*I5</f>
        <v>24510.719906500002</v>
      </c>
      <c r="K5" s="258">
        <f>ROUNDDOWN(SUM(J5:J10),0)</f>
        <v>151329</v>
      </c>
    </row>
    <row r="6" spans="2:13">
      <c r="B6" s="69">
        <v>44958</v>
      </c>
      <c r="C6" s="70">
        <v>44985</v>
      </c>
      <c r="D6" s="71">
        <f>B6</f>
        <v>44958</v>
      </c>
      <c r="E6" s="4">
        <f>'SDG 07'!I8-'SDG 07'!J8</f>
        <v>27099.538999999997</v>
      </c>
      <c r="F6" s="2">
        <f>'SDG 07'!K8-'SDG 07'!L8</f>
        <v>27099.538999999997</v>
      </c>
      <c r="G6" s="79">
        <f t="shared" ref="G6:G10" si="1">E6-F6</f>
        <v>0</v>
      </c>
      <c r="H6" s="80">
        <f t="shared" ref="H6:H10" si="2">E6</f>
        <v>27099.538999999997</v>
      </c>
      <c r="I6" s="51">
        <v>0.94189999999999996</v>
      </c>
      <c r="J6" s="80">
        <f t="shared" si="0"/>
        <v>25525.055784099997</v>
      </c>
      <c r="K6" s="259"/>
    </row>
    <row r="7" spans="2:13">
      <c r="B7" s="69">
        <v>44986</v>
      </c>
      <c r="C7" s="70">
        <v>45016</v>
      </c>
      <c r="D7" s="71">
        <f t="shared" ref="D7:D10" si="3">B7</f>
        <v>44986</v>
      </c>
      <c r="E7" s="4">
        <f>'SDG 07'!I9-'SDG 07'!J9</f>
        <v>27031.849000000002</v>
      </c>
      <c r="F7" s="2">
        <f>'SDG 07'!K9-'SDG 07'!L9</f>
        <v>27031.849000000002</v>
      </c>
      <c r="G7" s="79">
        <f t="shared" si="1"/>
        <v>0</v>
      </c>
      <c r="H7" s="80">
        <f t="shared" si="2"/>
        <v>27031.849000000002</v>
      </c>
      <c r="I7" s="51">
        <v>0.94189999999999996</v>
      </c>
      <c r="J7" s="80">
        <f t="shared" si="0"/>
        <v>25461.298573100001</v>
      </c>
      <c r="K7" s="259"/>
    </row>
    <row r="8" spans="2:13">
      <c r="B8" s="69">
        <v>45017</v>
      </c>
      <c r="C8" s="70">
        <v>45046</v>
      </c>
      <c r="D8" s="71">
        <f t="shared" si="3"/>
        <v>45017</v>
      </c>
      <c r="E8" s="4">
        <f>'SDG 07'!I10-'SDG 07'!J10</f>
        <v>28021.448999999997</v>
      </c>
      <c r="F8" s="2">
        <f>'SDG 07'!K10-'SDG 07'!L10</f>
        <v>28021.448999999997</v>
      </c>
      <c r="G8" s="79">
        <f t="shared" si="1"/>
        <v>0</v>
      </c>
      <c r="H8" s="80">
        <f t="shared" si="2"/>
        <v>28021.448999999997</v>
      </c>
      <c r="I8" s="51">
        <v>0.94189999999999996</v>
      </c>
      <c r="J8" s="80">
        <f t="shared" si="0"/>
        <v>26393.402813099998</v>
      </c>
      <c r="K8" s="259"/>
    </row>
    <row r="9" spans="2:13">
      <c r="B9" s="69">
        <v>45047</v>
      </c>
      <c r="C9" s="70">
        <v>45077</v>
      </c>
      <c r="D9" s="71">
        <f t="shared" si="3"/>
        <v>45047</v>
      </c>
      <c r="E9" s="4">
        <f>'SDG 07'!I11-'SDG 07'!J11</f>
        <v>30058.232000000004</v>
      </c>
      <c r="F9" s="2">
        <f>'SDG 07'!K11-'SDG 07'!L11</f>
        <v>30058.232000000004</v>
      </c>
      <c r="G9" s="79">
        <f t="shared" si="1"/>
        <v>0</v>
      </c>
      <c r="H9" s="80">
        <f t="shared" si="2"/>
        <v>30058.232000000004</v>
      </c>
      <c r="I9" s="51">
        <v>0.94189999999999996</v>
      </c>
      <c r="J9" s="80">
        <f t="shared" si="0"/>
        <v>28311.848720800001</v>
      </c>
      <c r="K9" s="259"/>
    </row>
    <row r="10" spans="2:13" ht="15.75" thickBot="1">
      <c r="B10" s="72">
        <v>45078</v>
      </c>
      <c r="C10" s="73">
        <v>45107</v>
      </c>
      <c r="D10" s="74">
        <f t="shared" si="3"/>
        <v>45078</v>
      </c>
      <c r="E10" s="81">
        <f>'SDG 07'!I12-'SDG 07'!J12</f>
        <v>22430.076000000001</v>
      </c>
      <c r="F10" s="82">
        <f>'SDG 07'!K12-'SDG 07'!L12</f>
        <v>22430.080000000002</v>
      </c>
      <c r="G10" s="83">
        <f t="shared" si="1"/>
        <v>-4.0000000008149073E-3</v>
      </c>
      <c r="H10" s="84">
        <f t="shared" si="2"/>
        <v>22430.076000000001</v>
      </c>
      <c r="I10" s="52">
        <v>0.94189999999999996</v>
      </c>
      <c r="J10" s="84">
        <f t="shared" si="0"/>
        <v>21126.8885844</v>
      </c>
      <c r="K10" s="260"/>
    </row>
    <row r="11" spans="2:13" ht="15.75" thickBot="1">
      <c r="B11" s="240" t="s">
        <v>2</v>
      </c>
      <c r="C11" s="241"/>
      <c r="D11" s="242"/>
      <c r="E11" s="152">
        <f>SUM(E5:E10)</f>
        <v>160663.78</v>
      </c>
      <c r="F11" s="151">
        <f>SUM(F5:F10)</f>
        <v>160663.78399999999</v>
      </c>
      <c r="G11" s="53"/>
      <c r="H11" s="153">
        <f>SUM(H5:H10)</f>
        <v>160663.78</v>
      </c>
      <c r="I11" s="54">
        <v>0.94189999999999996</v>
      </c>
      <c r="J11" s="55">
        <f>SUM(J5:J10)</f>
        <v>151329.21438199998</v>
      </c>
      <c r="K11" s="56">
        <f>K5</f>
        <v>151329</v>
      </c>
      <c r="M11" s="88"/>
    </row>
    <row r="12" spans="2:13">
      <c r="L12" s="85"/>
      <c r="M12" s="86"/>
    </row>
    <row r="14" spans="2:13">
      <c r="I14" s="87"/>
    </row>
    <row r="15" spans="2:13">
      <c r="I15" s="87"/>
    </row>
  </sheetData>
  <mergeCells count="12">
    <mergeCell ref="G2:G4"/>
    <mergeCell ref="H2:H4"/>
    <mergeCell ref="B11:D11"/>
    <mergeCell ref="K2:K4"/>
    <mergeCell ref="J2:J4"/>
    <mergeCell ref="I2:I4"/>
    <mergeCell ref="B2:B4"/>
    <mergeCell ref="C2:C4"/>
    <mergeCell ref="K5:K10"/>
    <mergeCell ref="D2:D4"/>
    <mergeCell ref="E2:E4"/>
    <mergeCell ref="F2:F4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ER Summary </vt:lpstr>
      <vt:lpstr>PLF Analysis</vt:lpstr>
      <vt:lpstr>SDG 07</vt:lpstr>
      <vt:lpstr>SDG 8</vt:lpstr>
      <vt:lpstr>SDG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Isaraj</dc:creator>
  <cp:lastModifiedBy>Hemang</cp:lastModifiedBy>
  <dcterms:created xsi:type="dcterms:W3CDTF">2021-10-04T12:39:08Z</dcterms:created>
  <dcterms:modified xsi:type="dcterms:W3CDTF">2024-02-05T12:34:38Z</dcterms:modified>
</cp:coreProperties>
</file>