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I NAS\4. Operations\1. Sustainability\1. CC\GS Val\GSVAL14-Juniper_Gujarat\3. DOE\1. Submission\"/>
    </mc:Choice>
  </mc:AlternateContent>
  <bookViews>
    <workbookView xWindow="240" yWindow="105" windowWidth="15600" windowHeight="7365" tabRatio="835"/>
  </bookViews>
  <sheets>
    <sheet name="Assumption" sheetId="2" r:id="rId1"/>
    <sheet name="Loan Stat." sheetId="14" r:id="rId2"/>
    <sheet name="P&amp;L Stat." sheetId="4" r:id="rId3"/>
    <sheet name="Cashflow Stat." sheetId="12" r:id="rId4"/>
    <sheet name="Sensitivity" sheetId="6" r:id="rId5"/>
    <sheet name="Default Value Benchmark" sheetId="16" r:id="rId6"/>
  </sheets>
  <definedNames>
    <definedName name="solver_adj" localSheetId="4" hidden="1">Sensitivity!$F$10</definedName>
    <definedName name="solver_cvg" localSheetId="4" hidden="1">0.0001</definedName>
    <definedName name="solver_drv" localSheetId="4" hidden="1">1</definedName>
    <definedName name="solver_eng" localSheetId="4" hidden="1">1</definedName>
    <definedName name="solver_est" localSheetId="4" hidden="1">1</definedName>
    <definedName name="solver_itr" localSheetId="4" hidden="1">100</definedName>
    <definedName name="solver_lin" localSheetId="4" hidden="1">2</definedName>
    <definedName name="solver_mip" localSheetId="4" hidden="1">2147483647</definedName>
    <definedName name="solver_mni" localSheetId="4" hidden="1">30</definedName>
    <definedName name="solver_mrt" localSheetId="4" hidden="1">0.075</definedName>
    <definedName name="solver_msl" localSheetId="4" hidden="1">2</definedName>
    <definedName name="solver_neg" localSheetId="4" hidden="1">2</definedName>
    <definedName name="solver_nod" localSheetId="4" hidden="1">2147483647</definedName>
    <definedName name="solver_num" localSheetId="4" hidden="1">0</definedName>
    <definedName name="solver_nwt" localSheetId="4" hidden="1">1</definedName>
    <definedName name="solver_opt" localSheetId="4" hidden="1">Sensitivity!$C$13</definedName>
    <definedName name="solver_pre" localSheetId="4" hidden="1">0.000001</definedName>
    <definedName name="solver_rbv" localSheetId="4" hidden="1">1</definedName>
    <definedName name="solver_rlx" localSheetId="4" hidden="1">1</definedName>
    <definedName name="solver_rsd" localSheetId="4" hidden="1">0</definedName>
    <definedName name="solver_scl" localSheetId="4" hidden="1">2</definedName>
    <definedName name="solver_sho" localSheetId="4" hidden="1">2</definedName>
    <definedName name="solver_ssz" localSheetId="4" hidden="1">100</definedName>
    <definedName name="solver_tim" localSheetId="4" hidden="1">100</definedName>
    <definedName name="solver_tol" localSheetId="4" hidden="1">0.05</definedName>
    <definedName name="solver_typ" localSheetId="4" hidden="1">3</definedName>
    <definedName name="solver_val" localSheetId="4" hidden="1">0.1606</definedName>
    <definedName name="solver_ver" localSheetId="4" hidden="1">3</definedName>
  </definedNames>
  <calcPr calcId="152511"/>
</workbook>
</file>

<file path=xl/calcChain.xml><?xml version="1.0" encoding="utf-8"?>
<calcChain xmlns="http://schemas.openxmlformats.org/spreadsheetml/2006/main">
  <c r="E14" i="16" l="1"/>
  <c r="E16" i="16" s="1"/>
  <c r="D7" i="16" s="1"/>
  <c r="E13" i="6" s="1"/>
  <c r="C30" i="2" l="1"/>
  <c r="C25" i="2"/>
  <c r="C23" i="2"/>
  <c r="C19" i="2"/>
  <c r="C18" i="2"/>
  <c r="C17" i="2"/>
  <c r="C20" i="2" l="1"/>
  <c r="C21" i="2" s="1"/>
  <c r="D11" i="4" s="1"/>
  <c r="E15" i="4" l="1"/>
  <c r="AC10" i="4" l="1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48" i="2" l="1"/>
  <c r="F15" i="4" l="1"/>
  <c r="D18" i="12" l="1"/>
  <c r="F90" i="4" l="1"/>
  <c r="G90" i="4" s="1"/>
  <c r="H90" i="4" s="1"/>
  <c r="I90" i="4" s="1"/>
  <c r="J90" i="4" s="1"/>
  <c r="K90" i="4" s="1"/>
  <c r="L90" i="4" s="1"/>
  <c r="M90" i="4" s="1"/>
  <c r="N90" i="4" s="1"/>
  <c r="O90" i="4" s="1"/>
  <c r="P90" i="4" s="1"/>
  <c r="Q90" i="4" s="1"/>
  <c r="R90" i="4" s="1"/>
  <c r="S90" i="4" s="1"/>
  <c r="T90" i="4" s="1"/>
  <c r="U90" i="4" s="1"/>
  <c r="V90" i="4" s="1"/>
  <c r="W90" i="4" s="1"/>
  <c r="X90" i="4" s="1"/>
  <c r="Y90" i="4" s="1"/>
  <c r="Z90" i="4" s="1"/>
  <c r="AA90" i="4" s="1"/>
  <c r="AB90" i="4" s="1"/>
  <c r="AC90" i="4" s="1"/>
  <c r="AC19" i="12" s="1"/>
  <c r="D14" i="14" l="1"/>
  <c r="D13" i="14"/>
  <c r="D11" i="14"/>
  <c r="D12" i="14" s="1"/>
  <c r="C39" i="2" l="1"/>
  <c r="D15" i="14" s="1"/>
  <c r="F69" i="4" l="1"/>
  <c r="H69" i="4"/>
  <c r="J69" i="4"/>
  <c r="L69" i="4"/>
  <c r="N69" i="4"/>
  <c r="P69" i="4"/>
  <c r="R69" i="4"/>
  <c r="T69" i="4"/>
  <c r="V69" i="4"/>
  <c r="X69" i="4"/>
  <c r="Z69" i="4"/>
  <c r="AB69" i="4"/>
  <c r="AD69" i="4"/>
  <c r="AF69" i="4"/>
  <c r="AH69" i="4"/>
  <c r="AJ69" i="4"/>
  <c r="AL69" i="4"/>
  <c r="AN69" i="4"/>
  <c r="AP69" i="4"/>
  <c r="AR69" i="4"/>
  <c r="AT69" i="4"/>
  <c r="AV69" i="4"/>
  <c r="AX69" i="4"/>
  <c r="AZ69" i="4"/>
  <c r="BB69" i="4"/>
  <c r="C63" i="2" l="1"/>
  <c r="C62" i="2"/>
  <c r="AC15" i="4" l="1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C41" i="2" l="1"/>
  <c r="C7" i="12" l="1"/>
  <c r="D7" i="12" s="1"/>
  <c r="D8" i="12" s="1"/>
  <c r="E8" i="12" s="1"/>
  <c r="F8" i="12" s="1"/>
  <c r="G8" i="12" s="1"/>
  <c r="H8" i="12" s="1"/>
  <c r="I8" i="12" s="1"/>
  <c r="J8" i="12" s="1"/>
  <c r="K8" i="12" s="1"/>
  <c r="L8" i="12" s="1"/>
  <c r="M8" i="12" s="1"/>
  <c r="N8" i="12" s="1"/>
  <c r="O8" i="12" s="1"/>
  <c r="P8" i="12" s="1"/>
  <c r="Q8" i="12" s="1"/>
  <c r="R8" i="12" s="1"/>
  <c r="S8" i="12" s="1"/>
  <c r="T8" i="12" s="1"/>
  <c r="U8" i="12" s="1"/>
  <c r="V8" i="12" s="1"/>
  <c r="W8" i="12" s="1"/>
  <c r="X8" i="12" s="1"/>
  <c r="Y8" i="12" s="1"/>
  <c r="Z8" i="12" s="1"/>
  <c r="AA8" i="12" s="1"/>
  <c r="AB8" i="12" s="1"/>
  <c r="AC8" i="12" s="1"/>
  <c r="D16" i="14"/>
  <c r="D18" i="14" s="1"/>
  <c r="C7" i="14"/>
  <c r="D7" i="14" s="1"/>
  <c r="E7" i="12" l="1"/>
  <c r="E6" i="12" s="1"/>
  <c r="D6" i="12"/>
  <c r="D8" i="14"/>
  <c r="E8" i="14" s="1"/>
  <c r="F8" i="14" s="1"/>
  <c r="G8" i="14" s="1"/>
  <c r="H8" i="14" s="1"/>
  <c r="I8" i="14" s="1"/>
  <c r="J8" i="14" s="1"/>
  <c r="K8" i="14" s="1"/>
  <c r="L8" i="14" s="1"/>
  <c r="M8" i="14" s="1"/>
  <c r="N8" i="14" s="1"/>
  <c r="O8" i="14" s="1"/>
  <c r="P8" i="14" s="1"/>
  <c r="Q8" i="14" s="1"/>
  <c r="R8" i="14" s="1"/>
  <c r="S8" i="14" s="1"/>
  <c r="T8" i="14" s="1"/>
  <c r="U8" i="14" s="1"/>
  <c r="V8" i="14" s="1"/>
  <c r="W8" i="14" s="1"/>
  <c r="X8" i="14" s="1"/>
  <c r="Y8" i="14" s="1"/>
  <c r="Z8" i="14" s="1"/>
  <c r="AA8" i="14" s="1"/>
  <c r="AB8" i="14" s="1"/>
  <c r="AC8" i="14" s="1"/>
  <c r="D6" i="14"/>
  <c r="D33" i="14"/>
  <c r="E7" i="14"/>
  <c r="D21" i="14"/>
  <c r="D22" i="14" s="1"/>
  <c r="D39" i="14"/>
  <c r="D27" i="14"/>
  <c r="F7" i="12"/>
  <c r="F7" i="14" l="1"/>
  <c r="E39" i="14"/>
  <c r="E6" i="14"/>
  <c r="E27" i="14"/>
  <c r="E33" i="14"/>
  <c r="E21" i="14"/>
  <c r="D25" i="14"/>
  <c r="D23" i="14"/>
  <c r="G7" i="12"/>
  <c r="F6" i="12"/>
  <c r="E11" i="4"/>
  <c r="F11" i="4" s="1"/>
  <c r="G11" i="4" s="1"/>
  <c r="H11" i="4" s="1"/>
  <c r="I11" i="4" s="1"/>
  <c r="J11" i="4" s="1"/>
  <c r="K11" i="4" s="1"/>
  <c r="L11" i="4" s="1"/>
  <c r="M11" i="4" s="1"/>
  <c r="N11" i="4" s="1"/>
  <c r="O11" i="4" s="1"/>
  <c r="P11" i="4" s="1"/>
  <c r="Q11" i="4" s="1"/>
  <c r="R11" i="4" s="1"/>
  <c r="S11" i="4" s="1"/>
  <c r="T11" i="4" s="1"/>
  <c r="U11" i="4" s="1"/>
  <c r="V11" i="4" s="1"/>
  <c r="W11" i="4" s="1"/>
  <c r="X11" i="4" s="1"/>
  <c r="G7" i="14" l="1"/>
  <c r="F27" i="14"/>
  <c r="F6" i="14"/>
  <c r="F21" i="14"/>
  <c r="F33" i="14"/>
  <c r="F39" i="14"/>
  <c r="H7" i="12"/>
  <c r="G6" i="12"/>
  <c r="Y11" i="4"/>
  <c r="Z11" i="4" s="1"/>
  <c r="AA11" i="4" s="1"/>
  <c r="AB11" i="4" s="1"/>
  <c r="AC11" i="4" s="1"/>
  <c r="H7" i="14" l="1"/>
  <c r="G21" i="14"/>
  <c r="G6" i="14"/>
  <c r="G27" i="14"/>
  <c r="G33" i="14"/>
  <c r="G39" i="14"/>
  <c r="I7" i="12"/>
  <c r="H6" i="12"/>
  <c r="I7" i="14" l="1"/>
  <c r="H27" i="14"/>
  <c r="H6" i="14"/>
  <c r="H39" i="14"/>
  <c r="H33" i="14"/>
  <c r="H21" i="14"/>
  <c r="J7" i="12"/>
  <c r="I6" i="12"/>
  <c r="J7" i="14" l="1"/>
  <c r="I27" i="14"/>
  <c r="I6" i="14"/>
  <c r="I21" i="14"/>
  <c r="I39" i="14"/>
  <c r="I33" i="14"/>
  <c r="K7" i="12"/>
  <c r="J6" i="12"/>
  <c r="E3" i="2"/>
  <c r="K7" i="14" l="1"/>
  <c r="J39" i="14"/>
  <c r="J27" i="14"/>
  <c r="J33" i="14"/>
  <c r="J21" i="14"/>
  <c r="J6" i="14"/>
  <c r="L7" i="12"/>
  <c r="K6" i="12"/>
  <c r="E66" i="4"/>
  <c r="E67" i="4"/>
  <c r="K6" i="14" l="1"/>
  <c r="K27" i="14"/>
  <c r="K39" i="14"/>
  <c r="K33" i="14"/>
  <c r="L7" i="14"/>
  <c r="K21" i="14"/>
  <c r="L6" i="12"/>
  <c r="M7" i="12"/>
  <c r="M7" i="14" l="1"/>
  <c r="L21" i="14"/>
  <c r="L33" i="14"/>
  <c r="L39" i="14"/>
  <c r="L6" i="14"/>
  <c r="L27" i="14"/>
  <c r="N7" i="12"/>
  <c r="M6" i="12"/>
  <c r="N7" i="14" l="1"/>
  <c r="M33" i="14"/>
  <c r="M21" i="14"/>
  <c r="M39" i="14"/>
  <c r="M6" i="14"/>
  <c r="M27" i="14"/>
  <c r="O7" i="12"/>
  <c r="N6" i="12"/>
  <c r="D21" i="4"/>
  <c r="O7" i="14" l="1"/>
  <c r="N21" i="14"/>
  <c r="N6" i="14"/>
  <c r="N27" i="14"/>
  <c r="N33" i="14"/>
  <c r="N39" i="14"/>
  <c r="P7" i="12"/>
  <c r="O6" i="12"/>
  <c r="E21" i="4"/>
  <c r="F21" i="4" s="1"/>
  <c r="G21" i="4" s="1"/>
  <c r="H21" i="4" s="1"/>
  <c r="I21" i="4" s="1"/>
  <c r="J21" i="4" s="1"/>
  <c r="K21" i="4" s="1"/>
  <c r="L21" i="4" s="1"/>
  <c r="M21" i="4" s="1"/>
  <c r="N21" i="4" s="1"/>
  <c r="O21" i="4" s="1"/>
  <c r="P21" i="4" s="1"/>
  <c r="Q21" i="4" s="1"/>
  <c r="P7" i="14" l="1"/>
  <c r="O21" i="14"/>
  <c r="O27" i="14"/>
  <c r="O33" i="14"/>
  <c r="O6" i="14"/>
  <c r="O39" i="14"/>
  <c r="Q7" i="12"/>
  <c r="P6" i="12"/>
  <c r="R21" i="4"/>
  <c r="S21" i="4" s="1"/>
  <c r="Q7" i="14" l="1"/>
  <c r="P27" i="14"/>
  <c r="P6" i="14"/>
  <c r="P21" i="14"/>
  <c r="P33" i="14"/>
  <c r="P39" i="14"/>
  <c r="R7" i="12"/>
  <c r="Q6" i="12"/>
  <c r="T21" i="4"/>
  <c r="U21" i="4" s="1"/>
  <c r="R7" i="14" l="1"/>
  <c r="Q27" i="14"/>
  <c r="Q6" i="14"/>
  <c r="Q21" i="14"/>
  <c r="Q33" i="14"/>
  <c r="Q39" i="14"/>
  <c r="S7" i="12"/>
  <c r="R6" i="12"/>
  <c r="V21" i="4"/>
  <c r="W21" i="4" s="1"/>
  <c r="X21" i="4" s="1"/>
  <c r="Y21" i="4" s="1"/>
  <c r="Z21" i="4" s="1"/>
  <c r="AA21" i="4" s="1"/>
  <c r="AB21" i="4" s="1"/>
  <c r="AC21" i="4" s="1"/>
  <c r="S7" i="14" l="1"/>
  <c r="R39" i="14"/>
  <c r="R6" i="14"/>
  <c r="R27" i="14"/>
  <c r="R33" i="14"/>
  <c r="R21" i="14"/>
  <c r="T7" i="12"/>
  <c r="S6" i="12"/>
  <c r="S6" i="14" l="1"/>
  <c r="S39" i="14"/>
  <c r="T7" i="14"/>
  <c r="S27" i="14"/>
  <c r="S33" i="14"/>
  <c r="S21" i="14"/>
  <c r="T6" i="12"/>
  <c r="U7" i="12"/>
  <c r="U7" i="14" l="1"/>
  <c r="T33" i="14"/>
  <c r="T6" i="14"/>
  <c r="T21" i="14"/>
  <c r="T39" i="14"/>
  <c r="T27" i="14"/>
  <c r="V7" i="12"/>
  <c r="U6" i="12"/>
  <c r="V7" i="14" l="1"/>
  <c r="U33" i="14"/>
  <c r="U6" i="14"/>
  <c r="U21" i="14"/>
  <c r="U39" i="14"/>
  <c r="U27" i="14"/>
  <c r="W7" i="12"/>
  <c r="V6" i="12"/>
  <c r="W7" i="14" l="1"/>
  <c r="V27" i="14"/>
  <c r="V6" i="14"/>
  <c r="V21" i="14"/>
  <c r="V39" i="14"/>
  <c r="V33" i="14"/>
  <c r="Z29" i="4"/>
  <c r="C31" i="2"/>
  <c r="C32" i="2" s="1"/>
  <c r="X7" i="12"/>
  <c r="W6" i="12"/>
  <c r="X7" i="14" l="1"/>
  <c r="W21" i="14"/>
  <c r="W6" i="14"/>
  <c r="W27" i="14"/>
  <c r="W33" i="14"/>
  <c r="W39" i="14"/>
  <c r="S29" i="4"/>
  <c r="C35" i="2"/>
  <c r="C40" i="2" s="1"/>
  <c r="D11" i="12"/>
  <c r="C50" i="2"/>
  <c r="Y7" i="12"/>
  <c r="X6" i="12"/>
  <c r="U29" i="4"/>
  <c r="T29" i="4"/>
  <c r="V29" i="4"/>
  <c r="R29" i="4"/>
  <c r="M29" i="4"/>
  <c r="P29" i="4"/>
  <c r="N29" i="4"/>
  <c r="AA29" i="4"/>
  <c r="K29" i="4"/>
  <c r="J29" i="4"/>
  <c r="AB29" i="4"/>
  <c r="L29" i="4"/>
  <c r="Y29" i="4"/>
  <c r="W29" i="4"/>
  <c r="G29" i="4"/>
  <c r="I29" i="4"/>
  <c r="O29" i="4"/>
  <c r="F29" i="4"/>
  <c r="AC29" i="4"/>
  <c r="X29" i="4"/>
  <c r="H29" i="4"/>
  <c r="Q29" i="4"/>
  <c r="E29" i="4"/>
  <c r="C52" i="2" l="1"/>
  <c r="AC17" i="12" s="1"/>
  <c r="C51" i="2"/>
  <c r="Y7" i="14"/>
  <c r="X27" i="14"/>
  <c r="X6" i="14"/>
  <c r="X21" i="14"/>
  <c r="X39" i="14"/>
  <c r="X33" i="14"/>
  <c r="D17" i="14"/>
  <c r="D24" i="14" s="1"/>
  <c r="D28" i="14" s="1"/>
  <c r="D10" i="14"/>
  <c r="Z7" i="12"/>
  <c r="Y6" i="12"/>
  <c r="C22" i="12"/>
  <c r="E34" i="4" l="1"/>
  <c r="F34" i="4" s="1"/>
  <c r="G34" i="4" s="1"/>
  <c r="H34" i="4" s="1"/>
  <c r="I34" i="4" s="1"/>
  <c r="J34" i="4" s="1"/>
  <c r="K34" i="4" s="1"/>
  <c r="L34" i="4" s="1"/>
  <c r="M34" i="4" s="1"/>
  <c r="N34" i="4" s="1"/>
  <c r="O34" i="4" s="1"/>
  <c r="P34" i="4" s="1"/>
  <c r="Q34" i="4" s="1"/>
  <c r="R34" i="4" s="1"/>
  <c r="S34" i="4" s="1"/>
  <c r="T34" i="4" s="1"/>
  <c r="U34" i="4" s="1"/>
  <c r="V34" i="4" s="1"/>
  <c r="W34" i="4" s="1"/>
  <c r="X34" i="4" s="1"/>
  <c r="Y34" i="4" s="1"/>
  <c r="Z34" i="4" s="1"/>
  <c r="AA34" i="4" s="1"/>
  <c r="AB34" i="4" s="1"/>
  <c r="Z7" i="14"/>
  <c r="Y27" i="14"/>
  <c r="Y6" i="14"/>
  <c r="Y21" i="14"/>
  <c r="Y39" i="14"/>
  <c r="Y33" i="14"/>
  <c r="D29" i="14"/>
  <c r="D31" i="14"/>
  <c r="AA7" i="12"/>
  <c r="Z6" i="12"/>
  <c r="C7" i="4"/>
  <c r="D7" i="4" s="1"/>
  <c r="D6" i="4" l="1"/>
  <c r="D12" i="4"/>
  <c r="D34" i="4" s="1"/>
  <c r="AC34" i="4" s="1"/>
  <c r="AA7" i="14"/>
  <c r="Z27" i="14"/>
  <c r="Z6" i="14"/>
  <c r="Z39" i="14"/>
  <c r="Z33" i="14"/>
  <c r="Z21" i="14"/>
  <c r="D30" i="14"/>
  <c r="D34" i="14" s="1"/>
  <c r="AB7" i="12"/>
  <c r="AA6" i="12"/>
  <c r="D72" i="4"/>
  <c r="F72" i="4" s="1"/>
  <c r="AA6" i="14" l="1"/>
  <c r="AA27" i="14"/>
  <c r="AB7" i="14"/>
  <c r="AA39" i="14"/>
  <c r="AA33" i="14"/>
  <c r="AA21" i="14"/>
  <c r="D37" i="14"/>
  <c r="D35" i="14"/>
  <c r="D36" i="14" s="1"/>
  <c r="D40" i="14" s="1"/>
  <c r="AB6" i="12"/>
  <c r="AC7" i="12"/>
  <c r="AC6" i="12" s="1"/>
  <c r="D48" i="4"/>
  <c r="D15" i="12"/>
  <c r="D73" i="4"/>
  <c r="D70" i="4" s="1"/>
  <c r="D69" i="4" s="1"/>
  <c r="D29" i="4"/>
  <c r="E7" i="4"/>
  <c r="E73" i="4"/>
  <c r="H72" i="4"/>
  <c r="D8" i="4"/>
  <c r="D13" i="4"/>
  <c r="AB6" i="14" l="1"/>
  <c r="AB33" i="14"/>
  <c r="AB21" i="14"/>
  <c r="AB39" i="14"/>
  <c r="AB27" i="14"/>
  <c r="AC7" i="14"/>
  <c r="D43" i="14"/>
  <c r="D45" i="14" s="1"/>
  <c r="D37" i="4" s="1"/>
  <c r="D41" i="14"/>
  <c r="D42" i="14" s="1"/>
  <c r="E22" i="14" s="1"/>
  <c r="F7" i="4"/>
  <c r="F6" i="4" s="1"/>
  <c r="E6" i="4"/>
  <c r="E48" i="4"/>
  <c r="F48" i="4" s="1"/>
  <c r="E8" i="4"/>
  <c r="E72" i="4"/>
  <c r="G72" i="4" s="1"/>
  <c r="I72" i="4" s="1"/>
  <c r="D75" i="4"/>
  <c r="E12" i="4"/>
  <c r="D14" i="4"/>
  <c r="J72" i="4"/>
  <c r="G73" i="4"/>
  <c r="E23" i="14" l="1"/>
  <c r="E24" i="14" s="1"/>
  <c r="E28" i="14" s="1"/>
  <c r="E25" i="14"/>
  <c r="G7" i="4"/>
  <c r="G6" i="4" s="1"/>
  <c r="AC6" i="14"/>
  <c r="AC39" i="14"/>
  <c r="AC27" i="14"/>
  <c r="AC33" i="14"/>
  <c r="AC21" i="14"/>
  <c r="F12" i="4"/>
  <c r="F13" i="4" s="1"/>
  <c r="F14" i="4" s="1"/>
  <c r="F16" i="4" s="1"/>
  <c r="D46" i="14"/>
  <c r="D20" i="12" s="1"/>
  <c r="E15" i="12"/>
  <c r="G15" i="12"/>
  <c r="G48" i="4"/>
  <c r="G75" i="4"/>
  <c r="F8" i="4"/>
  <c r="D16" i="4"/>
  <c r="D19" i="4" s="1"/>
  <c r="D23" i="4" s="1"/>
  <c r="F73" i="4"/>
  <c r="E70" i="4" s="1"/>
  <c r="E69" i="4" s="1"/>
  <c r="E75" i="4"/>
  <c r="E77" i="4" s="1"/>
  <c r="E13" i="4"/>
  <c r="E14" i="4" s="1"/>
  <c r="E16" i="4" s="1"/>
  <c r="L72" i="4"/>
  <c r="I73" i="4"/>
  <c r="I75" i="4" s="1"/>
  <c r="K72" i="4"/>
  <c r="H73" i="4"/>
  <c r="G70" i="4" s="1"/>
  <c r="G69" i="4" s="1"/>
  <c r="H7" i="4" l="1"/>
  <c r="H6" i="4" s="1"/>
  <c r="D25" i="4"/>
  <c r="F75" i="4"/>
  <c r="G77" i="4" s="1"/>
  <c r="G12" i="4"/>
  <c r="G13" i="4" s="1"/>
  <c r="G14" i="4" s="1"/>
  <c r="G16" i="4" s="1"/>
  <c r="E29" i="14"/>
  <c r="E30" i="14" s="1"/>
  <c r="E34" i="14" s="1"/>
  <c r="E31" i="14"/>
  <c r="F15" i="12"/>
  <c r="H48" i="4"/>
  <c r="F19" i="4"/>
  <c r="F23" i="4" s="1"/>
  <c r="G8" i="4"/>
  <c r="H8" i="4" s="1"/>
  <c r="E19" i="4"/>
  <c r="E23" i="4" s="1"/>
  <c r="J73" i="4"/>
  <c r="I70" i="4" s="1"/>
  <c r="I69" i="4" s="1"/>
  <c r="M72" i="4"/>
  <c r="N72" i="4"/>
  <c r="K73" i="4"/>
  <c r="K75" i="4" s="1"/>
  <c r="H12" i="4"/>
  <c r="I7" i="4"/>
  <c r="I6" i="4" s="1"/>
  <c r="H75" i="4"/>
  <c r="I77" i="4" s="1"/>
  <c r="E25" i="4" l="1"/>
  <c r="E87" i="4"/>
  <c r="F25" i="4"/>
  <c r="F87" i="4"/>
  <c r="E37" i="14"/>
  <c r="E35" i="14"/>
  <c r="E36" i="14" s="1"/>
  <c r="E40" i="14" s="1"/>
  <c r="E41" i="14" s="1"/>
  <c r="H15" i="12"/>
  <c r="I15" i="12"/>
  <c r="I48" i="4"/>
  <c r="J48" i="4" s="1"/>
  <c r="G19" i="4"/>
  <c r="G23" i="4" s="1"/>
  <c r="H13" i="4"/>
  <c r="H14" i="4" s="1"/>
  <c r="H16" i="4" s="1"/>
  <c r="M73" i="4"/>
  <c r="M75" i="4" s="1"/>
  <c r="P72" i="4"/>
  <c r="L73" i="4"/>
  <c r="K70" i="4" s="1"/>
  <c r="K69" i="4" s="1"/>
  <c r="O72" i="4"/>
  <c r="I8" i="4"/>
  <c r="J75" i="4"/>
  <c r="K77" i="4" s="1"/>
  <c r="I12" i="4"/>
  <c r="J7" i="4"/>
  <c r="J6" i="4" s="1"/>
  <c r="G25" i="4" l="1"/>
  <c r="G87" i="4"/>
  <c r="E43" i="14"/>
  <c r="E45" i="14" s="1"/>
  <c r="E37" i="4" s="1"/>
  <c r="E46" i="14"/>
  <c r="E20" i="12" s="1"/>
  <c r="K48" i="4"/>
  <c r="L48" i="4" s="1"/>
  <c r="M48" i="4" s="1"/>
  <c r="N48" i="4" s="1"/>
  <c r="O48" i="4" s="1"/>
  <c r="P48" i="4" s="1"/>
  <c r="Q48" i="4" s="1"/>
  <c r="R48" i="4" s="1"/>
  <c r="S48" i="4" s="1"/>
  <c r="T48" i="4" s="1"/>
  <c r="U48" i="4" s="1"/>
  <c r="V48" i="4" s="1"/>
  <c r="W48" i="4" s="1"/>
  <c r="X48" i="4" s="1"/>
  <c r="Y48" i="4" s="1"/>
  <c r="Z48" i="4" s="1"/>
  <c r="AA48" i="4" s="1"/>
  <c r="AB48" i="4" s="1"/>
  <c r="AC48" i="4" s="1"/>
  <c r="I13" i="4"/>
  <c r="I14" i="4" s="1"/>
  <c r="I16" i="4" s="1"/>
  <c r="H19" i="4"/>
  <c r="H23" i="4" s="1"/>
  <c r="N73" i="4"/>
  <c r="M70" i="4" s="1"/>
  <c r="M69" i="4" s="1"/>
  <c r="Q72" i="4"/>
  <c r="R72" i="4"/>
  <c r="O73" i="4"/>
  <c r="O75" i="4" s="1"/>
  <c r="L75" i="4"/>
  <c r="J8" i="4"/>
  <c r="J12" i="4"/>
  <c r="K7" i="4"/>
  <c r="K6" i="4" s="1"/>
  <c r="H25" i="4" l="1"/>
  <c r="H87" i="4"/>
  <c r="E42" i="14"/>
  <c r="F22" i="14" s="1"/>
  <c r="F23" i="14" s="1"/>
  <c r="J15" i="12"/>
  <c r="J13" i="4"/>
  <c r="J14" i="4" s="1"/>
  <c r="J16" i="4" s="1"/>
  <c r="I19" i="4"/>
  <c r="I23" i="4" s="1"/>
  <c r="T72" i="4"/>
  <c r="Q73" i="4"/>
  <c r="Q75" i="4" s="1"/>
  <c r="P73" i="4"/>
  <c r="O70" i="4" s="1"/>
  <c r="O69" i="4" s="1"/>
  <c r="S72" i="4"/>
  <c r="K8" i="4"/>
  <c r="N75" i="4"/>
  <c r="K12" i="4"/>
  <c r="L7" i="4"/>
  <c r="L6" i="4" s="1"/>
  <c r="M77" i="4"/>
  <c r="I25" i="4" l="1"/>
  <c r="I87" i="4"/>
  <c r="F25" i="14"/>
  <c r="F24" i="14"/>
  <c r="F28" i="14" s="1"/>
  <c r="K15" i="12"/>
  <c r="K13" i="4"/>
  <c r="K14" i="4" s="1"/>
  <c r="K16" i="4" s="1"/>
  <c r="J19" i="4"/>
  <c r="J23" i="4" s="1"/>
  <c r="S73" i="4"/>
  <c r="S75" i="4" s="1"/>
  <c r="V72" i="4"/>
  <c r="R73" i="4"/>
  <c r="Q70" i="4" s="1"/>
  <c r="Q69" i="4" s="1"/>
  <c r="U72" i="4"/>
  <c r="L8" i="4"/>
  <c r="L12" i="4"/>
  <c r="M7" i="4"/>
  <c r="M6" i="4" s="1"/>
  <c r="P75" i="4"/>
  <c r="O77" i="4"/>
  <c r="J25" i="4" l="1"/>
  <c r="J87" i="4"/>
  <c r="F31" i="14"/>
  <c r="F29" i="14"/>
  <c r="F30" i="14" s="1"/>
  <c r="F34" i="14" s="1"/>
  <c r="M15" i="12"/>
  <c r="L15" i="12"/>
  <c r="N15" i="12"/>
  <c r="L13" i="4"/>
  <c r="L14" i="4" s="1"/>
  <c r="L16" i="4" s="1"/>
  <c r="K19" i="4"/>
  <c r="K23" i="4" s="1"/>
  <c r="T73" i="4"/>
  <c r="S70" i="4" s="1"/>
  <c r="S69" i="4" s="1"/>
  <c r="W72" i="4"/>
  <c r="U73" i="4"/>
  <c r="U75" i="4" s="1"/>
  <c r="X72" i="4"/>
  <c r="M12" i="4"/>
  <c r="N7" i="4"/>
  <c r="N6" i="4" s="1"/>
  <c r="R75" i="4"/>
  <c r="S77" i="4" s="1"/>
  <c r="M8" i="4"/>
  <c r="Q77" i="4"/>
  <c r="K25" i="4" l="1"/>
  <c r="K87" i="4"/>
  <c r="F37" i="14"/>
  <c r="F35" i="14"/>
  <c r="F36" i="14" s="1"/>
  <c r="F40" i="14" s="1"/>
  <c r="F41" i="14" s="1"/>
  <c r="O15" i="12"/>
  <c r="M13" i="4"/>
  <c r="M14" i="4" s="1"/>
  <c r="M16" i="4" s="1"/>
  <c r="L19" i="4"/>
  <c r="L23" i="4" s="1"/>
  <c r="W73" i="4"/>
  <c r="W75" i="4" s="1"/>
  <c r="Z72" i="4"/>
  <c r="V73" i="4"/>
  <c r="U70" i="4" s="1"/>
  <c r="U69" i="4" s="1"/>
  <c r="Y72" i="4"/>
  <c r="T75" i="4"/>
  <c r="U77" i="4" s="1"/>
  <c r="N12" i="4"/>
  <c r="O7" i="4"/>
  <c r="O6" i="4" s="1"/>
  <c r="N8" i="4"/>
  <c r="L25" i="4" l="1"/>
  <c r="L87" i="4"/>
  <c r="F46" i="14"/>
  <c r="F20" i="12" s="1"/>
  <c r="F43" i="14"/>
  <c r="F45" i="14" s="1"/>
  <c r="F37" i="4" s="1"/>
  <c r="P15" i="12"/>
  <c r="N13" i="4"/>
  <c r="N14" i="4" s="1"/>
  <c r="N16" i="4" s="1"/>
  <c r="M19" i="4"/>
  <c r="M23" i="4" s="1"/>
  <c r="X73" i="4"/>
  <c r="W70" i="4" s="1"/>
  <c r="W69" i="4" s="1"/>
  <c r="AA72" i="4"/>
  <c r="AB72" i="4"/>
  <c r="Y73" i="4"/>
  <c r="Y75" i="4" s="1"/>
  <c r="V75" i="4"/>
  <c r="W77" i="4" s="1"/>
  <c r="O8" i="4"/>
  <c r="O12" i="4"/>
  <c r="P7" i="4"/>
  <c r="P6" i="4" s="1"/>
  <c r="M25" i="4" l="1"/>
  <c r="M87" i="4"/>
  <c r="F42" i="14"/>
  <c r="G22" i="14" s="1"/>
  <c r="G23" i="14" s="1"/>
  <c r="Q15" i="12"/>
  <c r="N19" i="4"/>
  <c r="N23" i="4" s="1"/>
  <c r="O13" i="4"/>
  <c r="O14" i="4" s="1"/>
  <c r="O16" i="4" s="1"/>
  <c r="AA73" i="4"/>
  <c r="AA75" i="4" s="1"/>
  <c r="AD72" i="4"/>
  <c r="Z73" i="4"/>
  <c r="Y70" i="4" s="1"/>
  <c r="Y69" i="4" s="1"/>
  <c r="AC72" i="4"/>
  <c r="Q7" i="4"/>
  <c r="Q6" i="4" s="1"/>
  <c r="P12" i="4"/>
  <c r="P8" i="4"/>
  <c r="X75" i="4"/>
  <c r="N25" i="4" l="1"/>
  <c r="N87" i="4"/>
  <c r="G24" i="14"/>
  <c r="G28" i="14" s="1"/>
  <c r="G25" i="14"/>
  <c r="R15" i="12"/>
  <c r="O19" i="4"/>
  <c r="O23" i="4" s="1"/>
  <c r="P13" i="4"/>
  <c r="P14" i="4" s="1"/>
  <c r="P16" i="4" s="1"/>
  <c r="AB73" i="4"/>
  <c r="AA70" i="4" s="1"/>
  <c r="AA69" i="4" s="1"/>
  <c r="AE72" i="4"/>
  <c r="AF72" i="4"/>
  <c r="AC73" i="4"/>
  <c r="AC75" i="4" s="1"/>
  <c r="Z75" i="4"/>
  <c r="AA77" i="4" s="1"/>
  <c r="Q8" i="4"/>
  <c r="Y77" i="4"/>
  <c r="R7" i="4"/>
  <c r="R6" i="4" s="1"/>
  <c r="Q12" i="4"/>
  <c r="O25" i="4" l="1"/>
  <c r="O87" i="4"/>
  <c r="G31" i="14"/>
  <c r="G29" i="14"/>
  <c r="G30" i="14" s="1"/>
  <c r="G34" i="14" s="1"/>
  <c r="S15" i="12"/>
  <c r="P19" i="4"/>
  <c r="P23" i="4" s="1"/>
  <c r="Q13" i="4"/>
  <c r="Q14" i="4" s="1"/>
  <c r="Q16" i="4" s="1"/>
  <c r="AE73" i="4"/>
  <c r="AE75" i="4" s="1"/>
  <c r="AH72" i="4"/>
  <c r="AD73" i="4"/>
  <c r="AC70" i="4" s="1"/>
  <c r="AC69" i="4" s="1"/>
  <c r="AG72" i="4"/>
  <c r="R12" i="4"/>
  <c r="S7" i="4"/>
  <c r="S6" i="4" s="1"/>
  <c r="AB75" i="4"/>
  <c r="AC77" i="4" s="1"/>
  <c r="R8" i="4"/>
  <c r="P25" i="4" l="1"/>
  <c r="P87" i="4"/>
  <c r="G35" i="14"/>
  <c r="G36" i="14" s="1"/>
  <c r="G40" i="14" s="1"/>
  <c r="G41" i="14" s="1"/>
  <c r="G37" i="14"/>
  <c r="T15" i="12"/>
  <c r="Q19" i="4"/>
  <c r="Q23" i="4" s="1"/>
  <c r="R13" i="4"/>
  <c r="R14" i="4" s="1"/>
  <c r="R16" i="4" s="1"/>
  <c r="AF73" i="4"/>
  <c r="AE70" i="4" s="1"/>
  <c r="AE69" i="4" s="1"/>
  <c r="AI72" i="4"/>
  <c r="AJ72" i="4"/>
  <c r="AG73" i="4"/>
  <c r="AG75" i="4" s="1"/>
  <c r="AD75" i="4"/>
  <c r="AE77" i="4" s="1"/>
  <c r="T7" i="4"/>
  <c r="T6" i="4" s="1"/>
  <c r="S12" i="4"/>
  <c r="S8" i="4"/>
  <c r="Q25" i="4" l="1"/>
  <c r="Q87" i="4"/>
  <c r="G46" i="14"/>
  <c r="G20" i="12" s="1"/>
  <c r="G43" i="14"/>
  <c r="G45" i="14" s="1"/>
  <c r="G37" i="4" s="1"/>
  <c r="U15" i="12"/>
  <c r="R19" i="4"/>
  <c r="R23" i="4" s="1"/>
  <c r="S13" i="4"/>
  <c r="S14" i="4" s="1"/>
  <c r="S16" i="4" s="1"/>
  <c r="AL72" i="4"/>
  <c r="AN72" i="4" s="1"/>
  <c r="AI73" i="4"/>
  <c r="AI75" i="4" s="1"/>
  <c r="AH73" i="4"/>
  <c r="AG70" i="4" s="1"/>
  <c r="AG69" i="4" s="1"/>
  <c r="AK72" i="4"/>
  <c r="AF75" i="4"/>
  <c r="AG77" i="4" s="1"/>
  <c r="U7" i="4"/>
  <c r="U6" i="4" s="1"/>
  <c r="T12" i="4"/>
  <c r="T8" i="4"/>
  <c r="R25" i="4" l="1"/>
  <c r="R87" i="4"/>
  <c r="G42" i="14"/>
  <c r="H22" i="14" s="1"/>
  <c r="H23" i="14" s="1"/>
  <c r="V15" i="12"/>
  <c r="AM73" i="4"/>
  <c r="AP72" i="4"/>
  <c r="AM72" i="4"/>
  <c r="AO72" i="4" s="1"/>
  <c r="AQ72" i="4" s="1"/>
  <c r="AS72" i="4" s="1"/>
  <c r="S19" i="4"/>
  <c r="S23" i="4" s="1"/>
  <c r="T13" i="4"/>
  <c r="T14" i="4" s="1"/>
  <c r="T16" i="4" s="1"/>
  <c r="AK73" i="4"/>
  <c r="AK75" i="4" s="1"/>
  <c r="AJ73" i="4"/>
  <c r="AI70" i="4" s="1"/>
  <c r="AI69" i="4" s="1"/>
  <c r="AH75" i="4"/>
  <c r="AI77" i="4" s="1"/>
  <c r="T51" i="4"/>
  <c r="U8" i="4"/>
  <c r="U12" i="4"/>
  <c r="V7" i="4"/>
  <c r="V6" i="4" s="1"/>
  <c r="S25" i="4" l="1"/>
  <c r="S87" i="4"/>
  <c r="H24" i="14"/>
  <c r="H28" i="14" s="1"/>
  <c r="H25" i="14"/>
  <c r="W15" i="12"/>
  <c r="AO73" i="4"/>
  <c r="AO75" i="4" s="1"/>
  <c r="AR72" i="4"/>
  <c r="AU72" i="4"/>
  <c r="AW72" i="4" s="1"/>
  <c r="AY72" i="4" s="1"/>
  <c r="AR73" i="4"/>
  <c r="AP73" i="4"/>
  <c r="AP75" i="4" s="1"/>
  <c r="AN73" i="4"/>
  <c r="AM75" i="4"/>
  <c r="T19" i="4"/>
  <c r="T23" i="4" s="1"/>
  <c r="U13" i="4"/>
  <c r="U14" i="4" s="1"/>
  <c r="U16" i="4" s="1"/>
  <c r="AL73" i="4"/>
  <c r="AK70" i="4" s="1"/>
  <c r="AK69" i="4" s="1"/>
  <c r="W7" i="4"/>
  <c r="V12" i="4"/>
  <c r="U51" i="4"/>
  <c r="V8" i="4"/>
  <c r="AJ75" i="4"/>
  <c r="AK77" i="4" s="1"/>
  <c r="T25" i="4" l="1"/>
  <c r="T87" i="4"/>
  <c r="H29" i="14"/>
  <c r="H30" i="14" s="1"/>
  <c r="H34" i="14" s="1"/>
  <c r="H31" i="14"/>
  <c r="X7" i="4"/>
  <c r="X6" i="4" s="1"/>
  <c r="W6" i="4"/>
  <c r="X15" i="12"/>
  <c r="X47" i="4"/>
  <c r="AO70" i="4"/>
  <c r="AO69" i="4" s="1"/>
  <c r="AR75" i="4"/>
  <c r="BA72" i="4"/>
  <c r="AZ73" i="4" s="1"/>
  <c r="AX73" i="4"/>
  <c r="AN75" i="4"/>
  <c r="AO77" i="4" s="1"/>
  <c r="AM70" i="4"/>
  <c r="AM69" i="4" s="1"/>
  <c r="AQ73" i="4"/>
  <c r="AQ75" i="4" s="1"/>
  <c r="AQ77" i="4" s="1"/>
  <c r="AT72" i="4"/>
  <c r="AT73" i="4"/>
  <c r="AQ70" i="4"/>
  <c r="AQ69" i="4" s="1"/>
  <c r="U19" i="4"/>
  <c r="U23" i="4" s="1"/>
  <c r="V13" i="4"/>
  <c r="V14" i="4" s="1"/>
  <c r="V16" i="4" s="1"/>
  <c r="AL75" i="4"/>
  <c r="AM77" i="4" s="1"/>
  <c r="V51" i="4"/>
  <c r="W8" i="4"/>
  <c r="X8" i="4" s="1"/>
  <c r="W12" i="4"/>
  <c r="U25" i="4" l="1"/>
  <c r="U87" i="4"/>
  <c r="H37" i="14"/>
  <c r="H35" i="14"/>
  <c r="H36" i="14" s="1"/>
  <c r="H40" i="14" s="1"/>
  <c r="H41" i="14" s="1"/>
  <c r="X12" i="4"/>
  <c r="X13" i="4" s="1"/>
  <c r="X14" i="4" s="1"/>
  <c r="Y7" i="4"/>
  <c r="Y6" i="4" s="1"/>
  <c r="X51" i="4"/>
  <c r="Y8" i="4"/>
  <c r="Y51" i="4" s="1"/>
  <c r="Y47" i="4"/>
  <c r="Y15" i="12"/>
  <c r="AT75" i="4"/>
  <c r="AY70" i="4"/>
  <c r="AY69" i="4" s="1"/>
  <c r="AV73" i="4"/>
  <c r="AS73" i="4"/>
  <c r="AS75" i="4" s="1"/>
  <c r="AS77" i="4" s="1"/>
  <c r="AV72" i="4"/>
  <c r="AX72" i="4" s="1"/>
  <c r="AS70" i="4"/>
  <c r="AS69" i="4" s="1"/>
  <c r="V19" i="4"/>
  <c r="V23" i="4" s="1"/>
  <c r="W13" i="4"/>
  <c r="W14" i="4" s="1"/>
  <c r="W16" i="4" s="1"/>
  <c r="W51" i="4"/>
  <c r="X16" i="4" l="1"/>
  <c r="X19" i="4" s="1"/>
  <c r="X23" i="4" s="1"/>
  <c r="V25" i="4"/>
  <c r="V87" i="4"/>
  <c r="Z7" i="4"/>
  <c r="Z6" i="4" s="1"/>
  <c r="H46" i="14"/>
  <c r="H20" i="12" s="1"/>
  <c r="H43" i="14"/>
  <c r="H45" i="14" s="1"/>
  <c r="H37" i="4" s="1"/>
  <c r="Y12" i="4"/>
  <c r="Y13" i="4" s="1"/>
  <c r="Y14" i="4" s="1"/>
  <c r="Z47" i="4"/>
  <c r="Z15" i="12"/>
  <c r="AW73" i="4"/>
  <c r="AW75" i="4" s="1"/>
  <c r="AZ72" i="4"/>
  <c r="AX75" i="4"/>
  <c r="AU70" i="4"/>
  <c r="AU69" i="4" s="1"/>
  <c r="AV75" i="4"/>
  <c r="AU73" i="4"/>
  <c r="AU75" i="4" s="1"/>
  <c r="AU77" i="4" s="1"/>
  <c r="AW70" i="4"/>
  <c r="AW69" i="4" s="1"/>
  <c r="Z8" i="4"/>
  <c r="W19" i="4"/>
  <c r="W23" i="4" s="1"/>
  <c r="X25" i="4" l="1"/>
  <c r="X87" i="4"/>
  <c r="Y16" i="4"/>
  <c r="Y19" i="4" s="1"/>
  <c r="Y23" i="4" s="1"/>
  <c r="Z12" i="4"/>
  <c r="Z13" i="4" s="1"/>
  <c r="Z14" i="4" s="1"/>
  <c r="W25" i="4"/>
  <c r="W87" i="4"/>
  <c r="AA7" i="4"/>
  <c r="AA6" i="4" s="1"/>
  <c r="H42" i="14"/>
  <c r="I22" i="14" s="1"/>
  <c r="I23" i="14" s="1"/>
  <c r="AA47" i="4"/>
  <c r="AA15" i="12"/>
  <c r="AY73" i="4"/>
  <c r="AY75" i="4" s="1"/>
  <c r="AY77" i="4" s="1"/>
  <c r="BB72" i="4"/>
  <c r="AZ75" i="4"/>
  <c r="AW77" i="4"/>
  <c r="AA8" i="4"/>
  <c r="S47" i="4"/>
  <c r="T47" i="4"/>
  <c r="E47" i="4"/>
  <c r="V47" i="4"/>
  <c r="U47" i="4"/>
  <c r="W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D47" i="4"/>
  <c r="I25" i="14" l="1"/>
  <c r="I24" i="14"/>
  <c r="I28" i="14" s="1"/>
  <c r="I31" i="14" s="1"/>
  <c r="Y87" i="4"/>
  <c r="Y25" i="4"/>
  <c r="AB7" i="4"/>
  <c r="AB6" i="4" s="1"/>
  <c r="Z16" i="4"/>
  <c r="Z19" i="4" s="1"/>
  <c r="Z23" i="4" s="1"/>
  <c r="Z25" i="4" s="1"/>
  <c r="AA12" i="4"/>
  <c r="AA13" i="4" s="1"/>
  <c r="AA14" i="4" s="1"/>
  <c r="AB47" i="4"/>
  <c r="AB15" i="12"/>
  <c r="BA73" i="4"/>
  <c r="BA75" i="4" s="1"/>
  <c r="BA77" i="4" s="1"/>
  <c r="BB73" i="4"/>
  <c r="BB75" i="4" s="1"/>
  <c r="AB8" i="4"/>
  <c r="AC7" i="4" l="1"/>
  <c r="AC12" i="4" s="1"/>
  <c r="AC13" i="4" s="1"/>
  <c r="AC14" i="4" s="1"/>
  <c r="AC16" i="4" s="1"/>
  <c r="AB12" i="4"/>
  <c r="AB13" i="4" s="1"/>
  <c r="AB14" i="4" s="1"/>
  <c r="AB16" i="4" s="1"/>
  <c r="AB19" i="4" s="1"/>
  <c r="AB23" i="4" s="1"/>
  <c r="Z87" i="4"/>
  <c r="AA16" i="4"/>
  <c r="AA19" i="4" s="1"/>
  <c r="AA23" i="4" s="1"/>
  <c r="I29" i="14"/>
  <c r="I30" i="14" s="1"/>
  <c r="I34" i="14" s="1"/>
  <c r="I35" i="14" s="1"/>
  <c r="I36" i="14" s="1"/>
  <c r="I40" i="14" s="1"/>
  <c r="I41" i="14" s="1"/>
  <c r="BA70" i="4"/>
  <c r="BA69" i="4" s="1"/>
  <c r="AC8" i="4"/>
  <c r="E65" i="4"/>
  <c r="AC6" i="4" l="1"/>
  <c r="AA87" i="4"/>
  <c r="AA25" i="4"/>
  <c r="AB25" i="4"/>
  <c r="AB87" i="4"/>
  <c r="I37" i="14"/>
  <c r="I43" i="14"/>
  <c r="I46" i="14"/>
  <c r="I20" i="12" s="1"/>
  <c r="AC19" i="4"/>
  <c r="AC23" i="4" s="1"/>
  <c r="AC47" i="4"/>
  <c r="AC15" i="12"/>
  <c r="E81" i="4"/>
  <c r="G81" i="4" s="1"/>
  <c r="I81" i="4" s="1"/>
  <c r="AC25" i="4" l="1"/>
  <c r="AC87" i="4"/>
  <c r="I45" i="14"/>
  <c r="I37" i="4" s="1"/>
  <c r="I42" i="14"/>
  <c r="J22" i="14" s="1"/>
  <c r="J23" i="14" s="1"/>
  <c r="F79" i="4"/>
  <c r="G79" i="4"/>
  <c r="H79" i="4"/>
  <c r="D79" i="4"/>
  <c r="D82" i="4" s="1"/>
  <c r="D28" i="4" s="1"/>
  <c r="D31" i="4" s="1"/>
  <c r="E79" i="4"/>
  <c r="J25" i="14" l="1"/>
  <c r="J24" i="14"/>
  <c r="J28" i="14" s="1"/>
  <c r="F82" i="4"/>
  <c r="E28" i="4" s="1"/>
  <c r="H82" i="4"/>
  <c r="F28" i="4" s="1"/>
  <c r="K81" i="4"/>
  <c r="M81" i="4" s="1"/>
  <c r="L79" i="4" s="1"/>
  <c r="I79" i="4"/>
  <c r="D33" i="4"/>
  <c r="D36" i="4" s="1"/>
  <c r="D40" i="4" l="1"/>
  <c r="D46" i="4" s="1"/>
  <c r="E31" i="4"/>
  <c r="E33" i="4" s="1"/>
  <c r="E36" i="4" s="1"/>
  <c r="E88" i="4"/>
  <c r="F31" i="4"/>
  <c r="F33" i="4" s="1"/>
  <c r="F36" i="4" s="1"/>
  <c r="F88" i="4"/>
  <c r="J31" i="14"/>
  <c r="J29" i="14"/>
  <c r="J30" i="14" s="1"/>
  <c r="J34" i="14" s="1"/>
  <c r="O81" i="4"/>
  <c r="N79" i="4" s="1"/>
  <c r="K79" i="4"/>
  <c r="L82" i="4" s="1"/>
  <c r="H28" i="4" s="1"/>
  <c r="J79" i="4"/>
  <c r="J82" i="4" s="1"/>
  <c r="G28" i="4" s="1"/>
  <c r="M79" i="4"/>
  <c r="D49" i="4" l="1"/>
  <c r="D50" i="4" s="1"/>
  <c r="D51" i="4" s="1"/>
  <c r="D54" i="4"/>
  <c r="E89" i="4"/>
  <c r="G31" i="4"/>
  <c r="G33" i="4" s="1"/>
  <c r="G36" i="4" s="1"/>
  <c r="G88" i="4"/>
  <c r="H31" i="4"/>
  <c r="H33" i="4" s="1"/>
  <c r="H36" i="4" s="1"/>
  <c r="H88" i="4"/>
  <c r="H89" i="4" s="1"/>
  <c r="F89" i="4"/>
  <c r="J37" i="14"/>
  <c r="J35" i="14"/>
  <c r="J36" i="14" s="1"/>
  <c r="J40" i="14" s="1"/>
  <c r="O79" i="4"/>
  <c r="Q81" i="4"/>
  <c r="P79" i="4" s="1"/>
  <c r="N82" i="4"/>
  <c r="I28" i="4" s="1"/>
  <c r="F91" i="4" l="1"/>
  <c r="H91" i="4"/>
  <c r="E91" i="4"/>
  <c r="E18" i="12" s="1"/>
  <c r="G89" i="4"/>
  <c r="I31" i="4"/>
  <c r="I33" i="4" s="1"/>
  <c r="I36" i="4" s="1"/>
  <c r="I88" i="4"/>
  <c r="J41" i="14"/>
  <c r="J46" i="14" s="1"/>
  <c r="J20" i="12" s="1"/>
  <c r="J43" i="14"/>
  <c r="J45" i="14" s="1"/>
  <c r="J37" i="4" s="1"/>
  <c r="D52" i="4"/>
  <c r="D55" i="4" s="1"/>
  <c r="D59" i="4" s="1"/>
  <c r="D41" i="4" s="1"/>
  <c r="D43" i="4" s="1"/>
  <c r="D14" i="12" s="1"/>
  <c r="P82" i="4"/>
  <c r="J28" i="4" s="1"/>
  <c r="Q79" i="4"/>
  <c r="S81" i="4"/>
  <c r="R79" i="4" s="1"/>
  <c r="F18" i="12" l="1"/>
  <c r="E38" i="4"/>
  <c r="E40" i="4" s="1"/>
  <c r="E46" i="4" s="1"/>
  <c r="E54" i="4" s="1"/>
  <c r="G91" i="4"/>
  <c r="G18" i="12" s="1"/>
  <c r="H38" i="4"/>
  <c r="H40" i="4" s="1"/>
  <c r="F38" i="4"/>
  <c r="F40" i="4" s="1"/>
  <c r="F46" i="4" s="1"/>
  <c r="I89" i="4"/>
  <c r="J31" i="4"/>
  <c r="J33" i="4" s="1"/>
  <c r="J36" i="4" s="1"/>
  <c r="J88" i="4"/>
  <c r="J42" i="14"/>
  <c r="K22" i="14" s="1"/>
  <c r="K23" i="14" s="1"/>
  <c r="D57" i="4"/>
  <c r="D16" i="12" s="1"/>
  <c r="D22" i="12" s="1"/>
  <c r="R82" i="4"/>
  <c r="K28" i="4" s="1"/>
  <c r="S79" i="4"/>
  <c r="U81" i="4"/>
  <c r="U79" i="4" s="1"/>
  <c r="H18" i="12" l="1"/>
  <c r="E49" i="4"/>
  <c r="E50" i="4" s="1"/>
  <c r="G38" i="4"/>
  <c r="G40" i="4" s="1"/>
  <c r="G46" i="4" s="1"/>
  <c r="G49" i="4" s="1"/>
  <c r="I91" i="4"/>
  <c r="I18" i="12" s="1"/>
  <c r="J89" i="4"/>
  <c r="E51" i="4"/>
  <c r="F54" i="4"/>
  <c r="F49" i="4"/>
  <c r="K31" i="4"/>
  <c r="K33" i="4" s="1"/>
  <c r="K36" i="4" s="1"/>
  <c r="K88" i="4"/>
  <c r="K24" i="14"/>
  <c r="K28" i="14" s="1"/>
  <c r="K25" i="14"/>
  <c r="T79" i="4"/>
  <c r="T82" i="4" s="1"/>
  <c r="L28" i="4" s="1"/>
  <c r="W81" i="4"/>
  <c r="V79" i="4" s="1"/>
  <c r="V82" i="4" s="1"/>
  <c r="M28" i="4" s="1"/>
  <c r="F50" i="4" l="1"/>
  <c r="F51" i="4" s="1"/>
  <c r="F52" i="4" s="1"/>
  <c r="G54" i="4"/>
  <c r="J91" i="4"/>
  <c r="J18" i="12" s="1"/>
  <c r="E52" i="4"/>
  <c r="I38" i="4"/>
  <c r="I40" i="4" s="1"/>
  <c r="M31" i="4"/>
  <c r="M33" i="4" s="1"/>
  <c r="M36" i="4" s="1"/>
  <c r="M88" i="4"/>
  <c r="L31" i="4"/>
  <c r="L33" i="4" s="1"/>
  <c r="L36" i="4" s="1"/>
  <c r="L88" i="4"/>
  <c r="K89" i="4"/>
  <c r="K31" i="14"/>
  <c r="K29" i="14"/>
  <c r="K30" i="14" s="1"/>
  <c r="K34" i="14" s="1"/>
  <c r="W79" i="4"/>
  <c r="Y81" i="4"/>
  <c r="X79" i="4" s="1"/>
  <c r="H46" i="4"/>
  <c r="G50" i="4" l="1"/>
  <c r="J38" i="4"/>
  <c r="J40" i="4" s="1"/>
  <c r="K91" i="4"/>
  <c r="K18" i="12" s="1"/>
  <c r="L89" i="4"/>
  <c r="G51" i="4"/>
  <c r="G52" i="4" s="1"/>
  <c r="G55" i="4" s="1"/>
  <c r="G59" i="4" s="1"/>
  <c r="G41" i="4" s="1"/>
  <c r="G43" i="4" s="1"/>
  <c r="G14" i="12" s="1"/>
  <c r="F57" i="4"/>
  <c r="F16" i="12" s="1"/>
  <c r="F55" i="4"/>
  <c r="F59" i="4" s="1"/>
  <c r="F41" i="4" s="1"/>
  <c r="F43" i="4" s="1"/>
  <c r="F14" i="12" s="1"/>
  <c r="E55" i="4"/>
  <c r="E59" i="4" s="1"/>
  <c r="E41" i="4" s="1"/>
  <c r="E43" i="4" s="1"/>
  <c r="E14" i="12" s="1"/>
  <c r="E57" i="4"/>
  <c r="E16" i="12" s="1"/>
  <c r="M89" i="4"/>
  <c r="K35" i="14"/>
  <c r="K36" i="14" s="1"/>
  <c r="K40" i="14" s="1"/>
  <c r="K37" i="14"/>
  <c r="X82" i="4"/>
  <c r="N28" i="4" s="1"/>
  <c r="Y79" i="4"/>
  <c r="AA81" i="4"/>
  <c r="AA79" i="4" s="1"/>
  <c r="H49" i="4"/>
  <c r="H54" i="4"/>
  <c r="F22" i="12" l="1"/>
  <c r="E22" i="12"/>
  <c r="L91" i="4"/>
  <c r="M91" i="4"/>
  <c r="G57" i="4"/>
  <c r="G16" i="12" s="1"/>
  <c r="G22" i="12" s="1"/>
  <c r="K38" i="4"/>
  <c r="N31" i="4"/>
  <c r="N33" i="4" s="1"/>
  <c r="N36" i="4" s="1"/>
  <c r="N88" i="4"/>
  <c r="K41" i="14"/>
  <c r="K43" i="14"/>
  <c r="K45" i="14" s="1"/>
  <c r="K37" i="4" s="1"/>
  <c r="H50" i="4"/>
  <c r="Z79" i="4"/>
  <c r="Z82" i="4" s="1"/>
  <c r="O28" i="4" s="1"/>
  <c r="AC81" i="4"/>
  <c r="AB79" i="4" s="1"/>
  <c r="AB82" i="4" s="1"/>
  <c r="P28" i="4" s="1"/>
  <c r="M18" i="12" l="1"/>
  <c r="L38" i="4"/>
  <c r="L18" i="12"/>
  <c r="K40" i="4"/>
  <c r="N89" i="4"/>
  <c r="M38" i="4"/>
  <c r="O31" i="4"/>
  <c r="O33" i="4" s="1"/>
  <c r="O36" i="4" s="1"/>
  <c r="O88" i="4"/>
  <c r="P31" i="4"/>
  <c r="P33" i="4" s="1"/>
  <c r="P36" i="4" s="1"/>
  <c r="P88" i="4"/>
  <c r="K42" i="14"/>
  <c r="L22" i="14" s="1"/>
  <c r="L23" i="14" s="1"/>
  <c r="K46" i="14"/>
  <c r="K20" i="12" s="1"/>
  <c r="H51" i="4"/>
  <c r="AE81" i="4"/>
  <c r="AD79" i="4" s="1"/>
  <c r="AC79" i="4"/>
  <c r="N91" i="4" l="1"/>
  <c r="N18" i="12" s="1"/>
  <c r="P89" i="4"/>
  <c r="O89" i="4"/>
  <c r="L25" i="14"/>
  <c r="L24" i="14"/>
  <c r="L28" i="14" s="1"/>
  <c r="H52" i="4"/>
  <c r="AE79" i="4"/>
  <c r="AD82" i="4"/>
  <c r="Q28" i="4" s="1"/>
  <c r="AG81" i="4"/>
  <c r="AG79" i="4" s="1"/>
  <c r="P91" i="4" l="1"/>
  <c r="O91" i="4"/>
  <c r="O18" i="12" s="1"/>
  <c r="N38" i="4"/>
  <c r="Q31" i="4"/>
  <c r="Q33" i="4" s="1"/>
  <c r="Q36" i="4" s="1"/>
  <c r="Q88" i="4"/>
  <c r="L29" i="14"/>
  <c r="L30" i="14" s="1"/>
  <c r="L34" i="14" s="1"/>
  <c r="L31" i="14"/>
  <c r="H57" i="4"/>
  <c r="H16" i="12" s="1"/>
  <c r="H55" i="4"/>
  <c r="H59" i="4" s="1"/>
  <c r="H41" i="4" s="1"/>
  <c r="H43" i="4" s="1"/>
  <c r="H14" i="12" s="1"/>
  <c r="AF79" i="4"/>
  <c r="AF82" i="4" s="1"/>
  <c r="R28" i="4" s="1"/>
  <c r="AI81" i="4"/>
  <c r="AI79" i="4" s="1"/>
  <c r="H22" i="12" l="1"/>
  <c r="P38" i="4"/>
  <c r="P18" i="12"/>
  <c r="O38" i="4"/>
  <c r="Q89" i="4"/>
  <c r="R31" i="4"/>
  <c r="R33" i="4" s="1"/>
  <c r="R36" i="4" s="1"/>
  <c r="R88" i="4"/>
  <c r="L37" i="14"/>
  <c r="L35" i="14"/>
  <c r="L36" i="14" s="1"/>
  <c r="L40" i="14" s="1"/>
  <c r="AH79" i="4"/>
  <c r="AH82" i="4" s="1"/>
  <c r="S28" i="4" s="1"/>
  <c r="AK81" i="4"/>
  <c r="AM81" i="4" s="1"/>
  <c r="I46" i="4"/>
  <c r="Q91" i="4" l="1"/>
  <c r="Q18" i="12" s="1"/>
  <c r="R89" i="4"/>
  <c r="S31" i="4"/>
  <c r="S33" i="4" s="1"/>
  <c r="S36" i="4" s="1"/>
  <c r="S88" i="4"/>
  <c r="L43" i="14"/>
  <c r="L45" i="14" s="1"/>
  <c r="L37" i="4" s="1"/>
  <c r="L40" i="4" s="1"/>
  <c r="L41" i="14"/>
  <c r="L46" i="14" s="1"/>
  <c r="L20" i="12" s="1"/>
  <c r="AJ79" i="4"/>
  <c r="AJ82" i="4" s="1"/>
  <c r="T28" i="4" s="1"/>
  <c r="AO81" i="4"/>
  <c r="AQ81" i="4" s="1"/>
  <c r="AM79" i="4"/>
  <c r="AK79" i="4"/>
  <c r="I54" i="4"/>
  <c r="I49" i="4"/>
  <c r="R91" i="4" l="1"/>
  <c r="R18" i="12" s="1"/>
  <c r="Q38" i="4"/>
  <c r="S89" i="4"/>
  <c r="T31" i="4"/>
  <c r="T33" i="4" s="1"/>
  <c r="T36" i="4" s="1"/>
  <c r="T88" i="4"/>
  <c r="L42" i="14"/>
  <c r="M22" i="14" s="1"/>
  <c r="M23" i="14" s="1"/>
  <c r="I50" i="4"/>
  <c r="AN79" i="4"/>
  <c r="AN82" i="4" s="1"/>
  <c r="AS81" i="4"/>
  <c r="AQ79" i="4"/>
  <c r="AO79" i="4"/>
  <c r="AP79" i="4"/>
  <c r="AL79" i="4"/>
  <c r="AL82" i="4" s="1"/>
  <c r="U28" i="4" s="1"/>
  <c r="S91" i="4" l="1"/>
  <c r="R38" i="4"/>
  <c r="U31" i="4"/>
  <c r="U33" i="4" s="1"/>
  <c r="U36" i="4" s="1"/>
  <c r="U88" i="4"/>
  <c r="T89" i="4"/>
  <c r="M24" i="14"/>
  <c r="M28" i="14" s="1"/>
  <c r="M25" i="14"/>
  <c r="I51" i="4"/>
  <c r="AP82" i="4"/>
  <c r="W28" i="4" s="1"/>
  <c r="AR79" i="4"/>
  <c r="AR82" i="4" s="1"/>
  <c r="X28" i="4" s="1"/>
  <c r="AU81" i="4"/>
  <c r="AS79" i="4"/>
  <c r="V28" i="4"/>
  <c r="S38" i="4" l="1"/>
  <c r="S18" i="12"/>
  <c r="T91" i="4"/>
  <c r="T18" i="12" s="1"/>
  <c r="U89" i="4"/>
  <c r="X31" i="4"/>
  <c r="X33" i="4" s="1"/>
  <c r="X36" i="4" s="1"/>
  <c r="X88" i="4"/>
  <c r="V31" i="4"/>
  <c r="V33" i="4" s="1"/>
  <c r="V36" i="4" s="1"/>
  <c r="V88" i="4"/>
  <c r="W31" i="4"/>
  <c r="W88" i="4"/>
  <c r="M31" i="14"/>
  <c r="M29" i="14"/>
  <c r="M30" i="14" s="1"/>
  <c r="M34" i="14" s="1"/>
  <c r="I52" i="4"/>
  <c r="AU79" i="4"/>
  <c r="AW81" i="4"/>
  <c r="AT79" i="4"/>
  <c r="AT82" i="4" s="1"/>
  <c r="Y28" i="4" s="1"/>
  <c r="U91" i="4" l="1"/>
  <c r="U18" i="12" s="1"/>
  <c r="T38" i="4"/>
  <c r="V89" i="4"/>
  <c r="X89" i="4"/>
  <c r="Y31" i="4"/>
  <c r="Y33" i="4" s="1"/>
  <c r="Y36" i="4" s="1"/>
  <c r="Y88" i="4"/>
  <c r="W89" i="4"/>
  <c r="M37" i="14"/>
  <c r="M35" i="14"/>
  <c r="M36" i="14" s="1"/>
  <c r="M40" i="14" s="1"/>
  <c r="I55" i="4"/>
  <c r="I59" i="4" s="1"/>
  <c r="I41" i="4" s="1"/>
  <c r="I43" i="4" s="1"/>
  <c r="I14" i="12" s="1"/>
  <c r="I57" i="4"/>
  <c r="I16" i="12" s="1"/>
  <c r="AY81" i="4"/>
  <c r="AV79" i="4"/>
  <c r="AV82" i="4" s="1"/>
  <c r="Z28" i="4" s="1"/>
  <c r="AW79" i="4"/>
  <c r="BA81" i="4"/>
  <c r="AZ79" i="4" s="1"/>
  <c r="I22" i="12" l="1"/>
  <c r="X91" i="4"/>
  <c r="U38" i="4"/>
  <c r="W91" i="4"/>
  <c r="V91" i="4"/>
  <c r="V18" i="12" s="1"/>
  <c r="Z31" i="4"/>
  <c r="Z33" i="4" s="1"/>
  <c r="Z36" i="4" s="1"/>
  <c r="Z88" i="4"/>
  <c r="Z89" i="4" s="1"/>
  <c r="Y89" i="4"/>
  <c r="M41" i="14"/>
  <c r="M46" i="14" s="1"/>
  <c r="M20" i="12" s="1"/>
  <c r="M43" i="14"/>
  <c r="M45" i="14" s="1"/>
  <c r="M37" i="4" s="1"/>
  <c r="M40" i="4" s="1"/>
  <c r="AX79" i="4"/>
  <c r="AX82" i="4" s="1"/>
  <c r="AA28" i="4" s="1"/>
  <c r="AY79" i="4"/>
  <c r="AZ82" i="4" s="1"/>
  <c r="AB28" i="4" s="1"/>
  <c r="W33" i="4"/>
  <c r="W36" i="4" s="1"/>
  <c r="BA79" i="4"/>
  <c r="BB82" i="4" s="1"/>
  <c r="AC28" i="4" s="1"/>
  <c r="J46" i="4"/>
  <c r="W18" i="12" l="1"/>
  <c r="X18" i="12"/>
  <c r="Y91" i="4"/>
  <c r="Y18" i="12" s="1"/>
  <c r="Z91" i="4"/>
  <c r="W38" i="4"/>
  <c r="V38" i="4"/>
  <c r="X38" i="4"/>
  <c r="AC31" i="4"/>
  <c r="AC33" i="4" s="1"/>
  <c r="AC36" i="4" s="1"/>
  <c r="AC88" i="4"/>
  <c r="AB31" i="4"/>
  <c r="AB33" i="4" s="1"/>
  <c r="AB36" i="4" s="1"/>
  <c r="AB88" i="4"/>
  <c r="AB89" i="4" s="1"/>
  <c r="AA31" i="4"/>
  <c r="AA33" i="4" s="1"/>
  <c r="AA36" i="4" s="1"/>
  <c r="AA88" i="4"/>
  <c r="M42" i="14"/>
  <c r="N22" i="14" s="1"/>
  <c r="N23" i="14" s="1"/>
  <c r="J54" i="4"/>
  <c r="J49" i="4"/>
  <c r="Z18" i="12" l="1"/>
  <c r="AB91" i="4"/>
  <c r="Y38" i="4"/>
  <c r="Z38" i="4"/>
  <c r="AC89" i="4"/>
  <c r="AA89" i="4"/>
  <c r="N25" i="14"/>
  <c r="N24" i="14"/>
  <c r="N28" i="14" s="1"/>
  <c r="J50" i="4"/>
  <c r="AC91" i="4" l="1"/>
  <c r="AC18" i="12" s="1"/>
  <c r="AA91" i="4"/>
  <c r="AA18" i="12" s="1"/>
  <c r="AB38" i="4"/>
  <c r="N29" i="14"/>
  <c r="N30" i="14" s="1"/>
  <c r="N34" i="14" s="1"/>
  <c r="N31" i="14"/>
  <c r="J51" i="4"/>
  <c r="AB18" i="12" l="1"/>
  <c r="AC38" i="4"/>
  <c r="AA38" i="4"/>
  <c r="N37" i="14"/>
  <c r="N35" i="14"/>
  <c r="N36" i="14" s="1"/>
  <c r="N40" i="14" s="1"/>
  <c r="J52" i="4"/>
  <c r="K46" i="4"/>
  <c r="N43" i="14" l="1"/>
  <c r="N45" i="14" s="1"/>
  <c r="N37" i="4" s="1"/>
  <c r="N40" i="4" s="1"/>
  <c r="N41" i="14"/>
  <c r="N46" i="14" s="1"/>
  <c r="N20" i="12" s="1"/>
  <c r="J57" i="4"/>
  <c r="J16" i="12" s="1"/>
  <c r="J55" i="4"/>
  <c r="J59" i="4" s="1"/>
  <c r="J41" i="4" s="1"/>
  <c r="J43" i="4" s="1"/>
  <c r="J14" i="12" s="1"/>
  <c r="K49" i="4"/>
  <c r="K54" i="4"/>
  <c r="J22" i="12" l="1"/>
  <c r="N42" i="14"/>
  <c r="O22" i="14" s="1"/>
  <c r="O23" i="14" s="1"/>
  <c r="K50" i="4"/>
  <c r="O25" i="14" l="1"/>
  <c r="O24" i="14"/>
  <c r="O28" i="14" s="1"/>
  <c r="K51" i="4"/>
  <c r="O31" i="14" l="1"/>
  <c r="O29" i="14"/>
  <c r="O30" i="14" s="1"/>
  <c r="O34" i="14" s="1"/>
  <c r="K52" i="4"/>
  <c r="L46" i="4"/>
  <c r="O37" i="14" l="1"/>
  <c r="O35" i="14"/>
  <c r="O36" i="14" s="1"/>
  <c r="O40" i="14" s="1"/>
  <c r="K57" i="4"/>
  <c r="K16" i="12" s="1"/>
  <c r="K55" i="4"/>
  <c r="K59" i="4" s="1"/>
  <c r="K41" i="4" s="1"/>
  <c r="K43" i="4" s="1"/>
  <c r="K14" i="12" s="1"/>
  <c r="L49" i="4"/>
  <c r="L54" i="4"/>
  <c r="K22" i="12" l="1"/>
  <c r="O41" i="14"/>
  <c r="O46" i="14" s="1"/>
  <c r="O20" i="12" s="1"/>
  <c r="O43" i="14"/>
  <c r="O45" i="14" s="1"/>
  <c r="O37" i="4" s="1"/>
  <c r="O40" i="4" s="1"/>
  <c r="L50" i="4"/>
  <c r="O42" i="14" l="1"/>
  <c r="P22" i="14" s="1"/>
  <c r="P23" i="14" s="1"/>
  <c r="L51" i="4"/>
  <c r="P24" i="14" l="1"/>
  <c r="P28" i="14" s="1"/>
  <c r="P25" i="14"/>
  <c r="L52" i="4"/>
  <c r="M46" i="4"/>
  <c r="P31" i="14" l="1"/>
  <c r="P29" i="14"/>
  <c r="P30" i="14" s="1"/>
  <c r="P34" i="14" s="1"/>
  <c r="P35" i="14" s="1"/>
  <c r="P36" i="14" s="1"/>
  <c r="P40" i="14" s="1"/>
  <c r="L57" i="4"/>
  <c r="L16" i="12" s="1"/>
  <c r="L55" i="4"/>
  <c r="L59" i="4" s="1"/>
  <c r="L41" i="4" s="1"/>
  <c r="L43" i="4" s="1"/>
  <c r="L14" i="12" s="1"/>
  <c r="M54" i="4"/>
  <c r="M49" i="4"/>
  <c r="L22" i="12" l="1"/>
  <c r="P37" i="14"/>
  <c r="P43" i="14"/>
  <c r="P41" i="14"/>
  <c r="P46" i="14" s="1"/>
  <c r="P20" i="12" s="1"/>
  <c r="M50" i="4"/>
  <c r="P45" i="14" l="1"/>
  <c r="P37" i="4" s="1"/>
  <c r="P40" i="4" s="1"/>
  <c r="P42" i="14"/>
  <c r="Q22" i="14" s="1"/>
  <c r="Q23" i="14" s="1"/>
  <c r="M51" i="4"/>
  <c r="Q24" i="14" l="1"/>
  <c r="Q28" i="14" s="1"/>
  <c r="Q25" i="14"/>
  <c r="M52" i="4"/>
  <c r="N46" i="4"/>
  <c r="Q31" i="14" l="1"/>
  <c r="Q29" i="14"/>
  <c r="Q30" i="14" s="1"/>
  <c r="Q34" i="14" s="1"/>
  <c r="M57" i="4"/>
  <c r="M16" i="12" s="1"/>
  <c r="M55" i="4"/>
  <c r="M59" i="4" s="1"/>
  <c r="M41" i="4" s="1"/>
  <c r="M43" i="4" s="1"/>
  <c r="M14" i="12" s="1"/>
  <c r="N54" i="4"/>
  <c r="N49" i="4"/>
  <c r="M22" i="12" l="1"/>
  <c r="Q35" i="14"/>
  <c r="Q36" i="14" s="1"/>
  <c r="Q40" i="14" s="1"/>
  <c r="Q37" i="14"/>
  <c r="N50" i="4"/>
  <c r="Q43" i="14" l="1"/>
  <c r="Q45" i="14" s="1"/>
  <c r="Q37" i="4" s="1"/>
  <c r="Q40" i="4" s="1"/>
  <c r="Q41" i="14"/>
  <c r="Q46" i="14" s="1"/>
  <c r="Q20" i="12" s="1"/>
  <c r="N51" i="4"/>
  <c r="Q42" i="14" l="1"/>
  <c r="R22" i="14" s="1"/>
  <c r="R23" i="14" s="1"/>
  <c r="N52" i="4"/>
  <c r="R24" i="14" l="1"/>
  <c r="R28" i="14" s="1"/>
  <c r="R25" i="14"/>
  <c r="N55" i="4"/>
  <c r="N59" i="4" s="1"/>
  <c r="N41" i="4" s="1"/>
  <c r="N43" i="4" s="1"/>
  <c r="N14" i="12" s="1"/>
  <c r="N57" i="4"/>
  <c r="N16" i="12" s="1"/>
  <c r="O46" i="4"/>
  <c r="N22" i="12" l="1"/>
  <c r="R31" i="14"/>
  <c r="R29" i="14"/>
  <c r="R30" i="14" s="1"/>
  <c r="R34" i="14" s="1"/>
  <c r="O49" i="4"/>
  <c r="O54" i="4"/>
  <c r="R35" i="14" l="1"/>
  <c r="R36" i="14" s="1"/>
  <c r="R40" i="14" s="1"/>
  <c r="R37" i="14"/>
  <c r="O50" i="4"/>
  <c r="R41" i="14" l="1"/>
  <c r="R43" i="14"/>
  <c r="R45" i="14" s="1"/>
  <c r="R37" i="4" s="1"/>
  <c r="R40" i="4" s="1"/>
  <c r="O51" i="4"/>
  <c r="R42" i="14" l="1"/>
  <c r="S22" i="14" s="1"/>
  <c r="S23" i="14" s="1"/>
  <c r="R46" i="14"/>
  <c r="R20" i="12" s="1"/>
  <c r="O52" i="4"/>
  <c r="S24" i="14" l="1"/>
  <c r="S28" i="14" s="1"/>
  <c r="S25" i="14"/>
  <c r="O55" i="4"/>
  <c r="O59" i="4" s="1"/>
  <c r="O41" i="4" s="1"/>
  <c r="O43" i="4" s="1"/>
  <c r="O14" i="12" s="1"/>
  <c r="O57" i="4"/>
  <c r="O16" i="12" s="1"/>
  <c r="P46" i="4"/>
  <c r="O22" i="12" l="1"/>
  <c r="S31" i="14"/>
  <c r="S29" i="14"/>
  <c r="S30" i="14" s="1"/>
  <c r="S34" i="14" s="1"/>
  <c r="P49" i="4"/>
  <c r="P54" i="4"/>
  <c r="S37" i="14" l="1"/>
  <c r="S35" i="14"/>
  <c r="S36" i="14" s="1"/>
  <c r="S40" i="14" s="1"/>
  <c r="P50" i="4"/>
  <c r="S43" i="14" l="1"/>
  <c r="S45" i="14" s="1"/>
  <c r="S37" i="4" s="1"/>
  <c r="S40" i="4" s="1"/>
  <c r="S41" i="14"/>
  <c r="S46" i="14" s="1"/>
  <c r="S20" i="12" s="1"/>
  <c r="P51" i="4"/>
  <c r="S42" i="14" l="1"/>
  <c r="T22" i="14" s="1"/>
  <c r="T23" i="14" s="1"/>
  <c r="P52" i="4"/>
  <c r="T24" i="14" l="1"/>
  <c r="T28" i="14" s="1"/>
  <c r="T25" i="14"/>
  <c r="P57" i="4"/>
  <c r="P16" i="12" s="1"/>
  <c r="P55" i="4"/>
  <c r="P59" i="4" s="1"/>
  <c r="P41" i="4" s="1"/>
  <c r="P43" i="4" s="1"/>
  <c r="P14" i="12" s="1"/>
  <c r="Q46" i="4"/>
  <c r="P22" i="12" l="1"/>
  <c r="T31" i="14"/>
  <c r="T29" i="14"/>
  <c r="T30" i="14" s="1"/>
  <c r="T34" i="14" s="1"/>
  <c r="Q54" i="4"/>
  <c r="Q49" i="4"/>
  <c r="T35" i="14" l="1"/>
  <c r="T36" i="14" s="1"/>
  <c r="T40" i="14" s="1"/>
  <c r="T37" i="14"/>
  <c r="Q50" i="4"/>
  <c r="T41" i="14" l="1"/>
  <c r="T46" i="14" s="1"/>
  <c r="T20" i="12" s="1"/>
  <c r="T43" i="14"/>
  <c r="T45" i="14" s="1"/>
  <c r="T37" i="4" s="1"/>
  <c r="T40" i="4" s="1"/>
  <c r="Q51" i="4"/>
  <c r="T42" i="14" l="1"/>
  <c r="U22" i="14" s="1"/>
  <c r="U23" i="14" s="1"/>
  <c r="Q52" i="4"/>
  <c r="U24" i="14" l="1"/>
  <c r="U28" i="14" s="1"/>
  <c r="U25" i="14"/>
  <c r="Q57" i="4"/>
  <c r="Q16" i="12" s="1"/>
  <c r="Q55" i="4"/>
  <c r="Q59" i="4" s="1"/>
  <c r="Q41" i="4" s="1"/>
  <c r="Q43" i="4" s="1"/>
  <c r="Q14" i="12" s="1"/>
  <c r="R46" i="4"/>
  <c r="Q22" i="12" l="1"/>
  <c r="U31" i="14"/>
  <c r="U29" i="14"/>
  <c r="U30" i="14" s="1"/>
  <c r="U34" i="14" s="1"/>
  <c r="R54" i="4"/>
  <c r="R49" i="4"/>
  <c r="U35" i="14" l="1"/>
  <c r="U36" i="14" s="1"/>
  <c r="U40" i="14" s="1"/>
  <c r="U37" i="14"/>
  <c r="R50" i="4"/>
  <c r="U41" i="14" l="1"/>
  <c r="U46" i="14" s="1"/>
  <c r="U20" i="12" s="1"/>
  <c r="U43" i="14"/>
  <c r="U45" i="14" s="1"/>
  <c r="U37" i="4" s="1"/>
  <c r="U40" i="4" s="1"/>
  <c r="R51" i="4"/>
  <c r="U42" i="14" l="1"/>
  <c r="V22" i="14" s="1"/>
  <c r="V23" i="14" s="1"/>
  <c r="R52" i="4"/>
  <c r="V24" i="14" l="1"/>
  <c r="V28" i="14" s="1"/>
  <c r="V25" i="14"/>
  <c r="R55" i="4"/>
  <c r="R59" i="4" s="1"/>
  <c r="R41" i="4" s="1"/>
  <c r="R43" i="4" s="1"/>
  <c r="R14" i="12" s="1"/>
  <c r="R57" i="4"/>
  <c r="R16" i="12" s="1"/>
  <c r="S46" i="4"/>
  <c r="R22" i="12" l="1"/>
  <c r="V31" i="14"/>
  <c r="V29" i="14"/>
  <c r="V30" i="14" s="1"/>
  <c r="V34" i="14" s="1"/>
  <c r="V37" i="14" s="1"/>
  <c r="S54" i="4"/>
  <c r="S49" i="4"/>
  <c r="V35" i="14" l="1"/>
  <c r="V36" i="14" s="1"/>
  <c r="V40" i="14" s="1"/>
  <c r="V43" i="14" s="1"/>
  <c r="V45" i="14" s="1"/>
  <c r="V37" i="4" s="1"/>
  <c r="V40" i="4" s="1"/>
  <c r="S50" i="4"/>
  <c r="V41" i="14" l="1"/>
  <c r="V46" i="14" s="1"/>
  <c r="V20" i="12" s="1"/>
  <c r="S51" i="4"/>
  <c r="S52" i="4" s="1"/>
  <c r="V42" i="14" l="1"/>
  <c r="W22" i="14" s="1"/>
  <c r="W23" i="14" s="1"/>
  <c r="S55" i="4"/>
  <c r="S59" i="4" s="1"/>
  <c r="S41" i="4" s="1"/>
  <c r="S43" i="4" s="1"/>
  <c r="S14" i="12" s="1"/>
  <c r="S57" i="4"/>
  <c r="S16" i="12" s="1"/>
  <c r="S22" i="12" l="1"/>
  <c r="W24" i="14"/>
  <c r="W28" i="14" s="1"/>
  <c r="W29" i="14" s="1"/>
  <c r="W30" i="14" s="1"/>
  <c r="W34" i="14" s="1"/>
  <c r="W35" i="14" s="1"/>
  <c r="W25" i="14"/>
  <c r="T46" i="4"/>
  <c r="W31" i="14" l="1"/>
  <c r="W37" i="14"/>
  <c r="W36" i="14"/>
  <c r="W40" i="14" s="1"/>
  <c r="T54" i="4"/>
  <c r="T49" i="4"/>
  <c r="T52" i="4" s="1"/>
  <c r="W43" i="14" l="1"/>
  <c r="W45" i="14" s="1"/>
  <c r="W37" i="4" s="1"/>
  <c r="W40" i="4" s="1"/>
  <c r="W41" i="14"/>
  <c r="W46" i="14" s="1"/>
  <c r="W20" i="12" s="1"/>
  <c r="T50" i="4"/>
  <c r="W42" i="14" l="1"/>
  <c r="X22" i="14" s="1"/>
  <c r="X23" i="14" s="1"/>
  <c r="T57" i="4"/>
  <c r="T16" i="12" s="1"/>
  <c r="T55" i="4"/>
  <c r="T59" i="4" s="1"/>
  <c r="T41" i="4" s="1"/>
  <c r="T43" i="4" s="1"/>
  <c r="T14" i="12" s="1"/>
  <c r="T22" i="12" l="1"/>
  <c r="X25" i="14"/>
  <c r="X24" i="14"/>
  <c r="X28" i="14" s="1"/>
  <c r="U46" i="4"/>
  <c r="X31" i="14" l="1"/>
  <c r="X29" i="14"/>
  <c r="X30" i="14" s="1"/>
  <c r="X34" i="14" s="1"/>
  <c r="U54" i="4"/>
  <c r="U49" i="4"/>
  <c r="U52" i="4" s="1"/>
  <c r="X37" i="14" l="1"/>
  <c r="X35" i="14"/>
  <c r="X36" i="14" s="1"/>
  <c r="X40" i="14" s="1"/>
  <c r="U50" i="4"/>
  <c r="X43" i="14" l="1"/>
  <c r="X45" i="14" s="1"/>
  <c r="X37" i="4" s="1"/>
  <c r="X40" i="4" s="1"/>
  <c r="X41" i="14"/>
  <c r="X46" i="14" s="1"/>
  <c r="X20" i="12" s="1"/>
  <c r="U57" i="4"/>
  <c r="U16" i="12" s="1"/>
  <c r="U55" i="4"/>
  <c r="U59" i="4" s="1"/>
  <c r="U41" i="4" s="1"/>
  <c r="U43" i="4" s="1"/>
  <c r="U14" i="12" s="1"/>
  <c r="U22" i="12" l="1"/>
  <c r="X42" i="14"/>
  <c r="Y22" i="14" s="1"/>
  <c r="Y23" i="14" s="1"/>
  <c r="Y24" i="14" l="1"/>
  <c r="Y28" i="14" s="1"/>
  <c r="Y25" i="14"/>
  <c r="V46" i="4"/>
  <c r="Y31" i="14" l="1"/>
  <c r="Y29" i="14"/>
  <c r="Y30" i="14" s="1"/>
  <c r="Y34" i="14" s="1"/>
  <c r="V54" i="4"/>
  <c r="V49" i="4"/>
  <c r="V52" i="4" s="1"/>
  <c r="Y35" i="14" l="1"/>
  <c r="Y36" i="14" s="1"/>
  <c r="Y40" i="14" s="1"/>
  <c r="Y37" i="14"/>
  <c r="V50" i="4"/>
  <c r="Y43" i="14" l="1"/>
  <c r="Y45" i="14" s="1"/>
  <c r="Y37" i="4" s="1"/>
  <c r="Y40" i="4" s="1"/>
  <c r="Y41" i="14"/>
  <c r="Y46" i="14" s="1"/>
  <c r="Y20" i="12" s="1"/>
  <c r="V55" i="4"/>
  <c r="V59" i="4" s="1"/>
  <c r="V41" i="4" s="1"/>
  <c r="V43" i="4" s="1"/>
  <c r="V14" i="12" s="1"/>
  <c r="V57" i="4"/>
  <c r="V16" i="12" s="1"/>
  <c r="V22" i="12" l="1"/>
  <c r="Y42" i="14"/>
  <c r="Z22" i="14" s="1"/>
  <c r="Z23" i="14" s="1"/>
  <c r="W46" i="4"/>
  <c r="Z25" i="14" l="1"/>
  <c r="Z24" i="14"/>
  <c r="Z28" i="14" s="1"/>
  <c r="W49" i="4"/>
  <c r="W52" i="4" s="1"/>
  <c r="W54" i="4"/>
  <c r="Z31" i="14" l="1"/>
  <c r="Z29" i="14"/>
  <c r="Z30" i="14" s="1"/>
  <c r="Z34" i="14" s="1"/>
  <c r="W50" i="4"/>
  <c r="Z37" i="14" l="1"/>
  <c r="Z35" i="14"/>
  <c r="Z36" i="14" s="1"/>
  <c r="Z40" i="14" s="1"/>
  <c r="W57" i="4"/>
  <c r="W16" i="12" s="1"/>
  <c r="W55" i="4"/>
  <c r="W59" i="4" s="1"/>
  <c r="W41" i="4" s="1"/>
  <c r="W43" i="4" s="1"/>
  <c r="W14" i="12" s="1"/>
  <c r="W22" i="12" l="1"/>
  <c r="Z41" i="14"/>
  <c r="Z46" i="14" s="1"/>
  <c r="Z20" i="12" s="1"/>
  <c r="Z43" i="14"/>
  <c r="Z45" i="14" s="1"/>
  <c r="Z37" i="4" s="1"/>
  <c r="Z40" i="4" s="1"/>
  <c r="Z42" i="14" l="1"/>
  <c r="AA22" i="14" s="1"/>
  <c r="AA23" i="14" s="1"/>
  <c r="X46" i="4"/>
  <c r="AA25" i="14" l="1"/>
  <c r="AA24" i="14"/>
  <c r="AA28" i="14" s="1"/>
  <c r="AA29" i="14" s="1"/>
  <c r="AA30" i="14" s="1"/>
  <c r="AA34" i="14" s="1"/>
  <c r="X49" i="4"/>
  <c r="X52" i="4" s="1"/>
  <c r="X54" i="4"/>
  <c r="AA31" i="14" l="1"/>
  <c r="AA37" i="14"/>
  <c r="AA35" i="14"/>
  <c r="X50" i="4"/>
  <c r="AA36" i="14" l="1"/>
  <c r="AA40" i="14" s="1"/>
  <c r="X55" i="4"/>
  <c r="X59" i="4" s="1"/>
  <c r="X41" i="4" s="1"/>
  <c r="X43" i="4" s="1"/>
  <c r="X14" i="12" s="1"/>
  <c r="X57" i="4"/>
  <c r="X16" i="12" s="1"/>
  <c r="X22" i="12" l="1"/>
  <c r="AA43" i="14"/>
  <c r="AA45" i="14" s="1"/>
  <c r="AA37" i="4" s="1"/>
  <c r="AA40" i="4" s="1"/>
  <c r="AA41" i="14"/>
  <c r="AA46" i="14" s="1"/>
  <c r="AA20" i="12" s="1"/>
  <c r="AA42" i="14" l="1"/>
  <c r="AB22" i="14" s="1"/>
  <c r="AB23" i="14" s="1"/>
  <c r="Y46" i="4"/>
  <c r="AB24" i="14" l="1"/>
  <c r="AB28" i="14" s="1"/>
  <c r="AB25" i="14"/>
  <c r="Y49" i="4"/>
  <c r="Y52" i="4" s="1"/>
  <c r="Y54" i="4"/>
  <c r="AB31" i="14" l="1"/>
  <c r="AB29" i="14"/>
  <c r="AB30" i="14" s="1"/>
  <c r="AB34" i="14" s="1"/>
  <c r="AB35" i="14" s="1"/>
  <c r="AB36" i="14" s="1"/>
  <c r="AB40" i="14" s="1"/>
  <c r="Y50" i="4"/>
  <c r="AB37" i="14" l="1"/>
  <c r="AB41" i="14"/>
  <c r="AB46" i="14" s="1"/>
  <c r="AB20" i="12" s="1"/>
  <c r="AB43" i="14"/>
  <c r="Y57" i="4"/>
  <c r="Y16" i="12" s="1"/>
  <c r="Y55" i="4"/>
  <c r="Y59" i="4" s="1"/>
  <c r="Y41" i="4" s="1"/>
  <c r="Y43" i="4" s="1"/>
  <c r="Y14" i="12" s="1"/>
  <c r="Y22" i="12" l="1"/>
  <c r="AB45" i="14"/>
  <c r="AB37" i="4" s="1"/>
  <c r="AB40" i="4" s="1"/>
  <c r="AB42" i="14"/>
  <c r="AC22" i="14" s="1"/>
  <c r="AC23" i="14" s="1"/>
  <c r="AC24" i="14" l="1"/>
  <c r="AC28" i="14" s="1"/>
  <c r="AC25" i="14"/>
  <c r="Z46" i="4"/>
  <c r="AC29" i="14" l="1"/>
  <c r="AC30" i="14" s="1"/>
  <c r="AC34" i="14" s="1"/>
  <c r="AC37" i="14" s="1"/>
  <c r="AC31" i="14"/>
  <c r="Z54" i="4"/>
  <c r="Z49" i="4"/>
  <c r="AC35" i="14" l="1"/>
  <c r="AC36" i="14" s="1"/>
  <c r="AC40" i="14" s="1"/>
  <c r="AC43" i="14" s="1"/>
  <c r="AC45" i="14" s="1"/>
  <c r="AC37" i="4" s="1"/>
  <c r="AC40" i="4" s="1"/>
  <c r="Z50" i="4"/>
  <c r="Z51" i="4" s="1"/>
  <c r="Z52" i="4" s="1"/>
  <c r="AC41" i="14" l="1"/>
  <c r="AC46" i="14" s="1"/>
  <c r="AC20" i="12" s="1"/>
  <c r="Z55" i="4"/>
  <c r="Z59" i="4" s="1"/>
  <c r="Z41" i="4" s="1"/>
  <c r="Z43" i="4" s="1"/>
  <c r="Z14" i="12" s="1"/>
  <c r="Z57" i="4"/>
  <c r="Z16" i="12" s="1"/>
  <c r="Z22" i="12" l="1"/>
  <c r="AC42" i="14"/>
  <c r="AA46" i="4"/>
  <c r="AA54" i="4" l="1"/>
  <c r="AA49" i="4"/>
  <c r="AA50" i="4" l="1"/>
  <c r="AA51" i="4" s="1"/>
  <c r="AA52" i="4" s="1"/>
  <c r="AA55" i="4" l="1"/>
  <c r="AA59" i="4" s="1"/>
  <c r="AA41" i="4" s="1"/>
  <c r="AA43" i="4" s="1"/>
  <c r="AA14" i="12" s="1"/>
  <c r="AA57" i="4"/>
  <c r="AA16" i="12" s="1"/>
  <c r="AA22" i="12" l="1"/>
  <c r="AB46" i="4"/>
  <c r="AB54" i="4" l="1"/>
  <c r="AB49" i="4"/>
  <c r="AB50" i="4" l="1"/>
  <c r="AB51" i="4" s="1"/>
  <c r="AB52" i="4" s="1"/>
  <c r="AB57" i="4" l="1"/>
  <c r="AB16" i="12" s="1"/>
  <c r="AB55" i="4"/>
  <c r="AB59" i="4" s="1"/>
  <c r="AB41" i="4" s="1"/>
  <c r="AB43" i="4" s="1"/>
  <c r="AB14" i="12" s="1"/>
  <c r="AB22" i="12" l="1"/>
  <c r="AC46" i="4"/>
  <c r="AC49" i="4" l="1"/>
  <c r="AC54" i="4"/>
  <c r="AC50" i="4" l="1"/>
  <c r="AC51" i="4" s="1"/>
  <c r="AC52" i="4" s="1"/>
  <c r="AC57" i="4" l="1"/>
  <c r="AC16" i="12" s="1"/>
  <c r="AC55" i="4"/>
  <c r="AC59" i="4" s="1"/>
  <c r="AC41" i="4" s="1"/>
  <c r="AC43" i="4" s="1"/>
  <c r="AC14" i="12" s="1"/>
  <c r="AC22" i="12" l="1"/>
  <c r="D25" i="12" s="1"/>
  <c r="C13" i="6" s="1"/>
  <c r="D3" i="2" l="1"/>
  <c r="D18" i="6"/>
  <c r="D19" i="6" s="1"/>
  <c r="D21" i="6" l="1"/>
  <c r="D20" i="6"/>
</calcChain>
</file>

<file path=xl/sharedStrings.xml><?xml version="1.0" encoding="utf-8"?>
<sst xmlns="http://schemas.openxmlformats.org/spreadsheetml/2006/main" count="311" uniqueCount="187">
  <si>
    <t>Expected Date of Commissioning</t>
  </si>
  <si>
    <t>Equity IRR without CDM</t>
  </si>
  <si>
    <t>Benchmark (Equity IRR)</t>
  </si>
  <si>
    <t>Assumption and financial of the project</t>
  </si>
  <si>
    <t>Details of the project</t>
  </si>
  <si>
    <t xml:space="preserve">Source </t>
  </si>
  <si>
    <t>Link</t>
  </si>
  <si>
    <t>State where the project is situated</t>
  </si>
  <si>
    <t>Generation and sale of electricity</t>
  </si>
  <si>
    <t>Operation and maintenance cost and Insurance</t>
  </si>
  <si>
    <t>O &amp; M Expenses</t>
  </si>
  <si>
    <t>Financial parameters</t>
  </si>
  <si>
    <t>Book Depreciation</t>
  </si>
  <si>
    <t>%</t>
  </si>
  <si>
    <t>Income Tax</t>
  </si>
  <si>
    <t>Financial Year</t>
  </si>
  <si>
    <t>MAT</t>
  </si>
  <si>
    <t>Investor's Name:</t>
  </si>
  <si>
    <t>PROFIT &amp; LOSS STATEMENT</t>
  </si>
  <si>
    <t>Financial Year Closing</t>
  </si>
  <si>
    <t xml:space="preserve">Year </t>
  </si>
  <si>
    <t>Installed Capacity</t>
  </si>
  <si>
    <t>KW</t>
  </si>
  <si>
    <t>PLF</t>
  </si>
  <si>
    <t>Days</t>
  </si>
  <si>
    <t>Hours</t>
  </si>
  <si>
    <t>each year</t>
  </si>
  <si>
    <t>Revenue</t>
  </si>
  <si>
    <t>Saleable Generation</t>
  </si>
  <si>
    <t>Tariff Rate</t>
  </si>
  <si>
    <t>INR/Unit</t>
  </si>
  <si>
    <t>INR MN</t>
  </si>
  <si>
    <t>Total Revenue</t>
  </si>
  <si>
    <t>Expenses</t>
  </si>
  <si>
    <t>Total Expenses</t>
  </si>
  <si>
    <t>PBDIT</t>
  </si>
  <si>
    <t>Less</t>
  </si>
  <si>
    <t xml:space="preserve">Book Depreciation </t>
  </si>
  <si>
    <t>PBIT</t>
  </si>
  <si>
    <t>Interest over the term Loan</t>
  </si>
  <si>
    <t>PBT</t>
  </si>
  <si>
    <t>Tax Payable</t>
  </si>
  <si>
    <t>PAT</t>
  </si>
  <si>
    <t>Tax Calculation</t>
  </si>
  <si>
    <t>Add</t>
  </si>
  <si>
    <t xml:space="preserve">IT Depreciation </t>
  </si>
  <si>
    <t>Cumulative profit</t>
  </si>
  <si>
    <t>Sec. 80IA benefit</t>
  </si>
  <si>
    <t>Tax shield</t>
  </si>
  <si>
    <t>Tax payable</t>
  </si>
  <si>
    <t xml:space="preserve">Equity Investment </t>
  </si>
  <si>
    <t>Cash Inflows</t>
  </si>
  <si>
    <t>Tax Shield</t>
  </si>
  <si>
    <t>Residual Value</t>
  </si>
  <si>
    <t>Net Cash Flow</t>
  </si>
  <si>
    <t>Equity IRR</t>
  </si>
  <si>
    <t>BACK UP WORKINGS</t>
  </si>
  <si>
    <t>Charges</t>
  </si>
  <si>
    <t>Mn INR</t>
  </si>
  <si>
    <t>Escalation</t>
  </si>
  <si>
    <t>from</t>
  </si>
  <si>
    <t>to</t>
  </si>
  <si>
    <t>Total days in a period</t>
  </si>
  <si>
    <t>Total days in a year - O&amp;M calculation year</t>
  </si>
  <si>
    <t>O&amp;M Charges</t>
  </si>
  <si>
    <t>FY Closure</t>
  </si>
  <si>
    <t>SENSITIVITY ANALYSIS</t>
  </si>
  <si>
    <t>Sensitivity Factors</t>
  </si>
  <si>
    <t>O&amp;M</t>
  </si>
  <si>
    <t>Project Cost</t>
  </si>
  <si>
    <t>Final Results</t>
  </si>
  <si>
    <t>Sensitivity Analysis</t>
  </si>
  <si>
    <t>Variation %</t>
  </si>
  <si>
    <t>Normal</t>
  </si>
  <si>
    <t xml:space="preserve">PLF </t>
  </si>
  <si>
    <t>Cash Outflow</t>
  </si>
  <si>
    <t>CASH FLOW STATEMENT (Equity IRR)</t>
  </si>
  <si>
    <t>Free period</t>
  </si>
  <si>
    <t>Repayment of Principal on Loan</t>
  </si>
  <si>
    <t>Taxable Profit</t>
  </si>
  <si>
    <t>Taxable Profit after Sec. 80IA Deduction</t>
  </si>
  <si>
    <t>Calculated Value</t>
  </si>
  <si>
    <t>Life of the plant (Yrs.)</t>
  </si>
  <si>
    <t>O &amp; M Expenses (INR Mn.)</t>
  </si>
  <si>
    <t>TOTAL COST (INR Mn.)</t>
  </si>
  <si>
    <t>Loan Amount (INR Mn.)</t>
  </si>
  <si>
    <t>Equity Investment (INR Mn.)</t>
  </si>
  <si>
    <t>Gross Depreciable Value (INR Mn.)</t>
  </si>
  <si>
    <t>Escalation in the operational expenses (%)</t>
  </si>
  <si>
    <t>O &amp; M free for (Yr.)</t>
  </si>
  <si>
    <t>Income tax rate (%)</t>
  </si>
  <si>
    <t>MAT (%)</t>
  </si>
  <si>
    <t xml:space="preserve">Net Annual generation </t>
  </si>
  <si>
    <t>Insurance (INR Mn.)</t>
  </si>
  <si>
    <t>Insurance</t>
  </si>
  <si>
    <t>Deration</t>
  </si>
  <si>
    <t>kWh</t>
  </si>
  <si>
    <t>Salvage Value (%)</t>
  </si>
  <si>
    <t>Salvage value (INR Mn.)</t>
  </si>
  <si>
    <t>Variation required to reach benchmark</t>
  </si>
  <si>
    <t>Tariff rate at the decision making (INR/kWh)</t>
  </si>
  <si>
    <t>Revenue from units sold</t>
  </si>
  <si>
    <t>Annual Generation</t>
  </si>
  <si>
    <t>LOAN REPAYMENT STATEMENT</t>
  </si>
  <si>
    <t>Loan Amount</t>
  </si>
  <si>
    <t>Interest rate</t>
  </si>
  <si>
    <t>Percent</t>
  </si>
  <si>
    <t>per quarter</t>
  </si>
  <si>
    <t>Loan Tenure</t>
  </si>
  <si>
    <t>Quarter</t>
  </si>
  <si>
    <t>Moratorium Period</t>
  </si>
  <si>
    <t>Repayment Period</t>
  </si>
  <si>
    <t>Loan Month</t>
  </si>
  <si>
    <t>Repayment installments value</t>
  </si>
  <si>
    <t>1st installment from</t>
  </si>
  <si>
    <t>Quarterly Repayment</t>
  </si>
  <si>
    <t>Q1 ending Jun</t>
  </si>
  <si>
    <t>Opening balance</t>
  </si>
  <si>
    <t>Less: Repayment</t>
  </si>
  <si>
    <t>Closing balance</t>
  </si>
  <si>
    <t>Interest</t>
  </si>
  <si>
    <t>Q2 ending Sep</t>
  </si>
  <si>
    <t>Q3 ending Dec</t>
  </si>
  <si>
    <t>Q4 ending Mar</t>
  </si>
  <si>
    <t>Total interest</t>
  </si>
  <si>
    <t>Total repayment</t>
  </si>
  <si>
    <t>Term loan</t>
  </si>
  <si>
    <t>Margin (%)</t>
  </si>
  <si>
    <t>Interest rate (%)</t>
  </si>
  <si>
    <t>Loan Tenure (Qtr.)</t>
  </si>
  <si>
    <t>Moratorium Period (Qtr.)</t>
  </si>
  <si>
    <t>Repayment Period (Qtr.)</t>
  </si>
  <si>
    <t>Repayment instalments value (INR Mn.)</t>
  </si>
  <si>
    <t>1st instalment from  (Qtr. end)</t>
  </si>
  <si>
    <t>Considered from the next Quarter End</t>
  </si>
  <si>
    <t>IT Depreciation (SLM Method)</t>
  </si>
  <si>
    <t>Residual Value (INR Mn.)</t>
  </si>
  <si>
    <t>IT Depreciation Rate (%)</t>
  </si>
  <si>
    <t>Tax rates applicable to a domestic company</t>
  </si>
  <si>
    <t>Surcharge (%)</t>
  </si>
  <si>
    <t>Final Tax rates</t>
  </si>
  <si>
    <t>http://www.incometaxindia.gov.in/charts%20%20tables/depreciation%20rates.htm</t>
  </si>
  <si>
    <t>As Per Income Tax , Depreciation rates for power generating units</t>
  </si>
  <si>
    <t>Book Depreciation (SLM Method)</t>
  </si>
  <si>
    <t>Land Cost (INR Mn.)</t>
  </si>
  <si>
    <t>Working Capital</t>
  </si>
  <si>
    <t>Interest on Working Capital Debt</t>
  </si>
  <si>
    <t>Receivables</t>
  </si>
  <si>
    <t>Add: O&amp;M Expenses</t>
  </si>
  <si>
    <t>Total Working Capital</t>
  </si>
  <si>
    <t>WC financed as Loan</t>
  </si>
  <si>
    <t>WC Margin</t>
  </si>
  <si>
    <t>No. of Days Receivables</t>
  </si>
  <si>
    <t>O&amp;M Expenses (Days)</t>
  </si>
  <si>
    <t>Interest on Working Capital</t>
  </si>
  <si>
    <t>Total Capacity in AC (MW)</t>
  </si>
  <si>
    <t>Change In Working Capital Finance</t>
  </si>
  <si>
    <t>Change In Working Capital Margin</t>
  </si>
  <si>
    <t>As per DPR</t>
  </si>
  <si>
    <t>Annual degradation from 2nd year onwards (%)</t>
  </si>
  <si>
    <t>Total Capacity in DC (MW)</t>
  </si>
  <si>
    <t>Net Depreciable Value (INR Mn.)</t>
  </si>
  <si>
    <t>FY 2019-20</t>
  </si>
  <si>
    <t>https://www.incometaxindia.gov.in/Tutorials/2%20Tax%20Rates.pdf</t>
  </si>
  <si>
    <t>Health and Education Cess (%)</t>
  </si>
  <si>
    <t>Total Annual generation (kWh)</t>
  </si>
  <si>
    <t>Cumulative PLF (%)</t>
  </si>
  <si>
    <t>Investor Name - Juniper Green Sigma Pvt Ltd</t>
  </si>
  <si>
    <t>Gujarat</t>
  </si>
  <si>
    <t>PLF (%) (Site 1 - Babsar)</t>
  </si>
  <si>
    <t>PLF (%) (Site 2 - Bhordu)</t>
  </si>
  <si>
    <t>PLF (%) (Site 3 - Bilvania)</t>
  </si>
  <si>
    <t>Capacity in AC (MW) (Site 1 - Babsar)</t>
  </si>
  <si>
    <t>Capacity in AC (MW) (Site 2 - Bhordu)</t>
  </si>
  <si>
    <t>Capacity in AC (MW) (Site 3 - Bilvania)</t>
  </si>
  <si>
    <t>Defalut Value</t>
  </si>
  <si>
    <t>Equity IRR Calculation as per Default Value</t>
  </si>
  <si>
    <t>Benchmark</t>
  </si>
  <si>
    <t>Default Value as per UNFCCC guidelines</t>
  </si>
  <si>
    <t>Default Value Benchmark (with 5yrs Forecast)</t>
  </si>
  <si>
    <t>Expected Return on Equity as per Default Value</t>
  </si>
  <si>
    <t>https://www.imf.org/external/pubs/ft/weo/2018/02/weodata/weorept.aspx?sy=2016&amp;ey=2023&amp;scsm=1&amp;ssd=1&amp;sort=country&amp;ds=.&amp;br=1&amp;pr1.x=90&amp;pr1.y=2&amp;c=534&amp;s=PCPI%2CPCPIPCH%2CPCPIE%2CPCPIEPCH&amp;grp=0&amp;a=</t>
  </si>
  <si>
    <t>Inflation forecast IMF for 5 years (World Economic Outlook Database, October 2018)</t>
  </si>
  <si>
    <t>https://cdm.unfccc.int/methodologies/PAmethodologies/tools/am-tool-27-v9.0.pdf</t>
  </si>
  <si>
    <t>Juniper Green Sigma Pvt Ltd</t>
  </si>
  <si>
    <t>http://demo.gercin.org/uploaded/document/07c74229-5dc4-4406-89d3-25a82fa0931b.pdf</t>
  </si>
  <si>
    <t>As per GERC Tariff Order Dt. 30.08.2016, Pg.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</si>
</sst>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* #,##0_);_(* \(#,##0\);_(* &quot;-&quot;??_);_(@_)"/>
    <numFmt numFmtId="165" formatCode="[$-409]d\-mmm\-yy;@"/>
    <numFmt numFmtId="166" formatCode="0.0%"/>
    <numFmt numFmtId="167" formatCode="[$-409]dd\-mmm\-yy;@"/>
    <numFmt numFmtId="168" formatCode="0.0"/>
    <numFmt numFmtId="169" formatCode="[$-409]mmm\-yy;@"/>
    <numFmt numFmtId="170" formatCode="_(* #,##0.000_);_(* \(#,##0.000\);_(* &quot;-&quot;??_);_(@_)"/>
    <numFmt numFmtId="171" formatCode="_(* #,##0.0_);_(* \(#,##0.0\);_(* &quot;-&quot;??_);_(@_)"/>
    <numFmt numFmtId="172" formatCode="0.000%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1"/>
      <color indexed="6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3" tint="0.39997558519241921"/>
      <name val="Calibri"/>
      <family val="2"/>
      <scheme val="minor"/>
    </font>
    <font>
      <u/>
      <sz val="8.6"/>
      <color theme="10"/>
      <name val="Calibri"/>
      <family val="2"/>
    </font>
    <font>
      <u/>
      <sz val="9.35"/>
      <color theme="10"/>
      <name val="Calibri"/>
      <family val="2"/>
    </font>
    <font>
      <u/>
      <sz val="10"/>
      <color indexed="12"/>
      <name val="Arial"/>
      <family val="2"/>
    </font>
    <font>
      <sz val="9"/>
      <name val="Calibri"/>
      <family val="3"/>
      <charset val="134"/>
      <scheme val="minor"/>
    </font>
    <font>
      <b/>
      <sz val="14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19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165" fontId="1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37" applyNumberFormat="0" applyAlignment="0" applyProtection="0"/>
    <xf numFmtId="0" fontId="17" fillId="23" borderId="37" applyNumberFormat="0" applyAlignment="0" applyProtection="0"/>
    <xf numFmtId="0" fontId="17" fillId="23" borderId="37" applyNumberFormat="0" applyAlignment="0" applyProtection="0"/>
    <xf numFmtId="0" fontId="17" fillId="23" borderId="37" applyNumberFormat="0" applyAlignment="0" applyProtection="0"/>
    <xf numFmtId="0" fontId="18" fillId="24" borderId="38" applyNumberFormat="0" applyAlignment="0" applyProtection="0"/>
    <xf numFmtId="0" fontId="18" fillId="24" borderId="38" applyNumberFormat="0" applyAlignment="0" applyProtection="0"/>
    <xf numFmtId="0" fontId="18" fillId="24" borderId="38" applyNumberFormat="0" applyAlignment="0" applyProtection="0"/>
    <xf numFmtId="0" fontId="18" fillId="24" borderId="38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2" fillId="0" borderId="40" applyNumberFormat="0" applyFill="0" applyAlignment="0" applyProtection="0"/>
    <xf numFmtId="0" fontId="22" fillId="0" borderId="40" applyNumberFormat="0" applyFill="0" applyAlignment="0" applyProtection="0"/>
    <xf numFmtId="0" fontId="22" fillId="0" borderId="40" applyNumberFormat="0" applyFill="0" applyAlignment="0" applyProtection="0"/>
    <xf numFmtId="0" fontId="22" fillId="0" borderId="40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5" fontId="9" fillId="0" borderId="0" applyNumberFormat="0" applyFill="0" applyBorder="0" applyAlignment="0" applyProtection="0">
      <alignment vertical="top"/>
      <protection locked="0"/>
    </xf>
    <xf numFmtId="165" fontId="9" fillId="0" borderId="0" applyNumberFormat="0" applyFill="0" applyBorder="0" applyAlignment="0" applyProtection="0">
      <alignment vertical="top"/>
      <protection locked="0"/>
    </xf>
    <xf numFmtId="165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4" fillId="10" borderId="37" applyNumberFormat="0" applyAlignment="0" applyProtection="0"/>
    <xf numFmtId="0" fontId="24" fillId="10" borderId="37" applyNumberFormat="0" applyAlignment="0" applyProtection="0"/>
    <xf numFmtId="0" fontId="24" fillId="10" borderId="37" applyNumberFormat="0" applyAlignment="0" applyProtection="0"/>
    <xf numFmtId="0" fontId="24" fillId="10" borderId="37" applyNumberFormat="0" applyAlignment="0" applyProtection="0"/>
    <xf numFmtId="0" fontId="25" fillId="0" borderId="42" applyNumberFormat="0" applyFill="0" applyAlignment="0" applyProtection="0"/>
    <xf numFmtId="0" fontId="25" fillId="0" borderId="42" applyNumberFormat="0" applyFill="0" applyAlignment="0" applyProtection="0"/>
    <xf numFmtId="0" fontId="25" fillId="0" borderId="42" applyNumberFormat="0" applyFill="0" applyAlignment="0" applyProtection="0"/>
    <xf numFmtId="0" fontId="25" fillId="0" borderId="42" applyNumberFormat="0" applyFill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168" fontId="1" fillId="0" borderId="0"/>
    <xf numFmtId="0" fontId="1" fillId="0" borderId="0"/>
    <xf numFmtId="0" fontId="10" fillId="0" borderId="0"/>
    <xf numFmtId="0" fontId="10" fillId="0" borderId="0"/>
    <xf numFmtId="168" fontId="1" fillId="0" borderId="0"/>
    <xf numFmtId="0" fontId="10" fillId="26" borderId="43" applyNumberFormat="0" applyFont="0" applyAlignment="0" applyProtection="0"/>
    <xf numFmtId="0" fontId="10" fillId="26" borderId="43" applyNumberFormat="0" applyFont="0" applyAlignment="0" applyProtection="0"/>
    <xf numFmtId="0" fontId="10" fillId="26" borderId="43" applyNumberFormat="0" applyFont="0" applyAlignment="0" applyProtection="0"/>
    <xf numFmtId="0" fontId="10" fillId="26" borderId="43" applyNumberFormat="0" applyFon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45" applyNumberFormat="0" applyFill="0" applyAlignment="0" applyProtection="0"/>
    <xf numFmtId="0" fontId="29" fillId="0" borderId="45" applyNumberFormat="0" applyFill="0" applyAlignment="0" applyProtection="0"/>
    <xf numFmtId="0" fontId="29" fillId="0" borderId="45" applyNumberFormat="0" applyFill="0" applyAlignment="0" applyProtection="0"/>
    <xf numFmtId="0" fontId="29" fillId="0" borderId="45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5" fontId="1" fillId="0" borderId="0"/>
    <xf numFmtId="0" fontId="17" fillId="23" borderId="37" applyNumberFormat="0" applyAlignment="0" applyProtection="0"/>
    <xf numFmtId="0" fontId="17" fillId="23" borderId="37" applyNumberFormat="0" applyAlignment="0" applyProtection="0"/>
    <xf numFmtId="0" fontId="17" fillId="23" borderId="37" applyNumberFormat="0" applyAlignment="0" applyProtection="0"/>
    <xf numFmtId="0" fontId="17" fillId="23" borderId="37" applyNumberFormat="0" applyAlignment="0" applyProtection="0"/>
    <xf numFmtId="0" fontId="24" fillId="10" borderId="37" applyNumberFormat="0" applyAlignment="0" applyProtection="0"/>
    <xf numFmtId="0" fontId="24" fillId="10" borderId="37" applyNumberFormat="0" applyAlignment="0" applyProtection="0"/>
    <xf numFmtId="0" fontId="24" fillId="10" borderId="37" applyNumberFormat="0" applyAlignment="0" applyProtection="0"/>
    <xf numFmtId="0" fontId="24" fillId="10" borderId="37" applyNumberFormat="0" applyAlignment="0" applyProtection="0"/>
    <xf numFmtId="0" fontId="10" fillId="26" borderId="43" applyNumberFormat="0" applyFont="0" applyAlignment="0" applyProtection="0"/>
    <xf numFmtId="0" fontId="10" fillId="26" borderId="43" applyNumberFormat="0" applyFont="0" applyAlignment="0" applyProtection="0"/>
    <xf numFmtId="0" fontId="10" fillId="26" borderId="43" applyNumberFormat="0" applyFont="0" applyAlignment="0" applyProtection="0"/>
    <xf numFmtId="0" fontId="10" fillId="26" borderId="43" applyNumberFormat="0" applyFon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9" fillId="0" borderId="45" applyNumberFormat="0" applyFill="0" applyAlignment="0" applyProtection="0"/>
    <xf numFmtId="0" fontId="29" fillId="0" borderId="45" applyNumberFormat="0" applyFill="0" applyAlignment="0" applyProtection="0"/>
    <xf numFmtId="0" fontId="29" fillId="0" borderId="45" applyNumberFormat="0" applyFill="0" applyAlignment="0" applyProtection="0"/>
    <xf numFmtId="0" fontId="29" fillId="0" borderId="45" applyNumberFormat="0" applyFill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168" fontId="1" fillId="0" borderId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10" fillId="0" borderId="0"/>
    <xf numFmtId="43" fontId="10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9" fontId="14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17" fillId="23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24" fillId="10" borderId="58" applyNumberForma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10" fillId="26" borderId="59" applyNumberFormat="0" applyFon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7" fillId="23" borderId="60" applyNumberFormat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17" fillId="23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24" fillId="10" borderId="66" applyNumberForma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10" fillId="26" borderId="67" applyNumberFormat="0" applyFon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7" fillId="23" borderId="68" applyNumberFormat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  <xf numFmtId="0" fontId="29" fillId="0" borderId="69" applyNumberFormat="0" applyFill="0" applyAlignment="0" applyProtection="0"/>
  </cellStyleXfs>
  <cellXfs count="403">
    <xf numFmtId="0" fontId="0" fillId="0" borderId="0" xfId="0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2" fontId="8" fillId="0" borderId="0" xfId="0" applyNumberFormat="1" applyFont="1" applyFill="1" applyBorder="1" applyAlignment="1">
      <alignment horizontal="right" vertical="center"/>
    </xf>
    <xf numFmtId="165" fontId="0" fillId="0" borderId="0" xfId="5" applyNumberFormat="1" applyFont="1" applyFill="1" applyAlignment="1">
      <alignment vertical="center"/>
    </xf>
    <xf numFmtId="165" fontId="0" fillId="0" borderId="0" xfId="5" applyNumberFormat="1" applyFont="1" applyAlignment="1">
      <alignment vertical="center"/>
    </xf>
    <xf numFmtId="10" fontId="0" fillId="0" borderId="0" xfId="5" applyNumberFormat="1" applyFont="1" applyAlignment="1">
      <alignment vertical="center"/>
    </xf>
    <xf numFmtId="2" fontId="0" fillId="0" borderId="0" xfId="5" applyNumberFormat="1" applyFont="1" applyAlignment="1">
      <alignment vertical="center"/>
    </xf>
    <xf numFmtId="166" fontId="0" fillId="0" borderId="0" xfId="5" applyNumberFormat="1" applyFont="1" applyBorder="1" applyAlignment="1">
      <alignment vertical="center"/>
    </xf>
    <xf numFmtId="165" fontId="3" fillId="0" borderId="0" xfId="5" applyNumberFormat="1" applyFont="1" applyAlignment="1">
      <alignment vertical="center"/>
    </xf>
    <xf numFmtId="0" fontId="3" fillId="0" borderId="0" xfId="5" applyNumberFormat="1" applyFont="1" applyAlignment="1">
      <alignment vertical="center"/>
    </xf>
    <xf numFmtId="0" fontId="0" fillId="0" borderId="0" xfId="5" applyNumberFormat="1" applyFont="1" applyAlignment="1">
      <alignment vertical="center"/>
    </xf>
    <xf numFmtId="165" fontId="0" fillId="0" borderId="0" xfId="5" applyNumberFormat="1" applyFont="1" applyFill="1" applyAlignment="1">
      <alignment horizontal="right" vertical="center"/>
    </xf>
    <xf numFmtId="0" fontId="0" fillId="0" borderId="0" xfId="5" applyNumberFormat="1" applyFont="1" applyFill="1" applyAlignment="1">
      <alignment horizontal="right" vertical="center"/>
    </xf>
    <xf numFmtId="0" fontId="5" fillId="0" borderId="10" xfId="5" applyNumberFormat="1" applyFont="1" applyFill="1" applyBorder="1" applyAlignment="1">
      <alignment horizontal="center" vertical="center"/>
    </xf>
    <xf numFmtId="0" fontId="5" fillId="0" borderId="11" xfId="5" applyNumberFormat="1" applyFont="1" applyFill="1" applyBorder="1" applyAlignment="1">
      <alignment horizontal="center" vertical="center"/>
    </xf>
    <xf numFmtId="37" fontId="5" fillId="0" borderId="11" xfId="5" applyNumberFormat="1" applyFont="1" applyFill="1" applyBorder="1" applyAlignment="1">
      <alignment horizontal="center" vertical="center"/>
    </xf>
    <xf numFmtId="0" fontId="5" fillId="0" borderId="12" xfId="5" applyNumberFormat="1" applyFont="1" applyFill="1" applyBorder="1" applyAlignment="1">
      <alignment horizontal="center" vertical="center"/>
    </xf>
    <xf numFmtId="0" fontId="0" fillId="0" borderId="0" xfId="5" applyNumberFormat="1" applyFont="1" applyFill="1" applyBorder="1" applyAlignment="1">
      <alignment horizontal="right" vertical="center"/>
    </xf>
    <xf numFmtId="0" fontId="5" fillId="0" borderId="0" xfId="5" applyNumberFormat="1" applyFont="1" applyFill="1" applyBorder="1" applyAlignment="1">
      <alignment horizontal="right" vertical="center"/>
    </xf>
    <xf numFmtId="0" fontId="5" fillId="0" borderId="0" xfId="5" applyNumberFormat="1" applyFont="1" applyFill="1" applyBorder="1" applyAlignment="1">
      <alignment vertical="center"/>
    </xf>
    <xf numFmtId="0" fontId="5" fillId="0" borderId="0" xfId="5" applyNumberFormat="1" applyFont="1" applyFill="1" applyBorder="1" applyAlignment="1">
      <alignment horizontal="center" vertical="center"/>
    </xf>
    <xf numFmtId="0" fontId="0" fillId="0" borderId="0" xfId="5" applyNumberFormat="1" applyFont="1" applyBorder="1" applyAlignment="1">
      <alignment vertical="center"/>
    </xf>
    <xf numFmtId="0" fontId="5" fillId="0" borderId="4" xfId="5" applyNumberFormat="1" applyFont="1" applyFill="1" applyBorder="1" applyAlignment="1">
      <alignment horizontal="right" vertical="center"/>
    </xf>
    <xf numFmtId="0" fontId="5" fillId="0" borderId="5" xfId="5" applyNumberFormat="1" applyFont="1" applyFill="1" applyBorder="1" applyAlignment="1">
      <alignment vertical="center"/>
    </xf>
    <xf numFmtId="0" fontId="5" fillId="0" borderId="5" xfId="5" applyNumberFormat="1" applyFont="1" applyFill="1" applyBorder="1" applyAlignment="1">
      <alignment horizontal="center" vertical="center"/>
    </xf>
    <xf numFmtId="0" fontId="5" fillId="0" borderId="6" xfId="5" applyNumberFormat="1" applyFont="1" applyFill="1" applyBorder="1" applyAlignment="1">
      <alignment horizontal="center" vertical="center"/>
    </xf>
    <xf numFmtId="165" fontId="5" fillId="0" borderId="7" xfId="5" applyNumberFormat="1" applyFont="1" applyFill="1" applyBorder="1" applyAlignment="1">
      <alignment horizontal="right" vertical="center"/>
    </xf>
    <xf numFmtId="0" fontId="5" fillId="0" borderId="7" xfId="5" applyNumberFormat="1" applyFont="1" applyFill="1" applyBorder="1" applyAlignment="1">
      <alignment horizontal="right" vertical="center"/>
    </xf>
    <xf numFmtId="165" fontId="0" fillId="0" borderId="8" xfId="5" applyNumberFormat="1" applyFont="1" applyBorder="1" applyAlignment="1">
      <alignment vertical="center"/>
    </xf>
    <xf numFmtId="164" fontId="0" fillId="0" borderId="8" xfId="5" applyNumberFormat="1" applyFont="1" applyBorder="1" applyAlignment="1">
      <alignment vertical="center"/>
    </xf>
    <xf numFmtId="164" fontId="0" fillId="0" borderId="9" xfId="5" applyNumberFormat="1" applyFont="1" applyBorder="1" applyAlignment="1">
      <alignment vertical="center"/>
    </xf>
    <xf numFmtId="165" fontId="5" fillId="0" borderId="10" xfId="5" applyNumberFormat="1" applyFont="1" applyFill="1" applyBorder="1" applyAlignment="1">
      <alignment horizontal="right" vertical="center"/>
    </xf>
    <xf numFmtId="165" fontId="0" fillId="0" borderId="11" xfId="5" applyNumberFormat="1" applyFont="1" applyBorder="1" applyAlignment="1">
      <alignment vertical="center"/>
    </xf>
    <xf numFmtId="164" fontId="0" fillId="0" borderId="11" xfId="5" applyNumberFormat="1" applyFont="1" applyBorder="1" applyAlignment="1">
      <alignment vertical="center"/>
    </xf>
    <xf numFmtId="164" fontId="0" fillId="0" borderId="12" xfId="5" applyNumberFormat="1" applyFont="1" applyBorder="1" applyAlignment="1">
      <alignment vertical="center"/>
    </xf>
    <xf numFmtId="165" fontId="0" fillId="0" borderId="0" xfId="5" applyNumberFormat="1" applyFont="1" applyFill="1" applyBorder="1" applyAlignment="1">
      <alignment horizontal="right" vertical="center"/>
    </xf>
    <xf numFmtId="165" fontId="5" fillId="0" borderId="0" xfId="5" applyNumberFormat="1" applyFont="1" applyFill="1" applyBorder="1" applyAlignment="1">
      <alignment vertical="center"/>
    </xf>
    <xf numFmtId="165" fontId="5" fillId="0" borderId="0" xfId="5" applyNumberFormat="1" applyFont="1" applyFill="1" applyBorder="1" applyAlignment="1">
      <alignment horizontal="center" vertical="center"/>
    </xf>
    <xf numFmtId="165" fontId="0" fillId="0" borderId="0" xfId="5" applyNumberFormat="1" applyFont="1" applyBorder="1" applyAlignment="1">
      <alignment vertical="center"/>
    </xf>
    <xf numFmtId="165" fontId="5" fillId="0" borderId="4" xfId="5" applyNumberFormat="1" applyFont="1" applyFill="1" applyBorder="1" applyAlignment="1">
      <alignment horizontal="left" vertical="center"/>
    </xf>
    <xf numFmtId="165" fontId="0" fillId="0" borderId="5" xfId="5" applyNumberFormat="1" applyFont="1" applyBorder="1" applyAlignment="1">
      <alignment vertical="center"/>
    </xf>
    <xf numFmtId="164" fontId="0" fillId="0" borderId="5" xfId="5" applyNumberFormat="1" applyFont="1" applyBorder="1" applyAlignment="1">
      <alignment vertical="center"/>
    </xf>
    <xf numFmtId="164" fontId="0" fillId="0" borderId="6" xfId="5" applyNumberFormat="1" applyFont="1" applyBorder="1" applyAlignment="1">
      <alignment vertical="center"/>
    </xf>
    <xf numFmtId="165" fontId="5" fillId="0" borderId="7" xfId="5" applyNumberFormat="1" applyFont="1" applyFill="1" applyBorder="1" applyAlignment="1">
      <alignment horizontal="left" vertical="center"/>
    </xf>
    <xf numFmtId="43" fontId="0" fillId="0" borderId="8" xfId="5" applyNumberFormat="1" applyFont="1" applyBorder="1" applyAlignment="1">
      <alignment horizontal="right" vertical="center"/>
    </xf>
    <xf numFmtId="43" fontId="0" fillId="0" borderId="8" xfId="5" applyNumberFormat="1" applyFont="1" applyBorder="1" applyAlignment="1">
      <alignment vertical="center"/>
    </xf>
    <xf numFmtId="43" fontId="0" fillId="0" borderId="9" xfId="5" applyNumberFormat="1" applyFont="1" applyBorder="1" applyAlignment="1">
      <alignment vertical="center"/>
    </xf>
    <xf numFmtId="165" fontId="3" fillId="0" borderId="0" xfId="5" applyNumberFormat="1" applyFont="1" applyFill="1" applyAlignment="1">
      <alignment horizontal="right" vertical="center"/>
    </xf>
    <xf numFmtId="165" fontId="3" fillId="0" borderId="11" xfId="5" applyNumberFormat="1" applyFont="1" applyBorder="1" applyAlignment="1">
      <alignment vertical="center"/>
    </xf>
    <xf numFmtId="43" fontId="3" fillId="0" borderId="11" xfId="5" applyNumberFormat="1" applyFont="1" applyBorder="1" applyAlignment="1">
      <alignment vertical="center"/>
    </xf>
    <xf numFmtId="43" fontId="3" fillId="0" borderId="12" xfId="5" applyNumberFormat="1" applyFont="1" applyBorder="1" applyAlignment="1">
      <alignment vertical="center"/>
    </xf>
    <xf numFmtId="165" fontId="5" fillId="0" borderId="0" xfId="5" applyNumberFormat="1" applyFont="1" applyFill="1" applyBorder="1" applyAlignment="1">
      <alignment horizontal="left" vertical="center"/>
    </xf>
    <xf numFmtId="43" fontId="0" fillId="0" borderId="0" xfId="5" applyNumberFormat="1" applyFont="1" applyBorder="1" applyAlignment="1">
      <alignment vertical="center"/>
    </xf>
    <xf numFmtId="0" fontId="5" fillId="0" borderId="4" xfId="5" applyNumberFormat="1" applyFont="1" applyFill="1" applyBorder="1" applyAlignment="1">
      <alignment horizontal="left" vertical="center"/>
    </xf>
    <xf numFmtId="43" fontId="0" fillId="0" borderId="5" xfId="5" applyNumberFormat="1" applyFont="1" applyBorder="1" applyAlignment="1">
      <alignment vertical="center"/>
    </xf>
    <xf numFmtId="43" fontId="0" fillId="0" borderId="6" xfId="5" applyNumberFormat="1" applyFont="1" applyBorder="1" applyAlignment="1">
      <alignment vertical="center"/>
    </xf>
    <xf numFmtId="0" fontId="0" fillId="0" borderId="8" xfId="5" applyNumberFormat="1" applyFont="1" applyBorder="1" applyAlignment="1">
      <alignment vertical="center"/>
    </xf>
    <xf numFmtId="0" fontId="0" fillId="0" borderId="7" xfId="5" applyNumberFormat="1" applyFont="1" applyBorder="1" applyAlignment="1">
      <alignment horizontal="left" vertical="center"/>
    </xf>
    <xf numFmtId="165" fontId="0" fillId="0" borderId="0" xfId="5" applyNumberFormat="1" applyFont="1" applyBorder="1" applyAlignment="1">
      <alignment horizontal="left" vertical="center"/>
    </xf>
    <xf numFmtId="165" fontId="3" fillId="0" borderId="5" xfId="5" applyNumberFormat="1" applyFont="1" applyBorder="1" applyAlignment="1">
      <alignment vertical="center"/>
    </xf>
    <xf numFmtId="43" fontId="3" fillId="0" borderId="5" xfId="5" applyNumberFormat="1" applyFont="1" applyBorder="1" applyAlignment="1">
      <alignment vertical="center"/>
    </xf>
    <xf numFmtId="43" fontId="3" fillId="0" borderId="6" xfId="5" applyNumberFormat="1" applyFont="1" applyBorder="1" applyAlignment="1">
      <alignment vertical="center"/>
    </xf>
    <xf numFmtId="165" fontId="0" fillId="0" borderId="7" xfId="5" applyNumberFormat="1" applyFont="1" applyBorder="1" applyAlignment="1">
      <alignment horizontal="left" vertical="center"/>
    </xf>
    <xf numFmtId="165" fontId="3" fillId="0" borderId="8" xfId="5" applyNumberFormat="1" applyFont="1" applyBorder="1" applyAlignment="1">
      <alignment vertical="center"/>
    </xf>
    <xf numFmtId="43" fontId="3" fillId="0" borderId="8" xfId="5" applyNumberFormat="1" applyFont="1" applyBorder="1" applyAlignment="1">
      <alignment vertical="center"/>
    </xf>
    <xf numFmtId="165" fontId="0" fillId="0" borderId="10" xfId="5" applyNumberFormat="1" applyFont="1" applyBorder="1" applyAlignment="1">
      <alignment horizontal="left" vertical="center"/>
    </xf>
    <xf numFmtId="43" fontId="0" fillId="0" borderId="11" xfId="5" applyNumberFormat="1" applyFont="1" applyBorder="1" applyAlignment="1">
      <alignment vertical="center"/>
    </xf>
    <xf numFmtId="43" fontId="0" fillId="0" borderId="12" xfId="5" applyNumberFormat="1" applyFont="1" applyBorder="1" applyAlignment="1">
      <alignment vertical="center"/>
    </xf>
    <xf numFmtId="165" fontId="3" fillId="0" borderId="17" xfId="5" applyNumberFormat="1" applyFont="1" applyBorder="1" applyAlignment="1">
      <alignment vertical="center"/>
    </xf>
    <xf numFmtId="43" fontId="3" fillId="0" borderId="17" xfId="5" applyNumberFormat="1" applyFont="1" applyBorder="1" applyAlignment="1">
      <alignment vertical="center"/>
    </xf>
    <xf numFmtId="43" fontId="3" fillId="0" borderId="18" xfId="5" applyNumberFormat="1" applyFont="1" applyBorder="1" applyAlignment="1">
      <alignment vertical="center"/>
    </xf>
    <xf numFmtId="165" fontId="11" fillId="0" borderId="0" xfId="5" applyNumberFormat="1" applyFont="1" applyFill="1" applyBorder="1" applyAlignment="1">
      <alignment horizontal="left" vertical="center" wrapText="1"/>
    </xf>
    <xf numFmtId="165" fontId="0" fillId="0" borderId="0" xfId="5" applyNumberFormat="1" applyFont="1" applyFill="1" applyBorder="1" applyAlignment="1">
      <alignment vertical="center"/>
    </xf>
    <xf numFmtId="166" fontId="11" fillId="0" borderId="0" xfId="5" applyNumberFormat="1" applyFont="1" applyFill="1" applyBorder="1" applyAlignment="1">
      <alignment horizontal="center" vertical="center"/>
    </xf>
    <xf numFmtId="165" fontId="5" fillId="0" borderId="4" xfId="5" applyNumberFormat="1" applyFont="1" applyFill="1" applyBorder="1" applyAlignment="1">
      <alignment vertical="center"/>
    </xf>
    <xf numFmtId="165" fontId="5" fillId="0" borderId="7" xfId="5" applyNumberFormat="1" applyFont="1" applyFill="1" applyBorder="1" applyAlignment="1">
      <alignment vertical="center"/>
    </xf>
    <xf numFmtId="43" fontId="0" fillId="4" borderId="8" xfId="5" applyNumberFormat="1" applyFont="1" applyFill="1" applyBorder="1" applyAlignment="1">
      <alignment vertical="center"/>
    </xf>
    <xf numFmtId="43" fontId="0" fillId="4" borderId="9" xfId="5" applyNumberFormat="1" applyFont="1" applyFill="1" applyBorder="1" applyAlignment="1">
      <alignment vertical="center"/>
    </xf>
    <xf numFmtId="165" fontId="5" fillId="0" borderId="10" xfId="5" applyNumberFormat="1" applyFont="1" applyFill="1" applyBorder="1" applyAlignment="1">
      <alignment vertical="center"/>
    </xf>
    <xf numFmtId="43" fontId="0" fillId="0" borderId="5" xfId="5" applyNumberFormat="1" applyFont="1" applyFill="1" applyBorder="1" applyAlignment="1">
      <alignment vertical="center"/>
    </xf>
    <xf numFmtId="43" fontId="0" fillId="0" borderId="6" xfId="5" applyNumberFormat="1" applyFont="1" applyFill="1" applyBorder="1" applyAlignment="1">
      <alignment vertical="center"/>
    </xf>
    <xf numFmtId="43" fontId="13" fillId="0" borderId="0" xfId="5" applyNumberFormat="1" applyFont="1" applyBorder="1" applyAlignment="1">
      <alignment vertical="center"/>
    </xf>
    <xf numFmtId="165" fontId="2" fillId="0" borderId="0" xfId="5" applyNumberFormat="1" applyFont="1" applyFill="1" applyBorder="1" applyAlignment="1">
      <alignment horizontal="center" vertical="center" wrapText="1"/>
    </xf>
    <xf numFmtId="165" fontId="0" fillId="0" borderId="16" xfId="5" applyNumberFormat="1" applyFont="1" applyBorder="1" applyAlignment="1">
      <alignment vertical="center"/>
    </xf>
    <xf numFmtId="43" fontId="0" fillId="0" borderId="19" xfId="5" applyNumberFormat="1" applyFont="1" applyBorder="1" applyAlignment="1">
      <alignment vertical="center"/>
    </xf>
    <xf numFmtId="43" fontId="0" fillId="0" borderId="17" xfId="5" applyNumberFormat="1" applyFont="1" applyBorder="1" applyAlignment="1">
      <alignment vertical="center"/>
    </xf>
    <xf numFmtId="43" fontId="13" fillId="0" borderId="17" xfId="5" applyNumberFormat="1" applyFont="1" applyBorder="1" applyAlignment="1">
      <alignment vertical="center"/>
    </xf>
    <xf numFmtId="43" fontId="0" fillId="0" borderId="18" xfId="5" applyNumberFormat="1" applyFont="1" applyBorder="1" applyAlignment="1">
      <alignment vertical="center"/>
    </xf>
    <xf numFmtId="43" fontId="13" fillId="0" borderId="0" xfId="1" applyNumberFormat="1" applyFont="1" applyBorder="1" applyAlignment="1">
      <alignment vertical="center"/>
    </xf>
    <xf numFmtId="0" fontId="5" fillId="0" borderId="4" xfId="5" applyNumberFormat="1" applyFont="1" applyFill="1" applyBorder="1" applyAlignment="1">
      <alignment vertical="center"/>
    </xf>
    <xf numFmtId="0" fontId="5" fillId="0" borderId="7" xfId="5" applyNumberFormat="1" applyFont="1" applyFill="1" applyBorder="1" applyAlignment="1">
      <alignment vertical="center"/>
    </xf>
    <xf numFmtId="0" fontId="5" fillId="0" borderId="10" xfId="5" applyNumberFormat="1" applyFont="1" applyFill="1" applyBorder="1" applyAlignment="1">
      <alignment vertical="center"/>
    </xf>
    <xf numFmtId="165" fontId="3" fillId="0" borderId="0" xfId="5" applyNumberFormat="1" applyFont="1" applyBorder="1" applyAlignment="1">
      <alignment vertical="center"/>
    </xf>
    <xf numFmtId="0" fontId="5" fillId="0" borderId="0" xfId="5" applyNumberFormat="1" applyFont="1" applyFill="1" applyBorder="1" applyAlignment="1">
      <alignment horizontal="left" vertical="center"/>
    </xf>
    <xf numFmtId="2" fontId="0" fillId="0" borderId="0" xfId="5" applyNumberFormat="1" applyFont="1" applyFill="1" applyBorder="1" applyAlignment="1">
      <alignment horizontal="right" vertical="center"/>
    </xf>
    <xf numFmtId="2" fontId="5" fillId="0" borderId="0" xfId="5" applyNumberFormat="1" applyFont="1" applyFill="1" applyBorder="1" applyAlignment="1">
      <alignment horizontal="left" vertical="center"/>
    </xf>
    <xf numFmtId="2" fontId="0" fillId="0" borderId="0" xfId="5" applyNumberFormat="1" applyFont="1" applyBorder="1" applyAlignment="1">
      <alignment vertical="center"/>
    </xf>
    <xf numFmtId="165" fontId="3" fillId="0" borderId="0" xfId="5" applyNumberFormat="1" applyFont="1" applyFill="1" applyBorder="1" applyAlignment="1">
      <alignment horizontal="right" vertical="center"/>
    </xf>
    <xf numFmtId="0" fontId="3" fillId="0" borderId="0" xfId="5" applyNumberFormat="1" applyFont="1" applyBorder="1" applyAlignment="1">
      <alignment vertical="center"/>
    </xf>
    <xf numFmtId="0" fontId="13" fillId="0" borderId="0" xfId="5" applyNumberFormat="1" applyFont="1" applyBorder="1" applyAlignment="1">
      <alignment vertical="center"/>
    </xf>
    <xf numFmtId="0" fontId="11" fillId="0" borderId="0" xfId="5" applyNumberFormat="1" applyFont="1" applyFill="1" applyBorder="1" applyAlignment="1">
      <alignment horizontal="center" vertical="center" wrapText="1"/>
    </xf>
    <xf numFmtId="10" fontId="11" fillId="0" borderId="0" xfId="5" applyNumberFormat="1" applyFont="1" applyFill="1" applyBorder="1" applyAlignment="1">
      <alignment horizontal="center" vertical="center"/>
    </xf>
    <xf numFmtId="0" fontId="5" fillId="0" borderId="0" xfId="6" applyFont="1" applyFill="1" applyAlignment="1">
      <alignment vertical="center"/>
    </xf>
    <xf numFmtId="0" fontId="5" fillId="0" borderId="0" xfId="6" applyFont="1" applyFill="1" applyBorder="1" applyAlignment="1">
      <alignment vertical="center"/>
    </xf>
    <xf numFmtId="9" fontId="5" fillId="0" borderId="0" xfId="6" applyNumberFormat="1" applyFont="1" applyFill="1" applyAlignment="1">
      <alignment vertical="center"/>
    </xf>
    <xf numFmtId="0" fontId="5" fillId="0" borderId="20" xfId="6" applyFont="1" applyFill="1" applyBorder="1" applyAlignment="1">
      <alignment vertical="center"/>
    </xf>
    <xf numFmtId="15" fontId="5" fillId="0" borderId="6" xfId="6" applyNumberFormat="1" applyFont="1" applyFill="1" applyBorder="1" applyAlignment="1">
      <alignment vertical="center"/>
    </xf>
    <xf numFmtId="0" fontId="5" fillId="0" borderId="21" xfId="6" applyFont="1" applyFill="1" applyBorder="1" applyAlignment="1">
      <alignment vertical="center"/>
    </xf>
    <xf numFmtId="15" fontId="5" fillId="0" borderId="7" xfId="6" applyNumberFormat="1" applyFont="1" applyFill="1" applyBorder="1" applyAlignment="1">
      <alignment vertical="center"/>
    </xf>
    <xf numFmtId="0" fontId="5" fillId="0" borderId="7" xfId="6" applyFont="1" applyFill="1" applyBorder="1" applyAlignment="1">
      <alignment vertical="center"/>
    </xf>
    <xf numFmtId="0" fontId="5" fillId="0" borderId="7" xfId="6" applyNumberFormat="1" applyFont="1" applyFill="1" applyBorder="1" applyAlignment="1">
      <alignment vertical="center"/>
    </xf>
    <xf numFmtId="0" fontId="5" fillId="0" borderId="21" xfId="6" applyNumberFormat="1" applyFont="1" applyFill="1" applyBorder="1" applyAlignment="1">
      <alignment vertical="center"/>
    </xf>
    <xf numFmtId="2" fontId="5" fillId="0" borderId="7" xfId="6" applyNumberFormat="1" applyFont="1" applyFill="1" applyBorder="1" applyAlignment="1">
      <alignment vertical="center"/>
    </xf>
    <xf numFmtId="0" fontId="5" fillId="0" borderId="22" xfId="6" applyNumberFormat="1" applyFont="1" applyFill="1" applyBorder="1" applyAlignment="1">
      <alignment vertical="center"/>
    </xf>
    <xf numFmtId="2" fontId="5" fillId="0" borderId="28" xfId="6" applyNumberFormat="1" applyFont="1" applyFill="1" applyBorder="1" applyAlignment="1">
      <alignment vertical="center"/>
    </xf>
    <xf numFmtId="2" fontId="5" fillId="0" borderId="10" xfId="6" applyNumberFormat="1" applyFont="1" applyFill="1" applyBorder="1" applyAlignment="1">
      <alignment vertical="center"/>
    </xf>
    <xf numFmtId="2" fontId="5" fillId="0" borderId="12" xfId="6" applyNumberFormat="1" applyFont="1" applyFill="1" applyBorder="1" applyAlignment="1">
      <alignment vertical="center"/>
    </xf>
    <xf numFmtId="2" fontId="5" fillId="0" borderId="29" xfId="6" applyNumberFormat="1" applyFont="1" applyFill="1" applyBorder="1" applyAlignment="1">
      <alignment vertical="center"/>
    </xf>
    <xf numFmtId="0" fontId="11" fillId="0" borderId="4" xfId="6" applyFont="1" applyFill="1" applyBorder="1" applyAlignment="1">
      <alignment vertical="center"/>
    </xf>
    <xf numFmtId="43" fontId="11" fillId="0" borderId="6" xfId="6" applyNumberFormat="1" applyFont="1" applyFill="1" applyBorder="1" applyAlignment="1">
      <alignment horizontal="center" vertical="center"/>
    </xf>
    <xf numFmtId="0" fontId="11" fillId="0" borderId="10" xfId="6" applyFont="1" applyFill="1" applyBorder="1" applyAlignment="1">
      <alignment vertical="center"/>
    </xf>
    <xf numFmtId="165" fontId="5" fillId="0" borderId="16" xfId="5" applyNumberFormat="1" applyFont="1" applyBorder="1" applyAlignment="1">
      <alignment horizontal="center" vertical="center"/>
    </xf>
    <xf numFmtId="15" fontId="5" fillId="0" borderId="46" xfId="6" applyNumberFormat="1" applyFont="1" applyFill="1" applyBorder="1" applyAlignment="1">
      <alignment vertical="center"/>
    </xf>
    <xf numFmtId="15" fontId="5" fillId="0" borderId="36" xfId="6" applyNumberFormat="1" applyFont="1" applyFill="1" applyBorder="1" applyAlignment="1">
      <alignment horizontal="center" vertical="center"/>
    </xf>
    <xf numFmtId="165" fontId="5" fillId="0" borderId="0" xfId="5" applyNumberFormat="1" applyFont="1" applyBorder="1" applyAlignment="1">
      <alignment horizontal="center" vertical="center"/>
    </xf>
    <xf numFmtId="15" fontId="5" fillId="0" borderId="0" xfId="6" applyNumberFormat="1" applyFont="1" applyFill="1" applyBorder="1" applyAlignment="1">
      <alignment vertical="center"/>
    </xf>
    <xf numFmtId="15" fontId="5" fillId="0" borderId="0" xfId="6" applyNumberFormat="1" applyFont="1" applyFill="1" applyBorder="1" applyAlignment="1">
      <alignment horizontal="center" vertical="center"/>
    </xf>
    <xf numFmtId="0" fontId="5" fillId="0" borderId="47" xfId="6" applyFont="1" applyFill="1" applyBorder="1" applyAlignment="1">
      <alignment vertical="center"/>
    </xf>
    <xf numFmtId="15" fontId="5" fillId="0" borderId="23" xfId="6" applyNumberFormat="1" applyFont="1" applyFill="1" applyBorder="1" applyAlignment="1">
      <alignment vertical="center"/>
    </xf>
    <xf numFmtId="15" fontId="5" fillId="0" borderId="4" xfId="6" applyNumberFormat="1" applyFont="1" applyFill="1" applyBorder="1" applyAlignment="1">
      <alignment vertical="center"/>
    </xf>
    <xf numFmtId="15" fontId="5" fillId="0" borderId="48" xfId="6" applyNumberFormat="1" applyFont="1" applyFill="1" applyBorder="1" applyAlignment="1">
      <alignment vertical="center"/>
    </xf>
    <xf numFmtId="0" fontId="5" fillId="0" borderId="48" xfId="6" applyFont="1" applyFill="1" applyBorder="1" applyAlignment="1">
      <alignment vertical="center"/>
    </xf>
    <xf numFmtId="0" fontId="5" fillId="0" borderId="48" xfId="6" applyNumberFormat="1" applyFont="1" applyFill="1" applyBorder="1" applyAlignment="1">
      <alignment vertical="center"/>
    </xf>
    <xf numFmtId="2" fontId="5" fillId="0" borderId="48" xfId="6" applyNumberFormat="1" applyFont="1" applyFill="1" applyBorder="1" applyAlignment="1">
      <alignment vertical="center"/>
    </xf>
    <xf numFmtId="43" fontId="5" fillId="0" borderId="7" xfId="6" applyNumberFormat="1" applyFont="1" applyFill="1" applyBorder="1" applyAlignment="1">
      <alignment vertical="center"/>
    </xf>
    <xf numFmtId="0" fontId="5" fillId="0" borderId="49" xfId="6" applyNumberFormat="1" applyFont="1" applyFill="1" applyBorder="1" applyAlignment="1">
      <alignment vertical="center"/>
    </xf>
    <xf numFmtId="165" fontId="0" fillId="0" borderId="0" xfId="188" applyNumberFormat="1" applyFont="1" applyFill="1" applyAlignment="1">
      <alignment vertical="center"/>
    </xf>
    <xf numFmtId="165" fontId="3" fillId="0" borderId="0" xfId="188" applyNumberFormat="1" applyFont="1" applyAlignment="1">
      <alignment vertical="center"/>
    </xf>
    <xf numFmtId="165" fontId="3" fillId="0" borderId="0" xfId="188" applyNumberFormat="1" applyFont="1" applyAlignment="1">
      <alignment horizontal="center" vertical="center"/>
    </xf>
    <xf numFmtId="165" fontId="0" fillId="0" borderId="0" xfId="188" applyNumberFormat="1" applyFont="1" applyAlignment="1">
      <alignment vertical="center"/>
    </xf>
    <xf numFmtId="2" fontId="0" fillId="0" borderId="0" xfId="188" applyNumberFormat="1" applyFont="1" applyAlignment="1">
      <alignment vertical="center"/>
    </xf>
    <xf numFmtId="10" fontId="0" fillId="0" borderId="0" xfId="188" applyNumberFormat="1" applyFont="1" applyAlignment="1">
      <alignment vertical="center"/>
    </xf>
    <xf numFmtId="166" fontId="0" fillId="0" borderId="0" xfId="188" applyNumberFormat="1" applyFont="1" applyBorder="1" applyAlignment="1">
      <alignment vertical="center"/>
    </xf>
    <xf numFmtId="9" fontId="4" fillId="0" borderId="0" xfId="2" applyFont="1" applyAlignment="1">
      <alignment vertical="center"/>
    </xf>
    <xf numFmtId="0" fontId="0" fillId="0" borderId="0" xfId="0" applyFont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10" fontId="11" fillId="0" borderId="15" xfId="2" applyNumberFormat="1" applyFont="1" applyFill="1" applyBorder="1" applyAlignment="1">
      <alignment vertical="center"/>
    </xf>
    <xf numFmtId="10" fontId="0" fillId="0" borderId="0" xfId="2" applyNumberFormat="1" applyFont="1" applyAlignment="1">
      <alignment vertical="center"/>
    </xf>
    <xf numFmtId="0" fontId="11" fillId="0" borderId="3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0" fontId="11" fillId="0" borderId="32" xfId="2" applyNumberFormat="1" applyFont="1" applyFill="1" applyBorder="1" applyAlignment="1">
      <alignment vertical="center"/>
    </xf>
    <xf numFmtId="0" fontId="11" fillId="0" borderId="25" xfId="0" applyFont="1" applyFill="1" applyBorder="1" applyAlignment="1">
      <alignment vertical="center"/>
    </xf>
    <xf numFmtId="0" fontId="11" fillId="0" borderId="26" xfId="0" applyFont="1" applyFill="1" applyBorder="1" applyAlignment="1">
      <alignment vertical="center"/>
    </xf>
    <xf numFmtId="10" fontId="11" fillId="0" borderId="27" xfId="2" applyNumberFormat="1" applyFont="1" applyFill="1" applyBorder="1" applyAlignment="1">
      <alignment vertical="center"/>
    </xf>
    <xf numFmtId="10" fontId="0" fillId="0" borderId="0" xfId="2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9" fontId="0" fillId="0" borderId="0" xfId="0" applyNumberFormat="1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9" fontId="11" fillId="0" borderId="35" xfId="2" applyNumberFormat="1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10" fontId="11" fillId="0" borderId="5" xfId="2" applyNumberFormat="1" applyFont="1" applyBorder="1" applyAlignment="1">
      <alignment vertical="center"/>
    </xf>
    <xf numFmtId="10" fontId="11" fillId="0" borderId="6" xfId="2" applyNumberFormat="1" applyFont="1" applyBorder="1" applyAlignment="1">
      <alignment vertical="center"/>
    </xf>
    <xf numFmtId="43" fontId="0" fillId="0" borderId="0" xfId="0" applyNumberFormat="1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10" fontId="11" fillId="0" borderId="8" xfId="2" applyNumberFormat="1" applyFont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10" fontId="11" fillId="0" borderId="8" xfId="2" applyNumberFormat="1" applyFont="1" applyFill="1" applyBorder="1" applyAlignment="1">
      <alignment vertical="center"/>
    </xf>
    <xf numFmtId="0" fontId="11" fillId="0" borderId="10" xfId="0" applyFont="1" applyFill="1" applyBorder="1" applyAlignment="1">
      <alignment vertical="center"/>
    </xf>
    <xf numFmtId="10" fontId="11" fillId="0" borderId="11" xfId="2" applyNumberFormat="1" applyFont="1" applyBorder="1" applyAlignment="1">
      <alignment vertical="center"/>
    </xf>
    <xf numFmtId="0" fontId="0" fillId="0" borderId="5" xfId="5" applyNumberFormat="1" applyFont="1" applyBorder="1" applyAlignment="1">
      <alignment vertical="center"/>
    </xf>
    <xf numFmtId="43" fontId="0" fillId="0" borderId="8" xfId="5" applyNumberFormat="1" applyFont="1" applyFill="1" applyBorder="1" applyAlignment="1">
      <alignment vertical="center"/>
    </xf>
    <xf numFmtId="10" fontId="11" fillId="0" borderId="12" xfId="2" applyNumberFormat="1" applyFont="1" applyBorder="1" applyAlignment="1">
      <alignment vertical="center"/>
    </xf>
    <xf numFmtId="43" fontId="0" fillId="0" borderId="0" xfId="5" applyNumberFormat="1" applyFont="1" applyFill="1" applyBorder="1" applyAlignment="1">
      <alignment vertical="center"/>
    </xf>
    <xf numFmtId="43" fontId="0" fillId="0" borderId="0" xfId="5" applyNumberFormat="1" applyFont="1" applyAlignment="1">
      <alignment vertical="center"/>
    </xf>
    <xf numFmtId="43" fontId="3" fillId="0" borderId="0" xfId="5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10" fontId="7" fillId="0" borderId="28" xfId="0" applyNumberFormat="1" applyFont="1" applyBorder="1" applyAlignment="1">
      <alignment horizontal="center" vertical="center" wrapText="1"/>
    </xf>
    <xf numFmtId="10" fontId="7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" fontId="12" fillId="0" borderId="0" xfId="0" applyNumberFormat="1" applyFont="1" applyFill="1" applyBorder="1" applyAlignment="1">
      <alignment vertical="center" wrapText="1"/>
    </xf>
    <xf numFmtId="43" fontId="11" fillId="0" borderId="12" xfId="6" applyNumberFormat="1" applyFont="1" applyFill="1" applyBorder="1" applyAlignment="1">
      <alignment horizontal="right" vertical="center"/>
    </xf>
    <xf numFmtId="0" fontId="11" fillId="0" borderId="7" xfId="6" applyFont="1" applyFill="1" applyBorder="1" applyAlignment="1">
      <alignment vertical="center"/>
    </xf>
    <xf numFmtId="9" fontId="11" fillId="0" borderId="9" xfId="6" applyNumberFormat="1" applyFont="1" applyFill="1" applyBorder="1" applyAlignment="1">
      <alignment horizontal="right" vertical="center"/>
    </xf>
    <xf numFmtId="0" fontId="11" fillId="0" borderId="0" xfId="6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10" fontId="7" fillId="0" borderId="29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54" xfId="5" applyNumberFormat="1" applyFont="1" applyFill="1" applyBorder="1" applyAlignment="1">
      <alignment vertical="center"/>
    </xf>
    <xf numFmtId="0" fontId="5" fillId="0" borderId="55" xfId="6" applyFont="1" applyFill="1" applyBorder="1" applyAlignment="1">
      <alignment vertical="center"/>
    </xf>
    <xf numFmtId="15" fontId="5" fillId="0" borderId="56" xfId="6" applyNumberFormat="1" applyFont="1" applyFill="1" applyBorder="1" applyAlignment="1">
      <alignment vertical="center"/>
    </xf>
    <xf numFmtId="15" fontId="5" fillId="0" borderId="55" xfId="6" applyNumberFormat="1" applyFont="1" applyFill="1" applyBorder="1" applyAlignment="1">
      <alignment vertical="center"/>
    </xf>
    <xf numFmtId="0" fontId="5" fillId="0" borderId="56" xfId="6" applyFont="1" applyFill="1" applyBorder="1" applyAlignment="1">
      <alignment vertical="center"/>
    </xf>
    <xf numFmtId="0" fontId="5" fillId="0" borderId="55" xfId="6" applyNumberFormat="1" applyFont="1" applyFill="1" applyBorder="1" applyAlignment="1">
      <alignment vertical="center"/>
    </xf>
    <xf numFmtId="0" fontId="5" fillId="0" borderId="56" xfId="6" applyNumberFormat="1" applyFont="1" applyFill="1" applyBorder="1" applyAlignment="1">
      <alignment vertical="center"/>
    </xf>
    <xf numFmtId="2" fontId="5" fillId="0" borderId="56" xfId="6" applyNumberFormat="1" applyFont="1" applyFill="1" applyBorder="1" applyAlignment="1">
      <alignment vertical="center"/>
    </xf>
    <xf numFmtId="43" fontId="5" fillId="0" borderId="56" xfId="6" applyNumberFormat="1" applyFont="1" applyFill="1" applyBorder="1" applyAlignment="1">
      <alignment vertical="center"/>
    </xf>
    <xf numFmtId="9" fontId="0" fillId="0" borderId="0" xfId="0" applyNumberFormat="1" applyFont="1" applyBorder="1" applyAlignment="1">
      <alignment vertical="center"/>
    </xf>
    <xf numFmtId="15" fontId="5" fillId="0" borderId="57" xfId="6" applyNumberFormat="1" applyFont="1" applyFill="1" applyBorder="1" applyAlignment="1">
      <alignment vertical="center"/>
    </xf>
    <xf numFmtId="0" fontId="5" fillId="0" borderId="57" xfId="6" applyFont="1" applyFill="1" applyBorder="1" applyAlignment="1">
      <alignment vertical="center"/>
    </xf>
    <xf numFmtId="0" fontId="5" fillId="0" borderId="57" xfId="6" applyNumberFormat="1" applyFont="1" applyFill="1" applyBorder="1" applyAlignment="1">
      <alignment vertical="center"/>
    </xf>
    <xf numFmtId="2" fontId="5" fillId="0" borderId="57" xfId="6" applyNumberFormat="1" applyFont="1" applyFill="1" applyBorder="1" applyAlignment="1">
      <alignment vertical="center"/>
    </xf>
    <xf numFmtId="43" fontId="5" fillId="0" borderId="57" xfId="6" applyNumberFormat="1" applyFont="1" applyFill="1" applyBorder="1" applyAlignment="1">
      <alignment vertical="center"/>
    </xf>
    <xf numFmtId="165" fontId="5" fillId="0" borderId="10" xfId="5" quotePrefix="1" applyNumberFormat="1" applyFont="1" applyFill="1" applyBorder="1" applyAlignment="1">
      <alignment horizontal="left" vertical="center"/>
    </xf>
    <xf numFmtId="165" fontId="5" fillId="0" borderId="54" xfId="5" applyNumberFormat="1" applyFont="1" applyFill="1" applyBorder="1" applyAlignment="1">
      <alignment vertical="center"/>
    </xf>
    <xf numFmtId="10" fontId="5" fillId="0" borderId="54" xfId="5" applyNumberFormat="1" applyFont="1" applyFill="1" applyBorder="1" applyAlignment="1">
      <alignment horizontal="center" vertical="center"/>
    </xf>
    <xf numFmtId="0" fontId="5" fillId="0" borderId="54" xfId="5" applyNumberFormat="1" applyFont="1" applyFill="1" applyBorder="1" applyAlignment="1">
      <alignment horizontal="center" vertical="center"/>
    </xf>
    <xf numFmtId="0" fontId="5" fillId="0" borderId="57" xfId="5" applyNumberFormat="1" applyFont="1" applyFill="1" applyBorder="1" applyAlignment="1">
      <alignment horizontal="center" vertical="center"/>
    </xf>
    <xf numFmtId="10" fontId="11" fillId="0" borderId="57" xfId="2" applyNumberFormat="1" applyFont="1" applyBorder="1" applyAlignment="1">
      <alignment vertical="center"/>
    </xf>
    <xf numFmtId="10" fontId="11" fillId="0" borderId="57" xfId="2" applyNumberFormat="1" applyFont="1" applyFill="1" applyBorder="1" applyAlignment="1">
      <alignment vertical="center"/>
    </xf>
    <xf numFmtId="165" fontId="2" fillId="2" borderId="0" xfId="5" applyNumberFormat="1" applyFont="1" applyFill="1" applyBorder="1" applyAlignment="1">
      <alignment horizontal="center" vertical="center" wrapText="1"/>
    </xf>
    <xf numFmtId="0" fontId="5" fillId="0" borderId="64" xfId="5" applyNumberFormat="1" applyFont="1" applyFill="1" applyBorder="1" applyAlignment="1">
      <alignment horizontal="left" vertical="center"/>
    </xf>
    <xf numFmtId="0" fontId="0" fillId="0" borderId="51" xfId="5" applyNumberFormat="1" applyFont="1" applyBorder="1" applyAlignment="1">
      <alignment vertical="center"/>
    </xf>
    <xf numFmtId="43" fontId="0" fillId="0" borderId="51" xfId="5" applyNumberFormat="1" applyFont="1" applyBorder="1" applyAlignment="1">
      <alignment vertical="center"/>
    </xf>
    <xf numFmtId="43" fontId="0" fillId="0" borderId="52" xfId="5" applyNumberFormat="1" applyFont="1" applyBorder="1" applyAlignment="1">
      <alignment vertical="center"/>
    </xf>
    <xf numFmtId="0" fontId="5" fillId="0" borderId="62" xfId="5" applyNumberFormat="1" applyFont="1" applyFill="1" applyBorder="1" applyAlignment="1">
      <alignment horizontal="right" vertical="center"/>
    </xf>
    <xf numFmtId="0" fontId="5" fillId="0" borderId="63" xfId="5" applyNumberFormat="1" applyFont="1" applyFill="1" applyBorder="1" applyAlignment="1">
      <alignment vertical="center"/>
    </xf>
    <xf numFmtId="10" fontId="5" fillId="0" borderId="63" xfId="2" applyNumberFormat="1" applyFont="1" applyFill="1" applyBorder="1" applyAlignment="1">
      <alignment horizontal="center" vertical="center"/>
    </xf>
    <xf numFmtId="164" fontId="5" fillId="0" borderId="63" xfId="1" applyNumberFormat="1" applyFont="1" applyFill="1" applyBorder="1" applyAlignment="1">
      <alignment horizontal="center" vertical="center"/>
    </xf>
    <xf numFmtId="164" fontId="5" fillId="0" borderId="53" xfId="1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vertical="center" wrapText="1"/>
    </xf>
    <xf numFmtId="0" fontId="5" fillId="0" borderId="7" xfId="4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/>
    </xf>
    <xf numFmtId="165" fontId="11" fillId="3" borderId="34" xfId="5" applyNumberFormat="1" applyFont="1" applyFill="1" applyBorder="1" applyAlignment="1">
      <alignment horizontal="center" vertical="center"/>
    </xf>
    <xf numFmtId="165" fontId="11" fillId="3" borderId="10" xfId="5" applyNumberFormat="1" applyFont="1" applyFill="1" applyBorder="1" applyAlignment="1">
      <alignment horizontal="center" vertical="center" wrapText="1"/>
    </xf>
    <xf numFmtId="165" fontId="11" fillId="3" borderId="4" xfId="5" applyNumberFormat="1" applyFont="1" applyFill="1" applyBorder="1" applyAlignment="1">
      <alignment horizontal="center" vertical="center" wrapText="1"/>
    </xf>
    <xf numFmtId="165" fontId="11" fillId="3" borderId="7" xfId="5" applyNumberFormat="1" applyFont="1" applyFill="1" applyBorder="1" applyAlignment="1">
      <alignment horizontal="center" vertical="center" wrapText="1"/>
    </xf>
    <xf numFmtId="165" fontId="11" fillId="3" borderId="16" xfId="5" applyNumberFormat="1" applyFont="1" applyFill="1" applyBorder="1" applyAlignment="1">
      <alignment horizontal="center" vertical="center" wrapText="1"/>
    </xf>
    <xf numFmtId="165" fontId="11" fillId="3" borderId="34" xfId="5" applyNumberFormat="1" applyFont="1" applyFill="1" applyBorder="1" applyAlignment="1">
      <alignment horizontal="center" vertical="center" wrapText="1"/>
    </xf>
    <xf numFmtId="0" fontId="11" fillId="3" borderId="36" xfId="5" applyNumberFormat="1" applyFont="1" applyFill="1" applyBorder="1" applyAlignment="1">
      <alignment horizontal="center" vertical="center" wrapText="1"/>
    </xf>
    <xf numFmtId="0" fontId="11" fillId="3" borderId="34" xfId="5" applyNumberFormat="1" applyFont="1" applyFill="1" applyBorder="1" applyAlignment="1">
      <alignment horizontal="center" vertical="center" wrapText="1"/>
    </xf>
    <xf numFmtId="0" fontId="11" fillId="3" borderId="16" xfId="5" applyNumberFormat="1" applyFont="1" applyFill="1" applyBorder="1" applyAlignment="1">
      <alignment horizontal="center" vertical="center" wrapText="1"/>
    </xf>
    <xf numFmtId="0" fontId="11" fillId="3" borderId="36" xfId="6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43" fontId="0" fillId="0" borderId="9" xfId="5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11" fillId="0" borderId="50" xfId="0" applyFont="1" applyBorder="1" applyAlignment="1">
      <alignment horizontal="center" vertical="center" wrapText="1"/>
    </xf>
    <xf numFmtId="10" fontId="5" fillId="0" borderId="9" xfId="5" applyNumberFormat="1" applyFont="1" applyFill="1" applyBorder="1" applyAlignment="1">
      <alignment horizontal="center" vertical="center"/>
    </xf>
    <xf numFmtId="165" fontId="3" fillId="0" borderId="20" xfId="5" applyNumberFormat="1" applyFont="1" applyBorder="1" applyAlignment="1">
      <alignment vertical="center"/>
    </xf>
    <xf numFmtId="170" fontId="5" fillId="0" borderId="52" xfId="1" applyNumberFormat="1" applyFont="1" applyFill="1" applyBorder="1" applyAlignment="1">
      <alignment horizontal="right" vertical="center"/>
    </xf>
    <xf numFmtId="165" fontId="0" fillId="0" borderId="22" xfId="5" applyNumberFormat="1" applyFont="1" applyBorder="1" applyAlignment="1">
      <alignment vertical="center"/>
    </xf>
    <xf numFmtId="169" fontId="5" fillId="0" borderId="12" xfId="1" applyNumberFormat="1" applyFont="1" applyFill="1" applyBorder="1" applyAlignment="1">
      <alignment horizontal="right" vertical="center"/>
    </xf>
    <xf numFmtId="169" fontId="5" fillId="0" borderId="0" xfId="1" applyNumberFormat="1" applyFont="1" applyFill="1" applyBorder="1" applyAlignment="1">
      <alignment horizontal="right" vertical="center"/>
    </xf>
    <xf numFmtId="165" fontId="3" fillId="3" borderId="34" xfId="5" applyNumberFormat="1" applyFont="1" applyFill="1" applyBorder="1" applyAlignment="1">
      <alignment horizontal="center" vertical="center"/>
    </xf>
    <xf numFmtId="2" fontId="3" fillId="0" borderId="0" xfId="5" applyNumberFormat="1" applyFont="1" applyAlignment="1">
      <alignment vertical="center"/>
    </xf>
    <xf numFmtId="0" fontId="11" fillId="0" borderId="4" xfId="5" applyNumberFormat="1" applyFont="1" applyFill="1" applyBorder="1" applyAlignment="1">
      <alignment vertical="center"/>
    </xf>
    <xf numFmtId="0" fontId="11" fillId="0" borderId="5" xfId="5" applyNumberFormat="1" applyFont="1" applyFill="1" applyBorder="1" applyAlignment="1">
      <alignment vertical="center"/>
    </xf>
    <xf numFmtId="169" fontId="0" fillId="0" borderId="5" xfId="5" applyNumberFormat="1" applyFont="1" applyBorder="1" applyAlignment="1">
      <alignment vertical="center"/>
    </xf>
    <xf numFmtId="169" fontId="0" fillId="0" borderId="6" xfId="5" applyNumberFormat="1" applyFont="1" applyBorder="1" applyAlignment="1">
      <alignment vertical="center"/>
    </xf>
    <xf numFmtId="0" fontId="5" fillId="0" borderId="65" xfId="5" applyNumberFormat="1" applyFont="1" applyFill="1" applyBorder="1" applyAlignment="1">
      <alignment vertical="center"/>
    </xf>
    <xf numFmtId="43" fontId="0" fillId="0" borderId="65" xfId="5" applyNumberFormat="1" applyFont="1" applyBorder="1" applyAlignment="1">
      <alignment vertical="center"/>
    </xf>
    <xf numFmtId="0" fontId="11" fillId="0" borderId="7" xfId="5" applyNumberFormat="1" applyFont="1" applyFill="1" applyBorder="1" applyAlignment="1">
      <alignment vertical="center"/>
    </xf>
    <xf numFmtId="0" fontId="11" fillId="0" borderId="65" xfId="5" applyNumberFormat="1" applyFont="1" applyFill="1" applyBorder="1" applyAlignment="1">
      <alignment vertical="center"/>
    </xf>
    <xf numFmtId="169" fontId="0" fillId="0" borderId="65" xfId="5" applyNumberFormat="1" applyFont="1" applyBorder="1" applyAlignment="1">
      <alignment vertical="center"/>
    </xf>
    <xf numFmtId="169" fontId="0" fillId="0" borderId="9" xfId="5" applyNumberFormat="1" applyFont="1" applyBorder="1" applyAlignment="1">
      <alignment vertical="center"/>
    </xf>
    <xf numFmtId="0" fontId="5" fillId="0" borderId="11" xfId="5" applyNumberFormat="1" applyFont="1" applyFill="1" applyBorder="1" applyAlignment="1">
      <alignment vertical="center"/>
    </xf>
    <xf numFmtId="165" fontId="3" fillId="0" borderId="0" xfId="5" applyNumberFormat="1" applyFont="1" applyFill="1" applyAlignment="1">
      <alignment vertical="center"/>
    </xf>
    <xf numFmtId="0" fontId="11" fillId="0" borderId="10" xfId="5" applyNumberFormat="1" applyFont="1" applyFill="1" applyBorder="1" applyAlignment="1">
      <alignment vertical="center"/>
    </xf>
    <xf numFmtId="0" fontId="11" fillId="0" borderId="11" xfId="5" applyNumberFormat="1" applyFont="1" applyFill="1" applyBorder="1" applyAlignment="1">
      <alignment vertical="center"/>
    </xf>
    <xf numFmtId="10" fontId="5" fillId="0" borderId="9" xfId="2" applyNumberFormat="1" applyFont="1" applyFill="1" applyBorder="1" applyAlignment="1">
      <alignment horizontal="center" vertical="center"/>
    </xf>
    <xf numFmtId="165" fontId="3" fillId="3" borderId="2" xfId="5" applyNumberFormat="1" applyFont="1" applyFill="1" applyBorder="1" applyAlignment="1">
      <alignment vertical="center"/>
    </xf>
    <xf numFmtId="0" fontId="11" fillId="3" borderId="1" xfId="5" applyNumberFormat="1" applyFont="1" applyFill="1" applyBorder="1" applyAlignment="1">
      <alignment horizontal="center" vertical="center" wrapText="1"/>
    </xf>
    <xf numFmtId="10" fontId="11" fillId="3" borderId="3" xfId="5" applyNumberFormat="1" applyFont="1" applyFill="1" applyBorder="1" applyAlignment="1">
      <alignment horizontal="center" vertical="center"/>
    </xf>
    <xf numFmtId="165" fontId="0" fillId="0" borderId="65" xfId="5" applyNumberFormat="1" applyFont="1" applyBorder="1" applyAlignment="1">
      <alignment vertical="center"/>
    </xf>
    <xf numFmtId="15" fontId="0" fillId="0" borderId="65" xfId="5" applyNumberFormat="1" applyFont="1" applyBorder="1" applyAlignment="1">
      <alignment horizontal="center" vertical="center"/>
    </xf>
    <xf numFmtId="165" fontId="5" fillId="0" borderId="7" xfId="5" applyNumberFormat="1" applyFont="1" applyBorder="1" applyAlignment="1">
      <alignment horizontal="center" vertical="center"/>
    </xf>
    <xf numFmtId="15" fontId="0" fillId="0" borderId="9" xfId="5" applyNumberFormat="1" applyFont="1" applyBorder="1" applyAlignment="1">
      <alignment horizontal="center" vertical="center"/>
    </xf>
    <xf numFmtId="165" fontId="0" fillId="0" borderId="4" xfId="5" applyNumberFormat="1" applyFont="1" applyBorder="1" applyAlignment="1">
      <alignment horizontal="center" vertical="center"/>
    </xf>
    <xf numFmtId="165" fontId="0" fillId="0" borderId="5" xfId="5" applyNumberFormat="1" applyFont="1" applyBorder="1" applyAlignment="1">
      <alignment horizontal="center" vertical="center"/>
    </xf>
    <xf numFmtId="165" fontId="0" fillId="0" borderId="6" xfId="5" applyNumberFormat="1" applyFont="1" applyBorder="1" applyAlignment="1">
      <alignment horizontal="center" vertical="center"/>
    </xf>
    <xf numFmtId="167" fontId="4" fillId="0" borderId="65" xfId="5" applyNumberFormat="1" applyFont="1" applyFill="1" applyBorder="1" applyAlignment="1">
      <alignment horizontal="center" vertical="center"/>
    </xf>
    <xf numFmtId="43" fontId="3" fillId="0" borderId="0" xfId="0" applyNumberFormat="1" applyFont="1" applyFill="1" applyAlignment="1">
      <alignment vertical="center"/>
    </xf>
    <xf numFmtId="165" fontId="0" fillId="0" borderId="21" xfId="5" applyNumberFormat="1" applyFont="1" applyBorder="1" applyAlignment="1">
      <alignment vertical="center"/>
    </xf>
    <xf numFmtId="10" fontId="5" fillId="0" borderId="9" xfId="1" applyNumberFormat="1" applyFont="1" applyFill="1" applyBorder="1" applyAlignment="1">
      <alignment horizontal="right" vertical="center"/>
    </xf>
    <xf numFmtId="10" fontId="0" fillId="0" borderId="9" xfId="5" applyNumberFormat="1" applyFont="1" applyBorder="1" applyAlignment="1">
      <alignment vertical="center"/>
    </xf>
    <xf numFmtId="164" fontId="5" fillId="0" borderId="9" xfId="1" applyNumberFormat="1" applyFont="1" applyFill="1" applyBorder="1" applyAlignment="1">
      <alignment horizontal="right" vertical="center"/>
    </xf>
    <xf numFmtId="169" fontId="5" fillId="0" borderId="9" xfId="1" applyNumberFormat="1" applyFont="1" applyFill="1" applyBorder="1" applyAlignment="1">
      <alignment horizontal="right" vertical="center"/>
    </xf>
    <xf numFmtId="0" fontId="5" fillId="0" borderId="7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43" fontId="5" fillId="0" borderId="8" xfId="6" applyNumberFormat="1" applyFont="1" applyFill="1" applyBorder="1" applyAlignment="1">
      <alignment vertical="center"/>
    </xf>
    <xf numFmtId="43" fontId="11" fillId="0" borderId="8" xfId="6" applyNumberFormat="1" applyFont="1" applyFill="1" applyBorder="1" applyAlignment="1">
      <alignment vertical="center"/>
    </xf>
    <xf numFmtId="0" fontId="11" fillId="3" borderId="34" xfId="6" applyFont="1" applyFill="1" applyBorder="1" applyAlignment="1">
      <alignment horizontal="center" vertical="center"/>
    </xf>
    <xf numFmtId="165" fontId="0" fillId="0" borderId="4" xfId="5" applyNumberFormat="1" applyFont="1" applyBorder="1" applyAlignment="1">
      <alignment vertical="center"/>
    </xf>
    <xf numFmtId="43" fontId="5" fillId="0" borderId="5" xfId="6" applyNumberFormat="1" applyFont="1" applyFill="1" applyBorder="1" applyAlignment="1">
      <alignment vertical="center"/>
    </xf>
    <xf numFmtId="43" fontId="5" fillId="0" borderId="6" xfId="6" applyNumberFormat="1" applyFont="1" applyFill="1" applyBorder="1" applyAlignment="1">
      <alignment vertical="center"/>
    </xf>
    <xf numFmtId="165" fontId="0" fillId="0" borderId="7" xfId="5" applyNumberFormat="1" applyFont="1" applyBorder="1" applyAlignment="1">
      <alignment vertical="center"/>
    </xf>
    <xf numFmtId="43" fontId="5" fillId="0" borderId="70" xfId="6" applyNumberFormat="1" applyFont="1" applyFill="1" applyBorder="1" applyAlignment="1">
      <alignment vertical="center"/>
    </xf>
    <xf numFmtId="165" fontId="3" fillId="0" borderId="7" xfId="5" applyNumberFormat="1" applyFont="1" applyBorder="1" applyAlignment="1">
      <alignment vertical="center"/>
    </xf>
    <xf numFmtId="43" fontId="11" fillId="0" borderId="70" xfId="6" applyNumberFormat="1" applyFont="1" applyFill="1" applyBorder="1" applyAlignment="1">
      <alignment vertical="center"/>
    </xf>
    <xf numFmtId="165" fontId="0" fillId="0" borderId="10" xfId="5" applyNumberFormat="1" applyFont="1" applyBorder="1" applyAlignment="1">
      <alignment vertical="center"/>
    </xf>
    <xf numFmtId="43" fontId="5" fillId="0" borderId="11" xfId="6" applyNumberFormat="1" applyFont="1" applyFill="1" applyBorder="1" applyAlignment="1">
      <alignment vertical="center"/>
    </xf>
    <xf numFmtId="43" fontId="5" fillId="0" borderId="12" xfId="6" applyNumberFormat="1" applyFont="1" applyFill="1" applyBorder="1" applyAlignment="1">
      <alignment vertical="center"/>
    </xf>
    <xf numFmtId="43" fontId="0" fillId="0" borderId="70" xfId="5" applyNumberFormat="1" applyFont="1" applyBorder="1" applyAlignment="1">
      <alignment vertical="center"/>
    </xf>
    <xf numFmtId="43" fontId="3" fillId="0" borderId="70" xfId="5" applyNumberFormat="1" applyFont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10" fontId="3" fillId="0" borderId="0" xfId="0" applyNumberFormat="1" applyFont="1" applyAlignment="1">
      <alignment vertical="center"/>
    </xf>
    <xf numFmtId="165" fontId="0" fillId="0" borderId="71" xfId="5" applyNumberFormat="1" applyFont="1" applyBorder="1" applyAlignment="1">
      <alignment vertical="center"/>
    </xf>
    <xf numFmtId="43" fontId="0" fillId="0" borderId="71" xfId="5" applyNumberFormat="1" applyFont="1" applyBorder="1" applyAlignment="1">
      <alignment vertical="center"/>
    </xf>
    <xf numFmtId="43" fontId="0" fillId="0" borderId="72" xfId="5" applyNumberFormat="1" applyFont="1" applyBorder="1" applyAlignment="1">
      <alignment vertical="center"/>
    </xf>
    <xf numFmtId="164" fontId="5" fillId="0" borderId="6" xfId="1" applyNumberFormat="1" applyFont="1" applyFill="1" applyBorder="1" applyAlignment="1">
      <alignment horizontal="right" vertical="center"/>
    </xf>
    <xf numFmtId="171" fontId="5" fillId="0" borderId="8" xfId="1" applyNumberFormat="1" applyFont="1" applyFill="1" applyBorder="1" applyAlignment="1">
      <alignment horizontal="right" vertical="center"/>
    </xf>
    <xf numFmtId="43" fontId="5" fillId="0" borderId="8" xfId="0" applyNumberFormat="1" applyFont="1" applyFill="1" applyBorder="1" applyAlignment="1">
      <alignment horizontal="center" vertical="center"/>
    </xf>
    <xf numFmtId="0" fontId="9" fillId="0" borderId="73" xfId="3" applyFill="1" applyBorder="1" applyAlignment="1" applyProtection="1">
      <alignment vertical="center" wrapText="1"/>
    </xf>
    <xf numFmtId="0" fontId="5" fillId="0" borderId="8" xfId="0" applyFont="1" applyFill="1" applyBorder="1" applyAlignment="1">
      <alignment horizontal="right" vertical="center"/>
    </xf>
    <xf numFmtId="165" fontId="5" fillId="0" borderId="8" xfId="1" applyNumberFormat="1" applyFont="1" applyFill="1" applyBorder="1" applyAlignment="1">
      <alignment horizontal="right" vertical="center"/>
    </xf>
    <xf numFmtId="164" fontId="5" fillId="0" borderId="8" xfId="1" applyNumberFormat="1" applyFont="1" applyFill="1" applyBorder="1" applyAlignment="1">
      <alignment horizontal="right" vertical="center"/>
    </xf>
    <xf numFmtId="0" fontId="9" fillId="0" borderId="70" xfId="3" applyFont="1" applyFill="1" applyBorder="1" applyAlignment="1" applyProtection="1">
      <alignment horizontal="left" vertical="center" wrapText="1"/>
    </xf>
    <xf numFmtId="0" fontId="5" fillId="3" borderId="8" xfId="0" applyFont="1" applyFill="1" applyBorder="1" applyAlignment="1">
      <alignment vertical="center"/>
    </xf>
    <xf numFmtId="10" fontId="5" fillId="0" borderId="8" xfId="2" applyNumberFormat="1" applyFont="1" applyFill="1" applyBorder="1" applyAlignment="1">
      <alignment horizontal="right" vertical="center"/>
    </xf>
    <xf numFmtId="0" fontId="9" fillId="0" borderId="70" xfId="3" applyFill="1" applyBorder="1" applyAlignment="1" applyProtection="1">
      <alignment horizontal="left" vertical="center" wrapText="1"/>
    </xf>
    <xf numFmtId="43" fontId="5" fillId="0" borderId="8" xfId="1" applyFont="1" applyFill="1" applyBorder="1" applyAlignment="1">
      <alignment horizontal="right" vertical="center"/>
    </xf>
    <xf numFmtId="43" fontId="5" fillId="0" borderId="8" xfId="1" applyNumberFormat="1" applyFont="1" applyFill="1" applyBorder="1" applyAlignment="1">
      <alignment horizontal="right" vertical="center"/>
    </xf>
    <xf numFmtId="43" fontId="5" fillId="0" borderId="8" xfId="0" applyNumberFormat="1" applyFont="1" applyFill="1" applyBorder="1" applyAlignment="1">
      <alignment horizontal="right" vertical="center"/>
    </xf>
    <xf numFmtId="10" fontId="5" fillId="0" borderId="8" xfId="1" applyNumberFormat="1" applyFont="1" applyFill="1" applyBorder="1" applyAlignment="1">
      <alignment horizontal="right" vertical="center"/>
    </xf>
    <xf numFmtId="170" fontId="5" fillId="0" borderId="8" xfId="1" applyNumberFormat="1" applyFont="1" applyFill="1" applyBorder="1" applyAlignment="1">
      <alignment horizontal="right" vertical="center"/>
    </xf>
    <xf numFmtId="43" fontId="5" fillId="0" borderId="8" xfId="1" applyFont="1" applyFill="1" applyBorder="1" applyAlignment="1">
      <alignment horizontal="center" vertical="center"/>
    </xf>
    <xf numFmtId="9" fontId="5" fillId="3" borderId="8" xfId="0" applyNumberFormat="1" applyFont="1" applyFill="1" applyBorder="1" applyAlignment="1">
      <alignment vertical="center" wrapText="1"/>
    </xf>
    <xf numFmtId="10" fontId="5" fillId="0" borderId="8" xfId="2" applyNumberFormat="1" applyFont="1" applyFill="1" applyBorder="1" applyAlignment="1">
      <alignment horizontal="right" vertical="center" wrapText="1"/>
    </xf>
    <xf numFmtId="10" fontId="5" fillId="0" borderId="8" xfId="0" applyNumberFormat="1" applyFont="1" applyFill="1" applyBorder="1" applyAlignment="1">
      <alignment horizontal="right" vertical="center"/>
    </xf>
    <xf numFmtId="10" fontId="5" fillId="0" borderId="11" xfId="0" applyNumberFormat="1" applyFont="1" applyFill="1" applyBorder="1" applyAlignment="1">
      <alignment horizontal="right" vertical="center"/>
    </xf>
    <xf numFmtId="10" fontId="5" fillId="0" borderId="65" xfId="2" applyNumberFormat="1" applyFont="1" applyFill="1" applyBorder="1" applyAlignment="1">
      <alignment horizontal="right" vertical="center"/>
    </xf>
    <xf numFmtId="0" fontId="5" fillId="0" borderId="65" xfId="0" applyFont="1" applyFill="1" applyBorder="1" applyAlignment="1">
      <alignment horizontal="left" vertical="center" wrapText="1"/>
    </xf>
    <xf numFmtId="0" fontId="36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10" fontId="0" fillId="0" borderId="32" xfId="0" applyNumberFormat="1" applyFont="1" applyBorder="1"/>
    <xf numFmtId="10" fontId="38" fillId="2" borderId="32" xfId="2" applyNumberFormat="1" applyFont="1" applyFill="1" applyBorder="1" applyAlignment="1">
      <alignment horizontal="right" wrapText="1"/>
    </xf>
    <xf numFmtId="0" fontId="9" fillId="0" borderId="0" xfId="3" applyAlignment="1" applyProtection="1"/>
    <xf numFmtId="0" fontId="39" fillId="27" borderId="20" xfId="0" applyFont="1" applyFill="1" applyBorder="1" applyAlignment="1">
      <alignment vertical="center"/>
    </xf>
    <xf numFmtId="0" fontId="39" fillId="27" borderId="77" xfId="0" applyFont="1" applyFill="1" applyBorder="1" applyAlignment="1">
      <alignment vertical="center"/>
    </xf>
    <xf numFmtId="10" fontId="40" fillId="0" borderId="6" xfId="0" applyNumberFormat="1" applyFont="1" applyBorder="1" applyAlignment="1">
      <alignment vertical="center"/>
    </xf>
    <xf numFmtId="0" fontId="40" fillId="0" borderId="21" xfId="0" applyFont="1" applyBorder="1" applyAlignment="1">
      <alignment vertical="center"/>
    </xf>
    <xf numFmtId="0" fontId="40" fillId="0" borderId="78" xfId="0" applyFont="1" applyBorder="1" applyAlignment="1">
      <alignment vertical="center"/>
    </xf>
    <xf numFmtId="0" fontId="40" fillId="0" borderId="70" xfId="0" applyFont="1" applyBorder="1" applyAlignment="1">
      <alignment vertical="center"/>
    </xf>
    <xf numFmtId="0" fontId="40" fillId="0" borderId="31" xfId="0" applyFont="1" applyBorder="1" applyAlignment="1">
      <alignment vertical="center"/>
    </xf>
    <xf numFmtId="0" fontId="41" fillId="0" borderId="21" xfId="0" applyFont="1" applyBorder="1" applyAlignment="1">
      <alignment vertical="center"/>
    </xf>
    <xf numFmtId="0" fontId="41" fillId="0" borderId="78" xfId="0" applyFont="1" applyBorder="1" applyAlignment="1">
      <alignment vertical="center"/>
    </xf>
    <xf numFmtId="10" fontId="3" fillId="0" borderId="70" xfId="2" applyNumberFormat="1" applyFont="1" applyBorder="1"/>
    <xf numFmtId="0" fontId="0" fillId="0" borderId="31" xfId="0" applyBorder="1"/>
    <xf numFmtId="0" fontId="0" fillId="0" borderId="0" xfId="0" applyBorder="1"/>
    <xf numFmtId="0" fontId="0" fillId="0" borderId="32" xfId="0" applyBorder="1"/>
    <xf numFmtId="0" fontId="0" fillId="0" borderId="1" xfId="0" applyBorder="1"/>
    <xf numFmtId="0" fontId="0" fillId="0" borderId="2" xfId="0" applyBorder="1"/>
    <xf numFmtId="10" fontId="0" fillId="0" borderId="3" xfId="0" applyNumberFormat="1" applyBorder="1"/>
    <xf numFmtId="172" fontId="40" fillId="0" borderId="70" xfId="0" applyNumberFormat="1" applyFont="1" applyFill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9" fillId="0" borderId="73" xfId="3" applyFill="1" applyBorder="1" applyAlignment="1" applyProtection="1">
      <alignment horizontal="left" vertical="center" wrapText="1"/>
    </xf>
    <xf numFmtId="0" fontId="9" fillId="0" borderId="74" xfId="3" applyFill="1" applyBorder="1" applyAlignment="1" applyProtection="1">
      <alignment horizontal="left" vertical="center" wrapText="1"/>
    </xf>
    <xf numFmtId="0" fontId="9" fillId="0" borderId="52" xfId="3" applyFill="1" applyBorder="1" applyAlignment="1" applyProtection="1">
      <alignment horizontal="left" vertical="center" wrapText="1"/>
    </xf>
    <xf numFmtId="0" fontId="5" fillId="0" borderId="75" xfId="0" applyFont="1" applyFill="1" applyBorder="1" applyAlignment="1">
      <alignment vertical="center" wrapText="1"/>
    </xf>
    <xf numFmtId="0" fontId="5" fillId="0" borderId="76" xfId="0" applyFont="1" applyFill="1" applyBorder="1" applyAlignment="1">
      <alignment vertical="center" wrapText="1"/>
    </xf>
    <xf numFmtId="0" fontId="5" fillId="0" borderId="51" xfId="0" applyFont="1" applyFill="1" applyBorder="1" applyAlignment="1">
      <alignment vertical="center" wrapText="1"/>
    </xf>
    <xf numFmtId="165" fontId="2" fillId="2" borderId="0" xfId="5" applyNumberFormat="1" applyFont="1" applyFill="1" applyBorder="1" applyAlignment="1">
      <alignment horizontal="center" vertical="center" wrapText="1"/>
    </xf>
    <xf numFmtId="165" fontId="2" fillId="2" borderId="33" xfId="5" applyNumberFormat="1" applyFont="1" applyFill="1" applyBorder="1" applyAlignment="1">
      <alignment horizontal="center" vertical="center" wrapText="1"/>
    </xf>
    <xf numFmtId="15" fontId="5" fillId="0" borderId="1" xfId="6" applyNumberFormat="1" applyFont="1" applyFill="1" applyBorder="1" applyAlignment="1">
      <alignment horizontal="center" vertical="center"/>
    </xf>
    <xf numFmtId="15" fontId="5" fillId="0" borderId="3" xfId="6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10" fontId="31" fillId="0" borderId="10" xfId="2" applyNumberFormat="1" applyFont="1" applyBorder="1" applyAlignment="1">
      <alignment horizontal="center" vertical="center"/>
    </xf>
    <xf numFmtId="10" fontId="31" fillId="0" borderId="11" xfId="2" applyNumberFormat="1" applyFont="1" applyBorder="1" applyAlignment="1">
      <alignment horizontal="center" vertical="center"/>
    </xf>
    <xf numFmtId="10" fontId="31" fillId="0" borderId="12" xfId="2" applyNumberFormat="1" applyFont="1" applyBorder="1" applyAlignment="1">
      <alignment horizontal="center" vertical="center"/>
    </xf>
    <xf numFmtId="0" fontId="3" fillId="27" borderId="13" xfId="0" quotePrefix="1" applyFont="1" applyFill="1" applyBorder="1" applyAlignment="1">
      <alignment horizontal="center" wrapText="1"/>
    </xf>
    <xf numFmtId="0" fontId="3" fillId="27" borderId="14" xfId="0" quotePrefix="1" applyFont="1" applyFill="1" applyBorder="1" applyAlignment="1">
      <alignment horizontal="center" wrapText="1"/>
    </xf>
    <xf numFmtId="0" fontId="3" fillId="27" borderId="15" xfId="0" quotePrefix="1" applyFont="1" applyFill="1" applyBorder="1" applyAlignment="1">
      <alignment horizontal="center" wrapText="1"/>
    </xf>
    <xf numFmtId="0" fontId="0" fillId="0" borderId="31" xfId="0" applyFont="1" applyBorder="1" applyAlignment="1"/>
    <xf numFmtId="0" fontId="0" fillId="0" borderId="0" xfId="0" applyFont="1" applyBorder="1" applyAlignment="1"/>
    <xf numFmtId="0" fontId="0" fillId="0" borderId="31" xfId="0" quotePrefix="1" applyFont="1" applyBorder="1" applyAlignment="1"/>
    <xf numFmtId="0" fontId="0" fillId="0" borderId="0" xfId="0" quotePrefix="1" applyFont="1" applyBorder="1" applyAlignment="1"/>
    <xf numFmtId="0" fontId="37" fillId="2" borderId="31" xfId="0" applyFont="1" applyFill="1" applyBorder="1" applyAlignment="1">
      <alignment horizontal="center" wrapText="1"/>
    </xf>
    <xf numFmtId="0" fontId="37" fillId="2" borderId="0" xfId="0" quotePrefix="1" applyFont="1" applyFill="1" applyBorder="1" applyAlignment="1">
      <alignment horizontal="center" wrapText="1"/>
    </xf>
  </cellXfs>
  <cellStyles count="1190">
    <cellStyle name="=C:\WINNT\SYSTEM32\COMMAND.COM" xfId="8"/>
    <cellStyle name="20% - Accent1 2 2" xfId="9"/>
    <cellStyle name="20% - Accent1 2 3" xfId="10"/>
    <cellStyle name="20% - Accent1 3 2" xfId="11"/>
    <cellStyle name="20% - Accent1 3 3" xfId="12"/>
    <cellStyle name="20% - Accent2 2 2" xfId="13"/>
    <cellStyle name="20% - Accent2 2 3" xfId="14"/>
    <cellStyle name="20% - Accent2 3 2" xfId="15"/>
    <cellStyle name="20% - Accent2 3 3" xfId="16"/>
    <cellStyle name="20% - Accent3 2 2" xfId="17"/>
    <cellStyle name="20% - Accent3 2 3" xfId="18"/>
    <cellStyle name="20% - Accent3 3 2" xfId="19"/>
    <cellStyle name="20% - Accent3 3 3" xfId="20"/>
    <cellStyle name="20% - Accent4 2 2" xfId="21"/>
    <cellStyle name="20% - Accent4 2 3" xfId="22"/>
    <cellStyle name="20% - Accent4 3 2" xfId="23"/>
    <cellStyle name="20% - Accent4 3 3" xfId="24"/>
    <cellStyle name="20% - Accent5 2 2" xfId="25"/>
    <cellStyle name="20% - Accent5 2 3" xfId="26"/>
    <cellStyle name="20% - Accent5 3 2" xfId="27"/>
    <cellStyle name="20% - Accent5 3 3" xfId="28"/>
    <cellStyle name="20% - Accent6 2 2" xfId="29"/>
    <cellStyle name="20% - Accent6 2 3" xfId="30"/>
    <cellStyle name="20% - Accent6 3 2" xfId="31"/>
    <cellStyle name="20% - Accent6 3 3" xfId="32"/>
    <cellStyle name="40% - Accent1 2 2" xfId="33"/>
    <cellStyle name="40% - Accent1 2 3" xfId="34"/>
    <cellStyle name="40% - Accent1 3 2" xfId="35"/>
    <cellStyle name="40% - Accent1 3 3" xfId="36"/>
    <cellStyle name="40% - Accent2 2 2" xfId="37"/>
    <cellStyle name="40% - Accent2 2 3" xfId="38"/>
    <cellStyle name="40% - Accent2 3 2" xfId="39"/>
    <cellStyle name="40% - Accent2 3 3" xfId="40"/>
    <cellStyle name="40% - Accent3 2 2" xfId="41"/>
    <cellStyle name="40% - Accent3 2 3" xfId="42"/>
    <cellStyle name="40% - Accent3 3 2" xfId="43"/>
    <cellStyle name="40% - Accent3 3 3" xfId="44"/>
    <cellStyle name="40% - Accent4 2 2" xfId="45"/>
    <cellStyle name="40% - Accent4 2 3" xfId="46"/>
    <cellStyle name="40% - Accent4 3 2" xfId="47"/>
    <cellStyle name="40% - Accent4 3 3" xfId="48"/>
    <cellStyle name="40% - Accent5 2 2" xfId="49"/>
    <cellStyle name="40% - Accent5 2 3" xfId="50"/>
    <cellStyle name="40% - Accent5 3 2" xfId="51"/>
    <cellStyle name="40% - Accent5 3 3" xfId="52"/>
    <cellStyle name="40% - Accent6 2 2" xfId="53"/>
    <cellStyle name="40% - Accent6 2 3" xfId="54"/>
    <cellStyle name="40% - Accent6 3 2" xfId="55"/>
    <cellStyle name="40% - Accent6 3 3" xfId="56"/>
    <cellStyle name="60% - Accent1 2 2" xfId="57"/>
    <cellStyle name="60% - Accent1 2 3" xfId="58"/>
    <cellStyle name="60% - Accent1 3 2" xfId="59"/>
    <cellStyle name="60% - Accent1 3 3" xfId="60"/>
    <cellStyle name="60% - Accent2 2 2" xfId="61"/>
    <cellStyle name="60% - Accent2 2 3" xfId="62"/>
    <cellStyle name="60% - Accent2 3 2" xfId="63"/>
    <cellStyle name="60% - Accent2 3 3" xfId="64"/>
    <cellStyle name="60% - Accent3 2 2" xfId="65"/>
    <cellStyle name="60% - Accent3 2 3" xfId="66"/>
    <cellStyle name="60% - Accent3 3 2" xfId="67"/>
    <cellStyle name="60% - Accent3 3 3" xfId="68"/>
    <cellStyle name="60% - Accent4 2 2" xfId="69"/>
    <cellStyle name="60% - Accent4 2 3" xfId="70"/>
    <cellStyle name="60% - Accent4 3 2" xfId="71"/>
    <cellStyle name="60% - Accent4 3 3" xfId="72"/>
    <cellStyle name="60% - Accent5 2 2" xfId="73"/>
    <cellStyle name="60% - Accent5 2 3" xfId="74"/>
    <cellStyle name="60% - Accent5 3 2" xfId="75"/>
    <cellStyle name="60% - Accent5 3 3" xfId="76"/>
    <cellStyle name="60% - Accent6 2 2" xfId="77"/>
    <cellStyle name="60% - Accent6 2 3" xfId="78"/>
    <cellStyle name="60% - Accent6 3 2" xfId="79"/>
    <cellStyle name="60% - Accent6 3 3" xfId="80"/>
    <cellStyle name="Accent1 2 2" xfId="81"/>
    <cellStyle name="Accent1 2 3" xfId="82"/>
    <cellStyle name="Accent1 3 2" xfId="83"/>
    <cellStyle name="Accent1 3 3" xfId="84"/>
    <cellStyle name="Accent2 2 2" xfId="85"/>
    <cellStyle name="Accent2 2 3" xfId="86"/>
    <cellStyle name="Accent2 3 2" xfId="87"/>
    <cellStyle name="Accent2 3 3" xfId="88"/>
    <cellStyle name="Accent3 2 2" xfId="89"/>
    <cellStyle name="Accent3 2 3" xfId="90"/>
    <cellStyle name="Accent3 3 2" xfId="91"/>
    <cellStyle name="Accent3 3 3" xfId="92"/>
    <cellStyle name="Accent4 2 2" xfId="93"/>
    <cellStyle name="Accent4 2 3" xfId="94"/>
    <cellStyle name="Accent4 3 2" xfId="95"/>
    <cellStyle name="Accent4 3 3" xfId="96"/>
    <cellStyle name="Accent5 2 2" xfId="97"/>
    <cellStyle name="Accent5 2 3" xfId="98"/>
    <cellStyle name="Accent5 3 2" xfId="99"/>
    <cellStyle name="Accent5 3 3" xfId="100"/>
    <cellStyle name="Accent6 2 2" xfId="101"/>
    <cellStyle name="Accent6 2 3" xfId="102"/>
    <cellStyle name="Accent6 3 2" xfId="103"/>
    <cellStyle name="Accent6 3 3" xfId="104"/>
    <cellStyle name="Bad 2 2" xfId="105"/>
    <cellStyle name="Bad 2 3" xfId="106"/>
    <cellStyle name="Bad 3 2" xfId="107"/>
    <cellStyle name="Bad 3 3" xfId="108"/>
    <cellStyle name="Calculation 2 2" xfId="109"/>
    <cellStyle name="Calculation 2 2 10" xfId="431"/>
    <cellStyle name="Calculation 2 2 11" xfId="432"/>
    <cellStyle name="Calculation 2 2 12" xfId="433"/>
    <cellStyle name="Calculation 2 2 13" xfId="434"/>
    <cellStyle name="Calculation 2 2 14" xfId="435"/>
    <cellStyle name="Calculation 2 2 15" xfId="436"/>
    <cellStyle name="Calculation 2 2 16" xfId="437"/>
    <cellStyle name="Calculation 2 2 17" xfId="438"/>
    <cellStyle name="Calculation 2 2 18" xfId="439"/>
    <cellStyle name="Calculation 2 2 19" xfId="440"/>
    <cellStyle name="Calculation 2 2 2" xfId="189"/>
    <cellStyle name="Calculation 2 2 2 10" xfId="442"/>
    <cellStyle name="Calculation 2 2 2 11" xfId="443"/>
    <cellStyle name="Calculation 2 2 2 12" xfId="444"/>
    <cellStyle name="Calculation 2 2 2 13" xfId="445"/>
    <cellStyle name="Calculation 2 2 2 14" xfId="446"/>
    <cellStyle name="Calculation 2 2 2 15" xfId="447"/>
    <cellStyle name="Calculation 2 2 2 16" xfId="448"/>
    <cellStyle name="Calculation 2 2 2 17" xfId="449"/>
    <cellStyle name="Calculation 2 2 2 18" xfId="450"/>
    <cellStyle name="Calculation 2 2 2 19" xfId="451"/>
    <cellStyle name="Calculation 2 2 2 2" xfId="244"/>
    <cellStyle name="Calculation 2 2 2 2 2" xfId="452"/>
    <cellStyle name="Calculation 2 2 2 20" xfId="441"/>
    <cellStyle name="Calculation 2 2 2 3" xfId="269"/>
    <cellStyle name="Calculation 2 2 2 3 2" xfId="453"/>
    <cellStyle name="Calculation 2 2 2 4" xfId="270"/>
    <cellStyle name="Calculation 2 2 2 4 2" xfId="454"/>
    <cellStyle name="Calculation 2 2 2 5" xfId="271"/>
    <cellStyle name="Calculation 2 2 2 5 2" xfId="455"/>
    <cellStyle name="Calculation 2 2 2 6" xfId="272"/>
    <cellStyle name="Calculation 2 2 2 6 2" xfId="456"/>
    <cellStyle name="Calculation 2 2 2 7" xfId="457"/>
    <cellStyle name="Calculation 2 2 2 8" xfId="458"/>
    <cellStyle name="Calculation 2 2 2 9" xfId="459"/>
    <cellStyle name="Calculation 2 2 20" xfId="460"/>
    <cellStyle name="Calculation 2 2 21" xfId="430"/>
    <cellStyle name="Calculation 2 2 3" xfId="221"/>
    <cellStyle name="Calculation 2 2 3 2" xfId="461"/>
    <cellStyle name="Calculation 2 2 4" xfId="273"/>
    <cellStyle name="Calculation 2 2 4 2" xfId="462"/>
    <cellStyle name="Calculation 2 2 5" xfId="274"/>
    <cellStyle name="Calculation 2 2 5 2" xfId="463"/>
    <cellStyle name="Calculation 2 2 6" xfId="275"/>
    <cellStyle name="Calculation 2 2 6 2" xfId="464"/>
    <cellStyle name="Calculation 2 2 7" xfId="276"/>
    <cellStyle name="Calculation 2 2 7 2" xfId="465"/>
    <cellStyle name="Calculation 2 2 8" xfId="466"/>
    <cellStyle name="Calculation 2 2 9" xfId="467"/>
    <cellStyle name="Calculation 2 3" xfId="110"/>
    <cellStyle name="Calculation 2 3 10" xfId="469"/>
    <cellStyle name="Calculation 2 3 11" xfId="470"/>
    <cellStyle name="Calculation 2 3 12" xfId="471"/>
    <cellStyle name="Calculation 2 3 13" xfId="472"/>
    <cellStyle name="Calculation 2 3 14" xfId="473"/>
    <cellStyle name="Calculation 2 3 15" xfId="474"/>
    <cellStyle name="Calculation 2 3 16" xfId="475"/>
    <cellStyle name="Calculation 2 3 17" xfId="476"/>
    <cellStyle name="Calculation 2 3 18" xfId="477"/>
    <cellStyle name="Calculation 2 3 19" xfId="478"/>
    <cellStyle name="Calculation 2 3 2" xfId="190"/>
    <cellStyle name="Calculation 2 3 2 10" xfId="480"/>
    <cellStyle name="Calculation 2 3 2 11" xfId="481"/>
    <cellStyle name="Calculation 2 3 2 12" xfId="482"/>
    <cellStyle name="Calculation 2 3 2 13" xfId="483"/>
    <cellStyle name="Calculation 2 3 2 14" xfId="484"/>
    <cellStyle name="Calculation 2 3 2 15" xfId="485"/>
    <cellStyle name="Calculation 2 3 2 16" xfId="486"/>
    <cellStyle name="Calculation 2 3 2 17" xfId="487"/>
    <cellStyle name="Calculation 2 3 2 18" xfId="488"/>
    <cellStyle name="Calculation 2 3 2 19" xfId="489"/>
    <cellStyle name="Calculation 2 3 2 2" xfId="245"/>
    <cellStyle name="Calculation 2 3 2 2 2" xfId="490"/>
    <cellStyle name="Calculation 2 3 2 20" xfId="479"/>
    <cellStyle name="Calculation 2 3 2 3" xfId="277"/>
    <cellStyle name="Calculation 2 3 2 3 2" xfId="491"/>
    <cellStyle name="Calculation 2 3 2 4" xfId="278"/>
    <cellStyle name="Calculation 2 3 2 4 2" xfId="492"/>
    <cellStyle name="Calculation 2 3 2 5" xfId="279"/>
    <cellStyle name="Calculation 2 3 2 5 2" xfId="493"/>
    <cellStyle name="Calculation 2 3 2 6" xfId="280"/>
    <cellStyle name="Calculation 2 3 2 6 2" xfId="494"/>
    <cellStyle name="Calculation 2 3 2 7" xfId="495"/>
    <cellStyle name="Calculation 2 3 2 8" xfId="496"/>
    <cellStyle name="Calculation 2 3 2 9" xfId="497"/>
    <cellStyle name="Calculation 2 3 20" xfId="498"/>
    <cellStyle name="Calculation 2 3 21" xfId="468"/>
    <cellStyle name="Calculation 2 3 3" xfId="222"/>
    <cellStyle name="Calculation 2 3 3 2" xfId="499"/>
    <cellStyle name="Calculation 2 3 4" xfId="281"/>
    <cellStyle name="Calculation 2 3 4 2" xfId="500"/>
    <cellStyle name="Calculation 2 3 5" xfId="282"/>
    <cellStyle name="Calculation 2 3 5 2" xfId="501"/>
    <cellStyle name="Calculation 2 3 6" xfId="283"/>
    <cellStyle name="Calculation 2 3 6 2" xfId="502"/>
    <cellStyle name="Calculation 2 3 7" xfId="284"/>
    <cellStyle name="Calculation 2 3 7 2" xfId="503"/>
    <cellStyle name="Calculation 2 3 8" xfId="504"/>
    <cellStyle name="Calculation 2 3 9" xfId="505"/>
    <cellStyle name="Calculation 3 2" xfId="111"/>
    <cellStyle name="Calculation 3 2 10" xfId="507"/>
    <cellStyle name="Calculation 3 2 11" xfId="508"/>
    <cellStyle name="Calculation 3 2 12" xfId="509"/>
    <cellStyle name="Calculation 3 2 13" xfId="510"/>
    <cellStyle name="Calculation 3 2 14" xfId="511"/>
    <cellStyle name="Calculation 3 2 15" xfId="512"/>
    <cellStyle name="Calculation 3 2 16" xfId="513"/>
    <cellStyle name="Calculation 3 2 17" xfId="514"/>
    <cellStyle name="Calculation 3 2 18" xfId="515"/>
    <cellStyle name="Calculation 3 2 19" xfId="516"/>
    <cellStyle name="Calculation 3 2 2" xfId="191"/>
    <cellStyle name="Calculation 3 2 2 10" xfId="518"/>
    <cellStyle name="Calculation 3 2 2 11" xfId="519"/>
    <cellStyle name="Calculation 3 2 2 12" xfId="520"/>
    <cellStyle name="Calculation 3 2 2 13" xfId="521"/>
    <cellStyle name="Calculation 3 2 2 14" xfId="522"/>
    <cellStyle name="Calculation 3 2 2 15" xfId="523"/>
    <cellStyle name="Calculation 3 2 2 16" xfId="524"/>
    <cellStyle name="Calculation 3 2 2 17" xfId="525"/>
    <cellStyle name="Calculation 3 2 2 18" xfId="526"/>
    <cellStyle name="Calculation 3 2 2 19" xfId="527"/>
    <cellStyle name="Calculation 3 2 2 2" xfId="246"/>
    <cellStyle name="Calculation 3 2 2 2 2" xfId="528"/>
    <cellStyle name="Calculation 3 2 2 20" xfId="517"/>
    <cellStyle name="Calculation 3 2 2 3" xfId="285"/>
    <cellStyle name="Calculation 3 2 2 3 2" xfId="529"/>
    <cellStyle name="Calculation 3 2 2 4" xfId="286"/>
    <cellStyle name="Calculation 3 2 2 4 2" xfId="530"/>
    <cellStyle name="Calculation 3 2 2 5" xfId="287"/>
    <cellStyle name="Calculation 3 2 2 5 2" xfId="531"/>
    <cellStyle name="Calculation 3 2 2 6" xfId="288"/>
    <cellStyle name="Calculation 3 2 2 6 2" xfId="532"/>
    <cellStyle name="Calculation 3 2 2 7" xfId="533"/>
    <cellStyle name="Calculation 3 2 2 8" xfId="534"/>
    <cellStyle name="Calculation 3 2 2 9" xfId="535"/>
    <cellStyle name="Calculation 3 2 20" xfId="536"/>
    <cellStyle name="Calculation 3 2 21" xfId="506"/>
    <cellStyle name="Calculation 3 2 3" xfId="223"/>
    <cellStyle name="Calculation 3 2 3 2" xfId="537"/>
    <cellStyle name="Calculation 3 2 4" xfId="289"/>
    <cellStyle name="Calculation 3 2 4 2" xfId="538"/>
    <cellStyle name="Calculation 3 2 5" xfId="290"/>
    <cellStyle name="Calculation 3 2 5 2" xfId="539"/>
    <cellStyle name="Calculation 3 2 6" xfId="291"/>
    <cellStyle name="Calculation 3 2 6 2" xfId="540"/>
    <cellStyle name="Calculation 3 2 7" xfId="292"/>
    <cellStyle name="Calculation 3 2 7 2" xfId="541"/>
    <cellStyle name="Calculation 3 2 8" xfId="542"/>
    <cellStyle name="Calculation 3 2 9" xfId="543"/>
    <cellStyle name="Calculation 3 3" xfId="112"/>
    <cellStyle name="Calculation 3 3 10" xfId="545"/>
    <cellStyle name="Calculation 3 3 11" xfId="546"/>
    <cellStyle name="Calculation 3 3 12" xfId="547"/>
    <cellStyle name="Calculation 3 3 13" xfId="548"/>
    <cellStyle name="Calculation 3 3 14" xfId="549"/>
    <cellStyle name="Calculation 3 3 15" xfId="550"/>
    <cellStyle name="Calculation 3 3 16" xfId="551"/>
    <cellStyle name="Calculation 3 3 17" xfId="552"/>
    <cellStyle name="Calculation 3 3 18" xfId="553"/>
    <cellStyle name="Calculation 3 3 19" xfId="554"/>
    <cellStyle name="Calculation 3 3 2" xfId="192"/>
    <cellStyle name="Calculation 3 3 2 10" xfId="556"/>
    <cellStyle name="Calculation 3 3 2 11" xfId="557"/>
    <cellStyle name="Calculation 3 3 2 12" xfId="558"/>
    <cellStyle name="Calculation 3 3 2 13" xfId="559"/>
    <cellStyle name="Calculation 3 3 2 14" xfId="560"/>
    <cellStyle name="Calculation 3 3 2 15" xfId="561"/>
    <cellStyle name="Calculation 3 3 2 16" xfId="562"/>
    <cellStyle name="Calculation 3 3 2 17" xfId="563"/>
    <cellStyle name="Calculation 3 3 2 18" xfId="564"/>
    <cellStyle name="Calculation 3 3 2 19" xfId="565"/>
    <cellStyle name="Calculation 3 3 2 2" xfId="247"/>
    <cellStyle name="Calculation 3 3 2 2 2" xfId="566"/>
    <cellStyle name="Calculation 3 3 2 20" xfId="555"/>
    <cellStyle name="Calculation 3 3 2 3" xfId="293"/>
    <cellStyle name="Calculation 3 3 2 3 2" xfId="567"/>
    <cellStyle name="Calculation 3 3 2 4" xfId="294"/>
    <cellStyle name="Calculation 3 3 2 4 2" xfId="568"/>
    <cellStyle name="Calculation 3 3 2 5" xfId="295"/>
    <cellStyle name="Calculation 3 3 2 5 2" xfId="569"/>
    <cellStyle name="Calculation 3 3 2 6" xfId="296"/>
    <cellStyle name="Calculation 3 3 2 6 2" xfId="570"/>
    <cellStyle name="Calculation 3 3 2 7" xfId="571"/>
    <cellStyle name="Calculation 3 3 2 8" xfId="572"/>
    <cellStyle name="Calculation 3 3 2 9" xfId="573"/>
    <cellStyle name="Calculation 3 3 20" xfId="574"/>
    <cellStyle name="Calculation 3 3 21" xfId="544"/>
    <cellStyle name="Calculation 3 3 3" xfId="224"/>
    <cellStyle name="Calculation 3 3 3 2" xfId="575"/>
    <cellStyle name="Calculation 3 3 4" xfId="297"/>
    <cellStyle name="Calculation 3 3 4 2" xfId="576"/>
    <cellStyle name="Calculation 3 3 5" xfId="298"/>
    <cellStyle name="Calculation 3 3 5 2" xfId="577"/>
    <cellStyle name="Calculation 3 3 6" xfId="299"/>
    <cellStyle name="Calculation 3 3 6 2" xfId="578"/>
    <cellStyle name="Calculation 3 3 7" xfId="300"/>
    <cellStyle name="Calculation 3 3 7 2" xfId="579"/>
    <cellStyle name="Calculation 3 3 8" xfId="580"/>
    <cellStyle name="Calculation 3 3 9" xfId="581"/>
    <cellStyle name="Check Cell 2 2" xfId="113"/>
    <cellStyle name="Check Cell 2 3" xfId="114"/>
    <cellStyle name="Check Cell 3 2" xfId="115"/>
    <cellStyle name="Check Cell 3 3" xfId="116"/>
    <cellStyle name="Comma" xfId="1" builtinId="3"/>
    <cellStyle name="Comma 2" xfId="117"/>
    <cellStyle name="Comma 2 2" xfId="118"/>
    <cellStyle name="Comma 2 3" xfId="119"/>
    <cellStyle name="Comma 3" xfId="210"/>
    <cellStyle name="Comma 3 2" xfId="242"/>
    <cellStyle name="Comma 3 3" xfId="266"/>
    <cellStyle name="Comma 4" xfId="212"/>
    <cellStyle name="Comma 5" xfId="213"/>
    <cellStyle name="Comma 6" xfId="214"/>
    <cellStyle name="Explanatory Text 2 2" xfId="120"/>
    <cellStyle name="Explanatory Text 2 3" xfId="121"/>
    <cellStyle name="Explanatory Text 3 2" xfId="122"/>
    <cellStyle name="Explanatory Text 3 3" xfId="123"/>
    <cellStyle name="Good 2 2" xfId="124"/>
    <cellStyle name="Good 2 3" xfId="125"/>
    <cellStyle name="Good 3 2" xfId="126"/>
    <cellStyle name="Good 3 3" xfId="127"/>
    <cellStyle name="Heading 1 2 2" xfId="128"/>
    <cellStyle name="Heading 1 2 3" xfId="129"/>
    <cellStyle name="Heading 1 3 2" xfId="130"/>
    <cellStyle name="Heading 1 3 3" xfId="131"/>
    <cellStyle name="Heading 2 2 2" xfId="132"/>
    <cellStyle name="Heading 2 2 3" xfId="133"/>
    <cellStyle name="Heading 2 3 2" xfId="134"/>
    <cellStyle name="Heading 2 3 3" xfId="135"/>
    <cellStyle name="Heading 3 2 2" xfId="136"/>
    <cellStyle name="Heading 3 2 3" xfId="137"/>
    <cellStyle name="Heading 3 3 2" xfId="138"/>
    <cellStyle name="Heading 3 3 3" xfId="139"/>
    <cellStyle name="Heading 4 2 2" xfId="140"/>
    <cellStyle name="Heading 4 2 3" xfId="141"/>
    <cellStyle name="Heading 4 3 2" xfId="142"/>
    <cellStyle name="Heading 4 3 3" xfId="143"/>
    <cellStyle name="Hyperlink" xfId="3" builtinId="8"/>
    <cellStyle name="Hyperlink 2" xfId="144"/>
    <cellStyle name="Hyperlink 3" xfId="145"/>
    <cellStyle name="Hyperlink 4" xfId="146"/>
    <cellStyle name="Hyperlink 5" xfId="147"/>
    <cellStyle name="Hyperlink 6" xfId="211"/>
    <cellStyle name="Hyperlink 6 2" xfId="243"/>
    <cellStyle name="Hyperlink 6 2 2" xfId="265"/>
    <cellStyle name="Hyperlink 6 3" xfId="429"/>
    <cellStyle name="Hyperlink 7" xfId="219"/>
    <cellStyle name="Input 2 2" xfId="148"/>
    <cellStyle name="Input 2 2 10" xfId="583"/>
    <cellStyle name="Input 2 2 11" xfId="584"/>
    <cellStyle name="Input 2 2 12" xfId="585"/>
    <cellStyle name="Input 2 2 13" xfId="586"/>
    <cellStyle name="Input 2 2 14" xfId="587"/>
    <cellStyle name="Input 2 2 15" xfId="588"/>
    <cellStyle name="Input 2 2 16" xfId="589"/>
    <cellStyle name="Input 2 2 17" xfId="590"/>
    <cellStyle name="Input 2 2 18" xfId="591"/>
    <cellStyle name="Input 2 2 19" xfId="592"/>
    <cellStyle name="Input 2 2 2" xfId="193"/>
    <cellStyle name="Input 2 2 2 10" xfId="594"/>
    <cellStyle name="Input 2 2 2 11" xfId="595"/>
    <cellStyle name="Input 2 2 2 12" xfId="596"/>
    <cellStyle name="Input 2 2 2 13" xfId="597"/>
    <cellStyle name="Input 2 2 2 14" xfId="598"/>
    <cellStyle name="Input 2 2 2 15" xfId="599"/>
    <cellStyle name="Input 2 2 2 16" xfId="600"/>
    <cellStyle name="Input 2 2 2 17" xfId="601"/>
    <cellStyle name="Input 2 2 2 18" xfId="602"/>
    <cellStyle name="Input 2 2 2 19" xfId="603"/>
    <cellStyle name="Input 2 2 2 2" xfId="248"/>
    <cellStyle name="Input 2 2 2 2 2" xfId="604"/>
    <cellStyle name="Input 2 2 2 20" xfId="593"/>
    <cellStyle name="Input 2 2 2 3" xfId="301"/>
    <cellStyle name="Input 2 2 2 3 2" xfId="605"/>
    <cellStyle name="Input 2 2 2 4" xfId="302"/>
    <cellStyle name="Input 2 2 2 4 2" xfId="606"/>
    <cellStyle name="Input 2 2 2 5" xfId="303"/>
    <cellStyle name="Input 2 2 2 5 2" xfId="607"/>
    <cellStyle name="Input 2 2 2 6" xfId="304"/>
    <cellStyle name="Input 2 2 2 6 2" xfId="608"/>
    <cellStyle name="Input 2 2 2 7" xfId="609"/>
    <cellStyle name="Input 2 2 2 8" xfId="610"/>
    <cellStyle name="Input 2 2 2 9" xfId="611"/>
    <cellStyle name="Input 2 2 20" xfId="612"/>
    <cellStyle name="Input 2 2 21" xfId="582"/>
    <cellStyle name="Input 2 2 3" xfId="225"/>
    <cellStyle name="Input 2 2 3 2" xfId="613"/>
    <cellStyle name="Input 2 2 4" xfId="305"/>
    <cellStyle name="Input 2 2 4 2" xfId="614"/>
    <cellStyle name="Input 2 2 5" xfId="306"/>
    <cellStyle name="Input 2 2 5 2" xfId="615"/>
    <cellStyle name="Input 2 2 6" xfId="307"/>
    <cellStyle name="Input 2 2 6 2" xfId="616"/>
    <cellStyle name="Input 2 2 7" xfId="308"/>
    <cellStyle name="Input 2 2 7 2" xfId="617"/>
    <cellStyle name="Input 2 2 8" xfId="618"/>
    <cellStyle name="Input 2 2 9" xfId="619"/>
    <cellStyle name="Input 2 3" xfId="149"/>
    <cellStyle name="Input 2 3 10" xfId="621"/>
    <cellStyle name="Input 2 3 11" xfId="622"/>
    <cellStyle name="Input 2 3 12" xfId="623"/>
    <cellStyle name="Input 2 3 13" xfId="624"/>
    <cellStyle name="Input 2 3 14" xfId="625"/>
    <cellStyle name="Input 2 3 15" xfId="626"/>
    <cellStyle name="Input 2 3 16" xfId="627"/>
    <cellStyle name="Input 2 3 17" xfId="628"/>
    <cellStyle name="Input 2 3 18" xfId="629"/>
    <cellStyle name="Input 2 3 19" xfId="630"/>
    <cellStyle name="Input 2 3 2" xfId="194"/>
    <cellStyle name="Input 2 3 2 10" xfId="632"/>
    <cellStyle name="Input 2 3 2 11" xfId="633"/>
    <cellStyle name="Input 2 3 2 12" xfId="634"/>
    <cellStyle name="Input 2 3 2 13" xfId="635"/>
    <cellStyle name="Input 2 3 2 14" xfId="636"/>
    <cellStyle name="Input 2 3 2 15" xfId="637"/>
    <cellStyle name="Input 2 3 2 16" xfId="638"/>
    <cellStyle name="Input 2 3 2 17" xfId="639"/>
    <cellStyle name="Input 2 3 2 18" xfId="640"/>
    <cellStyle name="Input 2 3 2 19" xfId="641"/>
    <cellStyle name="Input 2 3 2 2" xfId="249"/>
    <cellStyle name="Input 2 3 2 2 2" xfId="642"/>
    <cellStyle name="Input 2 3 2 20" xfId="631"/>
    <cellStyle name="Input 2 3 2 3" xfId="309"/>
    <cellStyle name="Input 2 3 2 3 2" xfId="643"/>
    <cellStyle name="Input 2 3 2 4" xfId="310"/>
    <cellStyle name="Input 2 3 2 4 2" xfId="644"/>
    <cellStyle name="Input 2 3 2 5" xfId="311"/>
    <cellStyle name="Input 2 3 2 5 2" xfId="645"/>
    <cellStyle name="Input 2 3 2 6" xfId="312"/>
    <cellStyle name="Input 2 3 2 6 2" xfId="646"/>
    <cellStyle name="Input 2 3 2 7" xfId="647"/>
    <cellStyle name="Input 2 3 2 8" xfId="648"/>
    <cellStyle name="Input 2 3 2 9" xfId="649"/>
    <cellStyle name="Input 2 3 20" xfId="650"/>
    <cellStyle name="Input 2 3 21" xfId="620"/>
    <cellStyle name="Input 2 3 3" xfId="226"/>
    <cellStyle name="Input 2 3 3 2" xfId="651"/>
    <cellStyle name="Input 2 3 4" xfId="313"/>
    <cellStyle name="Input 2 3 4 2" xfId="652"/>
    <cellStyle name="Input 2 3 5" xfId="314"/>
    <cellStyle name="Input 2 3 5 2" xfId="653"/>
    <cellStyle name="Input 2 3 6" xfId="315"/>
    <cellStyle name="Input 2 3 6 2" xfId="654"/>
    <cellStyle name="Input 2 3 7" xfId="316"/>
    <cellStyle name="Input 2 3 7 2" xfId="655"/>
    <cellStyle name="Input 2 3 8" xfId="656"/>
    <cellStyle name="Input 2 3 9" xfId="657"/>
    <cellStyle name="Input 3 2" xfId="150"/>
    <cellStyle name="Input 3 2 10" xfId="659"/>
    <cellStyle name="Input 3 2 11" xfId="660"/>
    <cellStyle name="Input 3 2 12" xfId="661"/>
    <cellStyle name="Input 3 2 13" xfId="662"/>
    <cellStyle name="Input 3 2 14" xfId="663"/>
    <cellStyle name="Input 3 2 15" xfId="664"/>
    <cellStyle name="Input 3 2 16" xfId="665"/>
    <cellStyle name="Input 3 2 17" xfId="666"/>
    <cellStyle name="Input 3 2 18" xfId="667"/>
    <cellStyle name="Input 3 2 19" xfId="668"/>
    <cellStyle name="Input 3 2 2" xfId="195"/>
    <cellStyle name="Input 3 2 2 10" xfId="670"/>
    <cellStyle name="Input 3 2 2 11" xfId="671"/>
    <cellStyle name="Input 3 2 2 12" xfId="672"/>
    <cellStyle name="Input 3 2 2 13" xfId="673"/>
    <cellStyle name="Input 3 2 2 14" xfId="674"/>
    <cellStyle name="Input 3 2 2 15" xfId="675"/>
    <cellStyle name="Input 3 2 2 16" xfId="676"/>
    <cellStyle name="Input 3 2 2 17" xfId="677"/>
    <cellStyle name="Input 3 2 2 18" xfId="678"/>
    <cellStyle name="Input 3 2 2 19" xfId="679"/>
    <cellStyle name="Input 3 2 2 2" xfId="250"/>
    <cellStyle name="Input 3 2 2 2 2" xfId="680"/>
    <cellStyle name="Input 3 2 2 20" xfId="669"/>
    <cellStyle name="Input 3 2 2 3" xfId="317"/>
    <cellStyle name="Input 3 2 2 3 2" xfId="681"/>
    <cellStyle name="Input 3 2 2 4" xfId="318"/>
    <cellStyle name="Input 3 2 2 4 2" xfId="682"/>
    <cellStyle name="Input 3 2 2 5" xfId="319"/>
    <cellStyle name="Input 3 2 2 5 2" xfId="683"/>
    <cellStyle name="Input 3 2 2 6" xfId="320"/>
    <cellStyle name="Input 3 2 2 6 2" xfId="684"/>
    <cellStyle name="Input 3 2 2 7" xfId="685"/>
    <cellStyle name="Input 3 2 2 8" xfId="686"/>
    <cellStyle name="Input 3 2 2 9" xfId="687"/>
    <cellStyle name="Input 3 2 20" xfId="688"/>
    <cellStyle name="Input 3 2 21" xfId="658"/>
    <cellStyle name="Input 3 2 3" xfId="227"/>
    <cellStyle name="Input 3 2 3 2" xfId="689"/>
    <cellStyle name="Input 3 2 4" xfId="321"/>
    <cellStyle name="Input 3 2 4 2" xfId="690"/>
    <cellStyle name="Input 3 2 5" xfId="322"/>
    <cellStyle name="Input 3 2 5 2" xfId="691"/>
    <cellStyle name="Input 3 2 6" xfId="323"/>
    <cellStyle name="Input 3 2 6 2" xfId="692"/>
    <cellStyle name="Input 3 2 7" xfId="324"/>
    <cellStyle name="Input 3 2 7 2" xfId="693"/>
    <cellStyle name="Input 3 2 8" xfId="694"/>
    <cellStyle name="Input 3 2 9" xfId="695"/>
    <cellStyle name="Input 3 3" xfId="151"/>
    <cellStyle name="Input 3 3 10" xfId="697"/>
    <cellStyle name="Input 3 3 11" xfId="698"/>
    <cellStyle name="Input 3 3 12" xfId="699"/>
    <cellStyle name="Input 3 3 13" xfId="700"/>
    <cellStyle name="Input 3 3 14" xfId="701"/>
    <cellStyle name="Input 3 3 15" xfId="702"/>
    <cellStyle name="Input 3 3 16" xfId="703"/>
    <cellStyle name="Input 3 3 17" xfId="704"/>
    <cellStyle name="Input 3 3 18" xfId="705"/>
    <cellStyle name="Input 3 3 19" xfId="706"/>
    <cellStyle name="Input 3 3 2" xfId="196"/>
    <cellStyle name="Input 3 3 2 10" xfId="708"/>
    <cellStyle name="Input 3 3 2 11" xfId="709"/>
    <cellStyle name="Input 3 3 2 12" xfId="710"/>
    <cellStyle name="Input 3 3 2 13" xfId="711"/>
    <cellStyle name="Input 3 3 2 14" xfId="712"/>
    <cellStyle name="Input 3 3 2 15" xfId="713"/>
    <cellStyle name="Input 3 3 2 16" xfId="714"/>
    <cellStyle name="Input 3 3 2 17" xfId="715"/>
    <cellStyle name="Input 3 3 2 18" xfId="716"/>
    <cellStyle name="Input 3 3 2 19" xfId="717"/>
    <cellStyle name="Input 3 3 2 2" xfId="251"/>
    <cellStyle name="Input 3 3 2 2 2" xfId="718"/>
    <cellStyle name="Input 3 3 2 20" xfId="707"/>
    <cellStyle name="Input 3 3 2 3" xfId="325"/>
    <cellStyle name="Input 3 3 2 3 2" xfId="719"/>
    <cellStyle name="Input 3 3 2 4" xfId="326"/>
    <cellStyle name="Input 3 3 2 4 2" xfId="720"/>
    <cellStyle name="Input 3 3 2 5" xfId="327"/>
    <cellStyle name="Input 3 3 2 5 2" xfId="721"/>
    <cellStyle name="Input 3 3 2 6" xfId="328"/>
    <cellStyle name="Input 3 3 2 6 2" xfId="722"/>
    <cellStyle name="Input 3 3 2 7" xfId="723"/>
    <cellStyle name="Input 3 3 2 8" xfId="724"/>
    <cellStyle name="Input 3 3 2 9" xfId="725"/>
    <cellStyle name="Input 3 3 20" xfId="726"/>
    <cellStyle name="Input 3 3 21" xfId="696"/>
    <cellStyle name="Input 3 3 3" xfId="228"/>
    <cellStyle name="Input 3 3 3 2" xfId="727"/>
    <cellStyle name="Input 3 3 4" xfId="329"/>
    <cellStyle name="Input 3 3 4 2" xfId="728"/>
    <cellStyle name="Input 3 3 5" xfId="330"/>
    <cellStyle name="Input 3 3 5 2" xfId="729"/>
    <cellStyle name="Input 3 3 6" xfId="331"/>
    <cellStyle name="Input 3 3 6 2" xfId="730"/>
    <cellStyle name="Input 3 3 7" xfId="332"/>
    <cellStyle name="Input 3 3 7 2" xfId="731"/>
    <cellStyle name="Input 3 3 8" xfId="732"/>
    <cellStyle name="Input 3 3 9" xfId="733"/>
    <cellStyle name="Linked Cell 2 2" xfId="152"/>
    <cellStyle name="Linked Cell 2 3" xfId="153"/>
    <cellStyle name="Linked Cell 3 2" xfId="154"/>
    <cellStyle name="Linked Cell 3 3" xfId="155"/>
    <cellStyle name="Neutral 2 2" xfId="156"/>
    <cellStyle name="Neutral 2 3" xfId="157"/>
    <cellStyle name="Neutral 3 2" xfId="158"/>
    <cellStyle name="Neutral 3 3" xfId="159"/>
    <cellStyle name="Normal" xfId="0" builtinId="0"/>
    <cellStyle name="Normal 2" xfId="160"/>
    <cellStyle name="Normal 2 2" xfId="161"/>
    <cellStyle name="Normal 2 3" xfId="162"/>
    <cellStyle name="Normal 3" xfId="5"/>
    <cellStyle name="Normal 3 2" xfId="7"/>
    <cellStyle name="Normal 3 3" xfId="163"/>
    <cellStyle name="Normal 3 4" xfId="188"/>
    <cellStyle name="Normal 3 5" xfId="220"/>
    <cellStyle name="Normal 3_Beta calculation" xfId="215"/>
    <cellStyle name="Normal 4" xfId="164"/>
    <cellStyle name="Normal 5" xfId="6"/>
    <cellStyle name="Normal 6" xfId="241"/>
    <cellStyle name="Normal 6 2" xfId="268"/>
    <cellStyle name="Normal 6 3" xfId="267"/>
    <cellStyle name="Normal_Ushakal 07.01.2008" xfId="4"/>
    <cellStyle name="Note 2 2" xfId="165"/>
    <cellStyle name="Note 2 2 10" xfId="735"/>
    <cellStyle name="Note 2 2 11" xfId="736"/>
    <cellStyle name="Note 2 2 12" xfId="737"/>
    <cellStyle name="Note 2 2 13" xfId="738"/>
    <cellStyle name="Note 2 2 14" xfId="739"/>
    <cellStyle name="Note 2 2 15" xfId="740"/>
    <cellStyle name="Note 2 2 16" xfId="741"/>
    <cellStyle name="Note 2 2 17" xfId="742"/>
    <cellStyle name="Note 2 2 18" xfId="743"/>
    <cellStyle name="Note 2 2 19" xfId="744"/>
    <cellStyle name="Note 2 2 2" xfId="197"/>
    <cellStyle name="Note 2 2 2 10" xfId="746"/>
    <cellStyle name="Note 2 2 2 11" xfId="747"/>
    <cellStyle name="Note 2 2 2 12" xfId="748"/>
    <cellStyle name="Note 2 2 2 13" xfId="749"/>
    <cellStyle name="Note 2 2 2 14" xfId="750"/>
    <cellStyle name="Note 2 2 2 15" xfId="751"/>
    <cellStyle name="Note 2 2 2 16" xfId="752"/>
    <cellStyle name="Note 2 2 2 17" xfId="753"/>
    <cellStyle name="Note 2 2 2 18" xfId="754"/>
    <cellStyle name="Note 2 2 2 19" xfId="755"/>
    <cellStyle name="Note 2 2 2 2" xfId="252"/>
    <cellStyle name="Note 2 2 2 2 2" xfId="756"/>
    <cellStyle name="Note 2 2 2 20" xfId="745"/>
    <cellStyle name="Note 2 2 2 3" xfId="333"/>
    <cellStyle name="Note 2 2 2 3 2" xfId="757"/>
    <cellStyle name="Note 2 2 2 4" xfId="334"/>
    <cellStyle name="Note 2 2 2 4 2" xfId="758"/>
    <cellStyle name="Note 2 2 2 5" xfId="335"/>
    <cellStyle name="Note 2 2 2 5 2" xfId="759"/>
    <cellStyle name="Note 2 2 2 6" xfId="336"/>
    <cellStyle name="Note 2 2 2 6 2" xfId="760"/>
    <cellStyle name="Note 2 2 2 7" xfId="761"/>
    <cellStyle name="Note 2 2 2 8" xfId="762"/>
    <cellStyle name="Note 2 2 2 9" xfId="763"/>
    <cellStyle name="Note 2 2 20" xfId="764"/>
    <cellStyle name="Note 2 2 21" xfId="734"/>
    <cellStyle name="Note 2 2 3" xfId="229"/>
    <cellStyle name="Note 2 2 3 2" xfId="765"/>
    <cellStyle name="Note 2 2 4" xfId="337"/>
    <cellStyle name="Note 2 2 4 2" xfId="766"/>
    <cellStyle name="Note 2 2 5" xfId="338"/>
    <cellStyle name="Note 2 2 5 2" xfId="767"/>
    <cellStyle name="Note 2 2 6" xfId="339"/>
    <cellStyle name="Note 2 2 6 2" xfId="768"/>
    <cellStyle name="Note 2 2 7" xfId="340"/>
    <cellStyle name="Note 2 2 7 2" xfId="769"/>
    <cellStyle name="Note 2 2 8" xfId="770"/>
    <cellStyle name="Note 2 2 9" xfId="771"/>
    <cellStyle name="Note 2 3" xfId="166"/>
    <cellStyle name="Note 2 3 10" xfId="773"/>
    <cellStyle name="Note 2 3 11" xfId="774"/>
    <cellStyle name="Note 2 3 12" xfId="775"/>
    <cellStyle name="Note 2 3 13" xfId="776"/>
    <cellStyle name="Note 2 3 14" xfId="777"/>
    <cellStyle name="Note 2 3 15" xfId="778"/>
    <cellStyle name="Note 2 3 16" xfId="779"/>
    <cellStyle name="Note 2 3 17" xfId="780"/>
    <cellStyle name="Note 2 3 18" xfId="781"/>
    <cellStyle name="Note 2 3 19" xfId="782"/>
    <cellStyle name="Note 2 3 2" xfId="198"/>
    <cellStyle name="Note 2 3 2 10" xfId="784"/>
    <cellStyle name="Note 2 3 2 11" xfId="785"/>
    <cellStyle name="Note 2 3 2 12" xfId="786"/>
    <cellStyle name="Note 2 3 2 13" xfId="787"/>
    <cellStyle name="Note 2 3 2 14" xfId="788"/>
    <cellStyle name="Note 2 3 2 15" xfId="789"/>
    <cellStyle name="Note 2 3 2 16" xfId="790"/>
    <cellStyle name="Note 2 3 2 17" xfId="791"/>
    <cellStyle name="Note 2 3 2 18" xfId="792"/>
    <cellStyle name="Note 2 3 2 19" xfId="793"/>
    <cellStyle name="Note 2 3 2 2" xfId="253"/>
    <cellStyle name="Note 2 3 2 2 2" xfId="794"/>
    <cellStyle name="Note 2 3 2 20" xfId="783"/>
    <cellStyle name="Note 2 3 2 3" xfId="341"/>
    <cellStyle name="Note 2 3 2 3 2" xfId="795"/>
    <cellStyle name="Note 2 3 2 4" xfId="342"/>
    <cellStyle name="Note 2 3 2 4 2" xfId="796"/>
    <cellStyle name="Note 2 3 2 5" xfId="343"/>
    <cellStyle name="Note 2 3 2 5 2" xfId="797"/>
    <cellStyle name="Note 2 3 2 6" xfId="344"/>
    <cellStyle name="Note 2 3 2 6 2" xfId="798"/>
    <cellStyle name="Note 2 3 2 7" xfId="799"/>
    <cellStyle name="Note 2 3 2 8" xfId="800"/>
    <cellStyle name="Note 2 3 2 9" xfId="801"/>
    <cellStyle name="Note 2 3 20" xfId="802"/>
    <cellStyle name="Note 2 3 21" xfId="772"/>
    <cellStyle name="Note 2 3 3" xfId="230"/>
    <cellStyle name="Note 2 3 3 2" xfId="803"/>
    <cellStyle name="Note 2 3 4" xfId="345"/>
    <cellStyle name="Note 2 3 4 2" xfId="804"/>
    <cellStyle name="Note 2 3 5" xfId="346"/>
    <cellStyle name="Note 2 3 5 2" xfId="805"/>
    <cellStyle name="Note 2 3 6" xfId="347"/>
    <cellStyle name="Note 2 3 6 2" xfId="806"/>
    <cellStyle name="Note 2 3 7" xfId="348"/>
    <cellStyle name="Note 2 3 7 2" xfId="807"/>
    <cellStyle name="Note 2 3 8" xfId="808"/>
    <cellStyle name="Note 2 3 9" xfId="809"/>
    <cellStyle name="Note 3 2" xfId="167"/>
    <cellStyle name="Note 3 2 10" xfId="811"/>
    <cellStyle name="Note 3 2 11" xfId="812"/>
    <cellStyle name="Note 3 2 12" xfId="813"/>
    <cellStyle name="Note 3 2 13" xfId="814"/>
    <cellStyle name="Note 3 2 14" xfId="815"/>
    <cellStyle name="Note 3 2 15" xfId="816"/>
    <cellStyle name="Note 3 2 16" xfId="817"/>
    <cellStyle name="Note 3 2 17" xfId="818"/>
    <cellStyle name="Note 3 2 18" xfId="819"/>
    <cellStyle name="Note 3 2 19" xfId="820"/>
    <cellStyle name="Note 3 2 2" xfId="199"/>
    <cellStyle name="Note 3 2 2 10" xfId="822"/>
    <cellStyle name="Note 3 2 2 11" xfId="823"/>
    <cellStyle name="Note 3 2 2 12" xfId="824"/>
    <cellStyle name="Note 3 2 2 13" xfId="825"/>
    <cellStyle name="Note 3 2 2 14" xfId="826"/>
    <cellStyle name="Note 3 2 2 15" xfId="827"/>
    <cellStyle name="Note 3 2 2 16" xfId="828"/>
    <cellStyle name="Note 3 2 2 17" xfId="829"/>
    <cellStyle name="Note 3 2 2 18" xfId="830"/>
    <cellStyle name="Note 3 2 2 19" xfId="831"/>
    <cellStyle name="Note 3 2 2 2" xfId="254"/>
    <cellStyle name="Note 3 2 2 2 2" xfId="832"/>
    <cellStyle name="Note 3 2 2 20" xfId="821"/>
    <cellStyle name="Note 3 2 2 3" xfId="349"/>
    <cellStyle name="Note 3 2 2 3 2" xfId="833"/>
    <cellStyle name="Note 3 2 2 4" xfId="350"/>
    <cellStyle name="Note 3 2 2 4 2" xfId="834"/>
    <cellStyle name="Note 3 2 2 5" xfId="351"/>
    <cellStyle name="Note 3 2 2 5 2" xfId="835"/>
    <cellStyle name="Note 3 2 2 6" xfId="352"/>
    <cellStyle name="Note 3 2 2 6 2" xfId="836"/>
    <cellStyle name="Note 3 2 2 7" xfId="837"/>
    <cellStyle name="Note 3 2 2 8" xfId="838"/>
    <cellStyle name="Note 3 2 2 9" xfId="839"/>
    <cellStyle name="Note 3 2 20" xfId="840"/>
    <cellStyle name="Note 3 2 21" xfId="810"/>
    <cellStyle name="Note 3 2 3" xfId="231"/>
    <cellStyle name="Note 3 2 3 2" xfId="841"/>
    <cellStyle name="Note 3 2 4" xfId="353"/>
    <cellStyle name="Note 3 2 4 2" xfId="842"/>
    <cellStyle name="Note 3 2 5" xfId="354"/>
    <cellStyle name="Note 3 2 5 2" xfId="843"/>
    <cellStyle name="Note 3 2 6" xfId="355"/>
    <cellStyle name="Note 3 2 6 2" xfId="844"/>
    <cellStyle name="Note 3 2 7" xfId="356"/>
    <cellStyle name="Note 3 2 7 2" xfId="845"/>
    <cellStyle name="Note 3 2 8" xfId="846"/>
    <cellStyle name="Note 3 2 9" xfId="847"/>
    <cellStyle name="Note 3 3" xfId="168"/>
    <cellStyle name="Note 3 3 10" xfId="849"/>
    <cellStyle name="Note 3 3 11" xfId="850"/>
    <cellStyle name="Note 3 3 12" xfId="851"/>
    <cellStyle name="Note 3 3 13" xfId="852"/>
    <cellStyle name="Note 3 3 14" xfId="853"/>
    <cellStyle name="Note 3 3 15" xfId="854"/>
    <cellStyle name="Note 3 3 16" xfId="855"/>
    <cellStyle name="Note 3 3 17" xfId="856"/>
    <cellStyle name="Note 3 3 18" xfId="857"/>
    <cellStyle name="Note 3 3 19" xfId="858"/>
    <cellStyle name="Note 3 3 2" xfId="200"/>
    <cellStyle name="Note 3 3 2 10" xfId="860"/>
    <cellStyle name="Note 3 3 2 11" xfId="861"/>
    <cellStyle name="Note 3 3 2 12" xfId="862"/>
    <cellStyle name="Note 3 3 2 13" xfId="863"/>
    <cellStyle name="Note 3 3 2 14" xfId="864"/>
    <cellStyle name="Note 3 3 2 15" xfId="865"/>
    <cellStyle name="Note 3 3 2 16" xfId="866"/>
    <cellStyle name="Note 3 3 2 17" xfId="867"/>
    <cellStyle name="Note 3 3 2 18" xfId="868"/>
    <cellStyle name="Note 3 3 2 19" xfId="869"/>
    <cellStyle name="Note 3 3 2 2" xfId="255"/>
    <cellStyle name="Note 3 3 2 2 2" xfId="870"/>
    <cellStyle name="Note 3 3 2 20" xfId="859"/>
    <cellStyle name="Note 3 3 2 3" xfId="357"/>
    <cellStyle name="Note 3 3 2 3 2" xfId="871"/>
    <cellStyle name="Note 3 3 2 4" xfId="358"/>
    <cellStyle name="Note 3 3 2 4 2" xfId="872"/>
    <cellStyle name="Note 3 3 2 5" xfId="359"/>
    <cellStyle name="Note 3 3 2 5 2" xfId="873"/>
    <cellStyle name="Note 3 3 2 6" xfId="360"/>
    <cellStyle name="Note 3 3 2 6 2" xfId="874"/>
    <cellStyle name="Note 3 3 2 7" xfId="875"/>
    <cellStyle name="Note 3 3 2 8" xfId="876"/>
    <cellStyle name="Note 3 3 2 9" xfId="877"/>
    <cellStyle name="Note 3 3 20" xfId="878"/>
    <cellStyle name="Note 3 3 21" xfId="848"/>
    <cellStyle name="Note 3 3 3" xfId="232"/>
    <cellStyle name="Note 3 3 3 2" xfId="879"/>
    <cellStyle name="Note 3 3 4" xfId="361"/>
    <cellStyle name="Note 3 3 4 2" xfId="880"/>
    <cellStyle name="Note 3 3 5" xfId="362"/>
    <cellStyle name="Note 3 3 5 2" xfId="881"/>
    <cellStyle name="Note 3 3 6" xfId="363"/>
    <cellStyle name="Note 3 3 6 2" xfId="882"/>
    <cellStyle name="Note 3 3 7" xfId="364"/>
    <cellStyle name="Note 3 3 7 2" xfId="883"/>
    <cellStyle name="Note 3 3 8" xfId="884"/>
    <cellStyle name="Note 3 3 9" xfId="885"/>
    <cellStyle name="Output 2 2" xfId="169"/>
    <cellStyle name="Output 2 2 10" xfId="887"/>
    <cellStyle name="Output 2 2 11" xfId="888"/>
    <cellStyle name="Output 2 2 12" xfId="889"/>
    <cellStyle name="Output 2 2 13" xfId="890"/>
    <cellStyle name="Output 2 2 14" xfId="891"/>
    <cellStyle name="Output 2 2 15" xfId="892"/>
    <cellStyle name="Output 2 2 16" xfId="893"/>
    <cellStyle name="Output 2 2 17" xfId="894"/>
    <cellStyle name="Output 2 2 18" xfId="895"/>
    <cellStyle name="Output 2 2 19" xfId="896"/>
    <cellStyle name="Output 2 2 2" xfId="201"/>
    <cellStyle name="Output 2 2 2 10" xfId="898"/>
    <cellStyle name="Output 2 2 2 11" xfId="899"/>
    <cellStyle name="Output 2 2 2 12" xfId="900"/>
    <cellStyle name="Output 2 2 2 13" xfId="901"/>
    <cellStyle name="Output 2 2 2 14" xfId="902"/>
    <cellStyle name="Output 2 2 2 15" xfId="903"/>
    <cellStyle name="Output 2 2 2 16" xfId="904"/>
    <cellStyle name="Output 2 2 2 17" xfId="905"/>
    <cellStyle name="Output 2 2 2 18" xfId="906"/>
    <cellStyle name="Output 2 2 2 19" xfId="907"/>
    <cellStyle name="Output 2 2 2 2" xfId="256"/>
    <cellStyle name="Output 2 2 2 2 2" xfId="908"/>
    <cellStyle name="Output 2 2 2 20" xfId="897"/>
    <cellStyle name="Output 2 2 2 3" xfId="365"/>
    <cellStyle name="Output 2 2 2 3 2" xfId="909"/>
    <cellStyle name="Output 2 2 2 4" xfId="366"/>
    <cellStyle name="Output 2 2 2 4 2" xfId="910"/>
    <cellStyle name="Output 2 2 2 5" xfId="367"/>
    <cellStyle name="Output 2 2 2 5 2" xfId="911"/>
    <cellStyle name="Output 2 2 2 6" xfId="368"/>
    <cellStyle name="Output 2 2 2 6 2" xfId="912"/>
    <cellStyle name="Output 2 2 2 7" xfId="913"/>
    <cellStyle name="Output 2 2 2 8" xfId="914"/>
    <cellStyle name="Output 2 2 2 9" xfId="915"/>
    <cellStyle name="Output 2 2 20" xfId="916"/>
    <cellStyle name="Output 2 2 21" xfId="886"/>
    <cellStyle name="Output 2 2 3" xfId="233"/>
    <cellStyle name="Output 2 2 3 2" xfId="917"/>
    <cellStyle name="Output 2 2 4" xfId="369"/>
    <cellStyle name="Output 2 2 4 2" xfId="918"/>
    <cellStyle name="Output 2 2 5" xfId="370"/>
    <cellStyle name="Output 2 2 5 2" xfId="919"/>
    <cellStyle name="Output 2 2 6" xfId="371"/>
    <cellStyle name="Output 2 2 6 2" xfId="920"/>
    <cellStyle name="Output 2 2 7" xfId="372"/>
    <cellStyle name="Output 2 2 7 2" xfId="921"/>
    <cellStyle name="Output 2 2 8" xfId="922"/>
    <cellStyle name="Output 2 2 9" xfId="923"/>
    <cellStyle name="Output 2 3" xfId="170"/>
    <cellStyle name="Output 2 3 10" xfId="925"/>
    <cellStyle name="Output 2 3 11" xfId="926"/>
    <cellStyle name="Output 2 3 12" xfId="927"/>
    <cellStyle name="Output 2 3 13" xfId="928"/>
    <cellStyle name="Output 2 3 14" xfId="929"/>
    <cellStyle name="Output 2 3 15" xfId="930"/>
    <cellStyle name="Output 2 3 16" xfId="931"/>
    <cellStyle name="Output 2 3 17" xfId="932"/>
    <cellStyle name="Output 2 3 18" xfId="933"/>
    <cellStyle name="Output 2 3 19" xfId="934"/>
    <cellStyle name="Output 2 3 2" xfId="202"/>
    <cellStyle name="Output 2 3 2 10" xfId="936"/>
    <cellStyle name="Output 2 3 2 11" xfId="937"/>
    <cellStyle name="Output 2 3 2 12" xfId="938"/>
    <cellStyle name="Output 2 3 2 13" xfId="939"/>
    <cellStyle name="Output 2 3 2 14" xfId="940"/>
    <cellStyle name="Output 2 3 2 15" xfId="941"/>
    <cellStyle name="Output 2 3 2 16" xfId="942"/>
    <cellStyle name="Output 2 3 2 17" xfId="943"/>
    <cellStyle name="Output 2 3 2 18" xfId="944"/>
    <cellStyle name="Output 2 3 2 19" xfId="945"/>
    <cellStyle name="Output 2 3 2 2" xfId="257"/>
    <cellStyle name="Output 2 3 2 2 2" xfId="946"/>
    <cellStyle name="Output 2 3 2 20" xfId="935"/>
    <cellStyle name="Output 2 3 2 3" xfId="373"/>
    <cellStyle name="Output 2 3 2 3 2" xfId="947"/>
    <cellStyle name="Output 2 3 2 4" xfId="374"/>
    <cellStyle name="Output 2 3 2 4 2" xfId="948"/>
    <cellStyle name="Output 2 3 2 5" xfId="375"/>
    <cellStyle name="Output 2 3 2 5 2" xfId="949"/>
    <cellStyle name="Output 2 3 2 6" xfId="376"/>
    <cellStyle name="Output 2 3 2 6 2" xfId="950"/>
    <cellStyle name="Output 2 3 2 7" xfId="951"/>
    <cellStyle name="Output 2 3 2 8" xfId="952"/>
    <cellStyle name="Output 2 3 2 9" xfId="953"/>
    <cellStyle name="Output 2 3 20" xfId="954"/>
    <cellStyle name="Output 2 3 21" xfId="924"/>
    <cellStyle name="Output 2 3 3" xfId="234"/>
    <cellStyle name="Output 2 3 3 2" xfId="955"/>
    <cellStyle name="Output 2 3 4" xfId="377"/>
    <cellStyle name="Output 2 3 4 2" xfId="956"/>
    <cellStyle name="Output 2 3 5" xfId="378"/>
    <cellStyle name="Output 2 3 5 2" xfId="957"/>
    <cellStyle name="Output 2 3 6" xfId="379"/>
    <cellStyle name="Output 2 3 6 2" xfId="958"/>
    <cellStyle name="Output 2 3 7" xfId="380"/>
    <cellStyle name="Output 2 3 7 2" xfId="959"/>
    <cellStyle name="Output 2 3 8" xfId="960"/>
    <cellStyle name="Output 2 3 9" xfId="961"/>
    <cellStyle name="Output 3 2" xfId="171"/>
    <cellStyle name="Output 3 2 10" xfId="963"/>
    <cellStyle name="Output 3 2 11" xfId="964"/>
    <cellStyle name="Output 3 2 12" xfId="965"/>
    <cellStyle name="Output 3 2 13" xfId="966"/>
    <cellStyle name="Output 3 2 14" xfId="967"/>
    <cellStyle name="Output 3 2 15" xfId="968"/>
    <cellStyle name="Output 3 2 16" xfId="969"/>
    <cellStyle name="Output 3 2 17" xfId="970"/>
    <cellStyle name="Output 3 2 18" xfId="971"/>
    <cellStyle name="Output 3 2 19" xfId="972"/>
    <cellStyle name="Output 3 2 2" xfId="203"/>
    <cellStyle name="Output 3 2 2 10" xfId="974"/>
    <cellStyle name="Output 3 2 2 11" xfId="975"/>
    <cellStyle name="Output 3 2 2 12" xfId="976"/>
    <cellStyle name="Output 3 2 2 13" xfId="977"/>
    <cellStyle name="Output 3 2 2 14" xfId="978"/>
    <cellStyle name="Output 3 2 2 15" xfId="979"/>
    <cellStyle name="Output 3 2 2 16" xfId="980"/>
    <cellStyle name="Output 3 2 2 17" xfId="981"/>
    <cellStyle name="Output 3 2 2 18" xfId="982"/>
    <cellStyle name="Output 3 2 2 19" xfId="983"/>
    <cellStyle name="Output 3 2 2 2" xfId="258"/>
    <cellStyle name="Output 3 2 2 2 2" xfId="984"/>
    <cellStyle name="Output 3 2 2 20" xfId="973"/>
    <cellStyle name="Output 3 2 2 3" xfId="381"/>
    <cellStyle name="Output 3 2 2 3 2" xfId="985"/>
    <cellStyle name="Output 3 2 2 4" xfId="382"/>
    <cellStyle name="Output 3 2 2 4 2" xfId="986"/>
    <cellStyle name="Output 3 2 2 5" xfId="383"/>
    <cellStyle name="Output 3 2 2 5 2" xfId="987"/>
    <cellStyle name="Output 3 2 2 6" xfId="384"/>
    <cellStyle name="Output 3 2 2 6 2" xfId="988"/>
    <cellStyle name="Output 3 2 2 7" xfId="989"/>
    <cellStyle name="Output 3 2 2 8" xfId="990"/>
    <cellStyle name="Output 3 2 2 9" xfId="991"/>
    <cellStyle name="Output 3 2 20" xfId="992"/>
    <cellStyle name="Output 3 2 21" xfId="962"/>
    <cellStyle name="Output 3 2 3" xfId="235"/>
    <cellStyle name="Output 3 2 3 2" xfId="993"/>
    <cellStyle name="Output 3 2 4" xfId="385"/>
    <cellStyle name="Output 3 2 4 2" xfId="994"/>
    <cellStyle name="Output 3 2 5" xfId="386"/>
    <cellStyle name="Output 3 2 5 2" xfId="995"/>
    <cellStyle name="Output 3 2 6" xfId="387"/>
    <cellStyle name="Output 3 2 6 2" xfId="996"/>
    <cellStyle name="Output 3 2 7" xfId="388"/>
    <cellStyle name="Output 3 2 7 2" xfId="997"/>
    <cellStyle name="Output 3 2 8" xfId="998"/>
    <cellStyle name="Output 3 2 9" xfId="999"/>
    <cellStyle name="Output 3 3" xfId="172"/>
    <cellStyle name="Output 3 3 10" xfId="1001"/>
    <cellStyle name="Output 3 3 11" xfId="1002"/>
    <cellStyle name="Output 3 3 12" xfId="1003"/>
    <cellStyle name="Output 3 3 13" xfId="1004"/>
    <cellStyle name="Output 3 3 14" xfId="1005"/>
    <cellStyle name="Output 3 3 15" xfId="1006"/>
    <cellStyle name="Output 3 3 16" xfId="1007"/>
    <cellStyle name="Output 3 3 17" xfId="1008"/>
    <cellStyle name="Output 3 3 18" xfId="1009"/>
    <cellStyle name="Output 3 3 19" xfId="1010"/>
    <cellStyle name="Output 3 3 2" xfId="204"/>
    <cellStyle name="Output 3 3 2 10" xfId="1012"/>
    <cellStyle name="Output 3 3 2 11" xfId="1013"/>
    <cellStyle name="Output 3 3 2 12" xfId="1014"/>
    <cellStyle name="Output 3 3 2 13" xfId="1015"/>
    <cellStyle name="Output 3 3 2 14" xfId="1016"/>
    <cellStyle name="Output 3 3 2 15" xfId="1017"/>
    <cellStyle name="Output 3 3 2 16" xfId="1018"/>
    <cellStyle name="Output 3 3 2 17" xfId="1019"/>
    <cellStyle name="Output 3 3 2 18" xfId="1020"/>
    <cellStyle name="Output 3 3 2 19" xfId="1021"/>
    <cellStyle name="Output 3 3 2 2" xfId="259"/>
    <cellStyle name="Output 3 3 2 2 2" xfId="1022"/>
    <cellStyle name="Output 3 3 2 20" xfId="1011"/>
    <cellStyle name="Output 3 3 2 3" xfId="389"/>
    <cellStyle name="Output 3 3 2 3 2" xfId="1023"/>
    <cellStyle name="Output 3 3 2 4" xfId="390"/>
    <cellStyle name="Output 3 3 2 4 2" xfId="1024"/>
    <cellStyle name="Output 3 3 2 5" xfId="391"/>
    <cellStyle name="Output 3 3 2 5 2" xfId="1025"/>
    <cellStyle name="Output 3 3 2 6" xfId="392"/>
    <cellStyle name="Output 3 3 2 6 2" xfId="1026"/>
    <cellStyle name="Output 3 3 2 7" xfId="1027"/>
    <cellStyle name="Output 3 3 2 8" xfId="1028"/>
    <cellStyle name="Output 3 3 2 9" xfId="1029"/>
    <cellStyle name="Output 3 3 20" xfId="1030"/>
    <cellStyle name="Output 3 3 21" xfId="1000"/>
    <cellStyle name="Output 3 3 3" xfId="236"/>
    <cellStyle name="Output 3 3 3 2" xfId="1031"/>
    <cellStyle name="Output 3 3 4" xfId="393"/>
    <cellStyle name="Output 3 3 4 2" xfId="1032"/>
    <cellStyle name="Output 3 3 5" xfId="394"/>
    <cellStyle name="Output 3 3 5 2" xfId="1033"/>
    <cellStyle name="Output 3 3 6" xfId="395"/>
    <cellStyle name="Output 3 3 6 2" xfId="1034"/>
    <cellStyle name="Output 3 3 7" xfId="396"/>
    <cellStyle name="Output 3 3 7 2" xfId="1035"/>
    <cellStyle name="Output 3 3 8" xfId="1036"/>
    <cellStyle name="Output 3 3 9" xfId="1037"/>
    <cellStyle name="Percent" xfId="2" builtinId="5"/>
    <cellStyle name="Percent 2" xfId="173"/>
    <cellStyle name="Percent 2 2" xfId="209"/>
    <cellStyle name="Percent 3" xfId="216"/>
    <cellStyle name="Percent 3 2" xfId="174"/>
    <cellStyle name="Percent 3 3" xfId="175"/>
    <cellStyle name="Percent 3 4" xfId="264"/>
    <cellStyle name="Percent 4" xfId="217"/>
    <cellStyle name="Percent 5" xfId="218"/>
    <cellStyle name="Title 2 2" xfId="176"/>
    <cellStyle name="Title 2 3" xfId="177"/>
    <cellStyle name="Title 3 2" xfId="178"/>
    <cellStyle name="Title 3 3" xfId="179"/>
    <cellStyle name="Total 2 2" xfId="180"/>
    <cellStyle name="Total 2 2 10" xfId="1039"/>
    <cellStyle name="Total 2 2 11" xfId="1040"/>
    <cellStyle name="Total 2 2 12" xfId="1041"/>
    <cellStyle name="Total 2 2 13" xfId="1042"/>
    <cellStyle name="Total 2 2 14" xfId="1043"/>
    <cellStyle name="Total 2 2 15" xfId="1044"/>
    <cellStyle name="Total 2 2 16" xfId="1045"/>
    <cellStyle name="Total 2 2 17" xfId="1046"/>
    <cellStyle name="Total 2 2 18" xfId="1047"/>
    <cellStyle name="Total 2 2 19" xfId="1048"/>
    <cellStyle name="Total 2 2 2" xfId="205"/>
    <cellStyle name="Total 2 2 2 10" xfId="1050"/>
    <cellStyle name="Total 2 2 2 11" xfId="1051"/>
    <cellStyle name="Total 2 2 2 12" xfId="1052"/>
    <cellStyle name="Total 2 2 2 13" xfId="1053"/>
    <cellStyle name="Total 2 2 2 14" xfId="1054"/>
    <cellStyle name="Total 2 2 2 15" xfId="1055"/>
    <cellStyle name="Total 2 2 2 16" xfId="1056"/>
    <cellStyle name="Total 2 2 2 17" xfId="1057"/>
    <cellStyle name="Total 2 2 2 18" xfId="1058"/>
    <cellStyle name="Total 2 2 2 19" xfId="1059"/>
    <cellStyle name="Total 2 2 2 2" xfId="260"/>
    <cellStyle name="Total 2 2 2 2 2" xfId="1060"/>
    <cellStyle name="Total 2 2 2 20" xfId="1049"/>
    <cellStyle name="Total 2 2 2 3" xfId="397"/>
    <cellStyle name="Total 2 2 2 3 2" xfId="1061"/>
    <cellStyle name="Total 2 2 2 4" xfId="398"/>
    <cellStyle name="Total 2 2 2 4 2" xfId="1062"/>
    <cellStyle name="Total 2 2 2 5" xfId="399"/>
    <cellStyle name="Total 2 2 2 5 2" xfId="1063"/>
    <cellStyle name="Total 2 2 2 6" xfId="400"/>
    <cellStyle name="Total 2 2 2 6 2" xfId="1064"/>
    <cellStyle name="Total 2 2 2 7" xfId="1065"/>
    <cellStyle name="Total 2 2 2 8" xfId="1066"/>
    <cellStyle name="Total 2 2 2 9" xfId="1067"/>
    <cellStyle name="Total 2 2 20" xfId="1068"/>
    <cellStyle name="Total 2 2 21" xfId="1038"/>
    <cellStyle name="Total 2 2 3" xfId="237"/>
    <cellStyle name="Total 2 2 3 2" xfId="1069"/>
    <cellStyle name="Total 2 2 4" xfId="401"/>
    <cellStyle name="Total 2 2 4 2" xfId="1070"/>
    <cellStyle name="Total 2 2 5" xfId="402"/>
    <cellStyle name="Total 2 2 5 2" xfId="1071"/>
    <cellStyle name="Total 2 2 6" xfId="403"/>
    <cellStyle name="Total 2 2 6 2" xfId="1072"/>
    <cellStyle name="Total 2 2 7" xfId="404"/>
    <cellStyle name="Total 2 2 7 2" xfId="1073"/>
    <cellStyle name="Total 2 2 8" xfId="1074"/>
    <cellStyle name="Total 2 2 9" xfId="1075"/>
    <cellStyle name="Total 2 3" xfId="181"/>
    <cellStyle name="Total 2 3 10" xfId="1077"/>
    <cellStyle name="Total 2 3 11" xfId="1078"/>
    <cellStyle name="Total 2 3 12" xfId="1079"/>
    <cellStyle name="Total 2 3 13" xfId="1080"/>
    <cellStyle name="Total 2 3 14" xfId="1081"/>
    <cellStyle name="Total 2 3 15" xfId="1082"/>
    <cellStyle name="Total 2 3 16" xfId="1083"/>
    <cellStyle name="Total 2 3 17" xfId="1084"/>
    <cellStyle name="Total 2 3 18" xfId="1085"/>
    <cellStyle name="Total 2 3 19" xfId="1086"/>
    <cellStyle name="Total 2 3 2" xfId="206"/>
    <cellStyle name="Total 2 3 2 10" xfId="1088"/>
    <cellStyle name="Total 2 3 2 11" xfId="1089"/>
    <cellStyle name="Total 2 3 2 12" xfId="1090"/>
    <cellStyle name="Total 2 3 2 13" xfId="1091"/>
    <cellStyle name="Total 2 3 2 14" xfId="1092"/>
    <cellStyle name="Total 2 3 2 15" xfId="1093"/>
    <cellStyle name="Total 2 3 2 16" xfId="1094"/>
    <cellStyle name="Total 2 3 2 17" xfId="1095"/>
    <cellStyle name="Total 2 3 2 18" xfId="1096"/>
    <cellStyle name="Total 2 3 2 19" xfId="1097"/>
    <cellStyle name="Total 2 3 2 2" xfId="261"/>
    <cellStyle name="Total 2 3 2 2 2" xfId="1098"/>
    <cellStyle name="Total 2 3 2 20" xfId="1087"/>
    <cellStyle name="Total 2 3 2 3" xfId="405"/>
    <cellStyle name="Total 2 3 2 3 2" xfId="1099"/>
    <cellStyle name="Total 2 3 2 4" xfId="406"/>
    <cellStyle name="Total 2 3 2 4 2" xfId="1100"/>
    <cellStyle name="Total 2 3 2 5" xfId="407"/>
    <cellStyle name="Total 2 3 2 5 2" xfId="1101"/>
    <cellStyle name="Total 2 3 2 6" xfId="408"/>
    <cellStyle name="Total 2 3 2 6 2" xfId="1102"/>
    <cellStyle name="Total 2 3 2 7" xfId="1103"/>
    <cellStyle name="Total 2 3 2 8" xfId="1104"/>
    <cellStyle name="Total 2 3 2 9" xfId="1105"/>
    <cellStyle name="Total 2 3 20" xfId="1106"/>
    <cellStyle name="Total 2 3 21" xfId="1076"/>
    <cellStyle name="Total 2 3 3" xfId="238"/>
    <cellStyle name="Total 2 3 3 2" xfId="1107"/>
    <cellStyle name="Total 2 3 4" xfId="409"/>
    <cellStyle name="Total 2 3 4 2" xfId="1108"/>
    <cellStyle name="Total 2 3 5" xfId="410"/>
    <cellStyle name="Total 2 3 5 2" xfId="1109"/>
    <cellStyle name="Total 2 3 6" xfId="411"/>
    <cellStyle name="Total 2 3 6 2" xfId="1110"/>
    <cellStyle name="Total 2 3 7" xfId="412"/>
    <cellStyle name="Total 2 3 7 2" xfId="1111"/>
    <cellStyle name="Total 2 3 8" xfId="1112"/>
    <cellStyle name="Total 2 3 9" xfId="1113"/>
    <cellStyle name="Total 3 2" xfId="182"/>
    <cellStyle name="Total 3 2 10" xfId="1115"/>
    <cellStyle name="Total 3 2 11" xfId="1116"/>
    <cellStyle name="Total 3 2 12" xfId="1117"/>
    <cellStyle name="Total 3 2 13" xfId="1118"/>
    <cellStyle name="Total 3 2 14" xfId="1119"/>
    <cellStyle name="Total 3 2 15" xfId="1120"/>
    <cellStyle name="Total 3 2 16" xfId="1121"/>
    <cellStyle name="Total 3 2 17" xfId="1122"/>
    <cellStyle name="Total 3 2 18" xfId="1123"/>
    <cellStyle name="Total 3 2 19" xfId="1124"/>
    <cellStyle name="Total 3 2 2" xfId="207"/>
    <cellStyle name="Total 3 2 2 10" xfId="1126"/>
    <cellStyle name="Total 3 2 2 11" xfId="1127"/>
    <cellStyle name="Total 3 2 2 12" xfId="1128"/>
    <cellStyle name="Total 3 2 2 13" xfId="1129"/>
    <cellStyle name="Total 3 2 2 14" xfId="1130"/>
    <cellStyle name="Total 3 2 2 15" xfId="1131"/>
    <cellStyle name="Total 3 2 2 16" xfId="1132"/>
    <cellStyle name="Total 3 2 2 17" xfId="1133"/>
    <cellStyle name="Total 3 2 2 18" xfId="1134"/>
    <cellStyle name="Total 3 2 2 19" xfId="1135"/>
    <cellStyle name="Total 3 2 2 2" xfId="262"/>
    <cellStyle name="Total 3 2 2 2 2" xfId="1136"/>
    <cellStyle name="Total 3 2 2 20" xfId="1125"/>
    <cellStyle name="Total 3 2 2 3" xfId="413"/>
    <cellStyle name="Total 3 2 2 3 2" xfId="1137"/>
    <cellStyle name="Total 3 2 2 4" xfId="414"/>
    <cellStyle name="Total 3 2 2 4 2" xfId="1138"/>
    <cellStyle name="Total 3 2 2 5" xfId="415"/>
    <cellStyle name="Total 3 2 2 5 2" xfId="1139"/>
    <cellStyle name="Total 3 2 2 6" xfId="416"/>
    <cellStyle name="Total 3 2 2 6 2" xfId="1140"/>
    <cellStyle name="Total 3 2 2 7" xfId="1141"/>
    <cellStyle name="Total 3 2 2 8" xfId="1142"/>
    <cellStyle name="Total 3 2 2 9" xfId="1143"/>
    <cellStyle name="Total 3 2 20" xfId="1144"/>
    <cellStyle name="Total 3 2 21" xfId="1114"/>
    <cellStyle name="Total 3 2 3" xfId="239"/>
    <cellStyle name="Total 3 2 3 2" xfId="1145"/>
    <cellStyle name="Total 3 2 4" xfId="417"/>
    <cellStyle name="Total 3 2 4 2" xfId="1146"/>
    <cellStyle name="Total 3 2 5" xfId="418"/>
    <cellStyle name="Total 3 2 5 2" xfId="1147"/>
    <cellStyle name="Total 3 2 6" xfId="419"/>
    <cellStyle name="Total 3 2 6 2" xfId="1148"/>
    <cellStyle name="Total 3 2 7" xfId="420"/>
    <cellStyle name="Total 3 2 7 2" xfId="1149"/>
    <cellStyle name="Total 3 2 8" xfId="1150"/>
    <cellStyle name="Total 3 2 9" xfId="1151"/>
    <cellStyle name="Total 3 3" xfId="183"/>
    <cellStyle name="Total 3 3 10" xfId="1153"/>
    <cellStyle name="Total 3 3 11" xfId="1154"/>
    <cellStyle name="Total 3 3 12" xfId="1155"/>
    <cellStyle name="Total 3 3 13" xfId="1156"/>
    <cellStyle name="Total 3 3 14" xfId="1157"/>
    <cellStyle name="Total 3 3 15" xfId="1158"/>
    <cellStyle name="Total 3 3 16" xfId="1159"/>
    <cellStyle name="Total 3 3 17" xfId="1160"/>
    <cellStyle name="Total 3 3 18" xfId="1161"/>
    <cellStyle name="Total 3 3 19" xfId="1162"/>
    <cellStyle name="Total 3 3 2" xfId="208"/>
    <cellStyle name="Total 3 3 2 10" xfId="1164"/>
    <cellStyle name="Total 3 3 2 11" xfId="1165"/>
    <cellStyle name="Total 3 3 2 12" xfId="1166"/>
    <cellStyle name="Total 3 3 2 13" xfId="1167"/>
    <cellStyle name="Total 3 3 2 14" xfId="1168"/>
    <cellStyle name="Total 3 3 2 15" xfId="1169"/>
    <cellStyle name="Total 3 3 2 16" xfId="1170"/>
    <cellStyle name="Total 3 3 2 17" xfId="1171"/>
    <cellStyle name="Total 3 3 2 18" xfId="1172"/>
    <cellStyle name="Total 3 3 2 19" xfId="1173"/>
    <cellStyle name="Total 3 3 2 2" xfId="263"/>
    <cellStyle name="Total 3 3 2 2 2" xfId="1174"/>
    <cellStyle name="Total 3 3 2 20" xfId="1163"/>
    <cellStyle name="Total 3 3 2 3" xfId="421"/>
    <cellStyle name="Total 3 3 2 3 2" xfId="1175"/>
    <cellStyle name="Total 3 3 2 4" xfId="422"/>
    <cellStyle name="Total 3 3 2 4 2" xfId="1176"/>
    <cellStyle name="Total 3 3 2 5" xfId="423"/>
    <cellStyle name="Total 3 3 2 5 2" xfId="1177"/>
    <cellStyle name="Total 3 3 2 6" xfId="424"/>
    <cellStyle name="Total 3 3 2 6 2" xfId="1178"/>
    <cellStyle name="Total 3 3 2 7" xfId="1179"/>
    <cellStyle name="Total 3 3 2 8" xfId="1180"/>
    <cellStyle name="Total 3 3 2 9" xfId="1181"/>
    <cellStyle name="Total 3 3 20" xfId="1182"/>
    <cellStyle name="Total 3 3 21" xfId="1152"/>
    <cellStyle name="Total 3 3 3" xfId="240"/>
    <cellStyle name="Total 3 3 3 2" xfId="1183"/>
    <cellStyle name="Total 3 3 4" xfId="425"/>
    <cellStyle name="Total 3 3 4 2" xfId="1184"/>
    <cellStyle name="Total 3 3 5" xfId="426"/>
    <cellStyle name="Total 3 3 5 2" xfId="1185"/>
    <cellStyle name="Total 3 3 6" xfId="427"/>
    <cellStyle name="Total 3 3 6 2" xfId="1186"/>
    <cellStyle name="Total 3 3 7" xfId="428"/>
    <cellStyle name="Total 3 3 7 2" xfId="1187"/>
    <cellStyle name="Total 3 3 8" xfId="1188"/>
    <cellStyle name="Total 3 3 9" xfId="1189"/>
    <cellStyle name="Warning Text 2 2" xfId="184"/>
    <cellStyle name="Warning Text 2 3" xfId="185"/>
    <cellStyle name="Warning Text 3 2" xfId="186"/>
    <cellStyle name="Warning Text 3 3" xfId="187"/>
  </cellStyles>
  <dxfs count="0"/>
  <tableStyles count="0" defaultTableStyle="TableStyleMedium9" defaultPivotStyle="PivotStyleLight16"/>
  <colors>
    <mruColors>
      <color rgb="FFFF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emo.gercin.org/uploaded/document/07c74229-5dc4-4406-89d3-25a82fa0931b.pdf" TargetMode="External"/><Relationship Id="rId2" Type="http://schemas.openxmlformats.org/officeDocument/2006/relationships/hyperlink" Target="https://www.incometaxindia.gov.in/Tutorials/2%20Tax%20Rates.pdf" TargetMode="External"/><Relationship Id="rId1" Type="http://schemas.openxmlformats.org/officeDocument/2006/relationships/hyperlink" Target="http://www.incometaxindia.gov.in/charts%20%20tables/depreciation%20rates.ht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imf.org/external/pubs/ft/weo/2018/02/weodata/weorept.aspx?sy=2016&amp;ey=2023&amp;scsm=1&amp;ssd=1&amp;sort=country&amp;ds=.&amp;br=1&amp;pr1.x=90&amp;pr1.y=2&amp;c=534&amp;s=PCPI%2CPCPIPCH%2CPCPIE%2CPCPIEPCH&amp;grp=0&amp;a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tabSelected="1" zoomScale="85" zoomScaleNormal="85" workbookViewId="0">
      <selection activeCell="B5" sqref="B5:E5"/>
    </sheetView>
  </sheetViews>
  <sheetFormatPr defaultColWidth="9.140625" defaultRowHeight="15"/>
  <cols>
    <col min="1" max="1" width="11.42578125" style="2" customWidth="1"/>
    <col min="2" max="2" width="46.28515625" style="2" customWidth="1"/>
    <col min="3" max="3" width="20.140625" style="3" bestFit="1" customWidth="1"/>
    <col min="4" max="5" width="46.28515625" style="186" customWidth="1"/>
    <col min="6" max="6" width="9.140625" style="2"/>
    <col min="7" max="7" width="9.5703125" style="2" bestFit="1" customWidth="1"/>
    <col min="8" max="16384" width="9.140625" style="2"/>
  </cols>
  <sheetData>
    <row r="1" spans="2:11" ht="15.75" thickBot="1"/>
    <row r="2" spans="2:11">
      <c r="B2" s="367" t="s">
        <v>167</v>
      </c>
      <c r="C2" s="368"/>
      <c r="D2" s="187" t="s">
        <v>1</v>
      </c>
      <c r="E2" s="196" t="s">
        <v>2</v>
      </c>
    </row>
    <row r="3" spans="2:11" ht="15.75" thickBot="1">
      <c r="B3" s="369"/>
      <c r="C3" s="370"/>
      <c r="D3" s="188">
        <f>Sensitivity!C13</f>
        <v>8.2633623480796822E-2</v>
      </c>
      <c r="E3" s="197">
        <f>Sensitivity!E13</f>
        <v>0.14166229400000008</v>
      </c>
    </row>
    <row r="4" spans="2:11" s="7" customFormat="1" ht="15.75" thickBot="1">
      <c r="B4" s="5"/>
      <c r="C4" s="5"/>
      <c r="D4" s="189"/>
      <c r="E4" s="189"/>
      <c r="F4" s="316"/>
      <c r="G4" s="316"/>
      <c r="H4" s="316"/>
      <c r="I4" s="316"/>
      <c r="J4" s="316"/>
      <c r="K4" s="316"/>
    </row>
    <row r="5" spans="2:11" ht="15.75" thickBot="1">
      <c r="B5" s="371" t="s">
        <v>3</v>
      </c>
      <c r="C5" s="372"/>
      <c r="D5" s="372"/>
      <c r="E5" s="373"/>
      <c r="F5" s="317"/>
      <c r="G5" s="317"/>
    </row>
    <row r="6" spans="2:11" ht="15.75" thickBot="1">
      <c r="B6" s="7"/>
      <c r="C6" s="8"/>
      <c r="D6" s="190"/>
      <c r="E6" s="198"/>
    </row>
    <row r="7" spans="2:11" s="4" customFormat="1">
      <c r="B7" s="251" t="s">
        <v>4</v>
      </c>
      <c r="C7" s="252"/>
      <c r="D7" s="253" t="s">
        <v>5</v>
      </c>
      <c r="E7" s="254" t="s">
        <v>6</v>
      </c>
    </row>
    <row r="8" spans="2:11" s="4" customFormat="1">
      <c r="B8" s="231" t="s">
        <v>7</v>
      </c>
      <c r="C8" s="325" t="s">
        <v>168</v>
      </c>
      <c r="D8" s="300"/>
      <c r="E8" s="299"/>
    </row>
    <row r="9" spans="2:11" s="4" customFormat="1">
      <c r="B9" s="231" t="s">
        <v>172</v>
      </c>
      <c r="C9" s="322">
        <v>35</v>
      </c>
      <c r="D9" s="300" t="s">
        <v>158</v>
      </c>
      <c r="E9" s="299"/>
    </row>
    <row r="10" spans="2:11" s="4" customFormat="1">
      <c r="B10" s="231" t="s">
        <v>173</v>
      </c>
      <c r="C10" s="322">
        <v>40</v>
      </c>
      <c r="D10" s="300" t="s">
        <v>158</v>
      </c>
      <c r="E10" s="299"/>
    </row>
    <row r="11" spans="2:11" s="4" customFormat="1">
      <c r="B11" s="231" t="s">
        <v>174</v>
      </c>
      <c r="C11" s="322">
        <v>45</v>
      </c>
      <c r="D11" s="300" t="s">
        <v>158</v>
      </c>
      <c r="E11" s="299"/>
    </row>
    <row r="12" spans="2:11" s="4" customFormat="1">
      <c r="B12" s="231" t="s">
        <v>155</v>
      </c>
      <c r="C12" s="322">
        <v>120</v>
      </c>
      <c r="D12" s="300" t="s">
        <v>158</v>
      </c>
      <c r="E12" s="299"/>
    </row>
    <row r="13" spans="2:11" s="4" customFormat="1">
      <c r="B13" s="231" t="s">
        <v>160</v>
      </c>
      <c r="C13" s="333">
        <v>175.34</v>
      </c>
      <c r="D13" s="300" t="s">
        <v>158</v>
      </c>
      <c r="E13" s="299"/>
    </row>
    <row r="14" spans="2:11" s="4" customFormat="1">
      <c r="B14" s="231" t="s">
        <v>0</v>
      </c>
      <c r="C14" s="326">
        <v>44196</v>
      </c>
      <c r="D14" s="300" t="s">
        <v>158</v>
      </c>
      <c r="E14" s="299"/>
    </row>
    <row r="15" spans="2:11" s="6" customFormat="1">
      <c r="B15" s="231" t="s">
        <v>82</v>
      </c>
      <c r="C15" s="327">
        <v>25</v>
      </c>
      <c r="D15" s="300" t="s">
        <v>158</v>
      </c>
      <c r="E15" s="328"/>
    </row>
    <row r="16" spans="2:11">
      <c r="B16" s="255" t="s">
        <v>8</v>
      </c>
      <c r="C16" s="329"/>
      <c r="D16" s="300"/>
      <c r="E16" s="299"/>
    </row>
    <row r="17" spans="2:5" s="4" customFormat="1">
      <c r="B17" s="231" t="s">
        <v>169</v>
      </c>
      <c r="C17" s="330">
        <f>28.59%*(1+Sensitivity!F7)</f>
        <v>0.28589999999999999</v>
      </c>
      <c r="D17" s="300" t="s">
        <v>158</v>
      </c>
      <c r="E17" s="299"/>
    </row>
    <row r="18" spans="2:5" s="4" customFormat="1">
      <c r="B18" s="231" t="s">
        <v>170</v>
      </c>
      <c r="C18" s="342">
        <f>28.37%*(1+Sensitivity!F7)</f>
        <v>0.28370000000000001</v>
      </c>
      <c r="D18" s="300" t="s">
        <v>158</v>
      </c>
      <c r="E18" s="299"/>
    </row>
    <row r="19" spans="2:5" s="4" customFormat="1">
      <c r="B19" s="231" t="s">
        <v>171</v>
      </c>
      <c r="C19" s="342">
        <f>28.16%*(1+Sensitivity!F7)</f>
        <v>0.28160000000000002</v>
      </c>
      <c r="D19" s="300" t="s">
        <v>158</v>
      </c>
      <c r="E19" s="299"/>
    </row>
    <row r="20" spans="2:5" s="4" customFormat="1">
      <c r="B20" s="231" t="s">
        <v>165</v>
      </c>
      <c r="C20" s="327">
        <f>((C9*C17)+(C10*C18)+(C11*C19))*8760*1000</f>
        <v>298072140</v>
      </c>
      <c r="D20" s="300" t="s">
        <v>81</v>
      </c>
      <c r="E20" s="299"/>
    </row>
    <row r="21" spans="2:5" s="4" customFormat="1">
      <c r="B21" s="231" t="s">
        <v>166</v>
      </c>
      <c r="C21" s="342">
        <f>C20/1000/8760/C12</f>
        <v>0.28355416666666666</v>
      </c>
      <c r="D21" s="300" t="s">
        <v>81</v>
      </c>
      <c r="E21" s="299"/>
    </row>
    <row r="22" spans="2:5" s="4" customFormat="1">
      <c r="B22" s="231" t="s">
        <v>159</v>
      </c>
      <c r="C22" s="330">
        <v>7.0000000000000001E-3</v>
      </c>
      <c r="D22" s="300" t="s">
        <v>158</v>
      </c>
      <c r="E22" s="331"/>
    </row>
    <row r="23" spans="2:5" s="4" customFormat="1">
      <c r="B23" s="231" t="s">
        <v>100</v>
      </c>
      <c r="C23" s="332">
        <f>2.67*(1+Sensitivity!F10)</f>
        <v>2.67</v>
      </c>
      <c r="D23" s="300" t="s">
        <v>158</v>
      </c>
      <c r="E23" s="331"/>
    </row>
    <row r="24" spans="2:5">
      <c r="B24" s="255" t="s">
        <v>9</v>
      </c>
      <c r="C24" s="329"/>
      <c r="D24" s="300"/>
      <c r="E24" s="299"/>
    </row>
    <row r="25" spans="2:5" s="4" customFormat="1">
      <c r="B25" s="231" t="s">
        <v>83</v>
      </c>
      <c r="C25" s="333">
        <f>0.37*C13*(1+Sensitivity!F8)</f>
        <v>64.875799999999998</v>
      </c>
      <c r="D25" s="300" t="s">
        <v>158</v>
      </c>
      <c r="E25" s="299"/>
    </row>
    <row r="26" spans="2:5" s="4" customFormat="1">
      <c r="B26" s="231" t="s">
        <v>88</v>
      </c>
      <c r="C26" s="330">
        <v>0.05</v>
      </c>
      <c r="D26" s="300" t="s">
        <v>158</v>
      </c>
      <c r="E26" s="299"/>
    </row>
    <row r="27" spans="2:5" s="4" customFormat="1">
      <c r="B27" s="231" t="s">
        <v>89</v>
      </c>
      <c r="C27" s="333">
        <v>0</v>
      </c>
      <c r="D27" s="300"/>
      <c r="E27" s="299"/>
    </row>
    <row r="28" spans="2:5" s="4" customFormat="1">
      <c r="B28" s="231" t="s">
        <v>93</v>
      </c>
      <c r="C28" s="333">
        <v>0</v>
      </c>
      <c r="D28" s="300"/>
      <c r="E28" s="299"/>
    </row>
    <row r="29" spans="2:5">
      <c r="B29" s="255" t="s">
        <v>11</v>
      </c>
      <c r="C29" s="329"/>
      <c r="D29" s="300"/>
      <c r="E29" s="299"/>
    </row>
    <row r="30" spans="2:5" s="4" customFormat="1">
      <c r="B30" s="231" t="s">
        <v>84</v>
      </c>
      <c r="C30" s="334">
        <f>5650.9*(1+Sensitivity!F9)</f>
        <v>5650.9</v>
      </c>
      <c r="D30" s="300" t="s">
        <v>158</v>
      </c>
      <c r="E30" s="299"/>
    </row>
    <row r="31" spans="2:5" s="4" customFormat="1">
      <c r="B31" s="231" t="s">
        <v>86</v>
      </c>
      <c r="C31" s="334">
        <f>C30*C34</f>
        <v>1412.7249999999999</v>
      </c>
      <c r="D31" s="300" t="s">
        <v>158</v>
      </c>
      <c r="E31" s="299"/>
    </row>
    <row r="32" spans="2:5" s="4" customFormat="1">
      <c r="B32" s="231" t="s">
        <v>85</v>
      </c>
      <c r="C32" s="334">
        <f>C30-C31</f>
        <v>4238.1749999999993</v>
      </c>
      <c r="D32" s="300" t="s">
        <v>158</v>
      </c>
      <c r="E32" s="328"/>
    </row>
    <row r="33" spans="2:5">
      <c r="B33" s="255" t="s">
        <v>126</v>
      </c>
      <c r="C33" s="329"/>
      <c r="D33" s="300"/>
      <c r="E33" s="299"/>
    </row>
    <row r="34" spans="2:5">
      <c r="B34" s="231" t="s">
        <v>127</v>
      </c>
      <c r="C34" s="335">
        <v>0.25</v>
      </c>
      <c r="D34" s="300" t="s">
        <v>158</v>
      </c>
      <c r="E34" s="331"/>
    </row>
    <row r="35" spans="2:5" s="4" customFormat="1">
      <c r="B35" s="231" t="s">
        <v>85</v>
      </c>
      <c r="C35" s="332">
        <f>C32</f>
        <v>4238.1749999999993</v>
      </c>
      <c r="D35" s="300" t="s">
        <v>158</v>
      </c>
      <c r="E35" s="328"/>
    </row>
    <row r="36" spans="2:5" s="4" customFormat="1" ht="15" customHeight="1">
      <c r="B36" s="231" t="s">
        <v>128</v>
      </c>
      <c r="C36" s="335">
        <v>0.105</v>
      </c>
      <c r="D36" s="300" t="s">
        <v>158</v>
      </c>
      <c r="E36" s="328"/>
    </row>
    <row r="37" spans="2:5" s="4" customFormat="1">
      <c r="B37" s="231" t="s">
        <v>129</v>
      </c>
      <c r="C37" s="327">
        <v>80</v>
      </c>
      <c r="D37" s="300" t="s">
        <v>158</v>
      </c>
      <c r="E37" s="328"/>
    </row>
    <row r="38" spans="2:5" s="4" customFormat="1">
      <c r="B38" s="231" t="s">
        <v>130</v>
      </c>
      <c r="C38" s="327">
        <v>4</v>
      </c>
      <c r="D38" s="300" t="s">
        <v>158</v>
      </c>
      <c r="E38" s="328"/>
    </row>
    <row r="39" spans="2:5" s="4" customFormat="1">
      <c r="B39" s="231" t="s">
        <v>131</v>
      </c>
      <c r="C39" s="327">
        <f>C37-C38</f>
        <v>76</v>
      </c>
      <c r="D39" s="300" t="s">
        <v>81</v>
      </c>
      <c r="E39" s="328"/>
    </row>
    <row r="40" spans="2:5" s="4" customFormat="1">
      <c r="B40" s="231" t="s">
        <v>132</v>
      </c>
      <c r="C40" s="336">
        <f>C35/C39</f>
        <v>55.765460526315778</v>
      </c>
      <c r="D40" s="300" t="s">
        <v>81</v>
      </c>
      <c r="E40" s="299"/>
    </row>
    <row r="41" spans="2:5" s="4" customFormat="1">
      <c r="B41" s="231" t="s">
        <v>133</v>
      </c>
      <c r="C41" s="326">
        <f>DATE(YEAR(EOMONTH(C14,IF(C38=0,3,C38*3))),CEILING(MONTH(EOMONTH(C14,IF(C38=0,3,C38*3))),3)+1,0)</f>
        <v>44561</v>
      </c>
      <c r="D41" s="300" t="s">
        <v>134</v>
      </c>
      <c r="E41" s="299"/>
    </row>
    <row r="42" spans="2:5" s="4" customFormat="1">
      <c r="B42" s="255" t="s">
        <v>145</v>
      </c>
      <c r="C42" s="329"/>
      <c r="D42" s="300"/>
      <c r="E42" s="299"/>
    </row>
    <row r="43" spans="2:5" s="4" customFormat="1" ht="15" customHeight="1">
      <c r="B43" s="231" t="s">
        <v>152</v>
      </c>
      <c r="C43" s="327">
        <v>90</v>
      </c>
      <c r="D43" s="300" t="s">
        <v>158</v>
      </c>
      <c r="E43" s="299"/>
    </row>
    <row r="44" spans="2:5" s="4" customFormat="1">
      <c r="B44" s="231" t="s">
        <v>153</v>
      </c>
      <c r="C44" s="327">
        <v>30</v>
      </c>
      <c r="D44" s="300" t="s">
        <v>158</v>
      </c>
      <c r="E44" s="299"/>
    </row>
    <row r="45" spans="2:5" s="4" customFormat="1">
      <c r="B45" s="231" t="s">
        <v>146</v>
      </c>
      <c r="C45" s="335">
        <v>0.1125</v>
      </c>
      <c r="D45" s="300" t="s">
        <v>158</v>
      </c>
      <c r="E45" s="299"/>
    </row>
    <row r="46" spans="2:5">
      <c r="B46" s="255" t="s">
        <v>143</v>
      </c>
      <c r="C46" s="329"/>
      <c r="D46" s="300"/>
      <c r="E46" s="299"/>
    </row>
    <row r="47" spans="2:5">
      <c r="B47" s="232" t="s">
        <v>144</v>
      </c>
      <c r="C47" s="337">
        <v>0</v>
      </c>
      <c r="D47" s="300" t="s">
        <v>81</v>
      </c>
      <c r="E47" s="299"/>
    </row>
    <row r="48" spans="2:5">
      <c r="B48" s="232" t="s">
        <v>87</v>
      </c>
      <c r="C48" s="323">
        <f>C30-C47</f>
        <v>5650.9</v>
      </c>
      <c r="D48" s="300" t="s">
        <v>81</v>
      </c>
      <c r="E48" s="299"/>
    </row>
    <row r="49" spans="1:7" ht="30">
      <c r="B49" s="232" t="s">
        <v>97</v>
      </c>
      <c r="C49" s="330">
        <v>0.1</v>
      </c>
      <c r="D49" s="343" t="s">
        <v>186</v>
      </c>
      <c r="E49" s="331" t="s">
        <v>185</v>
      </c>
    </row>
    <row r="50" spans="1:7">
      <c r="B50" s="232" t="s">
        <v>98</v>
      </c>
      <c r="C50" s="323">
        <f>C48*C49</f>
        <v>565.09</v>
      </c>
      <c r="D50" s="300" t="s">
        <v>81</v>
      </c>
      <c r="E50" s="299"/>
    </row>
    <row r="51" spans="1:7">
      <c r="B51" s="233" t="s">
        <v>161</v>
      </c>
      <c r="C51" s="323">
        <f>C48-C50</f>
        <v>5085.8099999999995</v>
      </c>
      <c r="D51" s="300" t="s">
        <v>81</v>
      </c>
      <c r="E51" s="299"/>
    </row>
    <row r="52" spans="1:7" s="4" customFormat="1">
      <c r="B52" s="233" t="s">
        <v>136</v>
      </c>
      <c r="C52" s="323">
        <f>C50+C47</f>
        <v>565.09</v>
      </c>
      <c r="D52" s="300" t="s">
        <v>81</v>
      </c>
      <c r="E52" s="328"/>
      <c r="G52" s="293"/>
    </row>
    <row r="53" spans="1:7" s="249" customFormat="1">
      <c r="B53" s="256" t="s">
        <v>135</v>
      </c>
      <c r="C53" s="338"/>
      <c r="D53" s="300"/>
      <c r="E53" s="328"/>
    </row>
    <row r="54" spans="1:7" s="4" customFormat="1" ht="30">
      <c r="B54" s="233" t="s">
        <v>137</v>
      </c>
      <c r="C54" s="339">
        <v>7.6899999999999996E-2</v>
      </c>
      <c r="D54" s="300" t="s">
        <v>142</v>
      </c>
      <c r="E54" s="324" t="s">
        <v>141</v>
      </c>
    </row>
    <row r="55" spans="1:7">
      <c r="B55" s="255" t="s">
        <v>14</v>
      </c>
      <c r="C55" s="329"/>
      <c r="D55" s="300"/>
      <c r="E55" s="299"/>
    </row>
    <row r="56" spans="1:7" s="4" customFormat="1">
      <c r="B56" s="234" t="s">
        <v>15</v>
      </c>
      <c r="C56" s="332" t="s">
        <v>162</v>
      </c>
      <c r="D56" s="300"/>
      <c r="E56" s="299"/>
    </row>
    <row r="57" spans="1:7" s="4" customFormat="1" ht="15" customHeight="1">
      <c r="B57" s="234" t="s">
        <v>90</v>
      </c>
      <c r="C57" s="340">
        <v>0.3</v>
      </c>
      <c r="D57" s="377" t="s">
        <v>138</v>
      </c>
      <c r="E57" s="374" t="s">
        <v>163</v>
      </c>
    </row>
    <row r="58" spans="1:7" s="4" customFormat="1">
      <c r="B58" s="234" t="s">
        <v>91</v>
      </c>
      <c r="C58" s="340">
        <v>0.185</v>
      </c>
      <c r="D58" s="378"/>
      <c r="E58" s="375"/>
    </row>
    <row r="59" spans="1:7" s="4" customFormat="1" ht="15" customHeight="1">
      <c r="B59" s="234" t="s">
        <v>139</v>
      </c>
      <c r="C59" s="340">
        <v>0.12</v>
      </c>
      <c r="D59" s="378"/>
      <c r="E59" s="375"/>
    </row>
    <row r="60" spans="1:7" s="4" customFormat="1">
      <c r="B60" s="234" t="s">
        <v>164</v>
      </c>
      <c r="C60" s="340">
        <v>0.04</v>
      </c>
      <c r="D60" s="379"/>
      <c r="E60" s="376"/>
    </row>
    <row r="61" spans="1:7" s="4" customFormat="1">
      <c r="B61" s="255" t="s">
        <v>140</v>
      </c>
      <c r="C61" s="329"/>
      <c r="D61" s="300"/>
      <c r="E61" s="299"/>
    </row>
    <row r="62" spans="1:7" s="4" customFormat="1">
      <c r="B62" s="234" t="s">
        <v>90</v>
      </c>
      <c r="C62" s="340">
        <f>(C57+C57*$C$59)+(C57+C57*$C$59)*$C$60</f>
        <v>0.34943999999999997</v>
      </c>
      <c r="D62" s="300" t="s">
        <v>81</v>
      </c>
      <c r="E62" s="299"/>
    </row>
    <row r="63" spans="1:7" s="4" customFormat="1" ht="15.75" thickBot="1">
      <c r="B63" s="235" t="s">
        <v>91</v>
      </c>
      <c r="C63" s="341">
        <f>(C58+C58*$C$59)+(C58+C58*$C$59)*$C$60</f>
        <v>0.21548799999999999</v>
      </c>
      <c r="D63" s="236" t="s">
        <v>81</v>
      </c>
      <c r="E63" s="257"/>
    </row>
    <row r="64" spans="1:7" s="6" customFormat="1">
      <c r="A64" s="9"/>
      <c r="C64" s="10"/>
      <c r="D64" s="191"/>
      <c r="E64" s="186"/>
    </row>
    <row r="65" spans="3:3">
      <c r="C65" s="2"/>
    </row>
    <row r="66" spans="3:3">
      <c r="C66" s="2"/>
    </row>
    <row r="67" spans="3:3">
      <c r="C67" s="2"/>
    </row>
  </sheetData>
  <dataConsolidate/>
  <mergeCells count="4">
    <mergeCell ref="B2:C3"/>
    <mergeCell ref="B5:E5"/>
    <mergeCell ref="E57:E60"/>
    <mergeCell ref="D57:D60"/>
  </mergeCells>
  <phoneticPr fontId="35" type="noConversion"/>
  <hyperlinks>
    <hyperlink ref="E54" r:id="rId1"/>
    <hyperlink ref="E57" r:id="rId2"/>
    <hyperlink ref="E49" r:id="rId3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zoomScale="85" zoomScaleNormal="85" workbookViewId="0">
      <pane xSplit="2" ySplit="8" topLeftCell="C9" activePane="bottomRight" state="frozen"/>
      <selection pane="topRight"/>
      <selection pane="bottomLeft"/>
      <selection pane="bottomRight" activeCell="B4" sqref="B4:C4"/>
    </sheetView>
  </sheetViews>
  <sheetFormatPr defaultColWidth="9.140625" defaultRowHeight="15"/>
  <cols>
    <col min="1" max="1" width="5.140625" style="11" bestFit="1" customWidth="1"/>
    <col min="2" max="2" width="31.5703125" style="12" customWidth="1"/>
    <col min="3" max="24" width="11.42578125" style="12" customWidth="1"/>
    <col min="25" max="28" width="10.7109375" style="12" customWidth="1"/>
    <col min="29" max="50" width="11.85546875" style="12" customWidth="1"/>
    <col min="51" max="54" width="12.140625" style="12" customWidth="1"/>
    <col min="55" max="16384" width="9.140625" style="12"/>
  </cols>
  <sheetData>
    <row r="1" spans="1:29">
      <c r="E1" s="13"/>
      <c r="T1" s="14"/>
      <c r="U1" s="13"/>
      <c r="W1" s="15"/>
      <c r="X1" s="15"/>
    </row>
    <row r="2" spans="1:29">
      <c r="B2" s="16" t="s">
        <v>17</v>
      </c>
      <c r="C2" s="17" t="s">
        <v>184</v>
      </c>
      <c r="D2" s="16"/>
      <c r="T2" s="14"/>
      <c r="U2" s="13"/>
      <c r="W2" s="15"/>
      <c r="X2" s="15"/>
    </row>
    <row r="3" spans="1:29">
      <c r="T3" s="14"/>
      <c r="U3" s="13"/>
      <c r="W3" s="15"/>
      <c r="X3" s="15"/>
    </row>
    <row r="4" spans="1:29">
      <c r="B4" s="380" t="s">
        <v>103</v>
      </c>
      <c r="C4" s="381"/>
      <c r="L4" s="18"/>
      <c r="T4" s="14"/>
      <c r="U4" s="13"/>
      <c r="W4" s="15"/>
      <c r="X4" s="15"/>
    </row>
    <row r="5" spans="1:29" ht="15.75" thickBot="1"/>
    <row r="6" spans="1:29">
      <c r="B6" s="289" t="s">
        <v>15</v>
      </c>
      <c r="C6" s="48"/>
      <c r="D6" s="290" t="str">
        <f>IF(MONTH(D7)&gt;3,"FY "&amp;YEAR(D7)&amp;"-"&amp;RIGHT(YEAR(D7)+1,2),"FY "&amp;YEAR(D7)-1&amp;"-"&amp;RIGHT(YEAR(D7),2))</f>
        <v>FY 2020-21</v>
      </c>
      <c r="E6" s="290" t="str">
        <f t="shared" ref="E6:AC6" si="0">IF(MONTH(E7)&gt;3,"FY "&amp;YEAR(E7)&amp;"-"&amp;RIGHT(YEAR(E7)+1,2),"FY "&amp;YEAR(E7)-1&amp;"-"&amp;RIGHT(YEAR(E7),2))</f>
        <v>FY 2021-22</v>
      </c>
      <c r="F6" s="290" t="str">
        <f t="shared" si="0"/>
        <v>FY 2022-23</v>
      </c>
      <c r="G6" s="290" t="str">
        <f t="shared" si="0"/>
        <v>FY 2023-24</v>
      </c>
      <c r="H6" s="290" t="str">
        <f t="shared" si="0"/>
        <v>FY 2024-25</v>
      </c>
      <c r="I6" s="290" t="str">
        <f t="shared" si="0"/>
        <v>FY 2025-26</v>
      </c>
      <c r="J6" s="290" t="str">
        <f t="shared" si="0"/>
        <v>FY 2026-27</v>
      </c>
      <c r="K6" s="290" t="str">
        <f t="shared" si="0"/>
        <v>FY 2027-28</v>
      </c>
      <c r="L6" s="290" t="str">
        <f t="shared" si="0"/>
        <v>FY 2028-29</v>
      </c>
      <c r="M6" s="290" t="str">
        <f t="shared" si="0"/>
        <v>FY 2029-30</v>
      </c>
      <c r="N6" s="290" t="str">
        <f t="shared" si="0"/>
        <v>FY 2030-31</v>
      </c>
      <c r="O6" s="290" t="str">
        <f t="shared" si="0"/>
        <v>FY 2031-32</v>
      </c>
      <c r="P6" s="290" t="str">
        <f t="shared" si="0"/>
        <v>FY 2032-33</v>
      </c>
      <c r="Q6" s="290" t="str">
        <f t="shared" si="0"/>
        <v>FY 2033-34</v>
      </c>
      <c r="R6" s="290" t="str">
        <f t="shared" si="0"/>
        <v>FY 2034-35</v>
      </c>
      <c r="S6" s="290" t="str">
        <f t="shared" si="0"/>
        <v>FY 2035-36</v>
      </c>
      <c r="T6" s="290" t="str">
        <f t="shared" si="0"/>
        <v>FY 2036-37</v>
      </c>
      <c r="U6" s="290" t="str">
        <f t="shared" si="0"/>
        <v>FY 2037-38</v>
      </c>
      <c r="V6" s="290" t="str">
        <f t="shared" si="0"/>
        <v>FY 2038-39</v>
      </c>
      <c r="W6" s="290" t="str">
        <f t="shared" si="0"/>
        <v>FY 2039-40</v>
      </c>
      <c r="X6" s="290" t="str">
        <f t="shared" si="0"/>
        <v>FY 2040-41</v>
      </c>
      <c r="Y6" s="290" t="str">
        <f t="shared" si="0"/>
        <v>FY 2041-42</v>
      </c>
      <c r="Z6" s="290" t="str">
        <f t="shared" si="0"/>
        <v>FY 2042-43</v>
      </c>
      <c r="AA6" s="290" t="str">
        <f t="shared" si="0"/>
        <v>FY 2043-44</v>
      </c>
      <c r="AB6" s="290" t="str">
        <f t="shared" si="0"/>
        <v>FY 2044-45</v>
      </c>
      <c r="AC6" s="291" t="str">
        <f t="shared" si="0"/>
        <v>FY 2045-46</v>
      </c>
    </row>
    <row r="7" spans="1:29">
      <c r="A7" s="19"/>
      <c r="B7" s="287" t="s">
        <v>19</v>
      </c>
      <c r="C7" s="292">
        <f>Assumption!C14</f>
        <v>44196</v>
      </c>
      <c r="D7" s="286">
        <f>IF(MONTH(C7)&lt;=3,DATE(YEAR(C7),3,31),DATE(YEAR(C7)+1,3,31))</f>
        <v>44286</v>
      </c>
      <c r="E7" s="286">
        <f t="shared" ref="E7:AB7" si="1">DATE(YEAR(D7)+1,3,31)</f>
        <v>44651</v>
      </c>
      <c r="F7" s="286">
        <f t="shared" si="1"/>
        <v>45016</v>
      </c>
      <c r="G7" s="286">
        <f t="shared" si="1"/>
        <v>45382</v>
      </c>
      <c r="H7" s="286">
        <f t="shared" si="1"/>
        <v>45747</v>
      </c>
      <c r="I7" s="286">
        <f t="shared" si="1"/>
        <v>46112</v>
      </c>
      <c r="J7" s="286">
        <f t="shared" si="1"/>
        <v>46477</v>
      </c>
      <c r="K7" s="286">
        <f t="shared" si="1"/>
        <v>46843</v>
      </c>
      <c r="L7" s="286">
        <f t="shared" si="1"/>
        <v>47208</v>
      </c>
      <c r="M7" s="286">
        <f t="shared" si="1"/>
        <v>47573</v>
      </c>
      <c r="N7" s="286">
        <f t="shared" si="1"/>
        <v>47938</v>
      </c>
      <c r="O7" s="286">
        <f t="shared" si="1"/>
        <v>48304</v>
      </c>
      <c r="P7" s="286">
        <f t="shared" si="1"/>
        <v>48669</v>
      </c>
      <c r="Q7" s="286">
        <f t="shared" si="1"/>
        <v>49034</v>
      </c>
      <c r="R7" s="286">
        <f t="shared" si="1"/>
        <v>49399</v>
      </c>
      <c r="S7" s="286">
        <f t="shared" si="1"/>
        <v>49765</v>
      </c>
      <c r="T7" s="286">
        <f t="shared" si="1"/>
        <v>50130</v>
      </c>
      <c r="U7" s="286">
        <f t="shared" si="1"/>
        <v>50495</v>
      </c>
      <c r="V7" s="286">
        <f t="shared" si="1"/>
        <v>50860</v>
      </c>
      <c r="W7" s="286">
        <f t="shared" si="1"/>
        <v>51226</v>
      </c>
      <c r="X7" s="286">
        <f t="shared" si="1"/>
        <v>51591</v>
      </c>
      <c r="Y7" s="286">
        <f t="shared" si="1"/>
        <v>51956</v>
      </c>
      <c r="Z7" s="286">
        <f t="shared" si="1"/>
        <v>52321</v>
      </c>
      <c r="AA7" s="286">
        <f t="shared" si="1"/>
        <v>52687</v>
      </c>
      <c r="AB7" s="286">
        <f t="shared" si="1"/>
        <v>53052</v>
      </c>
      <c r="AC7" s="288">
        <f>IF(MONTH(H7)&lt;=3,DATE(YEAR(AB7)+1,MONTH(H7),DAY(H7)),DATE(YEAR(AB7),MONTH(H7),DAY(H7)))</f>
        <v>53417</v>
      </c>
    </row>
    <row r="8" spans="1:29" s="18" customFormat="1" ht="15.75" thickBot="1">
      <c r="A8" s="20"/>
      <c r="B8" s="21" t="s">
        <v>20</v>
      </c>
      <c r="C8" s="22"/>
      <c r="D8" s="23">
        <f>IF(D7=C7,0,1)</f>
        <v>1</v>
      </c>
      <c r="E8" s="22">
        <f>D8+1</f>
        <v>2</v>
      </c>
      <c r="F8" s="22">
        <f t="shared" ref="F8:AB8" si="2">E8+1</f>
        <v>3</v>
      </c>
      <c r="G8" s="22">
        <f t="shared" si="2"/>
        <v>4</v>
      </c>
      <c r="H8" s="22">
        <f t="shared" si="2"/>
        <v>5</v>
      </c>
      <c r="I8" s="22">
        <f t="shared" si="2"/>
        <v>6</v>
      </c>
      <c r="J8" s="22">
        <f t="shared" si="2"/>
        <v>7</v>
      </c>
      <c r="K8" s="22">
        <f t="shared" si="2"/>
        <v>8</v>
      </c>
      <c r="L8" s="22">
        <f t="shared" si="2"/>
        <v>9</v>
      </c>
      <c r="M8" s="22">
        <f t="shared" si="2"/>
        <v>10</v>
      </c>
      <c r="N8" s="22">
        <f t="shared" si="2"/>
        <v>11</v>
      </c>
      <c r="O8" s="22">
        <f t="shared" si="2"/>
        <v>12</v>
      </c>
      <c r="P8" s="22">
        <f t="shared" si="2"/>
        <v>13</v>
      </c>
      <c r="Q8" s="22">
        <f t="shared" si="2"/>
        <v>14</v>
      </c>
      <c r="R8" s="22">
        <f t="shared" si="2"/>
        <v>15</v>
      </c>
      <c r="S8" s="22">
        <f t="shared" si="2"/>
        <v>16</v>
      </c>
      <c r="T8" s="22">
        <f t="shared" si="2"/>
        <v>17</v>
      </c>
      <c r="U8" s="22">
        <f t="shared" si="2"/>
        <v>18</v>
      </c>
      <c r="V8" s="22">
        <f t="shared" si="2"/>
        <v>19</v>
      </c>
      <c r="W8" s="22">
        <f t="shared" si="2"/>
        <v>20</v>
      </c>
      <c r="X8" s="22">
        <f t="shared" si="2"/>
        <v>21</v>
      </c>
      <c r="Y8" s="22">
        <f t="shared" si="2"/>
        <v>22</v>
      </c>
      <c r="Z8" s="22">
        <f t="shared" si="2"/>
        <v>23</v>
      </c>
      <c r="AA8" s="22">
        <f t="shared" si="2"/>
        <v>24</v>
      </c>
      <c r="AB8" s="22">
        <f t="shared" si="2"/>
        <v>25</v>
      </c>
      <c r="AC8" s="24">
        <f>AB8+1</f>
        <v>26</v>
      </c>
    </row>
    <row r="9" spans="1:29" ht="15.75" thickBot="1"/>
    <row r="10" spans="1:29">
      <c r="B10" s="260" t="s">
        <v>104</v>
      </c>
      <c r="C10" s="48" t="s">
        <v>31</v>
      </c>
      <c r="D10" s="321">
        <f>Assumption!C35</f>
        <v>4238.1749999999993</v>
      </c>
    </row>
    <row r="11" spans="1:29">
      <c r="B11" s="294" t="s">
        <v>105</v>
      </c>
      <c r="C11" s="285" t="s">
        <v>106</v>
      </c>
      <c r="D11" s="295">
        <f>Assumption!C36</f>
        <v>0.105</v>
      </c>
    </row>
    <row r="12" spans="1:29">
      <c r="B12" s="294"/>
      <c r="C12" s="285" t="s">
        <v>107</v>
      </c>
      <c r="D12" s="296">
        <f>D11/4</f>
        <v>2.6249999999999999E-2</v>
      </c>
    </row>
    <row r="13" spans="1:29">
      <c r="B13" s="294" t="s">
        <v>108</v>
      </c>
      <c r="C13" s="285" t="s">
        <v>109</v>
      </c>
      <c r="D13" s="297">
        <f>Assumption!C37</f>
        <v>80</v>
      </c>
    </row>
    <row r="14" spans="1:29">
      <c r="B14" s="294" t="s">
        <v>110</v>
      </c>
      <c r="C14" s="285" t="s">
        <v>109</v>
      </c>
      <c r="D14" s="297">
        <f>Assumption!C38</f>
        <v>4</v>
      </c>
    </row>
    <row r="15" spans="1:29">
      <c r="B15" s="294" t="s">
        <v>111</v>
      </c>
      <c r="C15" s="285" t="s">
        <v>109</v>
      </c>
      <c r="D15" s="297">
        <f>Assumption!C39</f>
        <v>76</v>
      </c>
    </row>
    <row r="16" spans="1:29">
      <c r="B16" s="294" t="s">
        <v>112</v>
      </c>
      <c r="C16" s="285"/>
      <c r="D16" s="298">
        <f>Assumption!C14</f>
        <v>44196</v>
      </c>
    </row>
    <row r="17" spans="2:29">
      <c r="B17" s="294" t="s">
        <v>113</v>
      </c>
      <c r="C17" s="285" t="s">
        <v>31</v>
      </c>
      <c r="D17" s="261">
        <f>Assumption!C40</f>
        <v>55.765460526315778</v>
      </c>
    </row>
    <row r="18" spans="2:29" ht="15.75" thickBot="1">
      <c r="B18" s="262" t="s">
        <v>114</v>
      </c>
      <c r="C18" s="40"/>
      <c r="D18" s="263">
        <f>DATE(YEAR(EOMONTH($D$16,IF($D$14=0,3,$D$14*3))),CEILING(MONTH(EOMONTH($D$16,IF($D$14=0,3,$D$14*3))),3)+1,0)</f>
        <v>44561</v>
      </c>
    </row>
    <row r="19" spans="2:29" ht="15.75" thickBot="1">
      <c r="B19" s="46"/>
      <c r="C19" s="46"/>
      <c r="D19" s="264"/>
    </row>
    <row r="20" spans="2:29" ht="15.75" thickBot="1">
      <c r="B20" s="265" t="s">
        <v>115</v>
      </c>
      <c r="C20" s="266"/>
      <c r="D20" s="14"/>
    </row>
    <row r="21" spans="2:29">
      <c r="B21" s="267" t="s">
        <v>116</v>
      </c>
      <c r="C21" s="268"/>
      <c r="D21" s="269">
        <f>DATE(YEAR(D7)-1,6,30)</f>
        <v>44012</v>
      </c>
      <c r="E21" s="269">
        <f t="shared" ref="E21:AC21" si="3">DATE(YEAR(E7)-1,6,30)</f>
        <v>44377</v>
      </c>
      <c r="F21" s="269">
        <f t="shared" si="3"/>
        <v>44742</v>
      </c>
      <c r="G21" s="269">
        <f t="shared" si="3"/>
        <v>45107</v>
      </c>
      <c r="H21" s="269">
        <f t="shared" si="3"/>
        <v>45473</v>
      </c>
      <c r="I21" s="269">
        <f t="shared" si="3"/>
        <v>45838</v>
      </c>
      <c r="J21" s="269">
        <f t="shared" si="3"/>
        <v>46203</v>
      </c>
      <c r="K21" s="269">
        <f t="shared" si="3"/>
        <v>46568</v>
      </c>
      <c r="L21" s="269">
        <f t="shared" si="3"/>
        <v>46934</v>
      </c>
      <c r="M21" s="269">
        <f t="shared" si="3"/>
        <v>47299</v>
      </c>
      <c r="N21" s="269">
        <f t="shared" si="3"/>
        <v>47664</v>
      </c>
      <c r="O21" s="269">
        <f t="shared" si="3"/>
        <v>48029</v>
      </c>
      <c r="P21" s="269">
        <f t="shared" si="3"/>
        <v>48395</v>
      </c>
      <c r="Q21" s="269">
        <f t="shared" si="3"/>
        <v>48760</v>
      </c>
      <c r="R21" s="269">
        <f t="shared" si="3"/>
        <v>49125</v>
      </c>
      <c r="S21" s="269">
        <f t="shared" si="3"/>
        <v>49490</v>
      </c>
      <c r="T21" s="269">
        <f t="shared" si="3"/>
        <v>49856</v>
      </c>
      <c r="U21" s="269">
        <f t="shared" si="3"/>
        <v>50221</v>
      </c>
      <c r="V21" s="269">
        <f t="shared" si="3"/>
        <v>50586</v>
      </c>
      <c r="W21" s="269">
        <f t="shared" si="3"/>
        <v>50951</v>
      </c>
      <c r="X21" s="269">
        <f t="shared" si="3"/>
        <v>51317</v>
      </c>
      <c r="Y21" s="269">
        <f t="shared" si="3"/>
        <v>51682</v>
      </c>
      <c r="Z21" s="269">
        <f t="shared" si="3"/>
        <v>52047</v>
      </c>
      <c r="AA21" s="269">
        <f t="shared" si="3"/>
        <v>52412</v>
      </c>
      <c r="AB21" s="269">
        <f t="shared" si="3"/>
        <v>52778</v>
      </c>
      <c r="AC21" s="270">
        <f t="shared" si="3"/>
        <v>53143</v>
      </c>
    </row>
    <row r="22" spans="2:29">
      <c r="B22" s="98" t="s">
        <v>117</v>
      </c>
      <c r="C22" s="271"/>
      <c r="D22" s="272">
        <f>IF(AND(OR(MONTH($D$16)=5,MONTH($D$16)=4,MONTH($D$16)=3),YEAR(D21)=YEAR($D$16)),$D$10,0)</f>
        <v>0</v>
      </c>
      <c r="E22" s="272">
        <f>IF(AND(OR(MONTH($D$16)=5,MONTH($D$16)=4,MONTH($D$16)=3),YEAR(E21)=YEAR($D$16)),$D$10,D42)</f>
        <v>4238.1749999999993</v>
      </c>
      <c r="F22" s="272">
        <f t="shared" ref="F22:AC22" si="4">E42</f>
        <v>4126.6440789473672</v>
      </c>
      <c r="G22" s="272">
        <f t="shared" si="4"/>
        <v>3903.582236842105</v>
      </c>
      <c r="H22" s="272">
        <f t="shared" si="4"/>
        <v>3680.5203947368427</v>
      </c>
      <c r="I22" s="272">
        <f t="shared" si="4"/>
        <v>3457.4585526315805</v>
      </c>
      <c r="J22" s="272">
        <f t="shared" si="4"/>
        <v>3234.3967105263182</v>
      </c>
      <c r="K22" s="272">
        <f t="shared" si="4"/>
        <v>3011.3348684210559</v>
      </c>
      <c r="L22" s="272">
        <f t="shared" si="4"/>
        <v>2788.2730263157937</v>
      </c>
      <c r="M22" s="272">
        <f t="shared" si="4"/>
        <v>2565.2111842105314</v>
      </c>
      <c r="N22" s="272">
        <f t="shared" si="4"/>
        <v>2342.1493421052692</v>
      </c>
      <c r="O22" s="272">
        <f t="shared" si="4"/>
        <v>2119.0875000000069</v>
      </c>
      <c r="P22" s="272">
        <f t="shared" si="4"/>
        <v>1896.025657894744</v>
      </c>
      <c r="Q22" s="272">
        <f t="shared" si="4"/>
        <v>1672.9638157894808</v>
      </c>
      <c r="R22" s="272">
        <f t="shared" si="4"/>
        <v>1449.9019736842176</v>
      </c>
      <c r="S22" s="272">
        <f t="shared" si="4"/>
        <v>1226.8401315789545</v>
      </c>
      <c r="T22" s="272">
        <f t="shared" si="4"/>
        <v>1003.7782894736913</v>
      </c>
      <c r="U22" s="272">
        <f t="shared" si="4"/>
        <v>780.71644736842813</v>
      </c>
      <c r="V22" s="272">
        <f t="shared" si="4"/>
        <v>557.65460526316497</v>
      </c>
      <c r="W22" s="272">
        <f t="shared" si="4"/>
        <v>334.5927631579018</v>
      </c>
      <c r="X22" s="272">
        <f t="shared" si="4"/>
        <v>111.53092105263865</v>
      </c>
      <c r="Y22" s="272">
        <f t="shared" si="4"/>
        <v>0</v>
      </c>
      <c r="Z22" s="272">
        <f t="shared" si="4"/>
        <v>0</v>
      </c>
      <c r="AA22" s="272">
        <f t="shared" si="4"/>
        <v>0</v>
      </c>
      <c r="AB22" s="272">
        <f t="shared" si="4"/>
        <v>0</v>
      </c>
      <c r="AC22" s="54">
        <f t="shared" si="4"/>
        <v>0</v>
      </c>
    </row>
    <row r="23" spans="2:29">
      <c r="B23" s="98" t="s">
        <v>118</v>
      </c>
      <c r="C23" s="271"/>
      <c r="D23" s="272">
        <f>IF(D22&lt;=0,0,IF(AND(MONTH(D21)=MONTH($D$18),YEAR(D21)=YEAR($D$18)),$D$17,0))</f>
        <v>0</v>
      </c>
      <c r="E23" s="272">
        <f>IF(E22&lt;=0,0,IF(AND(MONTH(E21)=MONTH($D$18),YEAR(E21)=YEAR($D$18)),$D$17,D41))</f>
        <v>0</v>
      </c>
      <c r="F23" s="272">
        <f t="shared" ref="F23:AC23" si="5">IF(TRUNC(F22,2)&gt;=TRUNC(E41,2),E41,0)</f>
        <v>55.765460526315778</v>
      </c>
      <c r="G23" s="272">
        <f t="shared" si="5"/>
        <v>55.765460526315778</v>
      </c>
      <c r="H23" s="272">
        <f t="shared" si="5"/>
        <v>55.765460526315778</v>
      </c>
      <c r="I23" s="272">
        <f t="shared" si="5"/>
        <v>55.765460526315778</v>
      </c>
      <c r="J23" s="272">
        <f t="shared" si="5"/>
        <v>55.765460526315778</v>
      </c>
      <c r="K23" s="272">
        <f t="shared" si="5"/>
        <v>55.765460526315778</v>
      </c>
      <c r="L23" s="272">
        <f t="shared" si="5"/>
        <v>55.765460526315778</v>
      </c>
      <c r="M23" s="272">
        <f t="shared" si="5"/>
        <v>55.765460526315778</v>
      </c>
      <c r="N23" s="272">
        <f t="shared" si="5"/>
        <v>55.765460526315778</v>
      </c>
      <c r="O23" s="272">
        <f t="shared" si="5"/>
        <v>55.765460526315778</v>
      </c>
      <c r="P23" s="272">
        <f t="shared" si="5"/>
        <v>55.765460526315778</v>
      </c>
      <c r="Q23" s="272">
        <f t="shared" si="5"/>
        <v>55.765460526315778</v>
      </c>
      <c r="R23" s="272">
        <f t="shared" si="5"/>
        <v>55.765460526315778</v>
      </c>
      <c r="S23" s="272">
        <f t="shared" si="5"/>
        <v>55.765460526315778</v>
      </c>
      <c r="T23" s="272">
        <f t="shared" si="5"/>
        <v>55.765460526315778</v>
      </c>
      <c r="U23" s="272">
        <f t="shared" si="5"/>
        <v>55.765460526315778</v>
      </c>
      <c r="V23" s="272">
        <f t="shared" si="5"/>
        <v>55.765460526315778</v>
      </c>
      <c r="W23" s="272">
        <f t="shared" si="5"/>
        <v>55.765460526315778</v>
      </c>
      <c r="X23" s="272">
        <f t="shared" si="5"/>
        <v>55.765460526315778</v>
      </c>
      <c r="Y23" s="272">
        <f t="shared" si="5"/>
        <v>0</v>
      </c>
      <c r="Z23" s="272">
        <f t="shared" si="5"/>
        <v>0</v>
      </c>
      <c r="AA23" s="272">
        <f t="shared" si="5"/>
        <v>0</v>
      </c>
      <c r="AB23" s="272">
        <f t="shared" si="5"/>
        <v>0</v>
      </c>
      <c r="AC23" s="54">
        <f t="shared" si="5"/>
        <v>0</v>
      </c>
    </row>
    <row r="24" spans="2:29">
      <c r="B24" s="98" t="s">
        <v>119</v>
      </c>
      <c r="C24" s="271"/>
      <c r="D24" s="272">
        <f t="shared" ref="D24:M24" si="6">IF(TRUNC((D22-D23),2)&lt;TRUNC($D$17,2),0,D22-D23)</f>
        <v>0</v>
      </c>
      <c r="E24" s="272">
        <f t="shared" si="6"/>
        <v>4238.1749999999993</v>
      </c>
      <c r="F24" s="272">
        <f t="shared" si="6"/>
        <v>4070.8786184210517</v>
      </c>
      <c r="G24" s="272">
        <f t="shared" si="6"/>
        <v>3847.8167763157894</v>
      </c>
      <c r="H24" s="272">
        <f t="shared" si="6"/>
        <v>3624.7549342105272</v>
      </c>
      <c r="I24" s="272">
        <f t="shared" si="6"/>
        <v>3401.6930921052649</v>
      </c>
      <c r="J24" s="272">
        <f t="shared" si="6"/>
        <v>3178.6312500000026</v>
      </c>
      <c r="K24" s="272">
        <f t="shared" si="6"/>
        <v>2955.5694078947404</v>
      </c>
      <c r="L24" s="272">
        <f t="shared" si="6"/>
        <v>2732.5075657894781</v>
      </c>
      <c r="M24" s="272">
        <f t="shared" si="6"/>
        <v>2509.4457236842159</v>
      </c>
      <c r="N24" s="272">
        <f>IF(TRUNC((N22-N23),2)&lt;TRUNC($D$17,2),0,N22-N23)</f>
        <v>2286.3838815789536</v>
      </c>
      <c r="O24" s="272">
        <f t="shared" ref="O24:U24" si="7">IF(TRUNC((O22-O23),2)&lt;TRUNC($D$17,2),0,O22-O23)</f>
        <v>2063.3220394736913</v>
      </c>
      <c r="P24" s="272">
        <f t="shared" si="7"/>
        <v>1840.2601973684282</v>
      </c>
      <c r="Q24" s="272">
        <f t="shared" si="7"/>
        <v>1617.198355263165</v>
      </c>
      <c r="R24" s="272">
        <f t="shared" si="7"/>
        <v>1394.1365131579018</v>
      </c>
      <c r="S24" s="272">
        <f t="shared" si="7"/>
        <v>1171.0746710526387</v>
      </c>
      <c r="T24" s="272">
        <f t="shared" si="7"/>
        <v>948.01282894737551</v>
      </c>
      <c r="U24" s="272">
        <f t="shared" si="7"/>
        <v>724.95098684211234</v>
      </c>
      <c r="V24" s="272">
        <f t="shared" ref="V24:AC24" si="8">IF(TRUNC((V22-V23),2)&lt;TRUNC($D$17,2),0,V22-V23)</f>
        <v>501.88914473684918</v>
      </c>
      <c r="W24" s="272">
        <f t="shared" si="8"/>
        <v>278.82730263158601</v>
      </c>
      <c r="X24" s="272">
        <f t="shared" si="8"/>
        <v>55.765460526322869</v>
      </c>
      <c r="Y24" s="272">
        <f t="shared" si="8"/>
        <v>0</v>
      </c>
      <c r="Z24" s="272">
        <f t="shared" si="8"/>
        <v>0</v>
      </c>
      <c r="AA24" s="272">
        <f t="shared" si="8"/>
        <v>0</v>
      </c>
      <c r="AB24" s="272">
        <f t="shared" si="8"/>
        <v>0</v>
      </c>
      <c r="AC24" s="54">
        <f t="shared" si="8"/>
        <v>0</v>
      </c>
    </row>
    <row r="25" spans="2:29">
      <c r="B25" s="98" t="s">
        <v>120</v>
      </c>
      <c r="C25" s="271"/>
      <c r="D25" s="272">
        <f>IF(D22&lt;=0,0,D22*$D$11*3/12)</f>
        <v>0</v>
      </c>
      <c r="E25" s="272">
        <f t="shared" ref="E25:AC25" si="9">IF(E22&lt;=0,0,E22*$D$11*3/12)</f>
        <v>111.25209374999997</v>
      </c>
      <c r="F25" s="272">
        <f t="shared" si="9"/>
        <v>108.32440707236839</v>
      </c>
      <c r="G25" s="272">
        <f t="shared" si="9"/>
        <v>102.46903371710523</v>
      </c>
      <c r="H25" s="272">
        <f t="shared" si="9"/>
        <v>96.613660361842122</v>
      </c>
      <c r="I25" s="272">
        <f t="shared" si="9"/>
        <v>90.758287006578982</v>
      </c>
      <c r="J25" s="272">
        <f t="shared" si="9"/>
        <v>84.902913651315856</v>
      </c>
      <c r="K25" s="272">
        <f t="shared" si="9"/>
        <v>79.047540296052716</v>
      </c>
      <c r="L25" s="272">
        <f t="shared" si="9"/>
        <v>73.192166940789576</v>
      </c>
      <c r="M25" s="272">
        <f t="shared" si="9"/>
        <v>67.336793585526451</v>
      </c>
      <c r="N25" s="272">
        <f t="shared" si="9"/>
        <v>61.481420230263303</v>
      </c>
      <c r="O25" s="272">
        <f t="shared" si="9"/>
        <v>55.626046875000178</v>
      </c>
      <c r="P25" s="272">
        <f t="shared" si="9"/>
        <v>49.770673519737024</v>
      </c>
      <c r="Q25" s="272">
        <f t="shared" si="9"/>
        <v>43.915300164473869</v>
      </c>
      <c r="R25" s="272">
        <f t="shared" si="9"/>
        <v>38.059926809210708</v>
      </c>
      <c r="S25" s="272">
        <f t="shared" si="9"/>
        <v>32.204553453947554</v>
      </c>
      <c r="T25" s="272">
        <f t="shared" si="9"/>
        <v>26.349180098684396</v>
      </c>
      <c r="U25" s="272">
        <f t="shared" si="9"/>
        <v>20.493806743421239</v>
      </c>
      <c r="V25" s="272">
        <f t="shared" si="9"/>
        <v>14.638433388158079</v>
      </c>
      <c r="W25" s="272">
        <f t="shared" si="9"/>
        <v>8.7830600328949213</v>
      </c>
      <c r="X25" s="272">
        <f t="shared" si="9"/>
        <v>2.927686677631764</v>
      </c>
      <c r="Y25" s="272">
        <f t="shared" si="9"/>
        <v>0</v>
      </c>
      <c r="Z25" s="272">
        <f t="shared" si="9"/>
        <v>0</v>
      </c>
      <c r="AA25" s="272">
        <f t="shared" si="9"/>
        <v>0</v>
      </c>
      <c r="AB25" s="272">
        <f t="shared" si="9"/>
        <v>0</v>
      </c>
      <c r="AC25" s="54">
        <f t="shared" si="9"/>
        <v>0</v>
      </c>
    </row>
    <row r="26" spans="2:29">
      <c r="B26" s="98"/>
      <c r="C26" s="271"/>
      <c r="D26" s="272"/>
      <c r="E26" s="272"/>
      <c r="F26" s="272"/>
      <c r="G26" s="272"/>
      <c r="H26" s="272"/>
      <c r="I26" s="272"/>
      <c r="J26" s="272"/>
      <c r="K26" s="272"/>
      <c r="L26" s="272"/>
      <c r="M26" s="272"/>
      <c r="N26" s="272"/>
      <c r="O26" s="272"/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272"/>
      <c r="AA26" s="272"/>
      <c r="AB26" s="272"/>
      <c r="AC26" s="54"/>
    </row>
    <row r="27" spans="2:29">
      <c r="B27" s="273" t="s">
        <v>121</v>
      </c>
      <c r="C27" s="274"/>
      <c r="D27" s="275">
        <f t="shared" ref="D27:AC27" si="10">DATE(YEAR(D7)-1,9,30)</f>
        <v>44104</v>
      </c>
      <c r="E27" s="275">
        <f t="shared" si="10"/>
        <v>44469</v>
      </c>
      <c r="F27" s="275">
        <f t="shared" si="10"/>
        <v>44834</v>
      </c>
      <c r="G27" s="275">
        <f t="shared" si="10"/>
        <v>45199</v>
      </c>
      <c r="H27" s="275">
        <f t="shared" si="10"/>
        <v>45565</v>
      </c>
      <c r="I27" s="275">
        <f t="shared" si="10"/>
        <v>45930</v>
      </c>
      <c r="J27" s="275">
        <f t="shared" si="10"/>
        <v>46295</v>
      </c>
      <c r="K27" s="275">
        <f t="shared" si="10"/>
        <v>46660</v>
      </c>
      <c r="L27" s="275">
        <f t="shared" si="10"/>
        <v>47026</v>
      </c>
      <c r="M27" s="275">
        <f t="shared" si="10"/>
        <v>47391</v>
      </c>
      <c r="N27" s="275">
        <f t="shared" si="10"/>
        <v>47756</v>
      </c>
      <c r="O27" s="275">
        <f t="shared" si="10"/>
        <v>48121</v>
      </c>
      <c r="P27" s="275">
        <f t="shared" si="10"/>
        <v>48487</v>
      </c>
      <c r="Q27" s="275">
        <f t="shared" si="10"/>
        <v>48852</v>
      </c>
      <c r="R27" s="275">
        <f t="shared" si="10"/>
        <v>49217</v>
      </c>
      <c r="S27" s="275">
        <f t="shared" si="10"/>
        <v>49582</v>
      </c>
      <c r="T27" s="275">
        <f t="shared" si="10"/>
        <v>49948</v>
      </c>
      <c r="U27" s="275">
        <f t="shared" si="10"/>
        <v>50313</v>
      </c>
      <c r="V27" s="275">
        <f t="shared" si="10"/>
        <v>50678</v>
      </c>
      <c r="W27" s="275">
        <f t="shared" si="10"/>
        <v>51043</v>
      </c>
      <c r="X27" s="275">
        <f t="shared" si="10"/>
        <v>51409</v>
      </c>
      <c r="Y27" s="275">
        <f t="shared" si="10"/>
        <v>51774</v>
      </c>
      <c r="Z27" s="275">
        <f t="shared" si="10"/>
        <v>52139</v>
      </c>
      <c r="AA27" s="275">
        <f t="shared" si="10"/>
        <v>52504</v>
      </c>
      <c r="AB27" s="275">
        <f t="shared" si="10"/>
        <v>52870</v>
      </c>
      <c r="AC27" s="276">
        <f t="shared" si="10"/>
        <v>53235</v>
      </c>
    </row>
    <row r="28" spans="2:29">
      <c r="B28" s="98" t="s">
        <v>117</v>
      </c>
      <c r="C28" s="271"/>
      <c r="D28" s="272">
        <f>IF(AND(OR(MONTH($D$16)=8,MONTH($D$16)=7,MONTH($D$16)=6),YEAR(D27)=YEAR($D$16)),$D$10,D24)</f>
        <v>0</v>
      </c>
      <c r="E28" s="272">
        <f>IF(AND(OR(MONTH($D$16)=8,MONTH($D$16)=7,MONTH($D$16)=6),YEAR(E27)=YEAR($D$16)),$D$10,E24)</f>
        <v>4238.1749999999993</v>
      </c>
      <c r="F28" s="272">
        <f t="shared" ref="F28:M28" si="11">F24</f>
        <v>4070.8786184210517</v>
      </c>
      <c r="G28" s="272">
        <f t="shared" si="11"/>
        <v>3847.8167763157894</v>
      </c>
      <c r="H28" s="272">
        <f t="shared" si="11"/>
        <v>3624.7549342105272</v>
      </c>
      <c r="I28" s="272">
        <f t="shared" si="11"/>
        <v>3401.6930921052649</v>
      </c>
      <c r="J28" s="272">
        <f t="shared" si="11"/>
        <v>3178.6312500000026</v>
      </c>
      <c r="K28" s="272">
        <f t="shared" si="11"/>
        <v>2955.5694078947404</v>
      </c>
      <c r="L28" s="272">
        <f t="shared" si="11"/>
        <v>2732.5075657894781</v>
      </c>
      <c r="M28" s="272">
        <f t="shared" si="11"/>
        <v>2509.4457236842159</v>
      </c>
      <c r="N28" s="272">
        <f>N24</f>
        <v>2286.3838815789536</v>
      </c>
      <c r="O28" s="272">
        <f t="shared" ref="O28:U28" si="12">O24</f>
        <v>2063.3220394736913</v>
      </c>
      <c r="P28" s="272">
        <f t="shared" si="12"/>
        <v>1840.2601973684282</v>
      </c>
      <c r="Q28" s="272">
        <f t="shared" si="12"/>
        <v>1617.198355263165</v>
      </c>
      <c r="R28" s="272">
        <f t="shared" si="12"/>
        <v>1394.1365131579018</v>
      </c>
      <c r="S28" s="272">
        <f t="shared" si="12"/>
        <v>1171.0746710526387</v>
      </c>
      <c r="T28" s="272">
        <f t="shared" si="12"/>
        <v>948.01282894737551</v>
      </c>
      <c r="U28" s="272">
        <f t="shared" si="12"/>
        <v>724.95098684211234</v>
      </c>
      <c r="V28" s="272">
        <f t="shared" ref="V28:AC28" si="13">V24</f>
        <v>501.88914473684918</v>
      </c>
      <c r="W28" s="272">
        <f t="shared" si="13"/>
        <v>278.82730263158601</v>
      </c>
      <c r="X28" s="272">
        <f t="shared" si="13"/>
        <v>55.765460526322869</v>
      </c>
      <c r="Y28" s="272">
        <f t="shared" si="13"/>
        <v>0</v>
      </c>
      <c r="Z28" s="272">
        <f t="shared" si="13"/>
        <v>0</v>
      </c>
      <c r="AA28" s="272">
        <f t="shared" si="13"/>
        <v>0</v>
      </c>
      <c r="AB28" s="272">
        <f t="shared" si="13"/>
        <v>0</v>
      </c>
      <c r="AC28" s="54">
        <f t="shared" si="13"/>
        <v>0</v>
      </c>
    </row>
    <row r="29" spans="2:29">
      <c r="B29" s="98" t="s">
        <v>118</v>
      </c>
      <c r="C29" s="271"/>
      <c r="D29" s="272">
        <f>IF(D28&lt;=0,0,IF(AND(MONTH(D27)=MONTH($D$18),YEAR(D27)=YEAR($D$18)),$D$17,D23))</f>
        <v>0</v>
      </c>
      <c r="E29" s="272">
        <f>IF(E28&lt;=0,0,IF(AND(MONTH(E27)=MONTH($D$18),YEAR(E27)=YEAR($D$18)),$D$17,E23))</f>
        <v>0</v>
      </c>
      <c r="F29" s="272">
        <f t="shared" ref="F29:AC29" si="14">IF(TRUNC(F28,2)&gt;=TRUNC(F23,2),F23,0)</f>
        <v>55.765460526315778</v>
      </c>
      <c r="G29" s="272">
        <f t="shared" si="14"/>
        <v>55.765460526315778</v>
      </c>
      <c r="H29" s="272">
        <f t="shared" si="14"/>
        <v>55.765460526315778</v>
      </c>
      <c r="I29" s="272">
        <f t="shared" si="14"/>
        <v>55.765460526315778</v>
      </c>
      <c r="J29" s="272">
        <f t="shared" si="14"/>
        <v>55.765460526315778</v>
      </c>
      <c r="K29" s="272">
        <f t="shared" si="14"/>
        <v>55.765460526315778</v>
      </c>
      <c r="L29" s="272">
        <f t="shared" si="14"/>
        <v>55.765460526315778</v>
      </c>
      <c r="M29" s="272">
        <f t="shared" si="14"/>
        <v>55.765460526315778</v>
      </c>
      <c r="N29" s="272">
        <f t="shared" si="14"/>
        <v>55.765460526315778</v>
      </c>
      <c r="O29" s="272">
        <f t="shared" si="14"/>
        <v>55.765460526315778</v>
      </c>
      <c r="P29" s="272">
        <f t="shared" si="14"/>
        <v>55.765460526315778</v>
      </c>
      <c r="Q29" s="272">
        <f t="shared" si="14"/>
        <v>55.765460526315778</v>
      </c>
      <c r="R29" s="272">
        <f t="shared" si="14"/>
        <v>55.765460526315778</v>
      </c>
      <c r="S29" s="272">
        <f t="shared" si="14"/>
        <v>55.765460526315778</v>
      </c>
      <c r="T29" s="272">
        <f t="shared" si="14"/>
        <v>55.765460526315778</v>
      </c>
      <c r="U29" s="272">
        <f t="shared" si="14"/>
        <v>55.765460526315778</v>
      </c>
      <c r="V29" s="272">
        <f t="shared" si="14"/>
        <v>55.765460526315778</v>
      </c>
      <c r="W29" s="272">
        <f t="shared" si="14"/>
        <v>55.765460526315778</v>
      </c>
      <c r="X29" s="272">
        <f t="shared" si="14"/>
        <v>55.765460526315778</v>
      </c>
      <c r="Y29" s="272">
        <f t="shared" si="14"/>
        <v>0</v>
      </c>
      <c r="Z29" s="272">
        <f t="shared" si="14"/>
        <v>0</v>
      </c>
      <c r="AA29" s="272">
        <f t="shared" si="14"/>
        <v>0</v>
      </c>
      <c r="AB29" s="272">
        <f t="shared" si="14"/>
        <v>0</v>
      </c>
      <c r="AC29" s="54">
        <f t="shared" si="14"/>
        <v>0</v>
      </c>
    </row>
    <row r="30" spans="2:29">
      <c r="B30" s="98" t="s">
        <v>119</v>
      </c>
      <c r="C30" s="271"/>
      <c r="D30" s="272">
        <f t="shared" ref="D30:M30" si="15">IF(TRUNC((D28-D29),2)&lt;TRUNC($D$17,2),0,D28-D29)</f>
        <v>0</v>
      </c>
      <c r="E30" s="272">
        <f t="shared" si="15"/>
        <v>4238.1749999999993</v>
      </c>
      <c r="F30" s="272">
        <f t="shared" si="15"/>
        <v>4015.1131578947361</v>
      </c>
      <c r="G30" s="272">
        <f t="shared" si="15"/>
        <v>3792.0513157894738</v>
      </c>
      <c r="H30" s="272">
        <f t="shared" si="15"/>
        <v>3568.9894736842116</v>
      </c>
      <c r="I30" s="272">
        <f t="shared" si="15"/>
        <v>3345.9276315789493</v>
      </c>
      <c r="J30" s="272">
        <f t="shared" si="15"/>
        <v>3122.8657894736871</v>
      </c>
      <c r="K30" s="272">
        <f t="shared" si="15"/>
        <v>2899.8039473684248</v>
      </c>
      <c r="L30" s="272">
        <f t="shared" si="15"/>
        <v>2676.7421052631626</v>
      </c>
      <c r="M30" s="272">
        <f t="shared" si="15"/>
        <v>2453.6802631579003</v>
      </c>
      <c r="N30" s="272">
        <f>IF(TRUNC((N28-N29),2)&lt;TRUNC($D$17,2),0,N28-N29)</f>
        <v>2230.618421052638</v>
      </c>
      <c r="O30" s="272">
        <f t="shared" ref="O30:U30" si="16">IF(TRUNC((O28-O29),2)&lt;TRUNC($D$17,2),0,O28-O29)</f>
        <v>2007.5565789473756</v>
      </c>
      <c r="P30" s="272">
        <f t="shared" si="16"/>
        <v>1784.4947368421124</v>
      </c>
      <c r="Q30" s="272">
        <f t="shared" si="16"/>
        <v>1561.4328947368492</v>
      </c>
      <c r="R30" s="272">
        <f t="shared" si="16"/>
        <v>1338.3710526315861</v>
      </c>
      <c r="S30" s="272">
        <f t="shared" si="16"/>
        <v>1115.3092105263229</v>
      </c>
      <c r="T30" s="272">
        <f t="shared" si="16"/>
        <v>892.24736842105972</v>
      </c>
      <c r="U30" s="272">
        <f t="shared" si="16"/>
        <v>669.18552631579655</v>
      </c>
      <c r="V30" s="272">
        <f t="shared" ref="V30:AC30" si="17">IF(TRUNC((V28-V29),2)&lt;TRUNC($D$17,2),0,V28-V29)</f>
        <v>446.12368421053338</v>
      </c>
      <c r="W30" s="272">
        <f t="shared" si="17"/>
        <v>223.06184210527022</v>
      </c>
      <c r="X30" s="272">
        <f t="shared" si="17"/>
        <v>0</v>
      </c>
      <c r="Y30" s="272">
        <f t="shared" si="17"/>
        <v>0</v>
      </c>
      <c r="Z30" s="272">
        <f t="shared" si="17"/>
        <v>0</v>
      </c>
      <c r="AA30" s="272">
        <f t="shared" si="17"/>
        <v>0</v>
      </c>
      <c r="AB30" s="272">
        <f t="shared" si="17"/>
        <v>0</v>
      </c>
      <c r="AC30" s="54">
        <f t="shared" si="17"/>
        <v>0</v>
      </c>
    </row>
    <row r="31" spans="2:29">
      <c r="B31" s="98" t="s">
        <v>120</v>
      </c>
      <c r="C31" s="271"/>
      <c r="D31" s="272">
        <f>IF(D28&lt;=0,0,D28*$D$11*3/12)</f>
        <v>0</v>
      </c>
      <c r="E31" s="272">
        <f t="shared" ref="E31:AC31" si="18">IF(E28&lt;=0,0,E28*$D$11*3/12)</f>
        <v>111.25209374999997</v>
      </c>
      <c r="F31" s="272">
        <f t="shared" si="18"/>
        <v>106.86056373355261</v>
      </c>
      <c r="G31" s="272">
        <f t="shared" si="18"/>
        <v>101.00519037828947</v>
      </c>
      <c r="H31" s="272">
        <f t="shared" si="18"/>
        <v>95.14981702302633</v>
      </c>
      <c r="I31" s="272">
        <f t="shared" si="18"/>
        <v>89.294443667763218</v>
      </c>
      <c r="J31" s="272">
        <f t="shared" si="18"/>
        <v>83.439070312500064</v>
      </c>
      <c r="K31" s="272">
        <f t="shared" si="18"/>
        <v>77.583696957236938</v>
      </c>
      <c r="L31" s="272">
        <f t="shared" si="18"/>
        <v>71.728323601973798</v>
      </c>
      <c r="M31" s="272">
        <f t="shared" si="18"/>
        <v>65.872950246710658</v>
      </c>
      <c r="N31" s="272">
        <f t="shared" si="18"/>
        <v>60.017576891447533</v>
      </c>
      <c r="O31" s="272">
        <f t="shared" si="18"/>
        <v>54.162203536184393</v>
      </c>
      <c r="P31" s="272">
        <f t="shared" si="18"/>
        <v>48.306830180921246</v>
      </c>
      <c r="Q31" s="272">
        <f t="shared" si="18"/>
        <v>42.451456825658077</v>
      </c>
      <c r="R31" s="272">
        <f t="shared" si="18"/>
        <v>36.596083470394923</v>
      </c>
      <c r="S31" s="272">
        <f t="shared" si="18"/>
        <v>30.740710115131765</v>
      </c>
      <c r="T31" s="272">
        <f t="shared" si="18"/>
        <v>24.885336759868608</v>
      </c>
      <c r="U31" s="272">
        <f t="shared" si="18"/>
        <v>19.02996340460545</v>
      </c>
      <c r="V31" s="272">
        <f t="shared" si="18"/>
        <v>13.17459004934229</v>
      </c>
      <c r="W31" s="272">
        <f t="shared" si="18"/>
        <v>7.3192166940791337</v>
      </c>
      <c r="X31" s="272">
        <f t="shared" si="18"/>
        <v>1.4638433388159753</v>
      </c>
      <c r="Y31" s="272">
        <f t="shared" si="18"/>
        <v>0</v>
      </c>
      <c r="Z31" s="272">
        <f t="shared" si="18"/>
        <v>0</v>
      </c>
      <c r="AA31" s="272">
        <f t="shared" si="18"/>
        <v>0</v>
      </c>
      <c r="AB31" s="272">
        <f t="shared" si="18"/>
        <v>0</v>
      </c>
      <c r="AC31" s="54">
        <f t="shared" si="18"/>
        <v>0</v>
      </c>
    </row>
    <row r="32" spans="2:29">
      <c r="B32" s="98"/>
      <c r="C32" s="271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272"/>
      <c r="X32" s="272"/>
      <c r="Y32" s="272"/>
      <c r="Z32" s="272"/>
      <c r="AA32" s="272"/>
      <c r="AB32" s="272"/>
      <c r="AC32" s="54"/>
    </row>
    <row r="33" spans="1:29">
      <c r="B33" s="273" t="s">
        <v>122</v>
      </c>
      <c r="C33" s="274"/>
      <c r="D33" s="275">
        <f t="shared" ref="D33:AC33" si="19">DATE(YEAR(D7)-1,12,31)</f>
        <v>44196</v>
      </c>
      <c r="E33" s="275">
        <f t="shared" si="19"/>
        <v>44561</v>
      </c>
      <c r="F33" s="275">
        <f t="shared" si="19"/>
        <v>44926</v>
      </c>
      <c r="G33" s="275">
        <f t="shared" si="19"/>
        <v>45291</v>
      </c>
      <c r="H33" s="275">
        <f t="shared" si="19"/>
        <v>45657</v>
      </c>
      <c r="I33" s="275">
        <f t="shared" si="19"/>
        <v>46022</v>
      </c>
      <c r="J33" s="275">
        <f t="shared" si="19"/>
        <v>46387</v>
      </c>
      <c r="K33" s="275">
        <f t="shared" si="19"/>
        <v>46752</v>
      </c>
      <c r="L33" s="275">
        <f t="shared" si="19"/>
        <v>47118</v>
      </c>
      <c r="M33" s="275">
        <f t="shared" si="19"/>
        <v>47483</v>
      </c>
      <c r="N33" s="275">
        <f t="shared" si="19"/>
        <v>47848</v>
      </c>
      <c r="O33" s="275">
        <f t="shared" si="19"/>
        <v>48213</v>
      </c>
      <c r="P33" s="275">
        <f t="shared" si="19"/>
        <v>48579</v>
      </c>
      <c r="Q33" s="275">
        <f t="shared" si="19"/>
        <v>48944</v>
      </c>
      <c r="R33" s="275">
        <f t="shared" si="19"/>
        <v>49309</v>
      </c>
      <c r="S33" s="275">
        <f t="shared" si="19"/>
        <v>49674</v>
      </c>
      <c r="T33" s="275">
        <f t="shared" si="19"/>
        <v>50040</v>
      </c>
      <c r="U33" s="275">
        <f t="shared" si="19"/>
        <v>50405</v>
      </c>
      <c r="V33" s="275">
        <f t="shared" si="19"/>
        <v>50770</v>
      </c>
      <c r="W33" s="275">
        <f t="shared" si="19"/>
        <v>51135</v>
      </c>
      <c r="X33" s="275">
        <f t="shared" si="19"/>
        <v>51501</v>
      </c>
      <c r="Y33" s="275">
        <f t="shared" si="19"/>
        <v>51866</v>
      </c>
      <c r="Z33" s="275">
        <f t="shared" si="19"/>
        <v>52231</v>
      </c>
      <c r="AA33" s="275">
        <f t="shared" si="19"/>
        <v>52596</v>
      </c>
      <c r="AB33" s="275">
        <f t="shared" si="19"/>
        <v>52962</v>
      </c>
      <c r="AC33" s="276">
        <f t="shared" si="19"/>
        <v>53327</v>
      </c>
    </row>
    <row r="34" spans="1:29">
      <c r="B34" s="98" t="s">
        <v>117</v>
      </c>
      <c r="C34" s="271"/>
      <c r="D34" s="272">
        <f>IF(AND(OR(MONTH($D$16)=11,MONTH($D$16)=10,MONTH($D$16)=9),YEAR(D33)=YEAR($D$16)),$D$10,D30)</f>
        <v>0</v>
      </c>
      <c r="E34" s="272">
        <f>IF(AND(OR(MONTH($D$16)=11,MONTH($D$16)=10,MONTH($D$16)=9),YEAR(E33)=YEAR($D$16)),$D$10,E30)</f>
        <v>4238.1749999999993</v>
      </c>
      <c r="F34" s="272">
        <f t="shared" ref="F34:M34" si="20">F30</f>
        <v>4015.1131578947361</v>
      </c>
      <c r="G34" s="272">
        <f t="shared" si="20"/>
        <v>3792.0513157894738</v>
      </c>
      <c r="H34" s="272">
        <f t="shared" si="20"/>
        <v>3568.9894736842116</v>
      </c>
      <c r="I34" s="272">
        <f t="shared" si="20"/>
        <v>3345.9276315789493</v>
      </c>
      <c r="J34" s="272">
        <f t="shared" si="20"/>
        <v>3122.8657894736871</v>
      </c>
      <c r="K34" s="272">
        <f t="shared" si="20"/>
        <v>2899.8039473684248</v>
      </c>
      <c r="L34" s="272">
        <f t="shared" si="20"/>
        <v>2676.7421052631626</v>
      </c>
      <c r="M34" s="272">
        <f t="shared" si="20"/>
        <v>2453.6802631579003</v>
      </c>
      <c r="N34" s="272">
        <f>N30</f>
        <v>2230.618421052638</v>
      </c>
      <c r="O34" s="272">
        <f t="shared" ref="O34:U34" si="21">O30</f>
        <v>2007.5565789473756</v>
      </c>
      <c r="P34" s="272">
        <f t="shared" si="21"/>
        <v>1784.4947368421124</v>
      </c>
      <c r="Q34" s="272">
        <f t="shared" si="21"/>
        <v>1561.4328947368492</v>
      </c>
      <c r="R34" s="272">
        <f t="shared" si="21"/>
        <v>1338.3710526315861</v>
      </c>
      <c r="S34" s="272">
        <f t="shared" si="21"/>
        <v>1115.3092105263229</v>
      </c>
      <c r="T34" s="272">
        <f t="shared" si="21"/>
        <v>892.24736842105972</v>
      </c>
      <c r="U34" s="272">
        <f t="shared" si="21"/>
        <v>669.18552631579655</v>
      </c>
      <c r="V34" s="272">
        <f t="shared" ref="V34:AC34" si="22">V30</f>
        <v>446.12368421053338</v>
      </c>
      <c r="W34" s="272">
        <f t="shared" si="22"/>
        <v>223.06184210527022</v>
      </c>
      <c r="X34" s="272">
        <f t="shared" si="22"/>
        <v>0</v>
      </c>
      <c r="Y34" s="272">
        <f t="shared" si="22"/>
        <v>0</v>
      </c>
      <c r="Z34" s="272">
        <f t="shared" si="22"/>
        <v>0</v>
      </c>
      <c r="AA34" s="272">
        <f t="shared" si="22"/>
        <v>0</v>
      </c>
      <c r="AB34" s="272">
        <f t="shared" si="22"/>
        <v>0</v>
      </c>
      <c r="AC34" s="54">
        <f t="shared" si="22"/>
        <v>0</v>
      </c>
    </row>
    <row r="35" spans="1:29">
      <c r="B35" s="98" t="s">
        <v>118</v>
      </c>
      <c r="C35" s="271"/>
      <c r="D35" s="272">
        <f>IF(D34&lt;=0,0,IF(AND(MONTH(D33)=MONTH($D$18),YEAR(D33)=YEAR($D$18)),$D$17,D29))</f>
        <v>0</v>
      </c>
      <c r="E35" s="272">
        <f>IF(E34&lt;=0,0,IF(AND(MONTH(E33)=MONTH($D$18),YEAR(E33)=YEAR($D$18)),$D$17,E29))</f>
        <v>55.765460526315778</v>
      </c>
      <c r="F35" s="272">
        <f t="shared" ref="F35:AC35" si="23">IF(TRUNC(F34,2)&gt;=TRUNC(F29,2),F29,0)</f>
        <v>55.765460526315778</v>
      </c>
      <c r="G35" s="272">
        <f t="shared" si="23"/>
        <v>55.765460526315778</v>
      </c>
      <c r="H35" s="272">
        <f t="shared" si="23"/>
        <v>55.765460526315778</v>
      </c>
      <c r="I35" s="272">
        <f t="shared" si="23"/>
        <v>55.765460526315778</v>
      </c>
      <c r="J35" s="272">
        <f t="shared" si="23"/>
        <v>55.765460526315778</v>
      </c>
      <c r="K35" s="272">
        <f t="shared" si="23"/>
        <v>55.765460526315778</v>
      </c>
      <c r="L35" s="272">
        <f t="shared" si="23"/>
        <v>55.765460526315778</v>
      </c>
      <c r="M35" s="272">
        <f t="shared" si="23"/>
        <v>55.765460526315778</v>
      </c>
      <c r="N35" s="272">
        <f t="shared" si="23"/>
        <v>55.765460526315778</v>
      </c>
      <c r="O35" s="272">
        <f t="shared" si="23"/>
        <v>55.765460526315778</v>
      </c>
      <c r="P35" s="272">
        <f t="shared" si="23"/>
        <v>55.765460526315778</v>
      </c>
      <c r="Q35" s="272">
        <f t="shared" si="23"/>
        <v>55.765460526315778</v>
      </c>
      <c r="R35" s="272">
        <f t="shared" si="23"/>
        <v>55.765460526315778</v>
      </c>
      <c r="S35" s="272">
        <f t="shared" si="23"/>
        <v>55.765460526315778</v>
      </c>
      <c r="T35" s="272">
        <f t="shared" si="23"/>
        <v>55.765460526315778</v>
      </c>
      <c r="U35" s="272">
        <f t="shared" si="23"/>
        <v>55.765460526315778</v>
      </c>
      <c r="V35" s="272">
        <f t="shared" si="23"/>
        <v>55.765460526315778</v>
      </c>
      <c r="W35" s="272">
        <f t="shared" si="23"/>
        <v>55.765460526315778</v>
      </c>
      <c r="X35" s="272">
        <f t="shared" si="23"/>
        <v>0</v>
      </c>
      <c r="Y35" s="272">
        <f t="shared" si="23"/>
        <v>0</v>
      </c>
      <c r="Z35" s="272">
        <f t="shared" si="23"/>
        <v>0</v>
      </c>
      <c r="AA35" s="272">
        <f t="shared" si="23"/>
        <v>0</v>
      </c>
      <c r="AB35" s="272">
        <f t="shared" si="23"/>
        <v>0</v>
      </c>
      <c r="AC35" s="54">
        <f t="shared" si="23"/>
        <v>0</v>
      </c>
    </row>
    <row r="36" spans="1:29">
      <c r="B36" s="98" t="s">
        <v>119</v>
      </c>
      <c r="C36" s="271"/>
      <c r="D36" s="272">
        <f t="shared" ref="D36:M36" si="24">IF(TRUNC((D34-D35),2)&lt;TRUNC($D$17,2),0,D34-D35)</f>
        <v>0</v>
      </c>
      <c r="E36" s="272">
        <f t="shared" si="24"/>
        <v>4182.4095394736833</v>
      </c>
      <c r="F36" s="272">
        <f t="shared" si="24"/>
        <v>3959.3476973684205</v>
      </c>
      <c r="G36" s="272">
        <f t="shared" si="24"/>
        <v>3736.2858552631583</v>
      </c>
      <c r="H36" s="272">
        <f t="shared" si="24"/>
        <v>3513.224013157896</v>
      </c>
      <c r="I36" s="272">
        <f t="shared" si="24"/>
        <v>3290.1621710526338</v>
      </c>
      <c r="J36" s="272">
        <f t="shared" si="24"/>
        <v>3067.1003289473715</v>
      </c>
      <c r="K36" s="272">
        <f t="shared" si="24"/>
        <v>2844.0384868421093</v>
      </c>
      <c r="L36" s="272">
        <f t="shared" si="24"/>
        <v>2620.976644736847</v>
      </c>
      <c r="M36" s="272">
        <f t="shared" si="24"/>
        <v>2397.9148026315847</v>
      </c>
      <c r="N36" s="272">
        <f>IF(TRUNC((N34-N35),2)&lt;TRUNC($D$17,2),0,N34-N35)</f>
        <v>2174.8529605263225</v>
      </c>
      <c r="O36" s="272">
        <f t="shared" ref="O36:U36" si="25">IF(TRUNC((O34-O35),2)&lt;TRUNC($D$17,2),0,O34-O35)</f>
        <v>1951.7911184210598</v>
      </c>
      <c r="P36" s="272">
        <f t="shared" si="25"/>
        <v>1728.7292763157966</v>
      </c>
      <c r="Q36" s="272">
        <f t="shared" si="25"/>
        <v>1505.6674342105334</v>
      </c>
      <c r="R36" s="272">
        <f t="shared" si="25"/>
        <v>1282.6055921052703</v>
      </c>
      <c r="S36" s="272">
        <f t="shared" si="25"/>
        <v>1059.5437500000071</v>
      </c>
      <c r="T36" s="272">
        <f t="shared" si="25"/>
        <v>836.48190789474393</v>
      </c>
      <c r="U36" s="272">
        <f t="shared" si="25"/>
        <v>613.42006578948076</v>
      </c>
      <c r="V36" s="272">
        <f t="shared" ref="V36:AC36" si="26">IF(TRUNC((V34-V35),2)&lt;TRUNC($D$17,2),0,V34-V35)</f>
        <v>390.35822368421759</v>
      </c>
      <c r="W36" s="272">
        <f t="shared" si="26"/>
        <v>167.29638157895442</v>
      </c>
      <c r="X36" s="272">
        <f t="shared" si="26"/>
        <v>0</v>
      </c>
      <c r="Y36" s="272">
        <f t="shared" si="26"/>
        <v>0</v>
      </c>
      <c r="Z36" s="272">
        <f t="shared" si="26"/>
        <v>0</v>
      </c>
      <c r="AA36" s="272">
        <f t="shared" si="26"/>
        <v>0</v>
      </c>
      <c r="AB36" s="272">
        <f t="shared" si="26"/>
        <v>0</v>
      </c>
      <c r="AC36" s="54">
        <f t="shared" si="26"/>
        <v>0</v>
      </c>
    </row>
    <row r="37" spans="1:29">
      <c r="B37" s="98" t="s">
        <v>120</v>
      </c>
      <c r="C37" s="271"/>
      <c r="D37" s="272">
        <f>IF(D34&lt;=0,0,D34*$D$11*3/12)</f>
        <v>0</v>
      </c>
      <c r="E37" s="272">
        <f t="shared" ref="E37:AC37" si="27">IF(E34&lt;=0,0,E34*$D$11*3/12)</f>
        <v>111.25209374999997</v>
      </c>
      <c r="F37" s="272">
        <f t="shared" si="27"/>
        <v>105.39672039473682</v>
      </c>
      <c r="G37" s="272">
        <f t="shared" si="27"/>
        <v>99.541347039473692</v>
      </c>
      <c r="H37" s="272">
        <f t="shared" si="27"/>
        <v>93.685973684210538</v>
      </c>
      <c r="I37" s="272">
        <f t="shared" si="27"/>
        <v>87.830600328947412</v>
      </c>
      <c r="J37" s="272">
        <f t="shared" si="27"/>
        <v>81.975226973684286</v>
      </c>
      <c r="K37" s="272">
        <f t="shared" si="27"/>
        <v>76.119853618421146</v>
      </c>
      <c r="L37" s="272">
        <f t="shared" si="27"/>
        <v>70.264480263158021</v>
      </c>
      <c r="M37" s="272">
        <f t="shared" si="27"/>
        <v>64.409106907894881</v>
      </c>
      <c r="N37" s="272">
        <f t="shared" si="27"/>
        <v>58.553733552631748</v>
      </c>
      <c r="O37" s="272">
        <f t="shared" si="27"/>
        <v>52.698360197368608</v>
      </c>
      <c r="P37" s="272">
        <f t="shared" si="27"/>
        <v>46.842986842105439</v>
      </c>
      <c r="Q37" s="272">
        <f t="shared" si="27"/>
        <v>40.987613486842292</v>
      </c>
      <c r="R37" s="272">
        <f t="shared" si="27"/>
        <v>35.132240131579131</v>
      </c>
      <c r="S37" s="272">
        <f t="shared" si="27"/>
        <v>29.276866776315973</v>
      </c>
      <c r="T37" s="272">
        <f t="shared" si="27"/>
        <v>23.421493421052816</v>
      </c>
      <c r="U37" s="272">
        <f t="shared" si="27"/>
        <v>17.566120065789658</v>
      </c>
      <c r="V37" s="272">
        <f t="shared" si="27"/>
        <v>11.7107467105265</v>
      </c>
      <c r="W37" s="272">
        <f t="shared" si="27"/>
        <v>5.8553733552633433</v>
      </c>
      <c r="X37" s="272">
        <f t="shared" si="27"/>
        <v>0</v>
      </c>
      <c r="Y37" s="272">
        <f t="shared" si="27"/>
        <v>0</v>
      </c>
      <c r="Z37" s="272">
        <f t="shared" si="27"/>
        <v>0</v>
      </c>
      <c r="AA37" s="272">
        <f t="shared" si="27"/>
        <v>0</v>
      </c>
      <c r="AB37" s="272">
        <f t="shared" si="27"/>
        <v>0</v>
      </c>
      <c r="AC37" s="54">
        <f t="shared" si="27"/>
        <v>0</v>
      </c>
    </row>
    <row r="38" spans="1:29">
      <c r="B38" s="98"/>
      <c r="C38" s="271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  <c r="O38" s="272"/>
      <c r="P38" s="272"/>
      <c r="Q38" s="272"/>
      <c r="R38" s="272"/>
      <c r="S38" s="272"/>
      <c r="T38" s="272"/>
      <c r="U38" s="272"/>
      <c r="V38" s="272"/>
      <c r="W38" s="272"/>
      <c r="X38" s="272"/>
      <c r="Y38" s="272"/>
      <c r="Z38" s="272"/>
      <c r="AA38" s="272"/>
      <c r="AB38" s="272"/>
      <c r="AC38" s="54"/>
    </row>
    <row r="39" spans="1:29">
      <c r="B39" s="273" t="s">
        <v>123</v>
      </c>
      <c r="C39" s="274"/>
      <c r="D39" s="275">
        <f t="shared" ref="D39:AC39" si="28">DATE(YEAR(D7),3,31)</f>
        <v>44286</v>
      </c>
      <c r="E39" s="275">
        <f t="shared" si="28"/>
        <v>44651</v>
      </c>
      <c r="F39" s="275">
        <f t="shared" si="28"/>
        <v>45016</v>
      </c>
      <c r="G39" s="275">
        <f t="shared" si="28"/>
        <v>45382</v>
      </c>
      <c r="H39" s="275">
        <f t="shared" si="28"/>
        <v>45747</v>
      </c>
      <c r="I39" s="275">
        <f t="shared" si="28"/>
        <v>46112</v>
      </c>
      <c r="J39" s="275">
        <f t="shared" si="28"/>
        <v>46477</v>
      </c>
      <c r="K39" s="275">
        <f t="shared" si="28"/>
        <v>46843</v>
      </c>
      <c r="L39" s="275">
        <f t="shared" si="28"/>
        <v>47208</v>
      </c>
      <c r="M39" s="275">
        <f t="shared" si="28"/>
        <v>47573</v>
      </c>
      <c r="N39" s="275">
        <f t="shared" si="28"/>
        <v>47938</v>
      </c>
      <c r="O39" s="275">
        <f t="shared" si="28"/>
        <v>48304</v>
      </c>
      <c r="P39" s="275">
        <f t="shared" si="28"/>
        <v>48669</v>
      </c>
      <c r="Q39" s="275">
        <f t="shared" si="28"/>
        <v>49034</v>
      </c>
      <c r="R39" s="275">
        <f t="shared" si="28"/>
        <v>49399</v>
      </c>
      <c r="S39" s="275">
        <f t="shared" si="28"/>
        <v>49765</v>
      </c>
      <c r="T39" s="275">
        <f t="shared" si="28"/>
        <v>50130</v>
      </c>
      <c r="U39" s="275">
        <f t="shared" si="28"/>
        <v>50495</v>
      </c>
      <c r="V39" s="275">
        <f t="shared" si="28"/>
        <v>50860</v>
      </c>
      <c r="W39" s="275">
        <f t="shared" si="28"/>
        <v>51226</v>
      </c>
      <c r="X39" s="275">
        <f t="shared" si="28"/>
        <v>51591</v>
      </c>
      <c r="Y39" s="275">
        <f t="shared" si="28"/>
        <v>51956</v>
      </c>
      <c r="Z39" s="275">
        <f t="shared" si="28"/>
        <v>52321</v>
      </c>
      <c r="AA39" s="275">
        <f t="shared" si="28"/>
        <v>52687</v>
      </c>
      <c r="AB39" s="275">
        <f t="shared" si="28"/>
        <v>53052</v>
      </c>
      <c r="AC39" s="276">
        <f t="shared" si="28"/>
        <v>53417</v>
      </c>
    </row>
    <row r="40" spans="1:29">
      <c r="B40" s="98" t="s">
        <v>117</v>
      </c>
      <c r="C40" s="271"/>
      <c r="D40" s="272">
        <f>IF(OR(AND(MONTH($D$16)=12,YEAR(D39)-1=YEAR($D$16)),AND(MONTH($D$16)=1,YEAR(D39)=YEAR($D$16)),AND(MONTH($D$16)=2,YEAR(D39)=YEAR($D$16))),$D$10,D36)</f>
        <v>4238.1749999999993</v>
      </c>
      <c r="E40" s="272">
        <f>IF(OR(AND(MONTH($D$16)=12,YEAR(E39)-1=YEAR($D$16)),AND(MONTH($D$16)=1,YEAR(E39)=YEAR($D$16)),AND(MONTH($D$16)=2,YEAR(E39)=YEAR($D$16))),$D$10,E36)</f>
        <v>4182.4095394736833</v>
      </c>
      <c r="F40" s="272">
        <f t="shared" ref="F40:M40" si="29">F36</f>
        <v>3959.3476973684205</v>
      </c>
      <c r="G40" s="272">
        <f t="shared" si="29"/>
        <v>3736.2858552631583</v>
      </c>
      <c r="H40" s="272">
        <f t="shared" si="29"/>
        <v>3513.224013157896</v>
      </c>
      <c r="I40" s="272">
        <f t="shared" si="29"/>
        <v>3290.1621710526338</v>
      </c>
      <c r="J40" s="272">
        <f t="shared" si="29"/>
        <v>3067.1003289473715</v>
      </c>
      <c r="K40" s="272">
        <f t="shared" si="29"/>
        <v>2844.0384868421093</v>
      </c>
      <c r="L40" s="272">
        <f t="shared" si="29"/>
        <v>2620.976644736847</v>
      </c>
      <c r="M40" s="272">
        <f t="shared" si="29"/>
        <v>2397.9148026315847</v>
      </c>
      <c r="N40" s="272">
        <f>N36</f>
        <v>2174.8529605263225</v>
      </c>
      <c r="O40" s="272">
        <f t="shared" ref="O40:U40" si="30">O36</f>
        <v>1951.7911184210598</v>
      </c>
      <c r="P40" s="272">
        <f t="shared" si="30"/>
        <v>1728.7292763157966</v>
      </c>
      <c r="Q40" s="272">
        <f t="shared" si="30"/>
        <v>1505.6674342105334</v>
      </c>
      <c r="R40" s="272">
        <f t="shared" si="30"/>
        <v>1282.6055921052703</v>
      </c>
      <c r="S40" s="272">
        <f t="shared" si="30"/>
        <v>1059.5437500000071</v>
      </c>
      <c r="T40" s="272">
        <f t="shared" si="30"/>
        <v>836.48190789474393</v>
      </c>
      <c r="U40" s="272">
        <f t="shared" si="30"/>
        <v>613.42006578948076</v>
      </c>
      <c r="V40" s="272">
        <f t="shared" ref="V40:AC40" si="31">V36</f>
        <v>390.35822368421759</v>
      </c>
      <c r="W40" s="272">
        <f t="shared" si="31"/>
        <v>167.29638157895442</v>
      </c>
      <c r="X40" s="272">
        <f t="shared" si="31"/>
        <v>0</v>
      </c>
      <c r="Y40" s="272">
        <f t="shared" si="31"/>
        <v>0</v>
      </c>
      <c r="Z40" s="272">
        <f t="shared" si="31"/>
        <v>0</v>
      </c>
      <c r="AA40" s="272">
        <f t="shared" si="31"/>
        <v>0</v>
      </c>
      <c r="AB40" s="272">
        <f t="shared" si="31"/>
        <v>0</v>
      </c>
      <c r="AC40" s="54">
        <f t="shared" si="31"/>
        <v>0</v>
      </c>
    </row>
    <row r="41" spans="1:29">
      <c r="B41" s="98" t="s">
        <v>118</v>
      </c>
      <c r="C41" s="271"/>
      <c r="D41" s="272">
        <f>IF(D40&lt;=0,0,IF(AND(MONTH(D39)=MONTH($D$18),YEAR(D39)=YEAR($D$18)),$D$17,D35))</f>
        <v>0</v>
      </c>
      <c r="E41" s="272">
        <f>IF(E40&lt;=0,0,IF(AND(MONTH(E39)=MONTH($D$18),YEAR(E39)=YEAR($D$18)),$D$17,E35))</f>
        <v>55.765460526315778</v>
      </c>
      <c r="F41" s="272">
        <f t="shared" ref="F41:AC41" si="32">IF(TRUNC(F40,2)&gt;=TRUNC(F35,2),F35,0)</f>
        <v>55.765460526315778</v>
      </c>
      <c r="G41" s="272">
        <f t="shared" si="32"/>
        <v>55.765460526315778</v>
      </c>
      <c r="H41" s="272">
        <f t="shared" si="32"/>
        <v>55.765460526315778</v>
      </c>
      <c r="I41" s="272">
        <f t="shared" si="32"/>
        <v>55.765460526315778</v>
      </c>
      <c r="J41" s="272">
        <f t="shared" si="32"/>
        <v>55.765460526315778</v>
      </c>
      <c r="K41" s="272">
        <f t="shared" si="32"/>
        <v>55.765460526315778</v>
      </c>
      <c r="L41" s="272">
        <f t="shared" si="32"/>
        <v>55.765460526315778</v>
      </c>
      <c r="M41" s="272">
        <f t="shared" si="32"/>
        <v>55.765460526315778</v>
      </c>
      <c r="N41" s="272">
        <f t="shared" si="32"/>
        <v>55.765460526315778</v>
      </c>
      <c r="O41" s="272">
        <f t="shared" si="32"/>
        <v>55.765460526315778</v>
      </c>
      <c r="P41" s="272">
        <f t="shared" si="32"/>
        <v>55.765460526315778</v>
      </c>
      <c r="Q41" s="272">
        <f t="shared" si="32"/>
        <v>55.765460526315778</v>
      </c>
      <c r="R41" s="272">
        <f t="shared" si="32"/>
        <v>55.765460526315778</v>
      </c>
      <c r="S41" s="272">
        <f t="shared" si="32"/>
        <v>55.765460526315778</v>
      </c>
      <c r="T41" s="272">
        <f t="shared" si="32"/>
        <v>55.765460526315778</v>
      </c>
      <c r="U41" s="272">
        <f t="shared" si="32"/>
        <v>55.765460526315778</v>
      </c>
      <c r="V41" s="272">
        <f t="shared" si="32"/>
        <v>55.765460526315778</v>
      </c>
      <c r="W41" s="272">
        <f t="shared" si="32"/>
        <v>55.765460526315778</v>
      </c>
      <c r="X41" s="272">
        <f t="shared" si="32"/>
        <v>0</v>
      </c>
      <c r="Y41" s="272">
        <f t="shared" si="32"/>
        <v>0</v>
      </c>
      <c r="Z41" s="272">
        <f t="shared" si="32"/>
        <v>0</v>
      </c>
      <c r="AA41" s="272">
        <f t="shared" si="32"/>
        <v>0</v>
      </c>
      <c r="AB41" s="272">
        <f t="shared" si="32"/>
        <v>0</v>
      </c>
      <c r="AC41" s="54">
        <f t="shared" si="32"/>
        <v>0</v>
      </c>
    </row>
    <row r="42" spans="1:29">
      <c r="B42" s="98" t="s">
        <v>119</v>
      </c>
      <c r="C42" s="271"/>
      <c r="D42" s="272">
        <f t="shared" ref="D42:M42" si="33">IF(TRUNC((D40-D41),2)&lt;TRUNC($D$17,2),0,D40-D41)</f>
        <v>4238.1749999999993</v>
      </c>
      <c r="E42" s="272">
        <f t="shared" si="33"/>
        <v>4126.6440789473672</v>
      </c>
      <c r="F42" s="272">
        <f t="shared" si="33"/>
        <v>3903.582236842105</v>
      </c>
      <c r="G42" s="272">
        <f t="shared" si="33"/>
        <v>3680.5203947368427</v>
      </c>
      <c r="H42" s="272">
        <f t="shared" si="33"/>
        <v>3457.4585526315805</v>
      </c>
      <c r="I42" s="272">
        <f t="shared" si="33"/>
        <v>3234.3967105263182</v>
      </c>
      <c r="J42" s="272">
        <f t="shared" si="33"/>
        <v>3011.3348684210559</v>
      </c>
      <c r="K42" s="272">
        <f t="shared" si="33"/>
        <v>2788.2730263157937</v>
      </c>
      <c r="L42" s="272">
        <f t="shared" si="33"/>
        <v>2565.2111842105314</v>
      </c>
      <c r="M42" s="272">
        <f t="shared" si="33"/>
        <v>2342.1493421052692</v>
      </c>
      <c r="N42" s="272">
        <f>IF(TRUNC((N40-N41),2)&lt;TRUNC($D$17,2),0,N40-N41)</f>
        <v>2119.0875000000069</v>
      </c>
      <c r="O42" s="272">
        <f t="shared" ref="O42:U42" si="34">IF(TRUNC((O40-O41),2)&lt;TRUNC($D$17,2),0,O40-O41)</f>
        <v>1896.025657894744</v>
      </c>
      <c r="P42" s="272">
        <f t="shared" si="34"/>
        <v>1672.9638157894808</v>
      </c>
      <c r="Q42" s="272">
        <f t="shared" si="34"/>
        <v>1449.9019736842176</v>
      </c>
      <c r="R42" s="272">
        <f t="shared" si="34"/>
        <v>1226.8401315789545</v>
      </c>
      <c r="S42" s="272">
        <f t="shared" si="34"/>
        <v>1003.7782894736913</v>
      </c>
      <c r="T42" s="272">
        <f t="shared" si="34"/>
        <v>780.71644736842813</v>
      </c>
      <c r="U42" s="272">
        <f t="shared" si="34"/>
        <v>557.65460526316497</v>
      </c>
      <c r="V42" s="272">
        <f t="shared" ref="V42:AC42" si="35">IF(TRUNC((V40-V41),2)&lt;TRUNC($D$17,2),0,V40-V41)</f>
        <v>334.5927631579018</v>
      </c>
      <c r="W42" s="272">
        <f t="shared" si="35"/>
        <v>111.53092105263865</v>
      </c>
      <c r="X42" s="272">
        <f t="shared" si="35"/>
        <v>0</v>
      </c>
      <c r="Y42" s="272">
        <f t="shared" si="35"/>
        <v>0</v>
      </c>
      <c r="Z42" s="272">
        <f t="shared" si="35"/>
        <v>0</v>
      </c>
      <c r="AA42" s="272">
        <f t="shared" si="35"/>
        <v>0</v>
      </c>
      <c r="AB42" s="272">
        <f t="shared" si="35"/>
        <v>0</v>
      </c>
      <c r="AC42" s="54">
        <f t="shared" si="35"/>
        <v>0</v>
      </c>
    </row>
    <row r="43" spans="1:29" ht="15.75" thickBot="1">
      <c r="B43" s="99" t="s">
        <v>120</v>
      </c>
      <c r="C43" s="277"/>
      <c r="D43" s="74">
        <f>IF(D40&lt;=0,0,D40*$D$11*3/12)</f>
        <v>111.25209374999997</v>
      </c>
      <c r="E43" s="74">
        <f t="shared" ref="E43:AC43" si="36">IF(E40&lt;=0,0,E40*$D$11*3/12)</f>
        <v>109.78825041118417</v>
      </c>
      <c r="F43" s="74">
        <f t="shared" si="36"/>
        <v>103.93287705592104</v>
      </c>
      <c r="G43" s="74">
        <f t="shared" si="36"/>
        <v>98.077503700657914</v>
      </c>
      <c r="H43" s="74">
        <f t="shared" si="36"/>
        <v>92.222130345394774</v>
      </c>
      <c r="I43" s="74">
        <f t="shared" si="36"/>
        <v>86.366756990131634</v>
      </c>
      <c r="J43" s="74">
        <f t="shared" si="36"/>
        <v>80.511383634868494</v>
      </c>
      <c r="K43" s="74">
        <f t="shared" si="36"/>
        <v>74.656010279605368</v>
      </c>
      <c r="L43" s="74">
        <f t="shared" si="36"/>
        <v>68.800636924342228</v>
      </c>
      <c r="M43" s="74">
        <f t="shared" si="36"/>
        <v>62.945263569079096</v>
      </c>
      <c r="N43" s="74">
        <f t="shared" si="36"/>
        <v>57.089890213815956</v>
      </c>
      <c r="O43" s="74">
        <f t="shared" si="36"/>
        <v>51.234516858552816</v>
      </c>
      <c r="P43" s="74">
        <f t="shared" si="36"/>
        <v>45.379143503289662</v>
      </c>
      <c r="Q43" s="74">
        <f t="shared" si="36"/>
        <v>39.5237701480265</v>
      </c>
      <c r="R43" s="74">
        <f t="shared" si="36"/>
        <v>33.668396792763346</v>
      </c>
      <c r="S43" s="74">
        <f t="shared" si="36"/>
        <v>27.813023437500181</v>
      </c>
      <c r="T43" s="74">
        <f t="shared" si="36"/>
        <v>21.957650082237027</v>
      </c>
      <c r="U43" s="74">
        <f t="shared" si="36"/>
        <v>16.102276726973869</v>
      </c>
      <c r="V43" s="74">
        <f t="shared" si="36"/>
        <v>10.246903371710712</v>
      </c>
      <c r="W43" s="74">
        <f t="shared" si="36"/>
        <v>4.391530016447553</v>
      </c>
      <c r="X43" s="74">
        <f t="shared" si="36"/>
        <v>0</v>
      </c>
      <c r="Y43" s="74">
        <f t="shared" si="36"/>
        <v>0</v>
      </c>
      <c r="Z43" s="74">
        <f t="shared" si="36"/>
        <v>0</v>
      </c>
      <c r="AA43" s="74">
        <f t="shared" si="36"/>
        <v>0</v>
      </c>
      <c r="AB43" s="74">
        <f t="shared" si="36"/>
        <v>0</v>
      </c>
      <c r="AC43" s="75">
        <f t="shared" si="36"/>
        <v>0</v>
      </c>
    </row>
    <row r="44" spans="1:29" ht="15.75" thickBot="1">
      <c r="B44" s="27"/>
      <c r="C44" s="27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</row>
    <row r="45" spans="1:29" s="16" customFormat="1">
      <c r="A45" s="278"/>
      <c r="B45" s="267" t="s">
        <v>124</v>
      </c>
      <c r="C45" s="268"/>
      <c r="D45" s="68">
        <f t="shared" ref="D45:AC45" si="37">D25+D31+D37+D43</f>
        <v>111.25209374999997</v>
      </c>
      <c r="E45" s="68">
        <f t="shared" si="37"/>
        <v>443.54453166118407</v>
      </c>
      <c r="F45" s="68">
        <f t="shared" si="37"/>
        <v>424.51456825657885</v>
      </c>
      <c r="G45" s="68">
        <f t="shared" si="37"/>
        <v>401.09307483552635</v>
      </c>
      <c r="H45" s="68">
        <f t="shared" si="37"/>
        <v>377.67158141447374</v>
      </c>
      <c r="I45" s="68">
        <f t="shared" si="37"/>
        <v>354.25008799342129</v>
      </c>
      <c r="J45" s="68">
        <f t="shared" si="37"/>
        <v>330.82859457236867</v>
      </c>
      <c r="K45" s="68">
        <f t="shared" si="37"/>
        <v>307.40710115131617</v>
      </c>
      <c r="L45" s="68">
        <f t="shared" si="37"/>
        <v>283.98560773026361</v>
      </c>
      <c r="M45" s="68">
        <f t="shared" si="37"/>
        <v>260.56411430921111</v>
      </c>
      <c r="N45" s="68">
        <f t="shared" si="37"/>
        <v>237.14262088815852</v>
      </c>
      <c r="O45" s="68">
        <f t="shared" si="37"/>
        <v>213.72112746710599</v>
      </c>
      <c r="P45" s="68">
        <f t="shared" si="37"/>
        <v>190.29963404605337</v>
      </c>
      <c r="Q45" s="68">
        <f t="shared" si="37"/>
        <v>166.87814062500075</v>
      </c>
      <c r="R45" s="68">
        <f t="shared" si="37"/>
        <v>143.45664720394808</v>
      </c>
      <c r="S45" s="68">
        <f t="shared" si="37"/>
        <v>120.03515378289546</v>
      </c>
      <c r="T45" s="68">
        <f t="shared" si="37"/>
        <v>96.613660361842847</v>
      </c>
      <c r="U45" s="68">
        <f t="shared" si="37"/>
        <v>73.192166940790216</v>
      </c>
      <c r="V45" s="68">
        <f t="shared" si="37"/>
        <v>49.770673519737585</v>
      </c>
      <c r="W45" s="68">
        <f t="shared" si="37"/>
        <v>26.34918009868495</v>
      </c>
      <c r="X45" s="68">
        <f t="shared" si="37"/>
        <v>4.3915300164477395</v>
      </c>
      <c r="Y45" s="68">
        <f t="shared" si="37"/>
        <v>0</v>
      </c>
      <c r="Z45" s="68">
        <f t="shared" si="37"/>
        <v>0</v>
      </c>
      <c r="AA45" s="68">
        <f t="shared" si="37"/>
        <v>0</v>
      </c>
      <c r="AB45" s="68">
        <f t="shared" si="37"/>
        <v>0</v>
      </c>
      <c r="AC45" s="69">
        <f t="shared" si="37"/>
        <v>0</v>
      </c>
    </row>
    <row r="46" spans="1:29" s="16" customFormat="1" ht="16.5" customHeight="1" thickBot="1">
      <c r="A46" s="278"/>
      <c r="B46" s="279" t="s">
        <v>125</v>
      </c>
      <c r="C46" s="280"/>
      <c r="D46" s="57">
        <f t="shared" ref="D46:AC46" si="38">D23+D29+D35+D41</f>
        <v>0</v>
      </c>
      <c r="E46" s="57">
        <f t="shared" si="38"/>
        <v>111.53092105263156</v>
      </c>
      <c r="F46" s="57">
        <f t="shared" si="38"/>
        <v>223.06184210526311</v>
      </c>
      <c r="G46" s="57">
        <f t="shared" si="38"/>
        <v>223.06184210526311</v>
      </c>
      <c r="H46" s="57">
        <f t="shared" si="38"/>
        <v>223.06184210526311</v>
      </c>
      <c r="I46" s="57">
        <f t="shared" si="38"/>
        <v>223.06184210526311</v>
      </c>
      <c r="J46" s="57">
        <f t="shared" si="38"/>
        <v>223.06184210526311</v>
      </c>
      <c r="K46" s="57">
        <f t="shared" si="38"/>
        <v>223.06184210526311</v>
      </c>
      <c r="L46" s="57">
        <f t="shared" si="38"/>
        <v>223.06184210526311</v>
      </c>
      <c r="M46" s="57">
        <f t="shared" si="38"/>
        <v>223.06184210526311</v>
      </c>
      <c r="N46" s="57">
        <f t="shared" si="38"/>
        <v>223.06184210526311</v>
      </c>
      <c r="O46" s="57">
        <f t="shared" si="38"/>
        <v>223.06184210526311</v>
      </c>
      <c r="P46" s="57">
        <f t="shared" si="38"/>
        <v>223.06184210526311</v>
      </c>
      <c r="Q46" s="57">
        <f t="shared" si="38"/>
        <v>223.06184210526311</v>
      </c>
      <c r="R46" s="57">
        <f t="shared" si="38"/>
        <v>223.06184210526311</v>
      </c>
      <c r="S46" s="57">
        <f t="shared" si="38"/>
        <v>223.06184210526311</v>
      </c>
      <c r="T46" s="57">
        <f t="shared" si="38"/>
        <v>223.06184210526311</v>
      </c>
      <c r="U46" s="57">
        <f t="shared" si="38"/>
        <v>223.06184210526311</v>
      </c>
      <c r="V46" s="57">
        <f t="shared" si="38"/>
        <v>223.06184210526311</v>
      </c>
      <c r="W46" s="57">
        <f t="shared" si="38"/>
        <v>223.06184210526311</v>
      </c>
      <c r="X46" s="57">
        <f t="shared" si="38"/>
        <v>111.53092105263156</v>
      </c>
      <c r="Y46" s="57">
        <f t="shared" si="38"/>
        <v>0</v>
      </c>
      <c r="Z46" s="57">
        <f t="shared" si="38"/>
        <v>0</v>
      </c>
      <c r="AA46" s="57">
        <f t="shared" si="38"/>
        <v>0</v>
      </c>
      <c r="AB46" s="57">
        <f t="shared" si="38"/>
        <v>0</v>
      </c>
      <c r="AC46" s="58">
        <f t="shared" si="38"/>
        <v>0</v>
      </c>
    </row>
  </sheetData>
  <mergeCells count="1">
    <mergeCell ref="B4:C4"/>
  </mergeCells>
  <phoneticPr fontId="3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1"/>
  <sheetViews>
    <sheetView showGridLines="0" zoomScale="85" zoomScaleNormal="85" workbookViewId="0">
      <pane xSplit="2" ySplit="8" topLeftCell="C9" activePane="bottomRight" state="frozen"/>
      <selection activeCell="C8" sqref="C8"/>
      <selection pane="topRight" activeCell="C8" sqref="C8"/>
      <selection pane="bottomLeft" activeCell="C8" sqref="C8"/>
      <selection pane="bottomRight" activeCell="B4" sqref="B4:C4"/>
    </sheetView>
  </sheetViews>
  <sheetFormatPr defaultColWidth="9.140625" defaultRowHeight="15"/>
  <cols>
    <col min="1" max="1" width="5.140625" style="11" bestFit="1" customWidth="1"/>
    <col min="2" max="2" width="31.5703125" style="12" customWidth="1"/>
    <col min="3" max="3" width="11.42578125" style="12" customWidth="1"/>
    <col min="4" max="4" width="14.7109375" style="12" bestFit="1" customWidth="1"/>
    <col min="5" max="6" width="15.85546875" style="12" bestFit="1" customWidth="1"/>
    <col min="7" max="29" width="13.28515625" style="12" bestFit="1" customWidth="1"/>
    <col min="30" max="50" width="11.85546875" style="12" customWidth="1"/>
    <col min="51" max="54" width="12.140625" style="12" customWidth="1"/>
    <col min="55" max="16384" width="9.140625" style="12"/>
  </cols>
  <sheetData>
    <row r="1" spans="1:29">
      <c r="E1" s="13"/>
      <c r="T1" s="14"/>
      <c r="U1" s="13"/>
      <c r="W1" s="15"/>
      <c r="X1" s="15"/>
    </row>
    <row r="2" spans="1:29">
      <c r="B2" s="16" t="s">
        <v>17</v>
      </c>
      <c r="C2" s="17" t="s">
        <v>184</v>
      </c>
      <c r="D2" s="16"/>
      <c r="T2" s="14"/>
      <c r="U2" s="13"/>
      <c r="W2" s="15"/>
      <c r="X2" s="15"/>
    </row>
    <row r="3" spans="1:29">
      <c r="T3" s="14"/>
      <c r="U3" s="13"/>
      <c r="W3" s="15"/>
      <c r="X3" s="15"/>
    </row>
    <row r="4" spans="1:29">
      <c r="B4" s="380" t="s">
        <v>18</v>
      </c>
      <c r="C4" s="381"/>
      <c r="L4" s="18"/>
      <c r="T4" s="14"/>
      <c r="U4" s="13"/>
      <c r="W4" s="15"/>
      <c r="X4" s="15"/>
    </row>
    <row r="5" spans="1:29" ht="15.75" thickBot="1"/>
    <row r="6" spans="1:29">
      <c r="B6" s="289" t="s">
        <v>15</v>
      </c>
      <c r="C6" s="48"/>
      <c r="D6" s="290" t="str">
        <f>IF(MONTH(D7)&gt;3,"FY "&amp;YEAR(D7)&amp;"-"&amp;RIGHT(YEAR(D7)+1,2),"FY "&amp;YEAR(D7)-1&amp;"-"&amp;RIGHT(YEAR(D7),2))</f>
        <v>FY 2020-21</v>
      </c>
      <c r="E6" s="290" t="str">
        <f t="shared" ref="E6:AC6" si="0">IF(MONTH(E7)&gt;3,"FY "&amp;YEAR(E7)&amp;"-"&amp;RIGHT(YEAR(E7)+1,2),"FY "&amp;YEAR(E7)-1&amp;"-"&amp;RIGHT(YEAR(E7),2))</f>
        <v>FY 2021-22</v>
      </c>
      <c r="F6" s="290" t="str">
        <f t="shared" si="0"/>
        <v>FY 2022-23</v>
      </c>
      <c r="G6" s="290" t="str">
        <f t="shared" si="0"/>
        <v>FY 2023-24</v>
      </c>
      <c r="H6" s="290" t="str">
        <f t="shared" si="0"/>
        <v>FY 2024-25</v>
      </c>
      <c r="I6" s="290" t="str">
        <f t="shared" si="0"/>
        <v>FY 2025-26</v>
      </c>
      <c r="J6" s="290" t="str">
        <f t="shared" si="0"/>
        <v>FY 2026-27</v>
      </c>
      <c r="K6" s="290" t="str">
        <f t="shared" si="0"/>
        <v>FY 2027-28</v>
      </c>
      <c r="L6" s="290" t="str">
        <f t="shared" si="0"/>
        <v>FY 2028-29</v>
      </c>
      <c r="M6" s="290" t="str">
        <f t="shared" si="0"/>
        <v>FY 2029-30</v>
      </c>
      <c r="N6" s="290" t="str">
        <f t="shared" si="0"/>
        <v>FY 2030-31</v>
      </c>
      <c r="O6" s="290" t="str">
        <f t="shared" si="0"/>
        <v>FY 2031-32</v>
      </c>
      <c r="P6" s="290" t="str">
        <f t="shared" si="0"/>
        <v>FY 2032-33</v>
      </c>
      <c r="Q6" s="290" t="str">
        <f t="shared" si="0"/>
        <v>FY 2033-34</v>
      </c>
      <c r="R6" s="290" t="str">
        <f t="shared" si="0"/>
        <v>FY 2034-35</v>
      </c>
      <c r="S6" s="290" t="str">
        <f t="shared" si="0"/>
        <v>FY 2035-36</v>
      </c>
      <c r="T6" s="290" t="str">
        <f t="shared" si="0"/>
        <v>FY 2036-37</v>
      </c>
      <c r="U6" s="290" t="str">
        <f t="shared" si="0"/>
        <v>FY 2037-38</v>
      </c>
      <c r="V6" s="290" t="str">
        <f t="shared" si="0"/>
        <v>FY 2038-39</v>
      </c>
      <c r="W6" s="290" t="str">
        <f t="shared" si="0"/>
        <v>FY 2039-40</v>
      </c>
      <c r="X6" s="290" t="str">
        <f t="shared" si="0"/>
        <v>FY 2040-41</v>
      </c>
      <c r="Y6" s="290" t="str">
        <f t="shared" si="0"/>
        <v>FY 2041-42</v>
      </c>
      <c r="Z6" s="290" t="str">
        <f t="shared" si="0"/>
        <v>FY 2042-43</v>
      </c>
      <c r="AA6" s="290" t="str">
        <f t="shared" si="0"/>
        <v>FY 2043-44</v>
      </c>
      <c r="AB6" s="290" t="str">
        <f t="shared" si="0"/>
        <v>FY 2044-45</v>
      </c>
      <c r="AC6" s="291" t="str">
        <f t="shared" si="0"/>
        <v>FY 2045-46</v>
      </c>
    </row>
    <row r="7" spans="1:29">
      <c r="A7" s="19"/>
      <c r="B7" s="287" t="s">
        <v>19</v>
      </c>
      <c r="C7" s="292">
        <f>Assumption!C14</f>
        <v>44196</v>
      </c>
      <c r="D7" s="286">
        <f>IF(MONTH(C7)&lt;=3,DATE(YEAR(C7),3,31),DATE(YEAR(C7)+1,3,31))</f>
        <v>44286</v>
      </c>
      <c r="E7" s="286">
        <f t="shared" ref="E7:W7" si="1">DATE(YEAR(D7)+1,3,31)</f>
        <v>44651</v>
      </c>
      <c r="F7" s="286">
        <f t="shared" si="1"/>
        <v>45016</v>
      </c>
      <c r="G7" s="286">
        <f t="shared" si="1"/>
        <v>45382</v>
      </c>
      <c r="H7" s="286">
        <f t="shared" si="1"/>
        <v>45747</v>
      </c>
      <c r="I7" s="286">
        <f t="shared" si="1"/>
        <v>46112</v>
      </c>
      <c r="J7" s="286">
        <f t="shared" si="1"/>
        <v>46477</v>
      </c>
      <c r="K7" s="286">
        <f t="shared" si="1"/>
        <v>46843</v>
      </c>
      <c r="L7" s="286">
        <f t="shared" si="1"/>
        <v>47208</v>
      </c>
      <c r="M7" s="286">
        <f t="shared" si="1"/>
        <v>47573</v>
      </c>
      <c r="N7" s="286">
        <f t="shared" si="1"/>
        <v>47938</v>
      </c>
      <c r="O7" s="286">
        <f t="shared" si="1"/>
        <v>48304</v>
      </c>
      <c r="P7" s="286">
        <f t="shared" si="1"/>
        <v>48669</v>
      </c>
      <c r="Q7" s="286">
        <f t="shared" si="1"/>
        <v>49034</v>
      </c>
      <c r="R7" s="286">
        <f t="shared" si="1"/>
        <v>49399</v>
      </c>
      <c r="S7" s="286">
        <f t="shared" si="1"/>
        <v>49765</v>
      </c>
      <c r="T7" s="286">
        <f t="shared" si="1"/>
        <v>50130</v>
      </c>
      <c r="U7" s="286">
        <f t="shared" si="1"/>
        <v>50495</v>
      </c>
      <c r="V7" s="286">
        <f t="shared" si="1"/>
        <v>50860</v>
      </c>
      <c r="W7" s="286">
        <f t="shared" si="1"/>
        <v>51226</v>
      </c>
      <c r="X7" s="286">
        <f>DATE(YEAR(W7)+1,3,31)</f>
        <v>51591</v>
      </c>
      <c r="Y7" s="286">
        <f>DATE(YEAR(X7)+1,3,31)</f>
        <v>51956</v>
      </c>
      <c r="Z7" s="286">
        <f>DATE(YEAR(Y7)+1,3,31)</f>
        <v>52321</v>
      </c>
      <c r="AA7" s="286">
        <f>DATE(YEAR(Z7)+1,3,31)</f>
        <v>52687</v>
      </c>
      <c r="AB7" s="286">
        <f>DATE(YEAR(AA7)+1,3,31)</f>
        <v>53052</v>
      </c>
      <c r="AC7" s="288">
        <f>IF(MONTH(H7)&lt;=3,DATE(YEAR(AB7)+1,MONTH(H7),DAY(H7)),DATE(YEAR(AB7),MONTH(H7),DAY(H7)))</f>
        <v>53417</v>
      </c>
    </row>
    <row r="8" spans="1:29" s="18" customFormat="1" ht="15.75" thickBot="1">
      <c r="A8" s="20"/>
      <c r="B8" s="21" t="s">
        <v>20</v>
      </c>
      <c r="C8" s="22"/>
      <c r="D8" s="23">
        <f>IF(D7=C7,0,1)</f>
        <v>1</v>
      </c>
      <c r="E8" s="22">
        <f>D8+1</f>
        <v>2</v>
      </c>
      <c r="F8" s="22">
        <f t="shared" ref="F8:W8" si="2">E8+1</f>
        <v>3</v>
      </c>
      <c r="G8" s="22">
        <f t="shared" si="2"/>
        <v>4</v>
      </c>
      <c r="H8" s="22">
        <f t="shared" si="2"/>
        <v>5</v>
      </c>
      <c r="I8" s="22">
        <f t="shared" si="2"/>
        <v>6</v>
      </c>
      <c r="J8" s="22">
        <f t="shared" si="2"/>
        <v>7</v>
      </c>
      <c r="K8" s="22">
        <f t="shared" si="2"/>
        <v>8</v>
      </c>
      <c r="L8" s="22">
        <f t="shared" si="2"/>
        <v>9</v>
      </c>
      <c r="M8" s="22">
        <f t="shared" si="2"/>
        <v>10</v>
      </c>
      <c r="N8" s="22">
        <f t="shared" si="2"/>
        <v>11</v>
      </c>
      <c r="O8" s="22">
        <f t="shared" si="2"/>
        <v>12</v>
      </c>
      <c r="P8" s="22">
        <f t="shared" si="2"/>
        <v>13</v>
      </c>
      <c r="Q8" s="22">
        <f t="shared" si="2"/>
        <v>14</v>
      </c>
      <c r="R8" s="22">
        <f t="shared" si="2"/>
        <v>15</v>
      </c>
      <c r="S8" s="22">
        <f t="shared" si="2"/>
        <v>16</v>
      </c>
      <c r="T8" s="22">
        <f t="shared" si="2"/>
        <v>17</v>
      </c>
      <c r="U8" s="22">
        <f t="shared" si="2"/>
        <v>18</v>
      </c>
      <c r="V8" s="22">
        <f t="shared" si="2"/>
        <v>19</v>
      </c>
      <c r="W8" s="22">
        <f t="shared" si="2"/>
        <v>20</v>
      </c>
      <c r="X8" s="22">
        <f t="shared" ref="X8:AC8" si="3">W8+1</f>
        <v>21</v>
      </c>
      <c r="Y8" s="22">
        <f t="shared" si="3"/>
        <v>22</v>
      </c>
      <c r="Z8" s="22">
        <f t="shared" si="3"/>
        <v>23</v>
      </c>
      <c r="AA8" s="22">
        <f t="shared" si="3"/>
        <v>24</v>
      </c>
      <c r="AB8" s="22">
        <f t="shared" si="3"/>
        <v>25</v>
      </c>
      <c r="AC8" s="24">
        <f t="shared" si="3"/>
        <v>26</v>
      </c>
    </row>
    <row r="9" spans="1:29" s="29" customFormat="1" ht="15.75" thickBot="1">
      <c r="A9" s="25"/>
      <c r="B9" s="26"/>
      <c r="C9" s="27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X9" s="28"/>
      <c r="Y9" s="28"/>
      <c r="Z9" s="28"/>
      <c r="AA9" s="28"/>
    </row>
    <row r="10" spans="1:29" s="18" customFormat="1">
      <c r="A10" s="20"/>
      <c r="B10" s="30" t="s">
        <v>21</v>
      </c>
      <c r="C10" s="31" t="s">
        <v>22</v>
      </c>
      <c r="D10" s="32">
        <f>Assumption!$C$12*1000</f>
        <v>120000</v>
      </c>
      <c r="E10" s="32">
        <f>Assumption!$C$12*1000</f>
        <v>120000</v>
      </c>
      <c r="F10" s="32">
        <f>Assumption!$C$12*1000</f>
        <v>120000</v>
      </c>
      <c r="G10" s="32">
        <f>Assumption!$C$12*1000</f>
        <v>120000</v>
      </c>
      <c r="H10" s="32">
        <f>Assumption!$C$12*1000</f>
        <v>120000</v>
      </c>
      <c r="I10" s="32">
        <f>Assumption!$C$12*1000</f>
        <v>120000</v>
      </c>
      <c r="J10" s="32">
        <f>Assumption!$C$12*1000</f>
        <v>120000</v>
      </c>
      <c r="K10" s="32">
        <f>Assumption!$C$12*1000</f>
        <v>120000</v>
      </c>
      <c r="L10" s="32">
        <f>Assumption!$C$12*1000</f>
        <v>120000</v>
      </c>
      <c r="M10" s="32">
        <f>Assumption!$C$12*1000</f>
        <v>120000</v>
      </c>
      <c r="N10" s="32">
        <f>Assumption!$C$12*1000</f>
        <v>120000</v>
      </c>
      <c r="O10" s="32">
        <f>Assumption!$C$12*1000</f>
        <v>120000</v>
      </c>
      <c r="P10" s="32">
        <f>Assumption!$C$12*1000</f>
        <v>120000</v>
      </c>
      <c r="Q10" s="32">
        <f>Assumption!$C$12*1000</f>
        <v>120000</v>
      </c>
      <c r="R10" s="32">
        <f>Assumption!$C$12*1000</f>
        <v>120000</v>
      </c>
      <c r="S10" s="32">
        <f>Assumption!$C$12*1000</f>
        <v>120000</v>
      </c>
      <c r="T10" s="32">
        <f>Assumption!$C$12*1000</f>
        <v>120000</v>
      </c>
      <c r="U10" s="32">
        <f>Assumption!$C$12*1000</f>
        <v>120000</v>
      </c>
      <c r="V10" s="32">
        <f>Assumption!$C$12*1000</f>
        <v>120000</v>
      </c>
      <c r="W10" s="32">
        <f>Assumption!$C$12*1000</f>
        <v>120000</v>
      </c>
      <c r="X10" s="32">
        <f>Assumption!$C$12*1000</f>
        <v>120000</v>
      </c>
      <c r="Y10" s="32">
        <f>Assumption!$C$12*1000</f>
        <v>120000</v>
      </c>
      <c r="Z10" s="32">
        <f>Assumption!$C$12*1000</f>
        <v>120000</v>
      </c>
      <c r="AA10" s="32">
        <f>Assumption!$C$12*1000</f>
        <v>120000</v>
      </c>
      <c r="AB10" s="32">
        <f>Assumption!$C$12*1000</f>
        <v>120000</v>
      </c>
      <c r="AC10" s="33">
        <f>Assumption!$C$12*1000</f>
        <v>120000</v>
      </c>
    </row>
    <row r="11" spans="1:29">
      <c r="A11" s="19"/>
      <c r="B11" s="34" t="s">
        <v>23</v>
      </c>
      <c r="C11" s="215" t="s">
        <v>13</v>
      </c>
      <c r="D11" s="216">
        <f>Assumption!C21</f>
        <v>0.28355416666666666</v>
      </c>
      <c r="E11" s="216">
        <f>D11</f>
        <v>0.28355416666666666</v>
      </c>
      <c r="F11" s="216">
        <f t="shared" ref="F11:W11" si="4">E11</f>
        <v>0.28355416666666666</v>
      </c>
      <c r="G11" s="216">
        <f t="shared" si="4"/>
        <v>0.28355416666666666</v>
      </c>
      <c r="H11" s="216">
        <f t="shared" si="4"/>
        <v>0.28355416666666666</v>
      </c>
      <c r="I11" s="216">
        <f t="shared" si="4"/>
        <v>0.28355416666666666</v>
      </c>
      <c r="J11" s="216">
        <f t="shared" si="4"/>
        <v>0.28355416666666666</v>
      </c>
      <c r="K11" s="216">
        <f t="shared" si="4"/>
        <v>0.28355416666666666</v>
      </c>
      <c r="L11" s="216">
        <f t="shared" si="4"/>
        <v>0.28355416666666666</v>
      </c>
      <c r="M11" s="216">
        <f t="shared" si="4"/>
        <v>0.28355416666666666</v>
      </c>
      <c r="N11" s="216">
        <f t="shared" si="4"/>
        <v>0.28355416666666666</v>
      </c>
      <c r="O11" s="216">
        <f t="shared" si="4"/>
        <v>0.28355416666666666</v>
      </c>
      <c r="P11" s="216">
        <f t="shared" si="4"/>
        <v>0.28355416666666666</v>
      </c>
      <c r="Q11" s="216">
        <f t="shared" si="4"/>
        <v>0.28355416666666666</v>
      </c>
      <c r="R11" s="216">
        <f t="shared" si="4"/>
        <v>0.28355416666666666</v>
      </c>
      <c r="S11" s="216">
        <f t="shared" si="4"/>
        <v>0.28355416666666666</v>
      </c>
      <c r="T11" s="216">
        <f t="shared" si="4"/>
        <v>0.28355416666666666</v>
      </c>
      <c r="U11" s="216">
        <f t="shared" si="4"/>
        <v>0.28355416666666666</v>
      </c>
      <c r="V11" s="216">
        <f t="shared" si="4"/>
        <v>0.28355416666666666</v>
      </c>
      <c r="W11" s="216">
        <f t="shared" si="4"/>
        <v>0.28355416666666666</v>
      </c>
      <c r="X11" s="216">
        <f t="shared" ref="X11:AC11" si="5">W11</f>
        <v>0.28355416666666666</v>
      </c>
      <c r="Y11" s="216">
        <f t="shared" si="5"/>
        <v>0.28355416666666666</v>
      </c>
      <c r="Z11" s="216">
        <f t="shared" si="5"/>
        <v>0.28355416666666666</v>
      </c>
      <c r="AA11" s="216">
        <f t="shared" si="5"/>
        <v>0.28355416666666666</v>
      </c>
      <c r="AB11" s="216">
        <f t="shared" si="5"/>
        <v>0.28355416666666666</v>
      </c>
      <c r="AC11" s="259">
        <f t="shared" si="5"/>
        <v>0.28355416666666666</v>
      </c>
    </row>
    <row r="12" spans="1:29" s="18" customFormat="1">
      <c r="A12" s="20"/>
      <c r="B12" s="35" t="s">
        <v>24</v>
      </c>
      <c r="C12" s="199"/>
      <c r="D12" s="217">
        <f>D7-C7</f>
        <v>90</v>
      </c>
      <c r="E12" s="217">
        <f t="shared" ref="E12:W12" si="6">E7-D7</f>
        <v>365</v>
      </c>
      <c r="F12" s="217">
        <f t="shared" si="6"/>
        <v>365</v>
      </c>
      <c r="G12" s="217">
        <f t="shared" si="6"/>
        <v>366</v>
      </c>
      <c r="H12" s="217">
        <f t="shared" si="6"/>
        <v>365</v>
      </c>
      <c r="I12" s="217">
        <f t="shared" si="6"/>
        <v>365</v>
      </c>
      <c r="J12" s="217">
        <f t="shared" si="6"/>
        <v>365</v>
      </c>
      <c r="K12" s="217">
        <f t="shared" si="6"/>
        <v>366</v>
      </c>
      <c r="L12" s="217">
        <f t="shared" si="6"/>
        <v>365</v>
      </c>
      <c r="M12" s="217">
        <f t="shared" si="6"/>
        <v>365</v>
      </c>
      <c r="N12" s="217">
        <f t="shared" si="6"/>
        <v>365</v>
      </c>
      <c r="O12" s="217">
        <f t="shared" si="6"/>
        <v>366</v>
      </c>
      <c r="P12" s="217">
        <f t="shared" si="6"/>
        <v>365</v>
      </c>
      <c r="Q12" s="217">
        <f t="shared" si="6"/>
        <v>365</v>
      </c>
      <c r="R12" s="217">
        <f t="shared" si="6"/>
        <v>365</v>
      </c>
      <c r="S12" s="217">
        <f t="shared" si="6"/>
        <v>366</v>
      </c>
      <c r="T12" s="217">
        <f t="shared" si="6"/>
        <v>365</v>
      </c>
      <c r="U12" s="217">
        <f t="shared" si="6"/>
        <v>365</v>
      </c>
      <c r="V12" s="217">
        <f t="shared" si="6"/>
        <v>365</v>
      </c>
      <c r="W12" s="217">
        <f t="shared" si="6"/>
        <v>366</v>
      </c>
      <c r="X12" s="217">
        <f t="shared" ref="X12:AC12" si="7">X7-W7</f>
        <v>365</v>
      </c>
      <c r="Y12" s="217">
        <f t="shared" si="7"/>
        <v>365</v>
      </c>
      <c r="Z12" s="217">
        <f t="shared" si="7"/>
        <v>365</v>
      </c>
      <c r="AA12" s="217">
        <f t="shared" si="7"/>
        <v>366</v>
      </c>
      <c r="AB12" s="217">
        <f t="shared" si="7"/>
        <v>365</v>
      </c>
      <c r="AC12" s="218">
        <f t="shared" si="7"/>
        <v>365</v>
      </c>
    </row>
    <row r="13" spans="1:29" s="18" customFormat="1">
      <c r="A13" s="20"/>
      <c r="B13" s="35" t="s">
        <v>25</v>
      </c>
      <c r="C13" s="199" t="s">
        <v>26</v>
      </c>
      <c r="D13" s="217">
        <f t="shared" ref="D13:V13" si="8">D12*24</f>
        <v>2160</v>
      </c>
      <c r="E13" s="217">
        <f t="shared" si="8"/>
        <v>8760</v>
      </c>
      <c r="F13" s="217">
        <f t="shared" si="8"/>
        <v>8760</v>
      </c>
      <c r="G13" s="217">
        <f t="shared" si="8"/>
        <v>8784</v>
      </c>
      <c r="H13" s="217">
        <f t="shared" si="8"/>
        <v>8760</v>
      </c>
      <c r="I13" s="217">
        <f t="shared" si="8"/>
        <v>8760</v>
      </c>
      <c r="J13" s="217">
        <f t="shared" si="8"/>
        <v>8760</v>
      </c>
      <c r="K13" s="217">
        <f t="shared" si="8"/>
        <v>8784</v>
      </c>
      <c r="L13" s="217">
        <f t="shared" si="8"/>
        <v>8760</v>
      </c>
      <c r="M13" s="217">
        <f t="shared" si="8"/>
        <v>8760</v>
      </c>
      <c r="N13" s="217">
        <f t="shared" si="8"/>
        <v>8760</v>
      </c>
      <c r="O13" s="217">
        <f t="shared" si="8"/>
        <v>8784</v>
      </c>
      <c r="P13" s="217">
        <f t="shared" si="8"/>
        <v>8760</v>
      </c>
      <c r="Q13" s="217">
        <f t="shared" si="8"/>
        <v>8760</v>
      </c>
      <c r="R13" s="217">
        <f t="shared" si="8"/>
        <v>8760</v>
      </c>
      <c r="S13" s="217">
        <f t="shared" si="8"/>
        <v>8784</v>
      </c>
      <c r="T13" s="217">
        <f t="shared" si="8"/>
        <v>8760</v>
      </c>
      <c r="U13" s="217">
        <f t="shared" si="8"/>
        <v>8760</v>
      </c>
      <c r="V13" s="217">
        <f t="shared" si="8"/>
        <v>8760</v>
      </c>
      <c r="W13" s="217">
        <f>W12*24</f>
        <v>8784</v>
      </c>
      <c r="X13" s="217">
        <f t="shared" ref="X13:AC13" si="9">X12*24</f>
        <v>8760</v>
      </c>
      <c r="Y13" s="217">
        <f t="shared" si="9"/>
        <v>8760</v>
      </c>
      <c r="Z13" s="217">
        <f t="shared" si="9"/>
        <v>8760</v>
      </c>
      <c r="AA13" s="217">
        <f t="shared" si="9"/>
        <v>8784</v>
      </c>
      <c r="AB13" s="217">
        <f t="shared" si="9"/>
        <v>8760</v>
      </c>
      <c r="AC13" s="218">
        <f t="shared" si="9"/>
        <v>8760</v>
      </c>
    </row>
    <row r="14" spans="1:29" s="18" customFormat="1">
      <c r="A14" s="20"/>
      <c r="B14" s="226" t="s">
        <v>102</v>
      </c>
      <c r="C14" s="227" t="s">
        <v>96</v>
      </c>
      <c r="D14" s="229">
        <f>D10*D11*D13</f>
        <v>73497240</v>
      </c>
      <c r="E14" s="229">
        <f t="shared" ref="E14:W14" si="10">E10*E11*E13</f>
        <v>298072140</v>
      </c>
      <c r="F14" s="229">
        <f t="shared" si="10"/>
        <v>298072140</v>
      </c>
      <c r="G14" s="229">
        <f t="shared" si="10"/>
        <v>298888776</v>
      </c>
      <c r="H14" s="229">
        <f t="shared" si="10"/>
        <v>298072140</v>
      </c>
      <c r="I14" s="229">
        <f t="shared" si="10"/>
        <v>298072140</v>
      </c>
      <c r="J14" s="229">
        <f t="shared" si="10"/>
        <v>298072140</v>
      </c>
      <c r="K14" s="229">
        <f t="shared" si="10"/>
        <v>298888776</v>
      </c>
      <c r="L14" s="229">
        <f t="shared" si="10"/>
        <v>298072140</v>
      </c>
      <c r="M14" s="229">
        <f t="shared" si="10"/>
        <v>298072140</v>
      </c>
      <c r="N14" s="229">
        <f t="shared" si="10"/>
        <v>298072140</v>
      </c>
      <c r="O14" s="229">
        <f t="shared" si="10"/>
        <v>298888776</v>
      </c>
      <c r="P14" s="229">
        <f t="shared" si="10"/>
        <v>298072140</v>
      </c>
      <c r="Q14" s="229">
        <f t="shared" si="10"/>
        <v>298072140</v>
      </c>
      <c r="R14" s="229">
        <f t="shared" si="10"/>
        <v>298072140</v>
      </c>
      <c r="S14" s="229">
        <f t="shared" si="10"/>
        <v>298888776</v>
      </c>
      <c r="T14" s="229">
        <f t="shared" si="10"/>
        <v>298072140</v>
      </c>
      <c r="U14" s="229">
        <f t="shared" si="10"/>
        <v>298072140</v>
      </c>
      <c r="V14" s="229">
        <f t="shared" si="10"/>
        <v>298072140</v>
      </c>
      <c r="W14" s="229">
        <f t="shared" si="10"/>
        <v>298888776</v>
      </c>
      <c r="X14" s="229">
        <f t="shared" ref="X14:AC14" si="11">X10*X11*X13</f>
        <v>298072140</v>
      </c>
      <c r="Y14" s="229">
        <f t="shared" si="11"/>
        <v>298072140</v>
      </c>
      <c r="Z14" s="229">
        <f t="shared" si="11"/>
        <v>298072140</v>
      </c>
      <c r="AA14" s="229">
        <f t="shared" si="11"/>
        <v>298888776</v>
      </c>
      <c r="AB14" s="229">
        <f t="shared" si="11"/>
        <v>298072140</v>
      </c>
      <c r="AC14" s="230">
        <f t="shared" si="11"/>
        <v>298072140</v>
      </c>
    </row>
    <row r="15" spans="1:29" s="18" customFormat="1">
      <c r="A15" s="20"/>
      <c r="B15" s="226" t="s">
        <v>95</v>
      </c>
      <c r="C15" s="227" t="s">
        <v>13</v>
      </c>
      <c r="D15" s="228">
        <v>0</v>
      </c>
      <c r="E15" s="228">
        <f>Assumption!$C$22</f>
        <v>7.0000000000000001E-3</v>
      </c>
      <c r="F15" s="228">
        <f>Assumption!$C$22</f>
        <v>7.0000000000000001E-3</v>
      </c>
      <c r="G15" s="228">
        <f>Assumption!$C$22</f>
        <v>7.0000000000000001E-3</v>
      </c>
      <c r="H15" s="228">
        <f>Assumption!$C$22</f>
        <v>7.0000000000000001E-3</v>
      </c>
      <c r="I15" s="228">
        <f>Assumption!$C$22</f>
        <v>7.0000000000000001E-3</v>
      </c>
      <c r="J15" s="228">
        <f>Assumption!$C$22</f>
        <v>7.0000000000000001E-3</v>
      </c>
      <c r="K15" s="228">
        <f>Assumption!$C$22</f>
        <v>7.0000000000000001E-3</v>
      </c>
      <c r="L15" s="228">
        <f>Assumption!$C$22</f>
        <v>7.0000000000000001E-3</v>
      </c>
      <c r="M15" s="228">
        <f>Assumption!$C$22</f>
        <v>7.0000000000000001E-3</v>
      </c>
      <c r="N15" s="228">
        <f>Assumption!$C$22</f>
        <v>7.0000000000000001E-3</v>
      </c>
      <c r="O15" s="228">
        <f>Assumption!$C$22</f>
        <v>7.0000000000000001E-3</v>
      </c>
      <c r="P15" s="228">
        <f>Assumption!$C$22</f>
        <v>7.0000000000000001E-3</v>
      </c>
      <c r="Q15" s="228">
        <f>Assumption!$C$22</f>
        <v>7.0000000000000001E-3</v>
      </c>
      <c r="R15" s="228">
        <f>Assumption!$C$22</f>
        <v>7.0000000000000001E-3</v>
      </c>
      <c r="S15" s="228">
        <f>Assumption!$C$22</f>
        <v>7.0000000000000001E-3</v>
      </c>
      <c r="T15" s="228">
        <f>Assumption!$C$22</f>
        <v>7.0000000000000001E-3</v>
      </c>
      <c r="U15" s="228">
        <f>Assumption!$C$22</f>
        <v>7.0000000000000001E-3</v>
      </c>
      <c r="V15" s="228">
        <f>Assumption!$C$22</f>
        <v>7.0000000000000001E-3</v>
      </c>
      <c r="W15" s="228">
        <f>Assumption!$C$22</f>
        <v>7.0000000000000001E-3</v>
      </c>
      <c r="X15" s="228">
        <f>Assumption!$C$22</f>
        <v>7.0000000000000001E-3</v>
      </c>
      <c r="Y15" s="228">
        <f>Assumption!$C$22</f>
        <v>7.0000000000000001E-3</v>
      </c>
      <c r="Z15" s="228">
        <f>Assumption!$C$22</f>
        <v>7.0000000000000001E-3</v>
      </c>
      <c r="AA15" s="228">
        <f>Assumption!$C$22</f>
        <v>7.0000000000000001E-3</v>
      </c>
      <c r="AB15" s="228">
        <f>Assumption!$C$22</f>
        <v>7.0000000000000001E-3</v>
      </c>
      <c r="AC15" s="281">
        <f>Assumption!$C$22</f>
        <v>7.0000000000000001E-3</v>
      </c>
    </row>
    <row r="16" spans="1:29" ht="15.75" thickBot="1">
      <c r="A16" s="12"/>
      <c r="B16" s="39" t="s">
        <v>92</v>
      </c>
      <c r="C16" s="40" t="s">
        <v>96</v>
      </c>
      <c r="D16" s="41">
        <f>D14*(1-D15)</f>
        <v>73497240</v>
      </c>
      <c r="E16" s="41">
        <f>E14*(1-E15)^(D8)</f>
        <v>295985635.01999998</v>
      </c>
      <c r="F16" s="41">
        <f>F14*(1-F15)^(E8)</f>
        <v>293913735.57485998</v>
      </c>
      <c r="G16" s="41">
        <f t="shared" ref="G16:AC16" si="12">G14*(1-G15)^(F8)</f>
        <v>292655945.83522183</v>
      </c>
      <c r="H16" s="41">
        <f t="shared" si="12"/>
        <v>289813345.04985511</v>
      </c>
      <c r="I16" s="41">
        <f t="shared" si="12"/>
        <v>287784651.63450611</v>
      </c>
      <c r="J16" s="41">
        <f t="shared" si="12"/>
        <v>285770159.07306457</v>
      </c>
      <c r="K16" s="41">
        <f t="shared" si="12"/>
        <v>284547219.37862039</v>
      </c>
      <c r="L16" s="41">
        <f t="shared" si="12"/>
        <v>281783379.5838362</v>
      </c>
      <c r="M16" s="41">
        <f t="shared" si="12"/>
        <v>279810895.92674935</v>
      </c>
      <c r="N16" s="41">
        <f t="shared" si="12"/>
        <v>277852219.65526211</v>
      </c>
      <c r="O16" s="41">
        <f t="shared" si="12"/>
        <v>276663164.40292919</v>
      </c>
      <c r="P16" s="41">
        <f t="shared" si="12"/>
        <v>273975903.33885151</v>
      </c>
      <c r="Q16" s="41">
        <f t="shared" si="12"/>
        <v>272058072.01547956</v>
      </c>
      <c r="R16" s="41">
        <f t="shared" si="12"/>
        <v>270153665.5113712</v>
      </c>
      <c r="S16" s="41">
        <f t="shared" si="12"/>
        <v>268997555.85238826</v>
      </c>
      <c r="T16" s="41">
        <f t="shared" si="12"/>
        <v>266384751.72382203</v>
      </c>
      <c r="U16" s="41">
        <f t="shared" si="12"/>
        <v>264520058.46175528</v>
      </c>
      <c r="V16" s="41">
        <f t="shared" si="12"/>
        <v>262668418.05252299</v>
      </c>
      <c r="W16" s="41">
        <f t="shared" si="12"/>
        <v>261544341.15115848</v>
      </c>
      <c r="X16" s="41">
        <f t="shared" si="12"/>
        <v>259003930.95227224</v>
      </c>
      <c r="Y16" s="41">
        <f t="shared" si="12"/>
        <v>257190903.43560633</v>
      </c>
      <c r="Z16" s="41">
        <f t="shared" si="12"/>
        <v>255390567.11155707</v>
      </c>
      <c r="AA16" s="41">
        <f t="shared" si="12"/>
        <v>254297635.42435637</v>
      </c>
      <c r="AB16" s="41">
        <f t="shared" si="12"/>
        <v>251827613.3097837</v>
      </c>
      <c r="AC16" s="42">
        <f t="shared" si="12"/>
        <v>250064820.01661521</v>
      </c>
    </row>
    <row r="17" spans="1:29" s="18" customFormat="1" ht="15.75" thickBot="1">
      <c r="A17" s="20"/>
      <c r="B17" s="26"/>
      <c r="C17" s="27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spans="1:29" s="46" customFormat="1" ht="15.75" thickBot="1">
      <c r="A18" s="43"/>
      <c r="B18" s="237" t="s">
        <v>27</v>
      </c>
      <c r="C18" s="44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</row>
    <row r="19" spans="1:29">
      <c r="A19" s="12"/>
      <c r="B19" s="47" t="s">
        <v>28</v>
      </c>
      <c r="C19" s="48" t="s">
        <v>96</v>
      </c>
      <c r="D19" s="49">
        <f>D16</f>
        <v>73497240</v>
      </c>
      <c r="E19" s="49">
        <f t="shared" ref="E19:W19" si="13">E16</f>
        <v>295985635.01999998</v>
      </c>
      <c r="F19" s="49">
        <f t="shared" si="13"/>
        <v>293913735.57485998</v>
      </c>
      <c r="G19" s="49">
        <f t="shared" si="13"/>
        <v>292655945.83522183</v>
      </c>
      <c r="H19" s="49">
        <f t="shared" si="13"/>
        <v>289813345.04985511</v>
      </c>
      <c r="I19" s="49">
        <f t="shared" si="13"/>
        <v>287784651.63450611</v>
      </c>
      <c r="J19" s="49">
        <f t="shared" si="13"/>
        <v>285770159.07306457</v>
      </c>
      <c r="K19" s="49">
        <f t="shared" si="13"/>
        <v>284547219.37862039</v>
      </c>
      <c r="L19" s="49">
        <f t="shared" si="13"/>
        <v>281783379.5838362</v>
      </c>
      <c r="M19" s="49">
        <f t="shared" si="13"/>
        <v>279810895.92674935</v>
      </c>
      <c r="N19" s="49">
        <f t="shared" si="13"/>
        <v>277852219.65526211</v>
      </c>
      <c r="O19" s="49">
        <f t="shared" si="13"/>
        <v>276663164.40292919</v>
      </c>
      <c r="P19" s="49">
        <f t="shared" si="13"/>
        <v>273975903.33885151</v>
      </c>
      <c r="Q19" s="49">
        <f t="shared" si="13"/>
        <v>272058072.01547956</v>
      </c>
      <c r="R19" s="49">
        <f t="shared" si="13"/>
        <v>270153665.5113712</v>
      </c>
      <c r="S19" s="49">
        <f t="shared" si="13"/>
        <v>268997555.85238826</v>
      </c>
      <c r="T19" s="49">
        <f t="shared" si="13"/>
        <v>266384751.72382203</v>
      </c>
      <c r="U19" s="49">
        <f t="shared" si="13"/>
        <v>264520058.46175528</v>
      </c>
      <c r="V19" s="49">
        <f t="shared" si="13"/>
        <v>262668418.05252299</v>
      </c>
      <c r="W19" s="49">
        <f t="shared" si="13"/>
        <v>261544341.15115848</v>
      </c>
      <c r="X19" s="49">
        <f t="shared" ref="X19:AC19" si="14">X16</f>
        <v>259003930.95227224</v>
      </c>
      <c r="Y19" s="49">
        <f t="shared" si="14"/>
        <v>257190903.43560633</v>
      </c>
      <c r="Z19" s="49">
        <f t="shared" si="14"/>
        <v>255390567.11155707</v>
      </c>
      <c r="AA19" s="49">
        <f t="shared" si="14"/>
        <v>254297635.42435637</v>
      </c>
      <c r="AB19" s="49">
        <f t="shared" si="14"/>
        <v>251827613.3097837</v>
      </c>
      <c r="AC19" s="50">
        <f t="shared" si="14"/>
        <v>250064820.01661521</v>
      </c>
    </row>
    <row r="20" spans="1:29">
      <c r="A20" s="12"/>
      <c r="B20" s="51"/>
      <c r="C20" s="36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8"/>
    </row>
    <row r="21" spans="1:29">
      <c r="A21" s="19"/>
      <c r="B21" s="51" t="s">
        <v>29</v>
      </c>
      <c r="C21" s="36" t="s">
        <v>30</v>
      </c>
      <c r="D21" s="52">
        <f>Assumption!C23</f>
        <v>2.67</v>
      </c>
      <c r="E21" s="53">
        <f t="shared" ref="E21:T21" si="15">D21</f>
        <v>2.67</v>
      </c>
      <c r="F21" s="53">
        <f t="shared" si="15"/>
        <v>2.67</v>
      </c>
      <c r="G21" s="53">
        <f t="shared" si="15"/>
        <v>2.67</v>
      </c>
      <c r="H21" s="53">
        <f t="shared" si="15"/>
        <v>2.67</v>
      </c>
      <c r="I21" s="53">
        <f t="shared" si="15"/>
        <v>2.67</v>
      </c>
      <c r="J21" s="53">
        <f t="shared" si="15"/>
        <v>2.67</v>
      </c>
      <c r="K21" s="53">
        <f t="shared" si="15"/>
        <v>2.67</v>
      </c>
      <c r="L21" s="53">
        <f t="shared" si="15"/>
        <v>2.67</v>
      </c>
      <c r="M21" s="53">
        <f t="shared" si="15"/>
        <v>2.67</v>
      </c>
      <c r="N21" s="53">
        <f t="shared" si="15"/>
        <v>2.67</v>
      </c>
      <c r="O21" s="53">
        <f t="shared" si="15"/>
        <v>2.67</v>
      </c>
      <c r="P21" s="53">
        <f t="shared" si="15"/>
        <v>2.67</v>
      </c>
      <c r="Q21" s="53">
        <f t="shared" si="15"/>
        <v>2.67</v>
      </c>
      <c r="R21" s="53">
        <f t="shared" si="15"/>
        <v>2.67</v>
      </c>
      <c r="S21" s="53">
        <f t="shared" si="15"/>
        <v>2.67</v>
      </c>
      <c r="T21" s="53">
        <f t="shared" si="15"/>
        <v>2.67</v>
      </c>
      <c r="U21" s="53">
        <f t="shared" ref="U21:AC21" si="16">T21</f>
        <v>2.67</v>
      </c>
      <c r="V21" s="53">
        <f t="shared" si="16"/>
        <v>2.67</v>
      </c>
      <c r="W21" s="53">
        <f t="shared" si="16"/>
        <v>2.67</v>
      </c>
      <c r="X21" s="53">
        <f t="shared" si="16"/>
        <v>2.67</v>
      </c>
      <c r="Y21" s="53">
        <f t="shared" si="16"/>
        <v>2.67</v>
      </c>
      <c r="Z21" s="53">
        <f t="shared" si="16"/>
        <v>2.67</v>
      </c>
      <c r="AA21" s="53">
        <f t="shared" si="16"/>
        <v>2.67</v>
      </c>
      <c r="AB21" s="53">
        <f t="shared" si="16"/>
        <v>2.67</v>
      </c>
      <c r="AC21" s="54">
        <f t="shared" si="16"/>
        <v>2.67</v>
      </c>
    </row>
    <row r="22" spans="1:29">
      <c r="A22" s="20"/>
      <c r="B22" s="51"/>
      <c r="C22" s="36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4"/>
    </row>
    <row r="23" spans="1:29">
      <c r="A23" s="20"/>
      <c r="B23" s="51" t="s">
        <v>101</v>
      </c>
      <c r="C23" s="36" t="s">
        <v>31</v>
      </c>
      <c r="D23" s="53">
        <f t="shared" ref="D23:T23" si="17">D19*D21/1000000</f>
        <v>196.23763079999998</v>
      </c>
      <c r="E23" s="53">
        <f t="shared" si="17"/>
        <v>790.2816455034</v>
      </c>
      <c r="F23" s="53">
        <f t="shared" si="17"/>
        <v>784.74967398487615</v>
      </c>
      <c r="G23" s="53">
        <f t="shared" si="17"/>
        <v>781.39137538004229</v>
      </c>
      <c r="H23" s="53">
        <f t="shared" si="17"/>
        <v>773.80163128311312</v>
      </c>
      <c r="I23" s="53">
        <f t="shared" si="17"/>
        <v>768.38501986413132</v>
      </c>
      <c r="J23" s="53">
        <f t="shared" si="17"/>
        <v>763.00632472508244</v>
      </c>
      <c r="K23" s="53">
        <f t="shared" si="17"/>
        <v>759.74107574091636</v>
      </c>
      <c r="L23" s="53">
        <f t="shared" si="17"/>
        <v>752.36162348884261</v>
      </c>
      <c r="M23" s="53">
        <f t="shared" si="17"/>
        <v>747.09509212442072</v>
      </c>
      <c r="N23" s="53">
        <f t="shared" si="17"/>
        <v>741.8654264795498</v>
      </c>
      <c r="O23" s="53">
        <f t="shared" si="17"/>
        <v>738.69064895582096</v>
      </c>
      <c r="P23" s="53">
        <f t="shared" si="17"/>
        <v>731.51566191473353</v>
      </c>
      <c r="Q23" s="53">
        <f t="shared" si="17"/>
        <v>726.39505228133044</v>
      </c>
      <c r="R23" s="53">
        <f t="shared" si="17"/>
        <v>721.31028691536108</v>
      </c>
      <c r="S23" s="53">
        <f t="shared" si="17"/>
        <v>718.22347412587669</v>
      </c>
      <c r="T23" s="53">
        <f t="shared" si="17"/>
        <v>711.24728710260479</v>
      </c>
      <c r="U23" s="53">
        <f>U19*U21/1000000</f>
        <v>706.26855609288657</v>
      </c>
      <c r="V23" s="53">
        <f>V19*V21/1000000</f>
        <v>701.32467620023635</v>
      </c>
      <c r="W23" s="53">
        <f>W19*W21/1000000</f>
        <v>698.3233908735931</v>
      </c>
      <c r="X23" s="53">
        <f t="shared" ref="X23:AC23" si="18">X19*X21/1000000</f>
        <v>691.54049564256684</v>
      </c>
      <c r="Y23" s="53">
        <f t="shared" si="18"/>
        <v>686.69971217306886</v>
      </c>
      <c r="Z23" s="53">
        <f t="shared" si="18"/>
        <v>681.89281418785743</v>
      </c>
      <c r="AA23" s="53">
        <f t="shared" si="18"/>
        <v>678.97468658303148</v>
      </c>
      <c r="AB23" s="53">
        <f t="shared" si="18"/>
        <v>672.37972753712245</v>
      </c>
      <c r="AC23" s="54">
        <f t="shared" si="18"/>
        <v>667.67306944436268</v>
      </c>
    </row>
    <row r="24" spans="1:29">
      <c r="A24" s="19"/>
      <c r="B24" s="51"/>
      <c r="C24" s="36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4"/>
    </row>
    <row r="25" spans="1:29" s="16" customFormat="1" ht="15.75" thickBot="1">
      <c r="A25" s="55"/>
      <c r="B25" s="238" t="s">
        <v>32</v>
      </c>
      <c r="C25" s="56" t="s">
        <v>31</v>
      </c>
      <c r="D25" s="57">
        <f t="shared" ref="D25:V25" si="19">SUM(D23:D23)</f>
        <v>196.23763079999998</v>
      </c>
      <c r="E25" s="57">
        <f t="shared" si="19"/>
        <v>790.2816455034</v>
      </c>
      <c r="F25" s="57">
        <f t="shared" si="19"/>
        <v>784.74967398487615</v>
      </c>
      <c r="G25" s="57">
        <f t="shared" si="19"/>
        <v>781.39137538004229</v>
      </c>
      <c r="H25" s="57">
        <f t="shared" si="19"/>
        <v>773.80163128311312</v>
      </c>
      <c r="I25" s="57">
        <f t="shared" si="19"/>
        <v>768.38501986413132</v>
      </c>
      <c r="J25" s="57">
        <f t="shared" si="19"/>
        <v>763.00632472508244</v>
      </c>
      <c r="K25" s="57">
        <f t="shared" si="19"/>
        <v>759.74107574091636</v>
      </c>
      <c r="L25" s="57">
        <f t="shared" si="19"/>
        <v>752.36162348884261</v>
      </c>
      <c r="M25" s="57">
        <f t="shared" si="19"/>
        <v>747.09509212442072</v>
      </c>
      <c r="N25" s="57">
        <f t="shared" si="19"/>
        <v>741.8654264795498</v>
      </c>
      <c r="O25" s="57">
        <f t="shared" si="19"/>
        <v>738.69064895582096</v>
      </c>
      <c r="P25" s="57">
        <f t="shared" si="19"/>
        <v>731.51566191473353</v>
      </c>
      <c r="Q25" s="57">
        <f t="shared" si="19"/>
        <v>726.39505228133044</v>
      </c>
      <c r="R25" s="57">
        <f t="shared" si="19"/>
        <v>721.31028691536108</v>
      </c>
      <c r="S25" s="57">
        <f t="shared" si="19"/>
        <v>718.22347412587669</v>
      </c>
      <c r="T25" s="57">
        <f t="shared" si="19"/>
        <v>711.24728710260479</v>
      </c>
      <c r="U25" s="57">
        <f t="shared" si="19"/>
        <v>706.26855609288657</v>
      </c>
      <c r="V25" s="57">
        <f t="shared" si="19"/>
        <v>701.32467620023635</v>
      </c>
      <c r="W25" s="57">
        <f>SUM(W23:W23)</f>
        <v>698.3233908735931</v>
      </c>
      <c r="X25" s="57">
        <f t="shared" ref="X25:AC25" si="20">SUM(X23:X23)</f>
        <v>691.54049564256684</v>
      </c>
      <c r="Y25" s="57">
        <f t="shared" si="20"/>
        <v>686.69971217306886</v>
      </c>
      <c r="Z25" s="57">
        <f t="shared" si="20"/>
        <v>681.89281418785743</v>
      </c>
      <c r="AA25" s="57">
        <f t="shared" si="20"/>
        <v>678.97468658303148</v>
      </c>
      <c r="AB25" s="57">
        <f t="shared" si="20"/>
        <v>672.37972753712245</v>
      </c>
      <c r="AC25" s="58">
        <f t="shared" si="20"/>
        <v>667.67306944436268</v>
      </c>
    </row>
    <row r="26" spans="1:29" s="46" customFormat="1" ht="15.75" thickBot="1">
      <c r="A26" s="43"/>
      <c r="B26" s="59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</row>
    <row r="27" spans="1:29" s="46" customFormat="1" ht="15.75" thickBot="1">
      <c r="A27" s="43"/>
      <c r="B27" s="237" t="s">
        <v>33</v>
      </c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</row>
    <row r="28" spans="1:29" s="18" customFormat="1">
      <c r="A28" s="20"/>
      <c r="B28" s="61" t="s">
        <v>10</v>
      </c>
      <c r="C28" s="180" t="s">
        <v>31</v>
      </c>
      <c r="D28" s="62">
        <f>D82</f>
        <v>15.996772602739727</v>
      </c>
      <c r="E28" s="62">
        <f>F82</f>
        <v>65.675638630137001</v>
      </c>
      <c r="F28" s="62">
        <f>H82</f>
        <v>68.959420561643839</v>
      </c>
      <c r="G28" s="62">
        <f>J82</f>
        <v>72.561991546258156</v>
      </c>
      <c r="H28" s="62">
        <f>L82</f>
        <v>75.87316121268023</v>
      </c>
      <c r="I28" s="62">
        <f>N82</f>
        <v>79.829149227672971</v>
      </c>
      <c r="J28" s="62">
        <f>P82</f>
        <v>83.820606689056618</v>
      </c>
      <c r="K28" s="62">
        <f>R82</f>
        <v>88.199554236923973</v>
      </c>
      <c r="L28" s="62">
        <f>T82</f>
        <v>92.224301661270417</v>
      </c>
      <c r="M28" s="62">
        <f>V82</f>
        <v>97.032829818419202</v>
      </c>
      <c r="N28" s="62">
        <f>X82</f>
        <v>101.88447130934016</v>
      </c>
      <c r="O28" s="62">
        <f>Z82</f>
        <v>107.20710942219509</v>
      </c>
      <c r="P28" s="62">
        <f>AB82</f>
        <v>112.09921507115962</v>
      </c>
      <c r="Q28" s="62">
        <f>AD82</f>
        <v>117.94401109947492</v>
      </c>
      <c r="R28" s="62">
        <f>AF82</f>
        <v>123.84121165444867</v>
      </c>
      <c r="S28" s="62">
        <f>AH82</f>
        <v>130.31091154711203</v>
      </c>
      <c r="T28" s="62">
        <f>AJ82</f>
        <v>136.25729653908874</v>
      </c>
      <c r="U28" s="62">
        <f>AL82</f>
        <v>143.36168264148117</v>
      </c>
      <c r="V28" s="62">
        <f>AN82</f>
        <v>150.52976677355525</v>
      </c>
      <c r="W28" s="62">
        <f>AP82</f>
        <v>158.39372742871191</v>
      </c>
      <c r="X28" s="62">
        <f>AR82</f>
        <v>165.62159555136577</v>
      </c>
      <c r="Y28" s="62">
        <f>AT82</f>
        <v>174.25702126123693</v>
      </c>
      <c r="Z28" s="62">
        <f>AV82</f>
        <v>182.96987232429876</v>
      </c>
      <c r="AA28" s="62">
        <f>AX82</f>
        <v>192.52856565039582</v>
      </c>
      <c r="AB28" s="62">
        <f>AZ82</f>
        <v>198.72311399651124</v>
      </c>
      <c r="AC28" s="63">
        <f>BB82</f>
        <v>149.72289410696052</v>
      </c>
    </row>
    <row r="29" spans="1:29" s="18" customFormat="1">
      <c r="A29" s="20"/>
      <c r="B29" s="222" t="s">
        <v>94</v>
      </c>
      <c r="C29" s="223" t="s">
        <v>31</v>
      </c>
      <c r="D29" s="224">
        <f>Assumption!$C$28*D12/365</f>
        <v>0</v>
      </c>
      <c r="E29" s="224">
        <f>Assumption!$C$28</f>
        <v>0</v>
      </c>
      <c r="F29" s="224">
        <f>Assumption!$C$28</f>
        <v>0</v>
      </c>
      <c r="G29" s="224">
        <f>Assumption!$C$28</f>
        <v>0</v>
      </c>
      <c r="H29" s="224">
        <f>Assumption!$C$28</f>
        <v>0</v>
      </c>
      <c r="I29" s="224">
        <f>Assumption!$C$28</f>
        <v>0</v>
      </c>
      <c r="J29" s="224">
        <f>Assumption!$C$28</f>
        <v>0</v>
      </c>
      <c r="K29" s="224">
        <f>Assumption!$C$28</f>
        <v>0</v>
      </c>
      <c r="L29" s="224">
        <f>Assumption!$C$28</f>
        <v>0</v>
      </c>
      <c r="M29" s="224">
        <f>Assumption!$C$28</f>
        <v>0</v>
      </c>
      <c r="N29" s="224">
        <f>Assumption!$C$28</f>
        <v>0</v>
      </c>
      <c r="O29" s="224">
        <f>Assumption!$C$28</f>
        <v>0</v>
      </c>
      <c r="P29" s="224">
        <f>Assumption!$C$28</f>
        <v>0</v>
      </c>
      <c r="Q29" s="224">
        <f>Assumption!$C$28</f>
        <v>0</v>
      </c>
      <c r="R29" s="224">
        <f>Assumption!$C$28</f>
        <v>0</v>
      </c>
      <c r="S29" s="224">
        <f>Assumption!$C$28</f>
        <v>0</v>
      </c>
      <c r="T29" s="224">
        <f>Assumption!$C$28</f>
        <v>0</v>
      </c>
      <c r="U29" s="224">
        <f>Assumption!$C$28</f>
        <v>0</v>
      </c>
      <c r="V29" s="224">
        <f>Assumption!$C$28</f>
        <v>0</v>
      </c>
      <c r="W29" s="224">
        <f>Assumption!$C$28</f>
        <v>0</v>
      </c>
      <c r="X29" s="224">
        <f>Assumption!$C$28</f>
        <v>0</v>
      </c>
      <c r="Y29" s="224">
        <f>Assumption!$C$28</f>
        <v>0</v>
      </c>
      <c r="Z29" s="224">
        <f>Assumption!$C$28</f>
        <v>0</v>
      </c>
      <c r="AA29" s="224">
        <f>Assumption!$C$28</f>
        <v>0</v>
      </c>
      <c r="AB29" s="224">
        <f>Assumption!$C$28</f>
        <v>0</v>
      </c>
      <c r="AC29" s="225">
        <f>Assumption!$C$28</f>
        <v>0</v>
      </c>
    </row>
    <row r="30" spans="1:29" s="18" customFormat="1">
      <c r="A30" s="20"/>
      <c r="B30" s="65"/>
      <c r="C30" s="64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4"/>
    </row>
    <row r="31" spans="1:29" s="16" customFormat="1" ht="15.75" thickBot="1">
      <c r="A31" s="55"/>
      <c r="B31" s="238" t="s">
        <v>34</v>
      </c>
      <c r="C31" s="56" t="s">
        <v>31</v>
      </c>
      <c r="D31" s="57">
        <f t="shared" ref="D31:AC31" si="21">SUM(D28:D30)</f>
        <v>15.996772602739727</v>
      </c>
      <c r="E31" s="57">
        <f t="shared" si="21"/>
        <v>65.675638630137001</v>
      </c>
      <c r="F31" s="57">
        <f t="shared" si="21"/>
        <v>68.959420561643839</v>
      </c>
      <c r="G31" s="57">
        <f t="shared" si="21"/>
        <v>72.561991546258156</v>
      </c>
      <c r="H31" s="57">
        <f t="shared" si="21"/>
        <v>75.87316121268023</v>
      </c>
      <c r="I31" s="57">
        <f t="shared" si="21"/>
        <v>79.829149227672971</v>
      </c>
      <c r="J31" s="57">
        <f t="shared" si="21"/>
        <v>83.820606689056618</v>
      </c>
      <c r="K31" s="57">
        <f t="shared" si="21"/>
        <v>88.199554236923973</v>
      </c>
      <c r="L31" s="57">
        <f t="shared" si="21"/>
        <v>92.224301661270417</v>
      </c>
      <c r="M31" s="57">
        <f t="shared" si="21"/>
        <v>97.032829818419202</v>
      </c>
      <c r="N31" s="57">
        <f t="shared" si="21"/>
        <v>101.88447130934016</v>
      </c>
      <c r="O31" s="57">
        <f t="shared" si="21"/>
        <v>107.20710942219509</v>
      </c>
      <c r="P31" s="57">
        <f t="shared" si="21"/>
        <v>112.09921507115962</v>
      </c>
      <c r="Q31" s="57">
        <f t="shared" si="21"/>
        <v>117.94401109947492</v>
      </c>
      <c r="R31" s="57">
        <f t="shared" si="21"/>
        <v>123.84121165444867</v>
      </c>
      <c r="S31" s="57">
        <f t="shared" si="21"/>
        <v>130.31091154711203</v>
      </c>
      <c r="T31" s="57">
        <f t="shared" si="21"/>
        <v>136.25729653908874</v>
      </c>
      <c r="U31" s="57">
        <f t="shared" si="21"/>
        <v>143.36168264148117</v>
      </c>
      <c r="V31" s="57">
        <f t="shared" si="21"/>
        <v>150.52976677355525</v>
      </c>
      <c r="W31" s="57">
        <f t="shared" si="21"/>
        <v>158.39372742871191</v>
      </c>
      <c r="X31" s="57">
        <f t="shared" si="21"/>
        <v>165.62159555136577</v>
      </c>
      <c r="Y31" s="57">
        <f t="shared" si="21"/>
        <v>174.25702126123693</v>
      </c>
      <c r="Z31" s="57">
        <f t="shared" si="21"/>
        <v>182.96987232429876</v>
      </c>
      <c r="AA31" s="57">
        <f t="shared" si="21"/>
        <v>192.52856565039582</v>
      </c>
      <c r="AB31" s="57">
        <f t="shared" si="21"/>
        <v>198.72311399651124</v>
      </c>
      <c r="AC31" s="58">
        <f t="shared" si="21"/>
        <v>149.72289410696052</v>
      </c>
    </row>
    <row r="32" spans="1:29" s="46" customFormat="1" ht="15.75" thickBot="1">
      <c r="A32" s="43"/>
      <c r="B32" s="66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</row>
    <row r="33" spans="1:29" s="16" customFormat="1">
      <c r="A33" s="55"/>
      <c r="B33" s="239" t="s">
        <v>35</v>
      </c>
      <c r="C33" s="67" t="s">
        <v>31</v>
      </c>
      <c r="D33" s="68">
        <f t="shared" ref="D33:AC33" si="22">D25-D31</f>
        <v>180.24085819726025</v>
      </c>
      <c r="E33" s="68">
        <f t="shared" si="22"/>
        <v>724.60600687326303</v>
      </c>
      <c r="F33" s="68">
        <f t="shared" si="22"/>
        <v>715.79025342323234</v>
      </c>
      <c r="G33" s="68">
        <f t="shared" si="22"/>
        <v>708.82938383378416</v>
      </c>
      <c r="H33" s="68">
        <f t="shared" si="22"/>
        <v>697.92847007043292</v>
      </c>
      <c r="I33" s="68">
        <f t="shared" si="22"/>
        <v>688.55587063645839</v>
      </c>
      <c r="J33" s="68">
        <f t="shared" si="22"/>
        <v>679.18571803602583</v>
      </c>
      <c r="K33" s="68">
        <f t="shared" si="22"/>
        <v>671.54152150399239</v>
      </c>
      <c r="L33" s="68">
        <f t="shared" si="22"/>
        <v>660.13732182757224</v>
      </c>
      <c r="M33" s="68">
        <f t="shared" si="22"/>
        <v>650.06226230600146</v>
      </c>
      <c r="N33" s="68">
        <f t="shared" si="22"/>
        <v>639.98095517020965</v>
      </c>
      <c r="O33" s="68">
        <f t="shared" si="22"/>
        <v>631.48353953362584</v>
      </c>
      <c r="P33" s="68">
        <f t="shared" si="22"/>
        <v>619.41644684357391</v>
      </c>
      <c r="Q33" s="68">
        <f t="shared" si="22"/>
        <v>608.45104118185554</v>
      </c>
      <c r="R33" s="68">
        <f t="shared" si="22"/>
        <v>597.4690752609124</v>
      </c>
      <c r="S33" s="68">
        <f t="shared" si="22"/>
        <v>587.91256257876466</v>
      </c>
      <c r="T33" s="68">
        <f t="shared" si="22"/>
        <v>574.98999056351602</v>
      </c>
      <c r="U33" s="68">
        <f t="shared" si="22"/>
        <v>562.90687345140543</v>
      </c>
      <c r="V33" s="68">
        <f t="shared" si="22"/>
        <v>550.7949094266811</v>
      </c>
      <c r="W33" s="68">
        <f t="shared" si="22"/>
        <v>539.92966344488116</v>
      </c>
      <c r="X33" s="68">
        <f t="shared" si="22"/>
        <v>525.91890009120107</v>
      </c>
      <c r="Y33" s="68">
        <f t="shared" si="22"/>
        <v>512.44269091183196</v>
      </c>
      <c r="Z33" s="68">
        <f t="shared" si="22"/>
        <v>498.92294186355866</v>
      </c>
      <c r="AA33" s="68">
        <f t="shared" si="22"/>
        <v>486.44612093263567</v>
      </c>
      <c r="AB33" s="68">
        <f t="shared" si="22"/>
        <v>473.6566135406112</v>
      </c>
      <c r="AC33" s="69">
        <f t="shared" si="22"/>
        <v>517.95017533740213</v>
      </c>
    </row>
    <row r="34" spans="1:29">
      <c r="A34" s="19" t="s">
        <v>36</v>
      </c>
      <c r="B34" s="70" t="s">
        <v>37</v>
      </c>
      <c r="C34" s="36" t="s">
        <v>31</v>
      </c>
      <c r="D34" s="53">
        <f>Assumption!$C$51/Assumption!$C$15*D12/365</f>
        <v>50.161413698630128</v>
      </c>
      <c r="E34" s="53">
        <f>Assumption!$C$51/Assumption!$C$15</f>
        <v>203.43239999999997</v>
      </c>
      <c r="F34" s="53">
        <f>E34</f>
        <v>203.43239999999997</v>
      </c>
      <c r="G34" s="53">
        <f t="shared" ref="G34:N34" si="23">F34</f>
        <v>203.43239999999997</v>
      </c>
      <c r="H34" s="53">
        <f t="shared" si="23"/>
        <v>203.43239999999997</v>
      </c>
      <c r="I34" s="53">
        <f t="shared" si="23"/>
        <v>203.43239999999997</v>
      </c>
      <c r="J34" s="53">
        <f t="shared" si="23"/>
        <v>203.43239999999997</v>
      </c>
      <c r="K34" s="53">
        <f t="shared" si="23"/>
        <v>203.43239999999997</v>
      </c>
      <c r="L34" s="53">
        <f t="shared" si="23"/>
        <v>203.43239999999997</v>
      </c>
      <c r="M34" s="53">
        <f t="shared" si="23"/>
        <v>203.43239999999997</v>
      </c>
      <c r="N34" s="53">
        <f t="shared" si="23"/>
        <v>203.43239999999997</v>
      </c>
      <c r="O34" s="53">
        <f t="shared" ref="O34:AB34" si="24">N34</f>
        <v>203.43239999999997</v>
      </c>
      <c r="P34" s="53">
        <f t="shared" si="24"/>
        <v>203.43239999999997</v>
      </c>
      <c r="Q34" s="53">
        <f t="shared" si="24"/>
        <v>203.43239999999997</v>
      </c>
      <c r="R34" s="53">
        <f t="shared" si="24"/>
        <v>203.43239999999997</v>
      </c>
      <c r="S34" s="53">
        <f t="shared" si="24"/>
        <v>203.43239999999997</v>
      </c>
      <c r="T34" s="53">
        <f t="shared" si="24"/>
        <v>203.43239999999997</v>
      </c>
      <c r="U34" s="53">
        <f t="shared" si="24"/>
        <v>203.43239999999997</v>
      </c>
      <c r="V34" s="53">
        <f t="shared" si="24"/>
        <v>203.43239999999997</v>
      </c>
      <c r="W34" s="53">
        <f t="shared" si="24"/>
        <v>203.43239999999997</v>
      </c>
      <c r="X34" s="53">
        <f t="shared" si="24"/>
        <v>203.43239999999997</v>
      </c>
      <c r="Y34" s="53">
        <f t="shared" si="24"/>
        <v>203.43239999999997</v>
      </c>
      <c r="Z34" s="53">
        <f t="shared" si="24"/>
        <v>203.43239999999997</v>
      </c>
      <c r="AA34" s="53">
        <f t="shared" si="24"/>
        <v>203.43239999999997</v>
      </c>
      <c r="AB34" s="53">
        <f t="shared" si="24"/>
        <v>203.43239999999997</v>
      </c>
      <c r="AC34" s="314">
        <f>Assumption!C51-SUM(D34:AB34)</f>
        <v>153.2709863013697</v>
      </c>
    </row>
    <row r="35" spans="1:29" s="46" customFormat="1">
      <c r="A35" s="43"/>
      <c r="B35" s="70"/>
      <c r="C35" s="36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314"/>
    </row>
    <row r="36" spans="1:29" s="16" customFormat="1">
      <c r="A36" s="55"/>
      <c r="B36" s="240" t="s">
        <v>38</v>
      </c>
      <c r="C36" s="71" t="s">
        <v>31</v>
      </c>
      <c r="D36" s="72">
        <f t="shared" ref="D36:V36" si="25">D33-D34</f>
        <v>130.07944449863012</v>
      </c>
      <c r="E36" s="72">
        <f t="shared" si="25"/>
        <v>521.173606873263</v>
      </c>
      <c r="F36" s="72">
        <f t="shared" si="25"/>
        <v>512.35785342323243</v>
      </c>
      <c r="G36" s="72">
        <f t="shared" si="25"/>
        <v>505.39698383378419</v>
      </c>
      <c r="H36" s="72">
        <f t="shared" si="25"/>
        <v>494.49607007043295</v>
      </c>
      <c r="I36" s="72">
        <f t="shared" si="25"/>
        <v>485.12347063645842</v>
      </c>
      <c r="J36" s="72">
        <f t="shared" si="25"/>
        <v>475.75331803602586</v>
      </c>
      <c r="K36" s="72">
        <f t="shared" si="25"/>
        <v>468.10912150399241</v>
      </c>
      <c r="L36" s="72">
        <f t="shared" si="25"/>
        <v>456.70492182757226</v>
      </c>
      <c r="M36" s="72">
        <f t="shared" si="25"/>
        <v>446.62986230600148</v>
      </c>
      <c r="N36" s="72">
        <f t="shared" si="25"/>
        <v>436.54855517020968</v>
      </c>
      <c r="O36" s="72">
        <f t="shared" si="25"/>
        <v>428.05113953362587</v>
      </c>
      <c r="P36" s="72">
        <f t="shared" si="25"/>
        <v>415.98404684357394</v>
      </c>
      <c r="Q36" s="72">
        <f t="shared" si="25"/>
        <v>405.01864118185557</v>
      </c>
      <c r="R36" s="72">
        <f t="shared" si="25"/>
        <v>394.03667526091243</v>
      </c>
      <c r="S36" s="72">
        <f t="shared" si="25"/>
        <v>384.48016257876469</v>
      </c>
      <c r="T36" s="72">
        <f t="shared" si="25"/>
        <v>371.55759056351604</v>
      </c>
      <c r="U36" s="72">
        <f t="shared" si="25"/>
        <v>359.47447345140546</v>
      </c>
      <c r="V36" s="72">
        <f t="shared" si="25"/>
        <v>347.36250942668113</v>
      </c>
      <c r="W36" s="72">
        <f>W33-W34</f>
        <v>336.49726344488118</v>
      </c>
      <c r="X36" s="72">
        <f t="shared" ref="X36:AC36" si="26">X33-X34</f>
        <v>322.48650009120109</v>
      </c>
      <c r="Y36" s="72">
        <f t="shared" si="26"/>
        <v>309.01029091183199</v>
      </c>
      <c r="Z36" s="72">
        <f t="shared" si="26"/>
        <v>295.49054186355869</v>
      </c>
      <c r="AA36" s="72">
        <f t="shared" si="26"/>
        <v>283.01372093263569</v>
      </c>
      <c r="AB36" s="72">
        <f t="shared" si="26"/>
        <v>270.22421354061123</v>
      </c>
      <c r="AC36" s="315">
        <f t="shared" si="26"/>
        <v>364.67918903603243</v>
      </c>
    </row>
    <row r="37" spans="1:29">
      <c r="A37" s="19" t="s">
        <v>36</v>
      </c>
      <c r="B37" s="70" t="s">
        <v>39</v>
      </c>
      <c r="C37" s="71" t="s">
        <v>31</v>
      </c>
      <c r="D37" s="53">
        <f>'Loan Stat.'!D45</f>
        <v>111.25209374999997</v>
      </c>
      <c r="E37" s="53">
        <f>'Loan Stat.'!E45</f>
        <v>443.54453166118407</v>
      </c>
      <c r="F37" s="53">
        <f>'Loan Stat.'!F45</f>
        <v>424.51456825657885</v>
      </c>
      <c r="G37" s="53">
        <f>'Loan Stat.'!G45</f>
        <v>401.09307483552635</v>
      </c>
      <c r="H37" s="53">
        <f>'Loan Stat.'!H45</f>
        <v>377.67158141447374</v>
      </c>
      <c r="I37" s="53">
        <f>'Loan Stat.'!I45</f>
        <v>354.25008799342129</v>
      </c>
      <c r="J37" s="53">
        <f>'Loan Stat.'!J45</f>
        <v>330.82859457236867</v>
      </c>
      <c r="K37" s="53">
        <f>'Loan Stat.'!K45</f>
        <v>307.40710115131617</v>
      </c>
      <c r="L37" s="53">
        <f>'Loan Stat.'!L45</f>
        <v>283.98560773026361</v>
      </c>
      <c r="M37" s="53">
        <f>'Loan Stat.'!M45</f>
        <v>260.56411430921111</v>
      </c>
      <c r="N37" s="53">
        <f>'Loan Stat.'!N45</f>
        <v>237.14262088815852</v>
      </c>
      <c r="O37" s="53">
        <f>'Loan Stat.'!O45</f>
        <v>213.72112746710599</v>
      </c>
      <c r="P37" s="53">
        <f>'Loan Stat.'!P45</f>
        <v>190.29963404605337</v>
      </c>
      <c r="Q37" s="53">
        <f>'Loan Stat.'!Q45</f>
        <v>166.87814062500075</v>
      </c>
      <c r="R37" s="53">
        <f>'Loan Stat.'!R45</f>
        <v>143.45664720394808</v>
      </c>
      <c r="S37" s="53">
        <f>'Loan Stat.'!S45</f>
        <v>120.03515378289546</v>
      </c>
      <c r="T37" s="53">
        <f>'Loan Stat.'!T45</f>
        <v>96.613660361842847</v>
      </c>
      <c r="U37" s="53">
        <f>'Loan Stat.'!U45</f>
        <v>73.192166940790216</v>
      </c>
      <c r="V37" s="53">
        <f>'Loan Stat.'!V45</f>
        <v>49.770673519737585</v>
      </c>
      <c r="W37" s="53">
        <f>'Loan Stat.'!W45</f>
        <v>26.34918009868495</v>
      </c>
      <c r="X37" s="53">
        <f>'Loan Stat.'!X45</f>
        <v>4.3915300164477395</v>
      </c>
      <c r="Y37" s="53">
        <f>'Loan Stat.'!Y45</f>
        <v>0</v>
      </c>
      <c r="Z37" s="53">
        <f>'Loan Stat.'!Z45</f>
        <v>0</v>
      </c>
      <c r="AA37" s="53">
        <f>'Loan Stat.'!AA45</f>
        <v>0</v>
      </c>
      <c r="AB37" s="53">
        <f>'Loan Stat.'!AB45</f>
        <v>0</v>
      </c>
      <c r="AC37" s="314">
        <f>'Loan Stat.'!AC45</f>
        <v>0</v>
      </c>
    </row>
    <row r="38" spans="1:29">
      <c r="A38" s="19" t="s">
        <v>36</v>
      </c>
      <c r="B38" s="70" t="s">
        <v>154</v>
      </c>
      <c r="C38" s="71" t="s">
        <v>31</v>
      </c>
      <c r="D38" s="53">
        <v>0</v>
      </c>
      <c r="E38" s="53">
        <f>E91*Assumption!$C$45</f>
        <v>22.529471071503121</v>
      </c>
      <c r="F38" s="53">
        <f>F91*Assumption!$C$45</f>
        <v>22.406379434225805</v>
      </c>
      <c r="G38" s="53">
        <f>G91*Assumption!$C$45</f>
        <v>22.285476495058877</v>
      </c>
      <c r="H38" s="53">
        <f>H91*Assumption!$C$45</f>
        <v>22.166612152970732</v>
      </c>
      <c r="I38" s="53">
        <f>I91*Assumption!$C$45</f>
        <v>22.052936177445826</v>
      </c>
      <c r="J38" s="53">
        <f>J91*Assumption!$C$45</f>
        <v>21.940639960046649</v>
      </c>
      <c r="K38" s="53">
        <f>K91*Assumption!$C$45</f>
        <v>21.830742861820752</v>
      </c>
      <c r="L38" s="53">
        <f>L91*Assumption!$C$45</f>
        <v>21.723064262825531</v>
      </c>
      <c r="M38" s="53">
        <f>M91*Assumption!$C$45</f>
        <v>21.621434543553217</v>
      </c>
      <c r="N38" s="53">
        <f>N91*Assumption!$C$45</f>
        <v>21.521226119930041</v>
      </c>
      <c r="O38" s="53">
        <f>O91*Assumption!$C$45</f>
        <v>21.423679822343157</v>
      </c>
      <c r="P38" s="53">
        <f>P91*Assumption!$C$45</f>
        <v>21.328577884251615</v>
      </c>
      <c r="Q38" s="53">
        <f>Q91*Assumption!$C$45</f>
        <v>21.240577922764924</v>
      </c>
      <c r="R38" s="53">
        <f>R91*Assumption!$C$45</f>
        <v>21.154056833840535</v>
      </c>
      <c r="S38" s="53">
        <f>S91*Assumption!$C$45</f>
        <v>21.070524595617499</v>
      </c>
      <c r="T38" s="53">
        <f>T91*Assumption!$C$45</f>
        <v>20.9897182403652</v>
      </c>
      <c r="U38" s="53">
        <f>U91*Assumption!$C$45</f>
        <v>20.917300847549246</v>
      </c>
      <c r="V38" s="53">
        <f>V91*Assumption!$C$45</f>
        <v>20.846439203803129</v>
      </c>
      <c r="W38" s="53">
        <f>W91*Assumption!$C$45</f>
        <v>20.778970389800637</v>
      </c>
      <c r="X38" s="53">
        <f>X91*Assumption!$C$45</f>
        <v>20.714576447580409</v>
      </c>
      <c r="Y38" s="53">
        <f>Y91*Assumption!$C$45</f>
        <v>20.660142554819171</v>
      </c>
      <c r="Z38" s="53">
        <f>Z91*Assumption!$C$45</f>
        <v>20.607364555470042</v>
      </c>
      <c r="AA38" s="53">
        <f>AA91*Assumption!$C$45</f>
        <v>20.558477078478905</v>
      </c>
      <c r="AB38" s="53">
        <f>AB91*Assumption!$C$45</f>
        <v>20.489137674113945</v>
      </c>
      <c r="AC38" s="314">
        <f>AC91*Assumption!$C$45</f>
        <v>19.905492043110041</v>
      </c>
    </row>
    <row r="39" spans="1:29" s="46" customFormat="1">
      <c r="A39" s="43"/>
      <c r="B39" s="70"/>
      <c r="C39" s="36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314"/>
    </row>
    <row r="40" spans="1:29" s="16" customFormat="1">
      <c r="A40" s="55"/>
      <c r="B40" s="240" t="s">
        <v>40</v>
      </c>
      <c r="C40" s="71" t="s">
        <v>31</v>
      </c>
      <c r="D40" s="72">
        <f>D36-D37-D38</f>
        <v>18.827350748630153</v>
      </c>
      <c r="E40" s="72">
        <f t="shared" ref="E40:AC40" si="27">E36-E37-E38</f>
        <v>55.099604140575806</v>
      </c>
      <c r="F40" s="72">
        <f t="shared" si="27"/>
        <v>65.436905732427761</v>
      </c>
      <c r="G40" s="72">
        <f t="shared" si="27"/>
        <v>82.018432503198966</v>
      </c>
      <c r="H40" s="72">
        <f t="shared" si="27"/>
        <v>94.657876502988486</v>
      </c>
      <c r="I40" s="72">
        <f t="shared" si="27"/>
        <v>108.8204464655913</v>
      </c>
      <c r="J40" s="72">
        <f t="shared" si="27"/>
        <v>122.98408350361053</v>
      </c>
      <c r="K40" s="72">
        <f t="shared" si="27"/>
        <v>138.8712774908555</v>
      </c>
      <c r="L40" s="72">
        <f t="shared" si="27"/>
        <v>150.99624983448314</v>
      </c>
      <c r="M40" s="72">
        <f t="shared" si="27"/>
        <v>164.44431345323716</v>
      </c>
      <c r="N40" s="72">
        <f t="shared" si="27"/>
        <v>177.88470816212111</v>
      </c>
      <c r="O40" s="72">
        <f t="shared" si="27"/>
        <v>192.90633224417672</v>
      </c>
      <c r="P40" s="72">
        <f t="shared" si="27"/>
        <v>204.35583491326895</v>
      </c>
      <c r="Q40" s="72">
        <f t="shared" si="27"/>
        <v>216.8999226340899</v>
      </c>
      <c r="R40" s="72">
        <f t="shared" si="27"/>
        <v>229.42597122312381</v>
      </c>
      <c r="S40" s="72">
        <f t="shared" si="27"/>
        <v>243.37448420025174</v>
      </c>
      <c r="T40" s="72">
        <f t="shared" si="27"/>
        <v>253.954211961308</v>
      </c>
      <c r="U40" s="72">
        <f t="shared" si="27"/>
        <v>265.36500566306597</v>
      </c>
      <c r="V40" s="72">
        <f t="shared" si="27"/>
        <v>276.74539670314039</v>
      </c>
      <c r="W40" s="72">
        <f t="shared" si="27"/>
        <v>289.36911295639561</v>
      </c>
      <c r="X40" s="72">
        <f t="shared" si="27"/>
        <v>297.38039362717296</v>
      </c>
      <c r="Y40" s="72">
        <f t="shared" si="27"/>
        <v>288.35014835701281</v>
      </c>
      <c r="Z40" s="72">
        <f t="shared" si="27"/>
        <v>274.88317730808865</v>
      </c>
      <c r="AA40" s="72">
        <f t="shared" si="27"/>
        <v>262.45524385415678</v>
      </c>
      <c r="AB40" s="72">
        <f t="shared" si="27"/>
        <v>249.73507586649728</v>
      </c>
      <c r="AC40" s="315">
        <f t="shared" si="27"/>
        <v>344.7736969929224</v>
      </c>
    </row>
    <row r="41" spans="1:29" ht="15.75" thickBot="1">
      <c r="A41" s="19" t="s">
        <v>36</v>
      </c>
      <c r="B41" s="73" t="s">
        <v>41</v>
      </c>
      <c r="C41" s="40" t="s">
        <v>31</v>
      </c>
      <c r="D41" s="74">
        <f>D59</f>
        <v>4.0570681581208143</v>
      </c>
      <c r="E41" s="74">
        <f>E59</f>
        <v>11.873303497044398</v>
      </c>
      <c r="F41" s="74">
        <f t="shared" ref="F41:W41" si="28">F59</f>
        <v>14.100867942469392</v>
      </c>
      <c r="G41" s="74">
        <f t="shared" si="28"/>
        <v>17.673987983249337</v>
      </c>
      <c r="H41" s="74">
        <f t="shared" si="28"/>
        <v>20.397636491875982</v>
      </c>
      <c r="I41" s="74">
        <f t="shared" si="28"/>
        <v>23.449500367977336</v>
      </c>
      <c r="J41" s="74">
        <f t="shared" si="28"/>
        <v>26.501594186026026</v>
      </c>
      <c r="K41" s="74">
        <f t="shared" si="28"/>
        <v>29.925093843949469</v>
      </c>
      <c r="L41" s="74">
        <f t="shared" si="28"/>
        <v>32.537879884333101</v>
      </c>
      <c r="M41" s="74">
        <f t="shared" si="28"/>
        <v>35.435776217411167</v>
      </c>
      <c r="N41" s="74">
        <f t="shared" si="28"/>
        <v>38.33201999243915</v>
      </c>
      <c r="O41" s="74">
        <f t="shared" si="28"/>
        <v>41.568999722633151</v>
      </c>
      <c r="P41" s="74">
        <f t="shared" si="28"/>
        <v>44.036230153790498</v>
      </c>
      <c r="Q41" s="74">
        <f t="shared" si="28"/>
        <v>46.739330528574762</v>
      </c>
      <c r="R41" s="74">
        <f t="shared" si="28"/>
        <v>151.25802924020834</v>
      </c>
      <c r="S41" s="74">
        <f t="shared" si="28"/>
        <v>156.13219761493596</v>
      </c>
      <c r="T41" s="74">
        <f t="shared" si="28"/>
        <v>159.82917768375944</v>
      </c>
      <c r="U41" s="74">
        <f t="shared" si="28"/>
        <v>163.81656543490175</v>
      </c>
      <c r="V41" s="74">
        <f t="shared" si="28"/>
        <v>167.79332927994537</v>
      </c>
      <c r="W41" s="74">
        <f t="shared" si="28"/>
        <v>172.20456068748285</v>
      </c>
      <c r="X41" s="74">
        <f t="shared" ref="X41:AC41" si="29">X59</f>
        <v>175.00402260507929</v>
      </c>
      <c r="Y41" s="74">
        <f t="shared" si="29"/>
        <v>171.84849369787455</v>
      </c>
      <c r="Z41" s="74">
        <f t="shared" si="29"/>
        <v>167.14259533453847</v>
      </c>
      <c r="AA41" s="74">
        <f t="shared" si="29"/>
        <v>162.79977826839652</v>
      </c>
      <c r="AB41" s="74">
        <f t="shared" si="29"/>
        <v>158.35484276678881</v>
      </c>
      <c r="AC41" s="75">
        <f t="shared" si="29"/>
        <v>174.03673413035742</v>
      </c>
    </row>
    <row r="42" spans="1:29" s="46" customFormat="1" ht="15.75" thickBot="1">
      <c r="A42" s="43"/>
      <c r="B42" s="66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</row>
    <row r="43" spans="1:29" s="16" customFormat="1" ht="15.75" thickBot="1">
      <c r="A43" s="55"/>
      <c r="B43" s="241" t="s">
        <v>42</v>
      </c>
      <c r="C43" s="76" t="s">
        <v>31</v>
      </c>
      <c r="D43" s="77">
        <f t="shared" ref="D43:V43" si="30">D40-D41</f>
        <v>14.770282590509339</v>
      </c>
      <c r="E43" s="77">
        <f t="shared" si="30"/>
        <v>43.22630064353141</v>
      </c>
      <c r="F43" s="77">
        <f t="shared" si="30"/>
        <v>51.336037789958368</v>
      </c>
      <c r="G43" s="77">
        <f t="shared" si="30"/>
        <v>64.344444519949633</v>
      </c>
      <c r="H43" s="77">
        <f t="shared" si="30"/>
        <v>74.260240011112501</v>
      </c>
      <c r="I43" s="77">
        <f t="shared" si="30"/>
        <v>85.370946097613967</v>
      </c>
      <c r="J43" s="77">
        <f t="shared" si="30"/>
        <v>96.482489317584509</v>
      </c>
      <c r="K43" s="77">
        <f t="shared" si="30"/>
        <v>108.94618364690604</v>
      </c>
      <c r="L43" s="77">
        <f t="shared" si="30"/>
        <v>118.45836995015003</v>
      </c>
      <c r="M43" s="77">
        <f t="shared" si="30"/>
        <v>129.008537235826</v>
      </c>
      <c r="N43" s="77">
        <f t="shared" si="30"/>
        <v>139.55268816968197</v>
      </c>
      <c r="O43" s="77">
        <f t="shared" si="30"/>
        <v>151.33733252154357</v>
      </c>
      <c r="P43" s="77">
        <f t="shared" si="30"/>
        <v>160.31960475947847</v>
      </c>
      <c r="Q43" s="77">
        <f t="shared" si="30"/>
        <v>170.16059210551515</v>
      </c>
      <c r="R43" s="77">
        <f t="shared" si="30"/>
        <v>78.167941982915465</v>
      </c>
      <c r="S43" s="77">
        <f t="shared" si="30"/>
        <v>87.242286585315782</v>
      </c>
      <c r="T43" s="77">
        <f t="shared" si="30"/>
        <v>94.125034277548565</v>
      </c>
      <c r="U43" s="77">
        <f t="shared" si="30"/>
        <v>101.54844022816422</v>
      </c>
      <c r="V43" s="77">
        <f t="shared" si="30"/>
        <v>108.95206742319502</v>
      </c>
      <c r="W43" s="77">
        <f>W40-W41</f>
        <v>117.16455226891276</v>
      </c>
      <c r="X43" s="77">
        <f t="shared" ref="X43:AC43" si="31">X40-X41</f>
        <v>122.37637102209368</v>
      </c>
      <c r="Y43" s="77">
        <f t="shared" si="31"/>
        <v>116.50165465913827</v>
      </c>
      <c r="Z43" s="77">
        <f t="shared" si="31"/>
        <v>107.74058197355018</v>
      </c>
      <c r="AA43" s="77">
        <f t="shared" si="31"/>
        <v>99.655465585760254</v>
      </c>
      <c r="AB43" s="77">
        <f t="shared" si="31"/>
        <v>91.380233099708477</v>
      </c>
      <c r="AC43" s="78">
        <f t="shared" si="31"/>
        <v>170.73696286256498</v>
      </c>
    </row>
    <row r="44" spans="1:29" s="80" customFormat="1" ht="15.75" thickBot="1">
      <c r="A44" s="43"/>
      <c r="B44" s="79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</row>
    <row r="45" spans="1:29" s="46" customFormat="1" ht="15.75" thickBot="1">
      <c r="A45" s="43"/>
      <c r="B45" s="242" t="s">
        <v>43</v>
      </c>
      <c r="C45" s="81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</row>
    <row r="46" spans="1:29">
      <c r="A46" s="19"/>
      <c r="B46" s="82" t="s">
        <v>40</v>
      </c>
      <c r="C46" s="48" t="s">
        <v>31</v>
      </c>
      <c r="D46" s="62">
        <f t="shared" ref="D46:W46" si="32">D40</f>
        <v>18.827350748630153</v>
      </c>
      <c r="E46" s="62">
        <f t="shared" si="32"/>
        <v>55.099604140575806</v>
      </c>
      <c r="F46" s="62">
        <f t="shared" si="32"/>
        <v>65.436905732427761</v>
      </c>
      <c r="G46" s="62">
        <f t="shared" si="32"/>
        <v>82.018432503198966</v>
      </c>
      <c r="H46" s="62">
        <f t="shared" si="32"/>
        <v>94.657876502988486</v>
      </c>
      <c r="I46" s="62">
        <f t="shared" si="32"/>
        <v>108.8204464655913</v>
      </c>
      <c r="J46" s="62">
        <f t="shared" si="32"/>
        <v>122.98408350361053</v>
      </c>
      <c r="K46" s="62">
        <f t="shared" si="32"/>
        <v>138.8712774908555</v>
      </c>
      <c r="L46" s="62">
        <f t="shared" si="32"/>
        <v>150.99624983448314</v>
      </c>
      <c r="M46" s="62">
        <f t="shared" si="32"/>
        <v>164.44431345323716</v>
      </c>
      <c r="N46" s="62">
        <f t="shared" si="32"/>
        <v>177.88470816212111</v>
      </c>
      <c r="O46" s="62">
        <f>O40</f>
        <v>192.90633224417672</v>
      </c>
      <c r="P46" s="62">
        <f t="shared" si="32"/>
        <v>204.35583491326895</v>
      </c>
      <c r="Q46" s="62">
        <f t="shared" si="32"/>
        <v>216.8999226340899</v>
      </c>
      <c r="R46" s="62">
        <f t="shared" si="32"/>
        <v>229.42597122312381</v>
      </c>
      <c r="S46" s="62">
        <f t="shared" si="32"/>
        <v>243.37448420025174</v>
      </c>
      <c r="T46" s="62">
        <f t="shared" si="32"/>
        <v>253.954211961308</v>
      </c>
      <c r="U46" s="62">
        <f t="shared" si="32"/>
        <v>265.36500566306597</v>
      </c>
      <c r="V46" s="62">
        <f t="shared" si="32"/>
        <v>276.74539670314039</v>
      </c>
      <c r="W46" s="62">
        <f t="shared" si="32"/>
        <v>289.36911295639561</v>
      </c>
      <c r="X46" s="62">
        <f t="shared" ref="X46:AC46" si="33">X40</f>
        <v>297.38039362717296</v>
      </c>
      <c r="Y46" s="62">
        <f t="shared" si="33"/>
        <v>288.35014835701281</v>
      </c>
      <c r="Z46" s="62">
        <f t="shared" si="33"/>
        <v>274.88317730808865</v>
      </c>
      <c r="AA46" s="62">
        <f t="shared" si="33"/>
        <v>262.45524385415678</v>
      </c>
      <c r="AB46" s="62">
        <f t="shared" si="33"/>
        <v>249.73507586649728</v>
      </c>
      <c r="AC46" s="63">
        <f t="shared" si="33"/>
        <v>344.7736969929224</v>
      </c>
    </row>
    <row r="47" spans="1:29">
      <c r="A47" s="19" t="s">
        <v>44</v>
      </c>
      <c r="B47" s="83" t="s">
        <v>12</v>
      </c>
      <c r="C47" s="36" t="s">
        <v>31</v>
      </c>
      <c r="D47" s="53">
        <f t="shared" ref="D47:W47" si="34">D34</f>
        <v>50.161413698630128</v>
      </c>
      <c r="E47" s="53">
        <f t="shared" si="34"/>
        <v>203.43239999999997</v>
      </c>
      <c r="F47" s="53">
        <f t="shared" si="34"/>
        <v>203.43239999999997</v>
      </c>
      <c r="G47" s="53">
        <f t="shared" si="34"/>
        <v>203.43239999999997</v>
      </c>
      <c r="H47" s="53">
        <f t="shared" si="34"/>
        <v>203.43239999999997</v>
      </c>
      <c r="I47" s="53">
        <f t="shared" si="34"/>
        <v>203.43239999999997</v>
      </c>
      <c r="J47" s="53">
        <f t="shared" si="34"/>
        <v>203.43239999999997</v>
      </c>
      <c r="K47" s="53">
        <f t="shared" si="34"/>
        <v>203.43239999999997</v>
      </c>
      <c r="L47" s="53">
        <f t="shared" si="34"/>
        <v>203.43239999999997</v>
      </c>
      <c r="M47" s="53">
        <f t="shared" si="34"/>
        <v>203.43239999999997</v>
      </c>
      <c r="N47" s="53">
        <f t="shared" si="34"/>
        <v>203.43239999999997</v>
      </c>
      <c r="O47" s="53">
        <f t="shared" si="34"/>
        <v>203.43239999999997</v>
      </c>
      <c r="P47" s="53">
        <f t="shared" si="34"/>
        <v>203.43239999999997</v>
      </c>
      <c r="Q47" s="53">
        <f t="shared" si="34"/>
        <v>203.43239999999997</v>
      </c>
      <c r="R47" s="53">
        <f t="shared" si="34"/>
        <v>203.43239999999997</v>
      </c>
      <c r="S47" s="53">
        <f t="shared" si="34"/>
        <v>203.43239999999997</v>
      </c>
      <c r="T47" s="53">
        <f t="shared" si="34"/>
        <v>203.43239999999997</v>
      </c>
      <c r="U47" s="53">
        <f t="shared" si="34"/>
        <v>203.43239999999997</v>
      </c>
      <c r="V47" s="53">
        <f t="shared" si="34"/>
        <v>203.43239999999997</v>
      </c>
      <c r="W47" s="53">
        <f t="shared" si="34"/>
        <v>203.43239999999997</v>
      </c>
      <c r="X47" s="53">
        <f t="shared" ref="X47:AC47" si="35">X34</f>
        <v>203.43239999999997</v>
      </c>
      <c r="Y47" s="53">
        <f t="shared" si="35"/>
        <v>203.43239999999997</v>
      </c>
      <c r="Z47" s="53">
        <f t="shared" si="35"/>
        <v>203.43239999999997</v>
      </c>
      <c r="AA47" s="53">
        <f t="shared" si="35"/>
        <v>203.43239999999997</v>
      </c>
      <c r="AB47" s="53">
        <f t="shared" si="35"/>
        <v>203.43239999999997</v>
      </c>
      <c r="AC47" s="54">
        <f t="shared" si="35"/>
        <v>153.2709863013697</v>
      </c>
    </row>
    <row r="48" spans="1:29">
      <c r="A48" s="19" t="s">
        <v>36</v>
      </c>
      <c r="B48" s="83" t="s">
        <v>45</v>
      </c>
      <c r="C48" s="36" t="s">
        <v>31</v>
      </c>
      <c r="D48" s="53">
        <f>Assumption!$C$48*Assumption!C54*D12/365</f>
        <v>107.15035315068492</v>
      </c>
      <c r="E48" s="181">
        <f>IF((Assumption!$C$48&gt;SUM($D$48:D48)),MIN(Assumption!$C$48*Assumption!$C$54,Assumption!$C$48-SUM($D$48:D48)),0)</f>
        <v>434.55420999999996</v>
      </c>
      <c r="F48" s="181">
        <f>IF((Assumption!$C$48&gt;SUM($D$48:E48)),MIN(Assumption!$C$48*Assumption!$C$54,Assumption!$C$48-SUM($D$48:E48)),0)</f>
        <v>434.55420999999996</v>
      </c>
      <c r="G48" s="181">
        <f>IF((Assumption!$C$48&gt;SUM($D$48:F48)),MIN(Assumption!$C$48*Assumption!$C$54,Assumption!$C$48-SUM($D$48:F48)),0)</f>
        <v>434.55420999999996</v>
      </c>
      <c r="H48" s="181">
        <f>IF((Assumption!$C$48&gt;SUM($D$48:G48)),MIN(Assumption!$C$48*Assumption!$C$54,Assumption!$C$48-SUM($D$48:G48)),0)</f>
        <v>434.55420999999996</v>
      </c>
      <c r="I48" s="181">
        <f>IF((Assumption!$C$48&gt;SUM($D$48:H48)),MIN(Assumption!$C$48*Assumption!$C$54,Assumption!$C$48-SUM($D$48:H48)),0)</f>
        <v>434.55420999999996</v>
      </c>
      <c r="J48" s="181">
        <f>IF((Assumption!$C$48&gt;SUM($D$48:I48)),MIN(Assumption!$C$48*Assumption!$C$54,Assumption!$C$48-SUM($D$48:I48)),0)</f>
        <v>434.55420999999996</v>
      </c>
      <c r="K48" s="181">
        <f>IF((Assumption!$C$48&gt;SUM($D$48:J48)),MIN(Assumption!$C$48*Assumption!$C$54,Assumption!$C$48-SUM($D$48:J48)),0)</f>
        <v>434.55420999999996</v>
      </c>
      <c r="L48" s="181">
        <f>IF((Assumption!$C$48&gt;SUM($D$48:K48)),MIN(Assumption!$C$48*Assumption!$C$54,Assumption!$C$48-SUM($D$48:K48)),0)</f>
        <v>434.55420999999996</v>
      </c>
      <c r="M48" s="181">
        <f>IF((Assumption!$C$48&gt;SUM($D$48:L48)),MIN(Assumption!$C$48*Assumption!$C$54,Assumption!$C$48-SUM($D$48:L48)),0)</f>
        <v>434.55420999999996</v>
      </c>
      <c r="N48" s="181">
        <f>IF((Assumption!$C$48&gt;SUM($D$48:M48)),MIN(Assumption!$C$48*Assumption!$C$54,Assumption!$C$48-SUM($D$48:M48)),0)</f>
        <v>434.55420999999996</v>
      </c>
      <c r="O48" s="181">
        <f>IF((Assumption!$C$48&gt;SUM($D$48:N48)),MIN(Assumption!$C$48*Assumption!$C$54,Assumption!$C$48-SUM($D$48:N48)),0)</f>
        <v>434.55420999999996</v>
      </c>
      <c r="P48" s="181">
        <f>IF((Assumption!$C$48&gt;SUM($D$48:O48)),MIN(Assumption!$C$48*Assumption!$C$54,Assumption!$C$48-SUM($D$48:O48)),0)</f>
        <v>434.55420999999996</v>
      </c>
      <c r="Q48" s="181">
        <f>IF((Assumption!$C$48&gt;SUM($D$48:P48)),MIN(Assumption!$C$48*Assumption!$C$54,Assumption!$C$48-SUM($D$48:P48)),0)</f>
        <v>329.09912684931533</v>
      </c>
      <c r="R48" s="181">
        <f>IF((Assumption!$C$48&gt;SUM($D$48:Q48)),MIN(Assumption!$C$48*Assumption!$C$54,Assumption!$C$48-SUM($D$48:Q48)),0)</f>
        <v>0</v>
      </c>
      <c r="S48" s="181">
        <f>IF((Assumption!$C$48&gt;SUM($D$48:R48)),MIN(Assumption!$C$48*Assumption!$C$54,Assumption!$C$48-SUM($D$48:R48)),0)</f>
        <v>0</v>
      </c>
      <c r="T48" s="181">
        <f>IF((Assumption!$C$48&gt;SUM($D$48:S48)),MIN(Assumption!$C$48*Assumption!$C$54,Assumption!$C$48-SUM($D$48:S48)),0)</f>
        <v>0</v>
      </c>
      <c r="U48" s="181">
        <f>IF((Assumption!$C$48&gt;SUM($D$48:T48)),MIN(Assumption!$C$48*Assumption!$C$54,Assumption!$C$48-SUM($D$48:T48)),0)</f>
        <v>0</v>
      </c>
      <c r="V48" s="181">
        <f>IF((Assumption!$C$48&gt;SUM($D$48:U48)),MIN(Assumption!$C$48*Assumption!$C$54,Assumption!$C$48-SUM($D$48:U48)),0)</f>
        <v>0</v>
      </c>
      <c r="W48" s="181">
        <f>IF((Assumption!$C$48&gt;SUM($D$48:V48)),MIN(Assumption!$C$48*Assumption!$C$54,Assumption!$C$48-SUM($D$48:V48)),0)</f>
        <v>0</v>
      </c>
      <c r="X48" s="181">
        <f>IF((Assumption!$C$48&gt;SUM($D$48:W48)),MIN(Assumption!$C$48*Assumption!$C$54,Assumption!$C$48-SUM($D$48:W48)),0)</f>
        <v>0</v>
      </c>
      <c r="Y48" s="181">
        <f>IF((Assumption!$C$48&gt;SUM($D$48:X48)),MIN(Assumption!$C$48*Assumption!$C$54,Assumption!$C$48-SUM($D$48:X48)),0)</f>
        <v>0</v>
      </c>
      <c r="Z48" s="181">
        <f>IF((Assumption!$C$48&gt;SUM($D$48:Y48)),MIN(Assumption!$C$48*Assumption!$C$54,Assumption!$C$48-SUM($D$48:Y48)),0)</f>
        <v>0</v>
      </c>
      <c r="AA48" s="181">
        <f>IF((Assumption!$C$48&gt;SUM($D$48:Z48)),MIN(Assumption!$C$48*Assumption!$C$54,Assumption!$C$48-SUM($D$48:Z48)),0)</f>
        <v>0</v>
      </c>
      <c r="AB48" s="181">
        <f>IF((Assumption!$C$48&gt;SUM($D$48:AA48)),MIN(Assumption!$C$48*Assumption!$C$54,Assumption!$C$48-SUM($D$48:AA48)),0)</f>
        <v>0</v>
      </c>
      <c r="AC48" s="250">
        <f>IF((Assumption!$C$48&gt;SUM($D$48:AB48)),MIN(Assumption!$C$48*Assumption!$C$54,Assumption!$C$48-SUM($D$48:AB48)),0)</f>
        <v>0</v>
      </c>
    </row>
    <row r="49" spans="1:29">
      <c r="A49" s="19"/>
      <c r="B49" s="83" t="s">
        <v>79</v>
      </c>
      <c r="C49" s="36" t="s">
        <v>31</v>
      </c>
      <c r="D49" s="53">
        <f t="shared" ref="D49:W49" si="36">D46+D47-D48</f>
        <v>-38.161588703424641</v>
      </c>
      <c r="E49" s="53">
        <f t="shared" si="36"/>
        <v>-176.02220585942416</v>
      </c>
      <c r="F49" s="53">
        <f t="shared" si="36"/>
        <v>-165.68490426757222</v>
      </c>
      <c r="G49" s="53">
        <f t="shared" si="36"/>
        <v>-149.10337749680099</v>
      </c>
      <c r="H49" s="53">
        <f t="shared" si="36"/>
        <v>-136.46393349701151</v>
      </c>
      <c r="I49" s="53">
        <f t="shared" si="36"/>
        <v>-122.30136353440867</v>
      </c>
      <c r="J49" s="53">
        <f t="shared" si="36"/>
        <v>-108.13772649638946</v>
      </c>
      <c r="K49" s="53">
        <f t="shared" si="36"/>
        <v>-92.250532509144477</v>
      </c>
      <c r="L49" s="53">
        <f t="shared" si="36"/>
        <v>-80.125560165516845</v>
      </c>
      <c r="M49" s="53">
        <f t="shared" si="36"/>
        <v>-66.677496546762825</v>
      </c>
      <c r="N49" s="53">
        <f t="shared" si="36"/>
        <v>-53.237101837878868</v>
      </c>
      <c r="O49" s="53">
        <f t="shared" si="36"/>
        <v>-38.215477755823258</v>
      </c>
      <c r="P49" s="53">
        <f t="shared" si="36"/>
        <v>-26.765975086731032</v>
      </c>
      <c r="Q49" s="53">
        <f t="shared" si="36"/>
        <v>91.23319578477458</v>
      </c>
      <c r="R49" s="53">
        <f t="shared" si="36"/>
        <v>432.85837122312375</v>
      </c>
      <c r="S49" s="53">
        <f t="shared" si="36"/>
        <v>446.80688420025172</v>
      </c>
      <c r="T49" s="53">
        <f t="shared" si="36"/>
        <v>457.38661196130795</v>
      </c>
      <c r="U49" s="53">
        <f t="shared" si="36"/>
        <v>468.79740566306594</v>
      </c>
      <c r="V49" s="53">
        <f t="shared" si="36"/>
        <v>480.17779670314036</v>
      </c>
      <c r="W49" s="53">
        <f t="shared" si="36"/>
        <v>492.80151295639558</v>
      </c>
      <c r="X49" s="53">
        <f t="shared" ref="X49:AC49" si="37">X46+X47-X48</f>
        <v>500.81279362717294</v>
      </c>
      <c r="Y49" s="53">
        <f t="shared" si="37"/>
        <v>491.78254835701279</v>
      </c>
      <c r="Z49" s="53">
        <f t="shared" si="37"/>
        <v>478.31557730808862</v>
      </c>
      <c r="AA49" s="53">
        <f t="shared" si="37"/>
        <v>465.88764385415675</v>
      </c>
      <c r="AB49" s="53">
        <f t="shared" si="37"/>
        <v>453.16747586649728</v>
      </c>
      <c r="AC49" s="54">
        <f t="shared" si="37"/>
        <v>498.0446832942921</v>
      </c>
    </row>
    <row r="50" spans="1:29">
      <c r="A50" s="19"/>
      <c r="B50" s="83" t="s">
        <v>46</v>
      </c>
      <c r="C50" s="36" t="s">
        <v>31</v>
      </c>
      <c r="D50" s="53">
        <f>D49</f>
        <v>-38.161588703424641</v>
      </c>
      <c r="E50" s="53">
        <f t="shared" ref="E50:V50" si="38">D50+E49</f>
        <v>-214.18379456284879</v>
      </c>
      <c r="F50" s="53">
        <f t="shared" si="38"/>
        <v>-379.86869883042101</v>
      </c>
      <c r="G50" s="53">
        <f t="shared" si="38"/>
        <v>-528.972076327222</v>
      </c>
      <c r="H50" s="53">
        <f t="shared" si="38"/>
        <v>-665.43600982423345</v>
      </c>
      <c r="I50" s="53">
        <f t="shared" si="38"/>
        <v>-787.73737335864212</v>
      </c>
      <c r="J50" s="53">
        <f t="shared" si="38"/>
        <v>-895.87509985503152</v>
      </c>
      <c r="K50" s="53">
        <f t="shared" si="38"/>
        <v>-988.125632364176</v>
      </c>
      <c r="L50" s="53">
        <f t="shared" si="38"/>
        <v>-1068.2511925296928</v>
      </c>
      <c r="M50" s="53">
        <f t="shared" si="38"/>
        <v>-1134.9286890764556</v>
      </c>
      <c r="N50" s="53">
        <f t="shared" si="38"/>
        <v>-1188.1657909143346</v>
      </c>
      <c r="O50" s="53">
        <f t="shared" si="38"/>
        <v>-1226.3812686701579</v>
      </c>
      <c r="P50" s="53">
        <f t="shared" si="38"/>
        <v>-1253.1472437568889</v>
      </c>
      <c r="Q50" s="53">
        <f t="shared" si="38"/>
        <v>-1161.9140479721143</v>
      </c>
      <c r="R50" s="53">
        <f t="shared" si="38"/>
        <v>-729.05567674899055</v>
      </c>
      <c r="S50" s="53">
        <f t="shared" si="38"/>
        <v>-282.24879254873883</v>
      </c>
      <c r="T50" s="53">
        <f t="shared" si="38"/>
        <v>175.13781941256912</v>
      </c>
      <c r="U50" s="53">
        <f t="shared" si="38"/>
        <v>643.93522507563512</v>
      </c>
      <c r="V50" s="53">
        <f t="shared" si="38"/>
        <v>1124.1130217787754</v>
      </c>
      <c r="W50" s="53">
        <f t="shared" ref="W50:AC50" si="39">V50+W49</f>
        <v>1616.9145347351709</v>
      </c>
      <c r="X50" s="53">
        <f t="shared" si="39"/>
        <v>2117.727328362344</v>
      </c>
      <c r="Y50" s="53">
        <f t="shared" si="39"/>
        <v>2609.5098767193567</v>
      </c>
      <c r="Z50" s="53">
        <f t="shared" si="39"/>
        <v>3087.8254540274452</v>
      </c>
      <c r="AA50" s="53">
        <f t="shared" si="39"/>
        <v>3553.7130978816022</v>
      </c>
      <c r="AB50" s="53">
        <f t="shared" si="39"/>
        <v>4006.8805737480993</v>
      </c>
      <c r="AC50" s="54">
        <f t="shared" si="39"/>
        <v>4504.9252570423914</v>
      </c>
    </row>
    <row r="51" spans="1:29">
      <c r="A51" s="19" t="s">
        <v>36</v>
      </c>
      <c r="B51" s="83" t="s">
        <v>47</v>
      </c>
      <c r="C51" s="36" t="s">
        <v>31</v>
      </c>
      <c r="D51" s="53">
        <f>IF(D8&lt;=15,IF(D50&lt;0,0,MIN(D49,D50)),0)</f>
        <v>0</v>
      </c>
      <c r="E51" s="53">
        <f>IF(COUNT($D$51:D51)&lt;11,IF(E8&lt;=15,IF(E50&lt;0,0,MIN(E49,E50)),0),0)</f>
        <v>0</v>
      </c>
      <c r="F51" s="53">
        <f>IF(COUNT($D$51:E51)&lt;11,IF(F8&lt;=15,IF(F50&lt;0,0,MIN(F49,F50)),0),0)</f>
        <v>0</v>
      </c>
      <c r="G51" s="53">
        <f>IF(COUNT($D$51:F51)&lt;11,IF(G8&lt;=15,IF(G50&lt;0,0,MIN(G49,G50)),0),0)</f>
        <v>0</v>
      </c>
      <c r="H51" s="53">
        <f>IF(COUNT($D$51:G51)&lt;11,IF(H8&lt;=15,IF(H50&lt;0,0,MIN(H49,H50)),0),0)</f>
        <v>0</v>
      </c>
      <c r="I51" s="53">
        <f>IF(COUNT($D$51:H51)&lt;11,IF(I8&lt;=15,IF(I50&lt;0,0,MIN(I49,I50)),0),0)</f>
        <v>0</v>
      </c>
      <c r="J51" s="53">
        <f>IF(COUNT($D$51:I51)&lt;11,IF(J8&lt;=15,IF(J50&lt;0,0,MIN(J49,J50)),0),0)</f>
        <v>0</v>
      </c>
      <c r="K51" s="53">
        <f>IF(COUNT($D$51:J51)&lt;11,IF(K8&lt;=15,IF(K50&lt;0,0,MIN(K49,K50)),0),0)</f>
        <v>0</v>
      </c>
      <c r="L51" s="53">
        <f>IF(COUNT($D$51:K51)&lt;11,IF(L8&lt;=15,IF(L50&lt;0,0,MIN(L49,L50)),0),0)</f>
        <v>0</v>
      </c>
      <c r="M51" s="53">
        <f>IF(COUNT($D$51:L51)&lt;11,IF(M8&lt;=15,IF(M50&lt;0,0,MIN(M49,M50)),0),0)</f>
        <v>0</v>
      </c>
      <c r="N51" s="53">
        <f>IF(COUNT($D$51:M51)&lt;11,IF(N8&lt;=15,IF(N50&lt;0,0,MIN(N49,N50)),0),0)</f>
        <v>0</v>
      </c>
      <c r="O51" s="53">
        <f>IF(COUNT($D$51:N51)&lt;11,IF(O8&lt;=15,IF(O50&lt;0,0,MIN(O49,O50)),0),0)</f>
        <v>0</v>
      </c>
      <c r="P51" s="53">
        <f>IF(COUNT($D$51:O51)&lt;11,IF(P8&lt;=15,IF(P50&lt;0,0,MIN(P49,P50)),0),0)</f>
        <v>0</v>
      </c>
      <c r="Q51" s="53">
        <f>IF(COUNT($D$51:P51)&lt;11,IF(Q8&lt;=15,IF(Q50&lt;0,0,MIN(Q49,Q50)),0),0)</f>
        <v>0</v>
      </c>
      <c r="R51" s="53">
        <f>IF(COUNT($D$51:Q51)&lt;11,IF(R8&lt;=15,IF(R50&lt;0,0,MIN(R49,R50)),0),0)</f>
        <v>0</v>
      </c>
      <c r="S51" s="53">
        <f>IF(COUNT($D$51:R51)&lt;11,IF(S8&lt;=15,IF(S50&lt;0,0,MIN(S49,S50)),0),0)</f>
        <v>0</v>
      </c>
      <c r="T51" s="84">
        <f t="shared" ref="T51:AC51" si="40">IF(T8&lt;=15,IF(T50&lt;0,0,MIN(T49,T50)),0)</f>
        <v>0</v>
      </c>
      <c r="U51" s="84">
        <f t="shared" si="40"/>
        <v>0</v>
      </c>
      <c r="V51" s="84">
        <f t="shared" si="40"/>
        <v>0</v>
      </c>
      <c r="W51" s="84">
        <f t="shared" si="40"/>
        <v>0</v>
      </c>
      <c r="X51" s="84">
        <f t="shared" si="40"/>
        <v>0</v>
      </c>
      <c r="Y51" s="84">
        <f t="shared" si="40"/>
        <v>0</v>
      </c>
      <c r="Z51" s="84">
        <f t="shared" si="40"/>
        <v>0</v>
      </c>
      <c r="AA51" s="84">
        <f t="shared" si="40"/>
        <v>0</v>
      </c>
      <c r="AB51" s="84">
        <f t="shared" si="40"/>
        <v>0</v>
      </c>
      <c r="AC51" s="85">
        <f t="shared" si="40"/>
        <v>0</v>
      </c>
    </row>
    <row r="52" spans="1:29" ht="15.75" thickBot="1">
      <c r="A52" s="19"/>
      <c r="B52" s="214" t="s">
        <v>80</v>
      </c>
      <c r="C52" s="40" t="s">
        <v>31</v>
      </c>
      <c r="D52" s="74">
        <f>D49-D51</f>
        <v>-38.161588703424641</v>
      </c>
      <c r="E52" s="74">
        <f>E49-E51</f>
        <v>-176.02220585942416</v>
      </c>
      <c r="F52" s="74">
        <f t="shared" ref="F52:Q52" si="41">F49-F51</f>
        <v>-165.68490426757222</v>
      </c>
      <c r="G52" s="74">
        <f t="shared" si="41"/>
        <v>-149.10337749680099</v>
      </c>
      <c r="H52" s="74">
        <f t="shared" si="41"/>
        <v>-136.46393349701151</v>
      </c>
      <c r="I52" s="74">
        <f t="shared" si="41"/>
        <v>-122.30136353440867</v>
      </c>
      <c r="J52" s="74">
        <f t="shared" si="41"/>
        <v>-108.13772649638946</v>
      </c>
      <c r="K52" s="74">
        <f t="shared" si="41"/>
        <v>-92.250532509144477</v>
      </c>
      <c r="L52" s="74">
        <f t="shared" si="41"/>
        <v>-80.125560165516845</v>
      </c>
      <c r="M52" s="74">
        <f t="shared" si="41"/>
        <v>-66.677496546762825</v>
      </c>
      <c r="N52" s="74">
        <f t="shared" si="41"/>
        <v>-53.237101837878868</v>
      </c>
      <c r="O52" s="74">
        <f t="shared" si="41"/>
        <v>-38.215477755823258</v>
      </c>
      <c r="P52" s="74">
        <f t="shared" si="41"/>
        <v>-26.765975086731032</v>
      </c>
      <c r="Q52" s="74">
        <f t="shared" si="41"/>
        <v>91.23319578477458</v>
      </c>
      <c r="R52" s="74">
        <f t="shared" ref="R52:W52" si="42">R49-R51</f>
        <v>432.85837122312375</v>
      </c>
      <c r="S52" s="74">
        <f t="shared" si="42"/>
        <v>446.80688420025172</v>
      </c>
      <c r="T52" s="74">
        <f t="shared" si="42"/>
        <v>457.38661196130795</v>
      </c>
      <c r="U52" s="74">
        <f t="shared" si="42"/>
        <v>468.79740566306594</v>
      </c>
      <c r="V52" s="74">
        <f t="shared" si="42"/>
        <v>480.17779670314036</v>
      </c>
      <c r="W52" s="74">
        <f t="shared" si="42"/>
        <v>492.80151295639558</v>
      </c>
      <c r="X52" s="74">
        <f t="shared" ref="X52:AC52" si="43">X49-X51</f>
        <v>500.81279362717294</v>
      </c>
      <c r="Y52" s="74">
        <f t="shared" si="43"/>
        <v>491.78254835701279</v>
      </c>
      <c r="Z52" s="74">
        <f t="shared" si="43"/>
        <v>478.31557730808862</v>
      </c>
      <c r="AA52" s="74">
        <f t="shared" si="43"/>
        <v>465.88764385415675</v>
      </c>
      <c r="AB52" s="74">
        <f t="shared" si="43"/>
        <v>453.16747586649728</v>
      </c>
      <c r="AC52" s="75">
        <f t="shared" si="43"/>
        <v>498.0446832942921</v>
      </c>
    </row>
    <row r="53" spans="1:29" s="46" customFormat="1" ht="15.75" thickBot="1">
      <c r="A53" s="43"/>
      <c r="B53" s="44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</row>
    <row r="54" spans="1:29">
      <c r="A54" s="19"/>
      <c r="B54" s="82" t="s">
        <v>16</v>
      </c>
      <c r="C54" s="48" t="s">
        <v>31</v>
      </c>
      <c r="D54" s="87">
        <f>IF(D46&lt;0,0,D46*Assumption!$C$63)</f>
        <v>4.0570681581208143</v>
      </c>
      <c r="E54" s="87">
        <f>IF(E46&lt;0,0,E46*Assumption!$C$63)</f>
        <v>11.873303497044398</v>
      </c>
      <c r="F54" s="87">
        <f>IF(F46&lt;0,0,F46*Assumption!$C$63)</f>
        <v>14.100867942469392</v>
      </c>
      <c r="G54" s="87">
        <f>IF(G46&lt;0,0,G46*Assumption!$C$63)</f>
        <v>17.673987983249337</v>
      </c>
      <c r="H54" s="87">
        <f>IF(H46&lt;0,0,H46*Assumption!$C$63)</f>
        <v>20.397636491875982</v>
      </c>
      <c r="I54" s="87">
        <f>IF(I46&lt;0,0,I46*Assumption!$C$63)</f>
        <v>23.449500367977336</v>
      </c>
      <c r="J54" s="87">
        <f>IF(J46&lt;0,0,J46*Assumption!$C$63)</f>
        <v>26.501594186026026</v>
      </c>
      <c r="K54" s="87">
        <f>IF(K46&lt;0,0,K46*Assumption!$C$63)</f>
        <v>29.925093843949469</v>
      </c>
      <c r="L54" s="87">
        <f>IF(L46&lt;0,0,L46*Assumption!$C$63)</f>
        <v>32.537879884333101</v>
      </c>
      <c r="M54" s="87">
        <f>IF(M46&lt;0,0,M46*Assumption!$C$63)</f>
        <v>35.435776217411167</v>
      </c>
      <c r="N54" s="87">
        <f>IF(N46&lt;0,0,N46*Assumption!$C$63)</f>
        <v>38.33201999243915</v>
      </c>
      <c r="O54" s="87">
        <f>IF(O46&lt;0,0,O46*Assumption!$C$63)</f>
        <v>41.568999722633151</v>
      </c>
      <c r="P54" s="87">
        <f>IF(P46&lt;0,0,P46*Assumption!$C$63)</f>
        <v>44.036230153790498</v>
      </c>
      <c r="Q54" s="87">
        <f>IF(Q46&lt;0,0,Q46*Assumption!$C$63)</f>
        <v>46.739330528574762</v>
      </c>
      <c r="R54" s="87">
        <f>IF(R46&lt;0,0,R46*Assumption!$C$63)</f>
        <v>49.438543686928497</v>
      </c>
      <c r="S54" s="87">
        <f>IF(S46&lt;0,0,S46*Assumption!$C$63)</f>
        <v>52.444280851343841</v>
      </c>
      <c r="T54" s="87">
        <f>IF(T46&lt;0,0,T46*Assumption!$C$63)</f>
        <v>54.724085227118337</v>
      </c>
      <c r="U54" s="87">
        <f>IF(U46&lt;0,0,U46*Assumption!$C$63)</f>
        <v>57.182974340322758</v>
      </c>
      <c r="V54" s="87">
        <f>IF(V46&lt;0,0,V46*Assumption!$C$63)</f>
        <v>59.635312044766309</v>
      </c>
      <c r="W54" s="87">
        <f>IF(W46&lt;0,0,W46*Assumption!$C$63)</f>
        <v>62.355571412747771</v>
      </c>
      <c r="X54" s="87">
        <f>IF(X46&lt;0,0,X46*Assumption!$C$63)</f>
        <v>64.081906261932247</v>
      </c>
      <c r="Y54" s="87">
        <f>IF(Y46&lt;0,0,Y46*Assumption!$C$63)</f>
        <v>62.135996769155973</v>
      </c>
      <c r="Z54" s="87">
        <f>IF(Z46&lt;0,0,Z46*Assumption!$C$63)</f>
        <v>59.234026111765402</v>
      </c>
      <c r="AA54" s="87">
        <f>IF(AA46&lt;0,0,AA46*Assumption!$C$63)</f>
        <v>56.555955587644533</v>
      </c>
      <c r="AB54" s="87">
        <f>IF(AB46&lt;0,0,AB46*Assumption!$C$63)</f>
        <v>53.81491202831976</v>
      </c>
      <c r="AC54" s="88">
        <f>IF(AC46&lt;0,0,AC46*Assumption!$C$63)</f>
        <v>74.294594417610853</v>
      </c>
    </row>
    <row r="55" spans="1:29" ht="15.75" thickBot="1">
      <c r="A55" s="19"/>
      <c r="B55" s="86" t="s">
        <v>14</v>
      </c>
      <c r="C55" s="40" t="s">
        <v>31</v>
      </c>
      <c r="D55" s="74">
        <f>IF(D52&lt;0,0,D52*Assumption!$C$62)</f>
        <v>0</v>
      </c>
      <c r="E55" s="74">
        <f>IF(E52&lt;0,0,E52*Assumption!$C$62)</f>
        <v>0</v>
      </c>
      <c r="F55" s="74">
        <f>IF(F52&lt;0,0,F52*Assumption!$C$62)</f>
        <v>0</v>
      </c>
      <c r="G55" s="74">
        <f>IF(G52&lt;0,0,G52*Assumption!$C$62)</f>
        <v>0</v>
      </c>
      <c r="H55" s="74">
        <f>IF(H52&lt;0,0,H52*Assumption!$C$62)</f>
        <v>0</v>
      </c>
      <c r="I55" s="74">
        <f>IF(I52&lt;0,0,I52*Assumption!$C$62)</f>
        <v>0</v>
      </c>
      <c r="J55" s="74">
        <f>IF(J52&lt;0,0,J52*Assumption!$C$62)</f>
        <v>0</v>
      </c>
      <c r="K55" s="74">
        <f>IF(K52&lt;0,0,K52*Assumption!$C$62)</f>
        <v>0</v>
      </c>
      <c r="L55" s="74">
        <f>IF(L52&lt;0,0,L52*Assumption!$C$62)</f>
        <v>0</v>
      </c>
      <c r="M55" s="74">
        <f>IF(M52&lt;0,0,M52*Assumption!$C$62)</f>
        <v>0</v>
      </c>
      <c r="N55" s="74">
        <f>IF(N52&lt;0,0,N52*Assumption!$C$62)</f>
        <v>0</v>
      </c>
      <c r="O55" s="74">
        <f>IF(O52&lt;0,0,O52*Assumption!$C$62)</f>
        <v>0</v>
      </c>
      <c r="P55" s="74">
        <f>IF(P52&lt;0,0,P52*Assumption!$C$62)</f>
        <v>0</v>
      </c>
      <c r="Q55" s="74">
        <f>IF(Q52&lt;0,0,Q52*Assumption!$C$62)</f>
        <v>31.880527935031626</v>
      </c>
      <c r="R55" s="74">
        <f>IF(R52&lt;0,0,R52*Assumption!$C$62)</f>
        <v>151.25802924020834</v>
      </c>
      <c r="S55" s="74">
        <f>IF(S52&lt;0,0,S52*Assumption!$C$62)</f>
        <v>156.13219761493596</v>
      </c>
      <c r="T55" s="74">
        <f>IF(T52&lt;0,0,T52*Assumption!$C$62)</f>
        <v>159.82917768375944</v>
      </c>
      <c r="U55" s="74">
        <f>IF(U52&lt;0,0,U52*Assumption!$C$62)</f>
        <v>163.81656543490175</v>
      </c>
      <c r="V55" s="74">
        <f>IF(V52&lt;0,0,V52*Assumption!$C$62)</f>
        <v>167.79332927994537</v>
      </c>
      <c r="W55" s="74">
        <f>IF(W52&lt;0,0,W52*Assumption!$C$62)</f>
        <v>172.20456068748285</v>
      </c>
      <c r="X55" s="74">
        <f>IF(X52&lt;0,0,X52*Assumption!$C$62)</f>
        <v>175.00402260507929</v>
      </c>
      <c r="Y55" s="74">
        <f>IF(Y52&lt;0,0,Y52*Assumption!$C$62)</f>
        <v>171.84849369787455</v>
      </c>
      <c r="Z55" s="74">
        <f>IF(Z52&lt;0,0,Z52*Assumption!$C$62)</f>
        <v>167.14259533453847</v>
      </c>
      <c r="AA55" s="74">
        <f>IF(AA52&lt;0,0,AA52*Assumption!$C$62)</f>
        <v>162.79977826839652</v>
      </c>
      <c r="AB55" s="74">
        <f>IF(AB52&lt;0,0,AB52*Assumption!$C$62)</f>
        <v>158.35484276678881</v>
      </c>
      <c r="AC55" s="75">
        <f>IF(AC52&lt;0,0,AC52*Assumption!$C$62)</f>
        <v>174.03673413035742</v>
      </c>
    </row>
    <row r="56" spans="1:29" s="46" customFormat="1" ht="15.75" thickBot="1">
      <c r="A56" s="43"/>
      <c r="B56" s="44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</row>
    <row r="57" spans="1:29" s="16" customFormat="1" ht="15.75" thickBot="1">
      <c r="A57" s="55"/>
      <c r="B57" s="241" t="s">
        <v>48</v>
      </c>
      <c r="C57" s="76" t="s">
        <v>31</v>
      </c>
      <c r="D57" s="77">
        <f>IF(D52*Assumption!$C$62&lt;0,D52*Assumption!$C$62,0)</f>
        <v>-13.335185556524706</v>
      </c>
      <c r="E57" s="77">
        <f>IF(E52*Assumption!$C$62&lt;0,E52*Assumption!$C$62,0)</f>
        <v>-61.509199615517176</v>
      </c>
      <c r="F57" s="77">
        <f>IF(F52*Assumption!$C$62&lt;0,F52*Assumption!$C$62,0)</f>
        <v>-57.896932947260431</v>
      </c>
      <c r="G57" s="77">
        <f>IF(G52*Assumption!$C$62&lt;0,G52*Assumption!$C$62,0)</f>
        <v>-52.102684232482133</v>
      </c>
      <c r="H57" s="77">
        <f>IF(H52*Assumption!$C$62&lt;0,H52*Assumption!$C$62,0)</f>
        <v>-47.685956921195697</v>
      </c>
      <c r="I57" s="77">
        <f>IF(I52*Assumption!$C$62&lt;0,I52*Assumption!$C$62,0)</f>
        <v>-42.736988473463761</v>
      </c>
      <c r="J57" s="77">
        <f>IF(J52*Assumption!$C$62&lt;0,J52*Assumption!$C$62,0)</f>
        <v>-37.78764714689833</v>
      </c>
      <c r="K57" s="77">
        <f>IF(K52*Assumption!$C$62&lt;0,K52*Assumption!$C$62,0)</f>
        <v>-32.23602607999544</v>
      </c>
      <c r="L57" s="77">
        <f>IF(L52*Assumption!$C$62&lt;0,L52*Assumption!$C$62,0)</f>
        <v>-27.999075744238205</v>
      </c>
      <c r="M57" s="77">
        <f>IF(M52*Assumption!$C$62&lt;0,M52*Assumption!$C$62,0)</f>
        <v>-23.299784393300801</v>
      </c>
      <c r="N57" s="77">
        <f>IF(N52*Assumption!$C$62&lt;0,N52*Assumption!$C$62,0)</f>
        <v>-18.603172866228391</v>
      </c>
      <c r="O57" s="77">
        <f>IF(O52*Assumption!$C$62&lt;0,O52*Assumption!$C$62,0)</f>
        <v>-13.354016546994878</v>
      </c>
      <c r="P57" s="77">
        <f>IF(P52*Assumption!$C$62&lt;0,P52*Assumption!$C$62,0)</f>
        <v>-9.353102334307291</v>
      </c>
      <c r="Q57" s="77">
        <f>IF(Q52*Assumption!$C$62&lt;0,Q52*Assumption!$C$62,0)</f>
        <v>0</v>
      </c>
      <c r="R57" s="77">
        <f>IF(R52*Assumption!$C$62&lt;0,R52*Assumption!$C$62,0)</f>
        <v>0</v>
      </c>
      <c r="S57" s="77">
        <f>IF(S52*Assumption!$C$62&lt;0,S52*Assumption!$C$62,0)</f>
        <v>0</v>
      </c>
      <c r="T57" s="77">
        <f>IF(T52*Assumption!$C$62&lt;0,T52*Assumption!$C$62,0)</f>
        <v>0</v>
      </c>
      <c r="U57" s="77">
        <f>IF(U52*Assumption!$C$62&lt;0,U52*Assumption!$C$62,0)</f>
        <v>0</v>
      </c>
      <c r="V57" s="77">
        <f>IF(V52*Assumption!$C$62&lt;0,V52*Assumption!$C$62,0)</f>
        <v>0</v>
      </c>
      <c r="W57" s="77">
        <f>IF(W52*Assumption!$C$62&lt;0,W52*Assumption!$C$62,0)</f>
        <v>0</v>
      </c>
      <c r="X57" s="77">
        <f>IF(X52*Assumption!$C$62&lt;0,X52*Assumption!$C$62,0)</f>
        <v>0</v>
      </c>
      <c r="Y57" s="77">
        <f>IF(Y52*Assumption!$C$62&lt;0,Y52*Assumption!$C$62,0)</f>
        <v>0</v>
      </c>
      <c r="Z57" s="77">
        <f>IF(Z52*Assumption!$C$62&lt;0,Z52*Assumption!$C$62,0)</f>
        <v>0</v>
      </c>
      <c r="AA57" s="77">
        <f>IF(AA52*Assumption!$C$62&lt;0,AA52*Assumption!$C$62,0)</f>
        <v>0</v>
      </c>
      <c r="AB57" s="77">
        <f>IF(AB52*Assumption!$C$62&lt;0,AB52*Assumption!$C$62,0)</f>
        <v>0</v>
      </c>
      <c r="AC57" s="78">
        <f>IF(AC52*Assumption!$C$62&lt;0,AC52*Assumption!$C$62,0)</f>
        <v>0</v>
      </c>
    </row>
    <row r="58" spans="1:29" s="46" customFormat="1" ht="15.75" thickBot="1">
      <c r="A58" s="43"/>
      <c r="B58" s="44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</row>
    <row r="59" spans="1:29" s="16" customFormat="1" ht="15.75" thickBot="1">
      <c r="A59" s="55"/>
      <c r="B59" s="241" t="s">
        <v>49</v>
      </c>
      <c r="C59" s="76" t="s">
        <v>31</v>
      </c>
      <c r="D59" s="77">
        <f t="shared" ref="D59:W59" si="44">MAX(D54,D55)</f>
        <v>4.0570681581208143</v>
      </c>
      <c r="E59" s="77">
        <f t="shared" si="44"/>
        <v>11.873303497044398</v>
      </c>
      <c r="F59" s="77">
        <f t="shared" si="44"/>
        <v>14.100867942469392</v>
      </c>
      <c r="G59" s="77">
        <f t="shared" si="44"/>
        <v>17.673987983249337</v>
      </c>
      <c r="H59" s="77">
        <f t="shared" si="44"/>
        <v>20.397636491875982</v>
      </c>
      <c r="I59" s="77">
        <f t="shared" si="44"/>
        <v>23.449500367977336</v>
      </c>
      <c r="J59" s="77">
        <f t="shared" si="44"/>
        <v>26.501594186026026</v>
      </c>
      <c r="K59" s="77">
        <f t="shared" si="44"/>
        <v>29.925093843949469</v>
      </c>
      <c r="L59" s="77">
        <f t="shared" si="44"/>
        <v>32.537879884333101</v>
      </c>
      <c r="M59" s="77">
        <f t="shared" si="44"/>
        <v>35.435776217411167</v>
      </c>
      <c r="N59" s="77">
        <f t="shared" si="44"/>
        <v>38.33201999243915</v>
      </c>
      <c r="O59" s="77">
        <f t="shared" si="44"/>
        <v>41.568999722633151</v>
      </c>
      <c r="P59" s="77">
        <f t="shared" si="44"/>
        <v>44.036230153790498</v>
      </c>
      <c r="Q59" s="77">
        <f t="shared" si="44"/>
        <v>46.739330528574762</v>
      </c>
      <c r="R59" s="77">
        <f t="shared" si="44"/>
        <v>151.25802924020834</v>
      </c>
      <c r="S59" s="77">
        <f t="shared" si="44"/>
        <v>156.13219761493596</v>
      </c>
      <c r="T59" s="77">
        <f t="shared" si="44"/>
        <v>159.82917768375944</v>
      </c>
      <c r="U59" s="77">
        <f t="shared" si="44"/>
        <v>163.81656543490175</v>
      </c>
      <c r="V59" s="77">
        <f t="shared" si="44"/>
        <v>167.79332927994537</v>
      </c>
      <c r="W59" s="77">
        <f t="shared" si="44"/>
        <v>172.20456068748285</v>
      </c>
      <c r="X59" s="77">
        <f t="shared" ref="X59:AC59" si="45">MAX(X54,X55)</f>
        <v>175.00402260507929</v>
      </c>
      <c r="Y59" s="77">
        <f t="shared" si="45"/>
        <v>171.84849369787455</v>
      </c>
      <c r="Z59" s="77">
        <f t="shared" si="45"/>
        <v>167.14259533453847</v>
      </c>
      <c r="AA59" s="77">
        <f t="shared" si="45"/>
        <v>162.79977826839652</v>
      </c>
      <c r="AB59" s="77">
        <f t="shared" si="45"/>
        <v>158.35484276678881</v>
      </c>
      <c r="AC59" s="78">
        <f t="shared" si="45"/>
        <v>174.03673413035742</v>
      </c>
    </row>
    <row r="60" spans="1:29"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</row>
    <row r="61" spans="1:29" s="100" customFormat="1">
      <c r="A61" s="105"/>
      <c r="B61" s="108"/>
      <c r="C61" s="109"/>
      <c r="D61" s="106"/>
      <c r="E61" s="106"/>
      <c r="F61" s="106"/>
      <c r="G61" s="106"/>
      <c r="H61" s="107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</row>
    <row r="62" spans="1:29">
      <c r="B62" s="221" t="s">
        <v>56</v>
      </c>
    </row>
    <row r="63" spans="1:29">
      <c r="B63" s="90"/>
    </row>
    <row r="64" spans="1:29" ht="15.75" thickBot="1">
      <c r="B64" s="90"/>
    </row>
    <row r="65" spans="1:54" s="110" customFormat="1" ht="15.75" thickBot="1">
      <c r="A65" s="111"/>
      <c r="B65" s="246" t="s">
        <v>10</v>
      </c>
      <c r="D65" s="126" t="s">
        <v>57</v>
      </c>
      <c r="E65" s="127">
        <f>Assumption!C25</f>
        <v>64.875799999999998</v>
      </c>
      <c r="F65" s="110" t="s">
        <v>58</v>
      </c>
    </row>
    <row r="66" spans="1:54" s="110" customFormat="1">
      <c r="A66" s="111"/>
      <c r="B66" s="195"/>
      <c r="D66" s="193" t="s">
        <v>59</v>
      </c>
      <c r="E66" s="194">
        <f>Assumption!C26</f>
        <v>0.05</v>
      </c>
    </row>
    <row r="67" spans="1:54" s="110" customFormat="1" ht="15.75" thickBot="1">
      <c r="A67" s="111"/>
      <c r="B67" s="112"/>
      <c r="D67" s="128" t="s">
        <v>77</v>
      </c>
      <c r="E67" s="192">
        <f>Assumption!C27</f>
        <v>0</v>
      </c>
    </row>
    <row r="68" spans="1:54" s="110" customFormat="1" ht="15.75" thickBot="1">
      <c r="A68" s="111"/>
    </row>
    <row r="69" spans="1:54" s="111" customFormat="1" ht="15.75" thickBot="1">
      <c r="B69" s="129" t="s">
        <v>15</v>
      </c>
      <c r="C69" s="130"/>
      <c r="D69" s="290" t="str">
        <f>IF(MONTH(D70)&gt;3,"FY "&amp;YEAR(D70)&amp;"-"&amp;RIGHT(YEAR(D70)+1,2),"FY "&amp;YEAR(D70)-1&amp;"-"&amp;RIGHT(YEAR(D70),2))</f>
        <v>FY 2020-21</v>
      </c>
      <c r="E69" s="382" t="str">
        <f t="shared" ref="E69:BB69" si="46">IF(MONTH(E70)&gt;3,"FY "&amp;YEAR(E70)&amp;"-"&amp;RIGHT(YEAR(E70)+1,2),"FY "&amp;YEAR(E70)-1&amp;"-"&amp;RIGHT(YEAR(E70),2))</f>
        <v>FY 2021-22</v>
      </c>
      <c r="F69" s="383" t="str">
        <f t="shared" si="46"/>
        <v>FY 1899-00</v>
      </c>
      <c r="G69" s="382" t="str">
        <f t="shared" si="46"/>
        <v>FY 2022-23</v>
      </c>
      <c r="H69" s="383" t="str">
        <f t="shared" si="46"/>
        <v>FY 1899-00</v>
      </c>
      <c r="I69" s="382" t="str">
        <f t="shared" si="46"/>
        <v>FY 2023-24</v>
      </c>
      <c r="J69" s="383" t="str">
        <f t="shared" si="46"/>
        <v>FY 1899-00</v>
      </c>
      <c r="K69" s="382" t="str">
        <f t="shared" si="46"/>
        <v>FY 2024-25</v>
      </c>
      <c r="L69" s="383" t="str">
        <f t="shared" si="46"/>
        <v>FY 1899-00</v>
      </c>
      <c r="M69" s="382" t="str">
        <f t="shared" si="46"/>
        <v>FY 2025-26</v>
      </c>
      <c r="N69" s="383" t="str">
        <f t="shared" si="46"/>
        <v>FY 1899-00</v>
      </c>
      <c r="O69" s="382" t="str">
        <f t="shared" si="46"/>
        <v>FY 2026-27</v>
      </c>
      <c r="P69" s="383" t="str">
        <f t="shared" si="46"/>
        <v>FY 1899-00</v>
      </c>
      <c r="Q69" s="382" t="str">
        <f t="shared" si="46"/>
        <v>FY 2027-28</v>
      </c>
      <c r="R69" s="383" t="str">
        <f t="shared" si="46"/>
        <v>FY 1899-00</v>
      </c>
      <c r="S69" s="382" t="str">
        <f t="shared" si="46"/>
        <v>FY 2028-29</v>
      </c>
      <c r="T69" s="383" t="str">
        <f t="shared" si="46"/>
        <v>FY 1899-00</v>
      </c>
      <c r="U69" s="382" t="str">
        <f t="shared" si="46"/>
        <v>FY 2029-30</v>
      </c>
      <c r="V69" s="383" t="str">
        <f t="shared" si="46"/>
        <v>FY 1899-00</v>
      </c>
      <c r="W69" s="382" t="str">
        <f t="shared" si="46"/>
        <v>FY 2030-31</v>
      </c>
      <c r="X69" s="383" t="str">
        <f t="shared" si="46"/>
        <v>FY 1899-00</v>
      </c>
      <c r="Y69" s="382" t="str">
        <f t="shared" si="46"/>
        <v>FY 2031-32</v>
      </c>
      <c r="Z69" s="383" t="str">
        <f t="shared" si="46"/>
        <v>FY 1899-00</v>
      </c>
      <c r="AA69" s="382" t="str">
        <f t="shared" si="46"/>
        <v>FY 2032-33</v>
      </c>
      <c r="AB69" s="383" t="str">
        <f t="shared" si="46"/>
        <v>FY 1899-00</v>
      </c>
      <c r="AC69" s="382" t="str">
        <f t="shared" si="46"/>
        <v>FY 2033-34</v>
      </c>
      <c r="AD69" s="383" t="str">
        <f t="shared" si="46"/>
        <v>FY 1899-00</v>
      </c>
      <c r="AE69" s="382" t="str">
        <f t="shared" si="46"/>
        <v>FY 2034-35</v>
      </c>
      <c r="AF69" s="383" t="str">
        <f t="shared" si="46"/>
        <v>FY 1899-00</v>
      </c>
      <c r="AG69" s="382" t="str">
        <f t="shared" si="46"/>
        <v>FY 2035-36</v>
      </c>
      <c r="AH69" s="383" t="str">
        <f t="shared" si="46"/>
        <v>FY 1899-00</v>
      </c>
      <c r="AI69" s="382" t="str">
        <f t="shared" si="46"/>
        <v>FY 2036-37</v>
      </c>
      <c r="AJ69" s="383" t="str">
        <f t="shared" si="46"/>
        <v>FY 1899-00</v>
      </c>
      <c r="AK69" s="382" t="str">
        <f t="shared" si="46"/>
        <v>FY 2037-38</v>
      </c>
      <c r="AL69" s="383" t="str">
        <f t="shared" si="46"/>
        <v>FY 1899-00</v>
      </c>
      <c r="AM69" s="382" t="str">
        <f t="shared" si="46"/>
        <v>FY 2038-39</v>
      </c>
      <c r="AN69" s="383" t="str">
        <f t="shared" si="46"/>
        <v>FY 1899-00</v>
      </c>
      <c r="AO69" s="382" t="str">
        <f t="shared" si="46"/>
        <v>FY 2039-40</v>
      </c>
      <c r="AP69" s="383" t="str">
        <f t="shared" si="46"/>
        <v>FY 1899-00</v>
      </c>
      <c r="AQ69" s="382" t="str">
        <f t="shared" si="46"/>
        <v>FY 2040-41</v>
      </c>
      <c r="AR69" s="383" t="str">
        <f t="shared" si="46"/>
        <v>FY 1899-00</v>
      </c>
      <c r="AS69" s="382" t="str">
        <f t="shared" si="46"/>
        <v>FY 2041-42</v>
      </c>
      <c r="AT69" s="383" t="str">
        <f t="shared" si="46"/>
        <v>FY 1899-00</v>
      </c>
      <c r="AU69" s="382" t="str">
        <f t="shared" si="46"/>
        <v>FY 2042-43</v>
      </c>
      <c r="AV69" s="383" t="str">
        <f t="shared" si="46"/>
        <v>FY 1899-00</v>
      </c>
      <c r="AW69" s="382" t="str">
        <f t="shared" si="46"/>
        <v>FY 2043-44</v>
      </c>
      <c r="AX69" s="383" t="str">
        <f t="shared" si="46"/>
        <v>FY 1899-00</v>
      </c>
      <c r="AY69" s="382" t="str">
        <f t="shared" si="46"/>
        <v>FY 2044-45</v>
      </c>
      <c r="AZ69" s="383" t="str">
        <f t="shared" si="46"/>
        <v>FY 1899-00</v>
      </c>
      <c r="BA69" s="382" t="str">
        <f t="shared" si="46"/>
        <v>FY 2045-46</v>
      </c>
      <c r="BB69" s="383" t="str">
        <f t="shared" si="46"/>
        <v>FY 1899-00</v>
      </c>
    </row>
    <row r="70" spans="1:54" s="111" customFormat="1" ht="15.75" thickBot="1">
      <c r="B70" s="129" t="s">
        <v>19</v>
      </c>
      <c r="C70" s="130"/>
      <c r="D70" s="131">
        <f>D73</f>
        <v>44286</v>
      </c>
      <c r="E70" s="382">
        <f>F73</f>
        <v>44651</v>
      </c>
      <c r="F70" s="383"/>
      <c r="G70" s="382">
        <f>H73</f>
        <v>45016</v>
      </c>
      <c r="H70" s="383"/>
      <c r="I70" s="382">
        <f>J73</f>
        <v>45382</v>
      </c>
      <c r="J70" s="383"/>
      <c r="K70" s="382">
        <f>L73</f>
        <v>45747</v>
      </c>
      <c r="L70" s="383"/>
      <c r="M70" s="382">
        <f>N73</f>
        <v>46112</v>
      </c>
      <c r="N70" s="383"/>
      <c r="O70" s="382">
        <f>P73</f>
        <v>46477</v>
      </c>
      <c r="P70" s="383"/>
      <c r="Q70" s="382">
        <f>R73</f>
        <v>46843</v>
      </c>
      <c r="R70" s="383"/>
      <c r="S70" s="382">
        <f>T73</f>
        <v>47208</v>
      </c>
      <c r="T70" s="383"/>
      <c r="U70" s="382">
        <f>V73</f>
        <v>47573</v>
      </c>
      <c r="V70" s="383"/>
      <c r="W70" s="382">
        <f>X73</f>
        <v>47938</v>
      </c>
      <c r="X70" s="383"/>
      <c r="Y70" s="382">
        <f>Z73</f>
        <v>48304</v>
      </c>
      <c r="Z70" s="383"/>
      <c r="AA70" s="382">
        <f>AB73</f>
        <v>48669</v>
      </c>
      <c r="AB70" s="383"/>
      <c r="AC70" s="382">
        <f>AD73</f>
        <v>49034</v>
      </c>
      <c r="AD70" s="383"/>
      <c r="AE70" s="382">
        <f>AF73</f>
        <v>49399</v>
      </c>
      <c r="AF70" s="383"/>
      <c r="AG70" s="382">
        <f>AH73</f>
        <v>49765</v>
      </c>
      <c r="AH70" s="383"/>
      <c r="AI70" s="382">
        <f>AJ73</f>
        <v>50130</v>
      </c>
      <c r="AJ70" s="383"/>
      <c r="AK70" s="382">
        <f>AL73</f>
        <v>50495</v>
      </c>
      <c r="AL70" s="383"/>
      <c r="AM70" s="382">
        <f>AN73</f>
        <v>50860</v>
      </c>
      <c r="AN70" s="383"/>
      <c r="AO70" s="382">
        <f>AP73</f>
        <v>51226</v>
      </c>
      <c r="AP70" s="383"/>
      <c r="AQ70" s="382">
        <f>AR73</f>
        <v>51591</v>
      </c>
      <c r="AR70" s="383"/>
      <c r="AS70" s="382">
        <f>AT73</f>
        <v>51956</v>
      </c>
      <c r="AT70" s="383"/>
      <c r="AU70" s="382">
        <f>AV73</f>
        <v>52321</v>
      </c>
      <c r="AV70" s="383"/>
      <c r="AW70" s="382">
        <f>AX73</f>
        <v>52687</v>
      </c>
      <c r="AX70" s="383"/>
      <c r="AY70" s="382">
        <f>AZ73</f>
        <v>53052</v>
      </c>
      <c r="AZ70" s="383"/>
      <c r="BA70" s="382">
        <f>BB73</f>
        <v>53327</v>
      </c>
      <c r="BB70" s="383"/>
    </row>
    <row r="71" spans="1:54" s="111" customFormat="1" ht="15.75" thickBot="1">
      <c r="B71" s="132"/>
      <c r="C71" s="133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</row>
    <row r="72" spans="1:54" s="111" customFormat="1">
      <c r="B72" s="113" t="s">
        <v>60</v>
      </c>
      <c r="C72" s="135"/>
      <c r="D72" s="136">
        <f>$C$7</f>
        <v>44196</v>
      </c>
      <c r="E72" s="137">
        <f>D73</f>
        <v>44286</v>
      </c>
      <c r="F72" s="114">
        <f t="shared" ref="F72:AA72" si="47">DATE(YEAR(D72)+1,MONTH(D72),DAY(D72))</f>
        <v>44561</v>
      </c>
      <c r="G72" s="137">
        <f t="shared" si="47"/>
        <v>44651</v>
      </c>
      <c r="H72" s="114">
        <f t="shared" si="47"/>
        <v>44926</v>
      </c>
      <c r="I72" s="137">
        <f t="shared" si="47"/>
        <v>45016</v>
      </c>
      <c r="J72" s="114">
        <f t="shared" si="47"/>
        <v>45291</v>
      </c>
      <c r="K72" s="137">
        <f t="shared" si="47"/>
        <v>45382</v>
      </c>
      <c r="L72" s="114">
        <f t="shared" si="47"/>
        <v>45657</v>
      </c>
      <c r="M72" s="137">
        <f t="shared" si="47"/>
        <v>45747</v>
      </c>
      <c r="N72" s="114">
        <f t="shared" si="47"/>
        <v>46022</v>
      </c>
      <c r="O72" s="137">
        <f t="shared" si="47"/>
        <v>46112</v>
      </c>
      <c r="P72" s="114">
        <f t="shared" si="47"/>
        <v>46387</v>
      </c>
      <c r="Q72" s="137">
        <f t="shared" si="47"/>
        <v>46477</v>
      </c>
      <c r="R72" s="114">
        <f t="shared" si="47"/>
        <v>46752</v>
      </c>
      <c r="S72" s="137">
        <f t="shared" si="47"/>
        <v>46843</v>
      </c>
      <c r="T72" s="114">
        <f t="shared" si="47"/>
        <v>47118</v>
      </c>
      <c r="U72" s="137">
        <f t="shared" si="47"/>
        <v>47208</v>
      </c>
      <c r="V72" s="114">
        <f t="shared" si="47"/>
        <v>47483</v>
      </c>
      <c r="W72" s="137">
        <f t="shared" si="47"/>
        <v>47573</v>
      </c>
      <c r="X72" s="114">
        <f>DATE(YEAR(V72)+1,MONTH(V72),DAY(V72))</f>
        <v>47848</v>
      </c>
      <c r="Y72" s="137">
        <f>DATE(YEAR(W72)+1,MONTH(W72),DAY(W72))</f>
        <v>47938</v>
      </c>
      <c r="Z72" s="114">
        <f t="shared" si="47"/>
        <v>48213</v>
      </c>
      <c r="AA72" s="137">
        <f t="shared" si="47"/>
        <v>48304</v>
      </c>
      <c r="AB72" s="114">
        <f>DATE(YEAR(Z72)+1,MONTH(Z72),DAY(Z72))</f>
        <v>48579</v>
      </c>
      <c r="AC72" s="137">
        <f>DATE(YEAR(AA72)+1,MONTH(AA72),DAY(AA72))</f>
        <v>48669</v>
      </c>
      <c r="AD72" s="114">
        <f t="shared" ref="AD72:AL72" si="48">DATE(YEAR(AB72)+1,MONTH(AB72),DAY(AB72))</f>
        <v>48944</v>
      </c>
      <c r="AE72" s="137">
        <f t="shared" si="48"/>
        <v>49034</v>
      </c>
      <c r="AF72" s="114">
        <f t="shared" si="48"/>
        <v>49309</v>
      </c>
      <c r="AG72" s="137">
        <f t="shared" si="48"/>
        <v>49399</v>
      </c>
      <c r="AH72" s="114">
        <f t="shared" si="48"/>
        <v>49674</v>
      </c>
      <c r="AI72" s="137">
        <f t="shared" si="48"/>
        <v>49765</v>
      </c>
      <c r="AJ72" s="114">
        <f t="shared" si="48"/>
        <v>50040</v>
      </c>
      <c r="AK72" s="137">
        <f t="shared" si="48"/>
        <v>50130</v>
      </c>
      <c r="AL72" s="114">
        <f t="shared" si="48"/>
        <v>50405</v>
      </c>
      <c r="AM72" s="137">
        <f t="shared" ref="AM72:BB72" si="49">DATE(YEAR(AK72)+1,MONTH(AK72),DAY(AK72))</f>
        <v>50495</v>
      </c>
      <c r="AN72" s="114">
        <f t="shared" si="49"/>
        <v>50770</v>
      </c>
      <c r="AO72" s="137">
        <f t="shared" si="49"/>
        <v>50860</v>
      </c>
      <c r="AP72" s="114">
        <f t="shared" si="49"/>
        <v>51135</v>
      </c>
      <c r="AQ72" s="137">
        <f t="shared" si="49"/>
        <v>51226</v>
      </c>
      <c r="AR72" s="114">
        <f t="shared" si="49"/>
        <v>51501</v>
      </c>
      <c r="AS72" s="137">
        <f t="shared" si="49"/>
        <v>51591</v>
      </c>
      <c r="AT72" s="114">
        <f t="shared" si="49"/>
        <v>51866</v>
      </c>
      <c r="AU72" s="137">
        <f t="shared" si="49"/>
        <v>51956</v>
      </c>
      <c r="AV72" s="114">
        <f t="shared" si="49"/>
        <v>52231</v>
      </c>
      <c r="AW72" s="137">
        <f t="shared" si="49"/>
        <v>52321</v>
      </c>
      <c r="AX72" s="114">
        <f t="shared" si="49"/>
        <v>52596</v>
      </c>
      <c r="AY72" s="137">
        <f t="shared" si="49"/>
        <v>52687</v>
      </c>
      <c r="AZ72" s="114">
        <f t="shared" si="49"/>
        <v>52962</v>
      </c>
      <c r="BA72" s="137">
        <f t="shared" si="49"/>
        <v>53052</v>
      </c>
      <c r="BB72" s="114">
        <f t="shared" si="49"/>
        <v>53327</v>
      </c>
    </row>
    <row r="73" spans="1:54" s="111" customFormat="1">
      <c r="B73" s="115" t="s">
        <v>61</v>
      </c>
      <c r="C73" s="200"/>
      <c r="D73" s="138">
        <f>$D$7</f>
        <v>44286</v>
      </c>
      <c r="E73" s="116">
        <f t="shared" ref="E73:U73" si="50">F72</f>
        <v>44561</v>
      </c>
      <c r="F73" s="209">
        <f t="shared" si="50"/>
        <v>44651</v>
      </c>
      <c r="G73" s="116">
        <f t="shared" si="50"/>
        <v>44926</v>
      </c>
      <c r="H73" s="201">
        <f t="shared" si="50"/>
        <v>45016</v>
      </c>
      <c r="I73" s="116">
        <f t="shared" si="50"/>
        <v>45291</v>
      </c>
      <c r="J73" s="209">
        <f t="shared" si="50"/>
        <v>45382</v>
      </c>
      <c r="K73" s="116">
        <f t="shared" si="50"/>
        <v>45657</v>
      </c>
      <c r="L73" s="209">
        <f t="shared" si="50"/>
        <v>45747</v>
      </c>
      <c r="M73" s="116">
        <f t="shared" si="50"/>
        <v>46022</v>
      </c>
      <c r="N73" s="209">
        <f t="shared" si="50"/>
        <v>46112</v>
      </c>
      <c r="O73" s="116">
        <f t="shared" si="50"/>
        <v>46387</v>
      </c>
      <c r="P73" s="209">
        <f t="shared" si="50"/>
        <v>46477</v>
      </c>
      <c r="Q73" s="116">
        <f t="shared" si="50"/>
        <v>46752</v>
      </c>
      <c r="R73" s="209">
        <f t="shared" si="50"/>
        <v>46843</v>
      </c>
      <c r="S73" s="116">
        <f t="shared" si="50"/>
        <v>47118</v>
      </c>
      <c r="T73" s="209">
        <f t="shared" si="50"/>
        <v>47208</v>
      </c>
      <c r="U73" s="116">
        <f t="shared" si="50"/>
        <v>47483</v>
      </c>
      <c r="V73" s="209">
        <f>W72</f>
        <v>47573</v>
      </c>
      <c r="W73" s="116">
        <f>X72</f>
        <v>47848</v>
      </c>
      <c r="X73" s="209">
        <f t="shared" ref="X73:AK73" si="51">Y72</f>
        <v>47938</v>
      </c>
      <c r="Y73" s="116">
        <f t="shared" si="51"/>
        <v>48213</v>
      </c>
      <c r="Z73" s="209">
        <f t="shared" si="51"/>
        <v>48304</v>
      </c>
      <c r="AA73" s="116">
        <f t="shared" si="51"/>
        <v>48579</v>
      </c>
      <c r="AB73" s="209">
        <f t="shared" si="51"/>
        <v>48669</v>
      </c>
      <c r="AC73" s="116">
        <f t="shared" si="51"/>
        <v>48944</v>
      </c>
      <c r="AD73" s="209">
        <f t="shared" si="51"/>
        <v>49034</v>
      </c>
      <c r="AE73" s="116">
        <f t="shared" si="51"/>
        <v>49309</v>
      </c>
      <c r="AF73" s="209">
        <f t="shared" si="51"/>
        <v>49399</v>
      </c>
      <c r="AG73" s="116">
        <f t="shared" si="51"/>
        <v>49674</v>
      </c>
      <c r="AH73" s="209">
        <f t="shared" si="51"/>
        <v>49765</v>
      </c>
      <c r="AI73" s="116">
        <f t="shared" si="51"/>
        <v>50040</v>
      </c>
      <c r="AJ73" s="209">
        <f t="shared" si="51"/>
        <v>50130</v>
      </c>
      <c r="AK73" s="116">
        <f t="shared" si="51"/>
        <v>50405</v>
      </c>
      <c r="AL73" s="209">
        <f t="shared" ref="AL73:BA73" si="52">AM72</f>
        <v>50495</v>
      </c>
      <c r="AM73" s="116">
        <f t="shared" si="52"/>
        <v>50770</v>
      </c>
      <c r="AN73" s="209">
        <f t="shared" si="52"/>
        <v>50860</v>
      </c>
      <c r="AO73" s="116">
        <f t="shared" si="52"/>
        <v>51135</v>
      </c>
      <c r="AP73" s="209">
        <f t="shared" si="52"/>
        <v>51226</v>
      </c>
      <c r="AQ73" s="116">
        <f t="shared" si="52"/>
        <v>51501</v>
      </c>
      <c r="AR73" s="209">
        <f t="shared" si="52"/>
        <v>51591</v>
      </c>
      <c r="AS73" s="116">
        <f t="shared" si="52"/>
        <v>51866</v>
      </c>
      <c r="AT73" s="209">
        <f t="shared" si="52"/>
        <v>51956</v>
      </c>
      <c r="AU73" s="116">
        <f t="shared" si="52"/>
        <v>52231</v>
      </c>
      <c r="AV73" s="209">
        <f t="shared" si="52"/>
        <v>52321</v>
      </c>
      <c r="AW73" s="116">
        <f t="shared" si="52"/>
        <v>52596</v>
      </c>
      <c r="AX73" s="209">
        <f t="shared" si="52"/>
        <v>52687</v>
      </c>
      <c r="AY73" s="116">
        <f t="shared" si="52"/>
        <v>52962</v>
      </c>
      <c r="AZ73" s="209">
        <f t="shared" si="52"/>
        <v>53052</v>
      </c>
      <c r="BA73" s="116">
        <f t="shared" si="52"/>
        <v>53327</v>
      </c>
      <c r="BB73" s="209">
        <f>BB72</f>
        <v>53327</v>
      </c>
    </row>
    <row r="74" spans="1:54" s="111" customFormat="1">
      <c r="B74" s="115"/>
      <c r="C74" s="202"/>
      <c r="D74" s="138"/>
      <c r="E74" s="116"/>
      <c r="F74" s="209"/>
      <c r="G74" s="116"/>
      <c r="H74" s="201"/>
      <c r="I74" s="116"/>
      <c r="J74" s="209"/>
      <c r="K74" s="116"/>
      <c r="L74" s="209"/>
      <c r="M74" s="116"/>
      <c r="N74" s="209"/>
      <c r="O74" s="116"/>
      <c r="P74" s="209"/>
      <c r="Q74" s="116"/>
      <c r="R74" s="209"/>
      <c r="S74" s="116"/>
      <c r="T74" s="209"/>
      <c r="U74" s="116"/>
      <c r="V74" s="209"/>
      <c r="W74" s="116"/>
      <c r="X74" s="209"/>
      <c r="Y74" s="116"/>
      <c r="Z74" s="209"/>
      <c r="AA74" s="116"/>
      <c r="AB74" s="209"/>
      <c r="AC74" s="116"/>
      <c r="AD74" s="209"/>
      <c r="AE74" s="116"/>
      <c r="AF74" s="209"/>
      <c r="AG74" s="116"/>
      <c r="AH74" s="209"/>
      <c r="AI74" s="116"/>
      <c r="AJ74" s="209"/>
      <c r="AK74" s="116"/>
      <c r="AL74" s="209"/>
      <c r="AM74" s="116"/>
      <c r="AN74" s="209"/>
      <c r="AO74" s="116"/>
      <c r="AP74" s="209"/>
      <c r="AQ74" s="116"/>
      <c r="AR74" s="209"/>
      <c r="AS74" s="116"/>
      <c r="AT74" s="209"/>
      <c r="AU74" s="116"/>
      <c r="AV74" s="209"/>
      <c r="AW74" s="116"/>
      <c r="AX74" s="209"/>
      <c r="AY74" s="116"/>
      <c r="AZ74" s="209"/>
      <c r="BA74" s="116"/>
      <c r="BB74" s="209"/>
    </row>
    <row r="75" spans="1:54" s="111" customFormat="1">
      <c r="B75" s="115" t="s">
        <v>62</v>
      </c>
      <c r="C75" s="200"/>
      <c r="D75" s="139">
        <f t="shared" ref="D75:BB75" si="53">D73-D72</f>
        <v>90</v>
      </c>
      <c r="E75" s="117">
        <f t="shared" si="53"/>
        <v>275</v>
      </c>
      <c r="F75" s="210">
        <f t="shared" si="53"/>
        <v>90</v>
      </c>
      <c r="G75" s="117">
        <f t="shared" si="53"/>
        <v>275</v>
      </c>
      <c r="H75" s="203">
        <f t="shared" si="53"/>
        <v>90</v>
      </c>
      <c r="I75" s="117">
        <f t="shared" si="53"/>
        <v>275</v>
      </c>
      <c r="J75" s="210">
        <f t="shared" si="53"/>
        <v>91</v>
      </c>
      <c r="K75" s="117">
        <f t="shared" si="53"/>
        <v>275</v>
      </c>
      <c r="L75" s="210">
        <f t="shared" si="53"/>
        <v>90</v>
      </c>
      <c r="M75" s="117">
        <f t="shared" si="53"/>
        <v>275</v>
      </c>
      <c r="N75" s="210">
        <f t="shared" si="53"/>
        <v>90</v>
      </c>
      <c r="O75" s="117">
        <f t="shared" si="53"/>
        <v>275</v>
      </c>
      <c r="P75" s="210">
        <f t="shared" si="53"/>
        <v>90</v>
      </c>
      <c r="Q75" s="117">
        <f t="shared" si="53"/>
        <v>275</v>
      </c>
      <c r="R75" s="210">
        <f t="shared" si="53"/>
        <v>91</v>
      </c>
      <c r="S75" s="117">
        <f t="shared" si="53"/>
        <v>275</v>
      </c>
      <c r="T75" s="210">
        <f t="shared" si="53"/>
        <v>90</v>
      </c>
      <c r="U75" s="117">
        <f t="shared" si="53"/>
        <v>275</v>
      </c>
      <c r="V75" s="210">
        <f t="shared" si="53"/>
        <v>90</v>
      </c>
      <c r="W75" s="117">
        <f t="shared" si="53"/>
        <v>275</v>
      </c>
      <c r="X75" s="210">
        <f t="shared" si="53"/>
        <v>90</v>
      </c>
      <c r="Y75" s="117">
        <f t="shared" si="53"/>
        <v>275</v>
      </c>
      <c r="Z75" s="210">
        <f t="shared" si="53"/>
        <v>91</v>
      </c>
      <c r="AA75" s="117">
        <f t="shared" si="53"/>
        <v>275</v>
      </c>
      <c r="AB75" s="210">
        <f t="shared" si="53"/>
        <v>90</v>
      </c>
      <c r="AC75" s="117">
        <f t="shared" si="53"/>
        <v>275</v>
      </c>
      <c r="AD75" s="210">
        <f t="shared" si="53"/>
        <v>90</v>
      </c>
      <c r="AE75" s="117">
        <f t="shared" si="53"/>
        <v>275</v>
      </c>
      <c r="AF75" s="210">
        <f t="shared" si="53"/>
        <v>90</v>
      </c>
      <c r="AG75" s="117">
        <f t="shared" si="53"/>
        <v>275</v>
      </c>
      <c r="AH75" s="210">
        <f t="shared" si="53"/>
        <v>91</v>
      </c>
      <c r="AI75" s="117">
        <f t="shared" si="53"/>
        <v>275</v>
      </c>
      <c r="AJ75" s="210">
        <f t="shared" si="53"/>
        <v>90</v>
      </c>
      <c r="AK75" s="117">
        <f t="shared" si="53"/>
        <v>275</v>
      </c>
      <c r="AL75" s="210">
        <f t="shared" si="53"/>
        <v>90</v>
      </c>
      <c r="AM75" s="117">
        <f>AM73-AM72</f>
        <v>275</v>
      </c>
      <c r="AN75" s="210">
        <f>AN73-AN72</f>
        <v>90</v>
      </c>
      <c r="AO75" s="117">
        <f>AO73-AO72</f>
        <v>275</v>
      </c>
      <c r="AP75" s="210">
        <f>AP73-AP72</f>
        <v>91</v>
      </c>
      <c r="AQ75" s="117">
        <f t="shared" ref="AQ75:AZ75" si="54">AQ73-AQ72</f>
        <v>275</v>
      </c>
      <c r="AR75" s="210">
        <f t="shared" si="54"/>
        <v>90</v>
      </c>
      <c r="AS75" s="117">
        <f t="shared" si="54"/>
        <v>275</v>
      </c>
      <c r="AT75" s="210">
        <f t="shared" si="54"/>
        <v>90</v>
      </c>
      <c r="AU75" s="117">
        <f t="shared" si="54"/>
        <v>275</v>
      </c>
      <c r="AV75" s="210">
        <f t="shared" si="54"/>
        <v>90</v>
      </c>
      <c r="AW75" s="117">
        <f t="shared" si="54"/>
        <v>275</v>
      </c>
      <c r="AX75" s="210">
        <f t="shared" si="54"/>
        <v>91</v>
      </c>
      <c r="AY75" s="117">
        <f t="shared" si="54"/>
        <v>275</v>
      </c>
      <c r="AZ75" s="210">
        <f t="shared" si="54"/>
        <v>90</v>
      </c>
      <c r="BA75" s="117">
        <f t="shared" si="53"/>
        <v>275</v>
      </c>
      <c r="BB75" s="210">
        <f t="shared" si="53"/>
        <v>0</v>
      </c>
    </row>
    <row r="76" spans="1:54" s="111" customFormat="1">
      <c r="B76" s="115"/>
      <c r="C76" s="200"/>
      <c r="D76" s="139"/>
      <c r="E76" s="117"/>
      <c r="F76" s="210"/>
      <c r="G76" s="117"/>
      <c r="H76" s="203"/>
      <c r="I76" s="117"/>
      <c r="J76" s="210"/>
      <c r="K76" s="117"/>
      <c r="L76" s="210"/>
      <c r="M76" s="117"/>
      <c r="N76" s="210"/>
      <c r="O76" s="117"/>
      <c r="P76" s="210"/>
      <c r="Q76" s="117"/>
      <c r="R76" s="210"/>
      <c r="S76" s="117"/>
      <c r="T76" s="210"/>
      <c r="U76" s="117"/>
      <c r="V76" s="210"/>
      <c r="W76" s="117"/>
      <c r="X76" s="210"/>
      <c r="Y76" s="117"/>
      <c r="Z76" s="210"/>
      <c r="AA76" s="117"/>
      <c r="AB76" s="210"/>
      <c r="AC76" s="117"/>
      <c r="AD76" s="210"/>
      <c r="AE76" s="117"/>
      <c r="AF76" s="210"/>
      <c r="AG76" s="117"/>
      <c r="AH76" s="210"/>
      <c r="AI76" s="117"/>
      <c r="AJ76" s="210"/>
      <c r="AK76" s="117"/>
      <c r="AL76" s="210"/>
      <c r="AM76" s="117"/>
      <c r="AN76" s="210"/>
      <c r="AO76" s="117"/>
      <c r="AP76" s="210"/>
      <c r="AQ76" s="117"/>
      <c r="AR76" s="210"/>
      <c r="AS76" s="117"/>
      <c r="AT76" s="210"/>
      <c r="AU76" s="117"/>
      <c r="AV76" s="210"/>
      <c r="AW76" s="117"/>
      <c r="AX76" s="210"/>
      <c r="AY76" s="117"/>
      <c r="AZ76" s="210"/>
      <c r="BA76" s="117"/>
      <c r="BB76" s="210"/>
    </row>
    <row r="77" spans="1:54" s="111" customFormat="1">
      <c r="B77" s="115" t="s">
        <v>63</v>
      </c>
      <c r="C77" s="202"/>
      <c r="D77" s="139"/>
      <c r="E77" s="118">
        <f>E75+D75</f>
        <v>365</v>
      </c>
      <c r="F77" s="209"/>
      <c r="G77" s="118">
        <f>G75+F75</f>
        <v>365</v>
      </c>
      <c r="H77" s="201"/>
      <c r="I77" s="118">
        <f>I75+H75</f>
        <v>365</v>
      </c>
      <c r="J77" s="209"/>
      <c r="K77" s="118">
        <f>K75+J75</f>
        <v>366</v>
      </c>
      <c r="L77" s="209"/>
      <c r="M77" s="118">
        <f>M75+L75</f>
        <v>365</v>
      </c>
      <c r="N77" s="209"/>
      <c r="O77" s="118">
        <f>O75+N75</f>
        <v>365</v>
      </c>
      <c r="P77" s="209"/>
      <c r="Q77" s="118">
        <f>Q75+P75</f>
        <v>365</v>
      </c>
      <c r="R77" s="209"/>
      <c r="S77" s="118">
        <f>S75+R75</f>
        <v>366</v>
      </c>
      <c r="T77" s="209"/>
      <c r="U77" s="118">
        <f>U75+T75</f>
        <v>365</v>
      </c>
      <c r="V77" s="209"/>
      <c r="W77" s="118">
        <f>W75+V75</f>
        <v>365</v>
      </c>
      <c r="X77" s="209"/>
      <c r="Y77" s="118">
        <f>Y75+X75</f>
        <v>365</v>
      </c>
      <c r="Z77" s="209"/>
      <c r="AA77" s="118">
        <f>AA75+Z75</f>
        <v>366</v>
      </c>
      <c r="AB77" s="209"/>
      <c r="AC77" s="118">
        <f>AC75+AB75</f>
        <v>365</v>
      </c>
      <c r="AD77" s="209"/>
      <c r="AE77" s="118">
        <f>AE75+AD75</f>
        <v>365</v>
      </c>
      <c r="AF77" s="209"/>
      <c r="AG77" s="118">
        <f>AG75+AF75</f>
        <v>365</v>
      </c>
      <c r="AH77" s="209"/>
      <c r="AI77" s="118">
        <f>AI75+AH75</f>
        <v>366</v>
      </c>
      <c r="AJ77" s="209"/>
      <c r="AK77" s="118">
        <f>AK75+AJ75</f>
        <v>365</v>
      </c>
      <c r="AL77" s="209"/>
      <c r="AM77" s="118">
        <f>AM75+AL75</f>
        <v>365</v>
      </c>
      <c r="AN77" s="209"/>
      <c r="AO77" s="118">
        <f>AO75+AN75</f>
        <v>365</v>
      </c>
      <c r="AP77" s="209"/>
      <c r="AQ77" s="118">
        <f>AQ75+AP75</f>
        <v>366</v>
      </c>
      <c r="AR77" s="209"/>
      <c r="AS77" s="118">
        <f>AS75+AR75</f>
        <v>365</v>
      </c>
      <c r="AT77" s="209"/>
      <c r="AU77" s="118">
        <f>AU75+AT75</f>
        <v>365</v>
      </c>
      <c r="AV77" s="209"/>
      <c r="AW77" s="118">
        <f>AW75+AV75</f>
        <v>365</v>
      </c>
      <c r="AX77" s="209"/>
      <c r="AY77" s="118">
        <f>AY75+AX75</f>
        <v>366</v>
      </c>
      <c r="AZ77" s="209"/>
      <c r="BA77" s="118">
        <f>BA75+AX75</f>
        <v>366</v>
      </c>
      <c r="BB77" s="209"/>
    </row>
    <row r="78" spans="1:54" s="111" customFormat="1">
      <c r="B78" s="119"/>
      <c r="C78" s="204"/>
      <c r="D78" s="140"/>
      <c r="E78" s="118"/>
      <c r="F78" s="211"/>
      <c r="G78" s="118"/>
      <c r="H78" s="205"/>
      <c r="I78" s="118"/>
      <c r="J78" s="211"/>
      <c r="K78" s="118"/>
      <c r="L78" s="211"/>
      <c r="M78" s="118"/>
      <c r="N78" s="211"/>
      <c r="O78" s="118"/>
      <c r="P78" s="211"/>
      <c r="Q78" s="118"/>
      <c r="R78" s="211"/>
      <c r="S78" s="118"/>
      <c r="T78" s="211"/>
      <c r="U78" s="118"/>
      <c r="V78" s="211"/>
      <c r="W78" s="118"/>
      <c r="X78" s="211"/>
      <c r="Y78" s="118"/>
      <c r="Z78" s="211"/>
      <c r="AA78" s="118"/>
      <c r="AB78" s="211"/>
      <c r="AC78" s="118"/>
      <c r="AD78" s="211"/>
      <c r="AE78" s="118"/>
      <c r="AF78" s="211"/>
      <c r="AG78" s="118"/>
      <c r="AH78" s="211"/>
      <c r="AI78" s="118"/>
      <c r="AJ78" s="211"/>
      <c r="AK78" s="118"/>
      <c r="AL78" s="211"/>
      <c r="AM78" s="118"/>
      <c r="AN78" s="211"/>
      <c r="AO78" s="118"/>
      <c r="AP78" s="211"/>
      <c r="AQ78" s="118"/>
      <c r="AR78" s="211"/>
      <c r="AS78" s="118"/>
      <c r="AT78" s="211"/>
      <c r="AU78" s="118"/>
      <c r="AV78" s="211"/>
      <c r="AW78" s="118"/>
      <c r="AX78" s="211"/>
      <c r="AY78" s="118"/>
      <c r="AZ78" s="211"/>
      <c r="BA78" s="118"/>
      <c r="BB78" s="211"/>
    </row>
    <row r="79" spans="1:54" s="111" customFormat="1">
      <c r="B79" s="119" t="s">
        <v>64</v>
      </c>
      <c r="C79" s="204"/>
      <c r="D79" s="141">
        <f>E81*D75/E77</f>
        <v>15.996772602739727</v>
      </c>
      <c r="E79" s="120">
        <f>E81*E75/E77</f>
        <v>48.87902739726028</v>
      </c>
      <c r="F79" s="212">
        <f>G81*F75/G77</f>
        <v>16.796611232876714</v>
      </c>
      <c r="G79" s="120">
        <f>G81*G75/G77</f>
        <v>51.322978767123288</v>
      </c>
      <c r="H79" s="212">
        <f>I81*H75/I77</f>
        <v>17.63644179452055</v>
      </c>
      <c r="I79" s="120">
        <f>I81*I75/I77</f>
        <v>53.88912770547946</v>
      </c>
      <c r="J79" s="212">
        <f>K81*J75/K77</f>
        <v>18.672863840778692</v>
      </c>
      <c r="K79" s="120">
        <f>K81*K75/K77</f>
        <v>56.428984134221317</v>
      </c>
      <c r="L79" s="212">
        <f>M81*L75/M77</f>
        <v>19.444177078458907</v>
      </c>
      <c r="M79" s="120">
        <f>M81*M75/M77</f>
        <v>59.412763295291114</v>
      </c>
      <c r="N79" s="212">
        <f>O81*N75/O77</f>
        <v>20.416385932381854</v>
      </c>
      <c r="O79" s="120">
        <f>O81*O75/O77</f>
        <v>62.383401460055666</v>
      </c>
      <c r="P79" s="212">
        <f>Q81*P75/Q77</f>
        <v>21.437205229000952</v>
      </c>
      <c r="Q79" s="120">
        <f>Q81*Q75/Q77</f>
        <v>65.502571533058457</v>
      </c>
      <c r="R79" s="212">
        <f>S81*R75/S77</f>
        <v>22.696982703865512</v>
      </c>
      <c r="S79" s="120">
        <f>S81*S75/S77</f>
        <v>68.589782896296867</v>
      </c>
      <c r="T79" s="212">
        <f>U81*T75/U77</f>
        <v>23.634518764973553</v>
      </c>
      <c r="U79" s="120">
        <f>U81*U75/U77</f>
        <v>72.216585115196963</v>
      </c>
      <c r="V79" s="212">
        <f>W81*V75/W77</f>
        <v>24.816244703222232</v>
      </c>
      <c r="W79" s="120">
        <f>W81*W75/W77</f>
        <v>75.827414370956816</v>
      </c>
      <c r="X79" s="212">
        <f>Y81*X75/Y77</f>
        <v>26.05705693838334</v>
      </c>
      <c r="Y79" s="120">
        <f>Y81*Y75/Y77</f>
        <v>79.618785089504655</v>
      </c>
      <c r="Z79" s="212">
        <f>AA81*Z75/AA77</f>
        <v>27.588324332690433</v>
      </c>
      <c r="AA79" s="120">
        <f>AA81*AA75/AA77</f>
        <v>83.371309796591973</v>
      </c>
      <c r="AB79" s="212">
        <f>AC81*AB75/AC77</f>
        <v>28.72790527456764</v>
      </c>
      <c r="AC79" s="120">
        <f>AC81*AC75/AC77</f>
        <v>87.779710561178888</v>
      </c>
      <c r="AD79" s="212">
        <f>AE81*AD75/AE77</f>
        <v>30.164300538296025</v>
      </c>
      <c r="AE79" s="120">
        <f>AE81*AE75/AE77</f>
        <v>92.168696089237841</v>
      </c>
      <c r="AF79" s="212">
        <f>AG81*AF75/AG77</f>
        <v>31.672515565210823</v>
      </c>
      <c r="AG79" s="120">
        <f>AG81*AG75/AG77</f>
        <v>96.777130893699734</v>
      </c>
      <c r="AH79" s="212">
        <f>AI81*AH75/AI77</f>
        <v>33.533780653412308</v>
      </c>
      <c r="AI79" s="120">
        <f>AI81*AI75/AI77</f>
        <v>101.3383481284438</v>
      </c>
      <c r="AJ79" s="212">
        <f>AK81*AJ75/AK77</f>
        <v>34.918948410644937</v>
      </c>
      <c r="AK79" s="120">
        <f>AK81*AK75/AK77</f>
        <v>106.69678681030398</v>
      </c>
      <c r="AL79" s="212">
        <f>AM81*AL75/AM77</f>
        <v>36.664895831177191</v>
      </c>
      <c r="AM79" s="120">
        <f>AM81*AM75/AM77</f>
        <v>112.03162615081919</v>
      </c>
      <c r="AN79" s="212">
        <f>AO81*AN75/AO77</f>
        <v>38.498140622736045</v>
      </c>
      <c r="AO79" s="120">
        <f t="shared" ref="AO79:AY79" si="55">AO81*AO75/AO77</f>
        <v>117.63320745836016</v>
      </c>
      <c r="AP79" s="212">
        <f>AQ81*AP75/AQ77</f>
        <v>40.760519970351758</v>
      </c>
      <c r="AQ79" s="120">
        <f t="shared" si="55"/>
        <v>123.17739551479926</v>
      </c>
      <c r="AR79" s="212">
        <f>AS81*AR75/AS77</f>
        <v>42.4442000365665</v>
      </c>
      <c r="AS79" s="120">
        <f t="shared" si="55"/>
        <v>129.69061122284211</v>
      </c>
      <c r="AT79" s="212">
        <f>AU81*AT75/AU77</f>
        <v>44.566410038394828</v>
      </c>
      <c r="AU79" s="120">
        <f t="shared" si="55"/>
        <v>136.1751417839842</v>
      </c>
      <c r="AV79" s="212">
        <f>AW81*AV75/AW77</f>
        <v>46.794730540314568</v>
      </c>
      <c r="AW79" s="120">
        <f t="shared" si="55"/>
        <v>142.98389887318342</v>
      </c>
      <c r="AX79" s="212">
        <f>AY81*AX75/AY77</f>
        <v>49.544666777212385</v>
      </c>
      <c r="AY79" s="120">
        <f t="shared" si="55"/>
        <v>149.72289410696052</v>
      </c>
      <c r="AZ79" s="212">
        <f>BA81*AZ75/BA77</f>
        <v>49.000219889550714</v>
      </c>
      <c r="BA79" s="120">
        <f>BA81*BA75/BA77</f>
        <v>149.72289410696052</v>
      </c>
      <c r="BB79" s="212">
        <v>0</v>
      </c>
    </row>
    <row r="80" spans="1:54" s="111" customFormat="1">
      <c r="B80" s="119"/>
      <c r="C80" s="204"/>
      <c r="D80" s="141"/>
      <c r="E80" s="120"/>
      <c r="F80" s="212"/>
      <c r="G80" s="120"/>
      <c r="H80" s="206"/>
      <c r="I80" s="120"/>
      <c r="J80" s="212"/>
      <c r="K80" s="120"/>
      <c r="L80" s="212"/>
      <c r="M80" s="120"/>
      <c r="N80" s="212"/>
      <c r="O80" s="120"/>
      <c r="P80" s="212"/>
      <c r="Q80" s="120"/>
      <c r="R80" s="212"/>
      <c r="S80" s="120"/>
      <c r="T80" s="212"/>
      <c r="U80" s="120"/>
      <c r="V80" s="212"/>
      <c r="W80" s="120"/>
      <c r="X80" s="212"/>
      <c r="Y80" s="120"/>
      <c r="Z80" s="212"/>
      <c r="AA80" s="120"/>
      <c r="AB80" s="212"/>
      <c r="AC80" s="120"/>
      <c r="AD80" s="212"/>
      <c r="AE80" s="120"/>
      <c r="AF80" s="212"/>
      <c r="AG80" s="120"/>
      <c r="AH80" s="212"/>
      <c r="AI80" s="120"/>
      <c r="AJ80" s="212"/>
      <c r="AK80" s="120"/>
      <c r="AL80" s="212"/>
      <c r="AM80" s="120"/>
      <c r="AN80" s="212"/>
      <c r="AO80" s="120"/>
      <c r="AP80" s="212"/>
      <c r="AQ80" s="120"/>
      <c r="AR80" s="212"/>
      <c r="AS80" s="120"/>
      <c r="AT80" s="212"/>
      <c r="AU80" s="120"/>
      <c r="AV80" s="212"/>
      <c r="AW80" s="120"/>
      <c r="AX80" s="212"/>
      <c r="AY80" s="120"/>
      <c r="AZ80" s="212"/>
      <c r="BA80" s="120"/>
      <c r="BB80" s="212"/>
    </row>
    <row r="81" spans="2:54" s="111" customFormat="1">
      <c r="B81" s="119"/>
      <c r="C81" s="204"/>
      <c r="D81" s="141"/>
      <c r="E81" s="142">
        <f>IF(E67=0,E65,0)</f>
        <v>64.875799999999998</v>
      </c>
      <c r="F81" s="213"/>
      <c r="G81" s="142">
        <f>IF(E67=0,E81*(1+E66),IF(E67=1,E65,0))</f>
        <v>68.119590000000002</v>
      </c>
      <c r="H81" s="207"/>
      <c r="I81" s="142">
        <f>IF(OR(E67=0,E67=1),G81*(1+E66),IF(E67=2,E65,0))</f>
        <v>71.525569500000003</v>
      </c>
      <c r="J81" s="206"/>
      <c r="K81" s="142">
        <f>I81*(1+$E$66)</f>
        <v>75.101847975000013</v>
      </c>
      <c r="L81" s="206"/>
      <c r="M81" s="142">
        <f>K81*(1+$E$66)</f>
        <v>78.856940373750021</v>
      </c>
      <c r="N81" s="206"/>
      <c r="O81" s="142">
        <f>M81*(1+$E$66)</f>
        <v>82.799787392437523</v>
      </c>
      <c r="P81" s="206"/>
      <c r="Q81" s="142">
        <f>O81*(1+$E$66)</f>
        <v>86.93977676205941</v>
      </c>
      <c r="R81" s="206"/>
      <c r="S81" s="142">
        <f>Q81*(1+$E$66)</f>
        <v>91.286765600162383</v>
      </c>
      <c r="T81" s="206"/>
      <c r="U81" s="142">
        <f>S81*(1+$E$66)</f>
        <v>95.851103880170513</v>
      </c>
      <c r="V81" s="206"/>
      <c r="W81" s="142">
        <f>U81*(1+$E$66)</f>
        <v>100.64365907417904</v>
      </c>
      <c r="X81" s="206"/>
      <c r="Y81" s="142">
        <f>W81*(1+E66)</f>
        <v>105.675842027888</v>
      </c>
      <c r="Z81" s="206"/>
      <c r="AA81" s="142">
        <f>Y81*(1+$E$66)</f>
        <v>110.95963412928241</v>
      </c>
      <c r="AB81" s="206"/>
      <c r="AC81" s="142">
        <f>AA81*(1+$E$66)</f>
        <v>116.50761583574653</v>
      </c>
      <c r="AD81" s="206"/>
      <c r="AE81" s="142">
        <f>AC81*(1+$E$66)</f>
        <v>122.33299662753387</v>
      </c>
      <c r="AF81" s="206"/>
      <c r="AG81" s="142">
        <f>AE81*(1+$E$66)</f>
        <v>128.44964645891056</v>
      </c>
      <c r="AH81" s="206"/>
      <c r="AI81" s="142">
        <f>AG81*(1+$E$66)</f>
        <v>134.87212878185611</v>
      </c>
      <c r="AJ81" s="206"/>
      <c r="AK81" s="142">
        <f>AI81*(1+$E$66)</f>
        <v>141.61573522094892</v>
      </c>
      <c r="AL81" s="206"/>
      <c r="AM81" s="142">
        <f>AK81*(1+$E$66)</f>
        <v>148.69652198199637</v>
      </c>
      <c r="AN81" s="206"/>
      <c r="AO81" s="142">
        <f>AM81*(1+$E$66)</f>
        <v>156.13134808109621</v>
      </c>
      <c r="AP81" s="206"/>
      <c r="AQ81" s="142">
        <f>AO81*(1+$E$66)</f>
        <v>163.93791548515102</v>
      </c>
      <c r="AR81" s="206"/>
      <c r="AS81" s="142">
        <f>AQ81*(1+$E$66)</f>
        <v>172.13481125940859</v>
      </c>
      <c r="AT81" s="206"/>
      <c r="AU81" s="142">
        <f>AS81*(1+$E$66)</f>
        <v>180.74155182237902</v>
      </c>
      <c r="AV81" s="206"/>
      <c r="AW81" s="142">
        <f>AU81*(1+$E$66)</f>
        <v>189.77862941349798</v>
      </c>
      <c r="AX81" s="206"/>
      <c r="AY81" s="142">
        <f>AW81*(1+$E$66)</f>
        <v>199.26756088417289</v>
      </c>
      <c r="AZ81" s="206"/>
      <c r="BA81" s="142">
        <f>AW81*(1+$E$66)</f>
        <v>199.26756088417289</v>
      </c>
      <c r="BB81" s="206"/>
    </row>
    <row r="82" spans="2:54" s="111" customFormat="1" ht="15.75" thickBot="1">
      <c r="B82" s="121" t="s">
        <v>65</v>
      </c>
      <c r="C82" s="143"/>
      <c r="D82" s="122">
        <f>D79</f>
        <v>15.996772602739727</v>
      </c>
      <c r="E82" s="123"/>
      <c r="F82" s="124">
        <f>E79+F79</f>
        <v>65.675638630137001</v>
      </c>
      <c r="G82" s="123"/>
      <c r="H82" s="125">
        <f>G79+H79</f>
        <v>68.959420561643839</v>
      </c>
      <c r="I82" s="123"/>
      <c r="J82" s="124">
        <f>I79+J79</f>
        <v>72.561991546258156</v>
      </c>
      <c r="K82" s="123"/>
      <c r="L82" s="124">
        <f>K79+L79</f>
        <v>75.87316121268023</v>
      </c>
      <c r="M82" s="123"/>
      <c r="N82" s="124">
        <f>M79+N79</f>
        <v>79.829149227672971</v>
      </c>
      <c r="O82" s="123"/>
      <c r="P82" s="124">
        <f>O79+P79</f>
        <v>83.820606689056618</v>
      </c>
      <c r="Q82" s="123"/>
      <c r="R82" s="124">
        <f>Q79+R79</f>
        <v>88.199554236923973</v>
      </c>
      <c r="S82" s="123"/>
      <c r="T82" s="124">
        <f>S79+T79</f>
        <v>92.224301661270417</v>
      </c>
      <c r="U82" s="123"/>
      <c r="V82" s="124">
        <f>U79+V79</f>
        <v>97.032829818419202</v>
      </c>
      <c r="W82" s="123"/>
      <c r="X82" s="124">
        <f>W79+X79</f>
        <v>101.88447130934016</v>
      </c>
      <c r="Y82" s="123"/>
      <c r="Z82" s="124">
        <f>Y79+Z79</f>
        <v>107.20710942219509</v>
      </c>
      <c r="AA82" s="123"/>
      <c r="AB82" s="124">
        <f>AA79+AB79</f>
        <v>112.09921507115962</v>
      </c>
      <c r="AC82" s="123"/>
      <c r="AD82" s="124">
        <f>AC79+AD79</f>
        <v>117.94401109947492</v>
      </c>
      <c r="AE82" s="123"/>
      <c r="AF82" s="124">
        <f>AE79+AF79</f>
        <v>123.84121165444867</v>
      </c>
      <c r="AG82" s="123"/>
      <c r="AH82" s="124">
        <f>AG79+AH79</f>
        <v>130.31091154711203</v>
      </c>
      <c r="AI82" s="123"/>
      <c r="AJ82" s="124">
        <f>AI79+AJ79</f>
        <v>136.25729653908874</v>
      </c>
      <c r="AK82" s="123"/>
      <c r="AL82" s="124">
        <f>AK79+AL79</f>
        <v>143.36168264148117</v>
      </c>
      <c r="AM82" s="123"/>
      <c r="AN82" s="124">
        <f>AM79+AN79</f>
        <v>150.52976677355525</v>
      </c>
      <c r="AO82" s="123"/>
      <c r="AP82" s="124">
        <f>AO79+AP79</f>
        <v>158.39372742871191</v>
      </c>
      <c r="AQ82" s="123"/>
      <c r="AR82" s="124">
        <f>AQ79+AR79</f>
        <v>165.62159555136577</v>
      </c>
      <c r="AS82" s="123"/>
      <c r="AT82" s="124">
        <f>AS79+AT79</f>
        <v>174.25702126123693</v>
      </c>
      <c r="AU82" s="123"/>
      <c r="AV82" s="124">
        <f>AU79+AV79</f>
        <v>182.96987232429876</v>
      </c>
      <c r="AW82" s="123"/>
      <c r="AX82" s="124">
        <f>AW79+AX79</f>
        <v>192.52856565039582</v>
      </c>
      <c r="AY82" s="123"/>
      <c r="AZ82" s="124">
        <f>AY79+AZ79</f>
        <v>198.72311399651124</v>
      </c>
      <c r="BA82" s="123"/>
      <c r="BB82" s="124">
        <f>BA79+BB79</f>
        <v>149.72289410696052</v>
      </c>
    </row>
    <row r="85" spans="2:54" ht="15.75" thickBot="1"/>
    <row r="86" spans="2:54" ht="15.75" thickBot="1">
      <c r="B86" s="303" t="s">
        <v>145</v>
      </c>
    </row>
    <row r="87" spans="2:54">
      <c r="B87" s="304" t="s">
        <v>147</v>
      </c>
      <c r="C87" s="48" t="s">
        <v>31</v>
      </c>
      <c r="D87" s="305"/>
      <c r="E87" s="305">
        <f>E23*Assumption!$C$43/E12</f>
        <v>194.86396738440001</v>
      </c>
      <c r="F87" s="305">
        <f>F23*Assumption!$C$43/F12</f>
        <v>193.49991961270916</v>
      </c>
      <c r="G87" s="305">
        <f>G23*Assumption!$C$43/G12</f>
        <v>192.14542017542021</v>
      </c>
      <c r="H87" s="305">
        <f>H23*Assumption!$C$43/H12</f>
        <v>190.80040223419229</v>
      </c>
      <c r="I87" s="305">
        <f>I23*Assumption!$C$43/I12</f>
        <v>189.46479941855293</v>
      </c>
      <c r="J87" s="305">
        <f>J23*Assumption!$C$43/J12</f>
        <v>188.13854582262309</v>
      </c>
      <c r="K87" s="305">
        <f>K23*Assumption!$C$43/K12</f>
        <v>186.82157600186466</v>
      </c>
      <c r="L87" s="305">
        <f>L23*Assumption!$C$43/L12</f>
        <v>185.51382496985161</v>
      </c>
      <c r="M87" s="305">
        <f>M23*Assumption!$C$43/M12</f>
        <v>184.21522819506265</v>
      </c>
      <c r="N87" s="305">
        <f>N23*Assumption!$C$43/N12</f>
        <v>182.92572159769722</v>
      </c>
      <c r="O87" s="305">
        <f>O23*Assumption!$C$43/O12</f>
        <v>181.64524154651335</v>
      </c>
      <c r="P87" s="305">
        <f>P23*Assumption!$C$43/P12</f>
        <v>180.3737248556877</v>
      </c>
      <c r="Q87" s="305">
        <f>Q23*Assumption!$C$43/Q12</f>
        <v>179.11110878169791</v>
      </c>
      <c r="R87" s="305">
        <f>R23*Assumption!$C$43/R12</f>
        <v>177.85733102022601</v>
      </c>
      <c r="S87" s="305">
        <f>S23*Assumption!$C$43/S12</f>
        <v>176.61232970308444</v>
      </c>
      <c r="T87" s="305">
        <f>T23*Assumption!$C$43/T12</f>
        <v>175.37604339516281</v>
      </c>
      <c r="U87" s="305">
        <f>U23*Assumption!$C$43/U12</f>
        <v>174.14841109139667</v>
      </c>
      <c r="V87" s="305">
        <f>V23*Assumption!$C$43/V12</f>
        <v>172.92937221375692</v>
      </c>
      <c r="W87" s="305">
        <f>W23*Assumption!$C$43/W12</f>
        <v>171.71886660826061</v>
      </c>
      <c r="X87" s="305">
        <f>X23*Assumption!$C$43/X12</f>
        <v>170.51683454200278</v>
      </c>
      <c r="Y87" s="305">
        <f>Y23*Assumption!$C$43/Y12</f>
        <v>169.32321670020875</v>
      </c>
      <c r="Z87" s="305">
        <f>Z23*Assumption!$C$43/Z12</f>
        <v>168.1379541833073</v>
      </c>
      <c r="AA87" s="305">
        <f>AA23*Assumption!$C$43/AA12</f>
        <v>166.96098850402413</v>
      </c>
      <c r="AB87" s="305">
        <f>AB23*Assumption!$C$43/AB12</f>
        <v>165.79226158449595</v>
      </c>
      <c r="AC87" s="306">
        <f>AC23*Assumption!$C$43/AC12</f>
        <v>164.63171575340451</v>
      </c>
    </row>
    <row r="88" spans="2:54">
      <c r="B88" s="307" t="s">
        <v>148</v>
      </c>
      <c r="C88" s="36" t="s">
        <v>31</v>
      </c>
      <c r="D88" s="301"/>
      <c r="E88" s="301">
        <f>E28*Assumption!$C$44/E12</f>
        <v>5.3979976956276987</v>
      </c>
      <c r="F88" s="301">
        <f>F28*Assumption!$C$44/F12</f>
        <v>5.6678975804090825</v>
      </c>
      <c r="G88" s="301">
        <f>G28*Assumption!$C$44/G12</f>
        <v>5.9477042251031271</v>
      </c>
      <c r="H88" s="301">
        <f>H28*Assumption!$C$44/H12</f>
        <v>6.2361502366586485</v>
      </c>
      <c r="I88" s="301">
        <f>I28*Assumption!$C$44/I12</f>
        <v>6.561299936521066</v>
      </c>
      <c r="J88" s="301">
        <f>J28*Assumption!$C$44/J12</f>
        <v>6.8893649333471192</v>
      </c>
      <c r="K88" s="301">
        <f>K28*Assumption!$C$44/K12</f>
        <v>7.2294716587642593</v>
      </c>
      <c r="L88" s="301">
        <f>L28*Assumption!$C$44/L12</f>
        <v>7.5800795885975685</v>
      </c>
      <c r="M88" s="301">
        <f>M28*Assumption!$C$44/M12</f>
        <v>7.9753010809659619</v>
      </c>
      <c r="N88" s="301">
        <f>N28*Assumption!$C$44/N12</f>
        <v>8.3740661350142602</v>
      </c>
      <c r="O88" s="301">
        <f>O28*Assumption!$C$44/O12</f>
        <v>8.7874679854258275</v>
      </c>
      <c r="P88" s="301">
        <f>P28*Assumption!$C$44/P12</f>
        <v>9.2136341154377774</v>
      </c>
      <c r="Q88" s="301">
        <f>Q28*Assumption!$C$44/Q12</f>
        <v>9.6940283095458835</v>
      </c>
      <c r="R88" s="301">
        <f>R28*Assumption!$C$44/R12</f>
        <v>10.178729725023178</v>
      </c>
      <c r="S88" s="301">
        <f>S28*Assumption!$C$44/S12</f>
        <v>10.681222257960002</v>
      </c>
      <c r="T88" s="301">
        <f>T28*Assumption!$C$44/T12</f>
        <v>11.199229852527843</v>
      </c>
      <c r="U88" s="301">
        <f>U28*Assumption!$C$44/U12</f>
        <v>11.783151997929957</v>
      </c>
      <c r="V88" s="301">
        <f>V28*Assumption!$C$44/V12</f>
        <v>12.372309597826458</v>
      </c>
      <c r="W88" s="301">
        <f>W28*Assumption!$C$44/W12</f>
        <v>12.983092412189501</v>
      </c>
      <c r="X88" s="301">
        <f>X28*Assumption!$C$44/X12</f>
        <v>13.612733880934172</v>
      </c>
      <c r="Y88" s="301">
        <f>Y28*Assumption!$C$44/Y12</f>
        <v>14.322494898183859</v>
      </c>
      <c r="Z88" s="301">
        <f>Z28*Assumption!$C$44/Z12</f>
        <v>15.03861964309305</v>
      </c>
      <c r="AA88" s="301">
        <f>AA28*Assumption!$C$44/AA12</f>
        <v>15.781029971343921</v>
      </c>
      <c r="AB88" s="301">
        <f>AB28*Assumption!$C$44/AB12</f>
        <v>16.333406629850241</v>
      </c>
      <c r="AC88" s="308">
        <f>AC28*Assumption!$C$44/AC12</f>
        <v>12.305991296462508</v>
      </c>
    </row>
    <row r="89" spans="2:54">
      <c r="B89" s="309" t="s">
        <v>149</v>
      </c>
      <c r="C89" s="36" t="s">
        <v>31</v>
      </c>
      <c r="D89" s="301"/>
      <c r="E89" s="302">
        <f t="shared" ref="E89:AC89" si="56">SUM(E87:E88)</f>
        <v>200.26196508002772</v>
      </c>
      <c r="F89" s="302">
        <f t="shared" si="56"/>
        <v>199.16781719311825</v>
      </c>
      <c r="G89" s="302">
        <f t="shared" si="56"/>
        <v>198.09312440052335</v>
      </c>
      <c r="H89" s="302">
        <f t="shared" si="56"/>
        <v>197.03655247085095</v>
      </c>
      <c r="I89" s="302">
        <f t="shared" si="56"/>
        <v>196.026099355074</v>
      </c>
      <c r="J89" s="302">
        <f t="shared" si="56"/>
        <v>195.0279107559702</v>
      </c>
      <c r="K89" s="302">
        <f t="shared" si="56"/>
        <v>194.05104766062891</v>
      </c>
      <c r="L89" s="302">
        <f t="shared" si="56"/>
        <v>193.09390455844917</v>
      </c>
      <c r="M89" s="302">
        <f t="shared" si="56"/>
        <v>192.1905292760286</v>
      </c>
      <c r="N89" s="302">
        <f t="shared" si="56"/>
        <v>191.29978773271148</v>
      </c>
      <c r="O89" s="302">
        <f t="shared" si="56"/>
        <v>190.43270953193917</v>
      </c>
      <c r="P89" s="302">
        <f t="shared" si="56"/>
        <v>189.58735897112547</v>
      </c>
      <c r="Q89" s="302">
        <f t="shared" si="56"/>
        <v>188.80513709124378</v>
      </c>
      <c r="R89" s="302">
        <f t="shared" si="56"/>
        <v>188.03606074524919</v>
      </c>
      <c r="S89" s="302">
        <f t="shared" si="56"/>
        <v>187.29355196104444</v>
      </c>
      <c r="T89" s="302">
        <f t="shared" si="56"/>
        <v>186.57527324769066</v>
      </c>
      <c r="U89" s="302">
        <f t="shared" si="56"/>
        <v>185.93156308932663</v>
      </c>
      <c r="V89" s="302">
        <f t="shared" si="56"/>
        <v>185.30168181158336</v>
      </c>
      <c r="W89" s="302">
        <f t="shared" si="56"/>
        <v>184.70195902045012</v>
      </c>
      <c r="X89" s="302">
        <f t="shared" si="56"/>
        <v>184.12956842293696</v>
      </c>
      <c r="Y89" s="302">
        <f t="shared" si="56"/>
        <v>183.64571159839261</v>
      </c>
      <c r="Z89" s="302">
        <f t="shared" si="56"/>
        <v>183.17657382640036</v>
      </c>
      <c r="AA89" s="302">
        <f t="shared" si="56"/>
        <v>182.74201847536804</v>
      </c>
      <c r="AB89" s="302">
        <f t="shared" si="56"/>
        <v>182.12566821434618</v>
      </c>
      <c r="AC89" s="310">
        <f t="shared" si="56"/>
        <v>176.93770704986702</v>
      </c>
    </row>
    <row r="90" spans="2:54">
      <c r="B90" s="307" t="s">
        <v>151</v>
      </c>
      <c r="C90" s="36" t="s">
        <v>31</v>
      </c>
      <c r="D90" s="301"/>
      <c r="E90" s="301">
        <v>0</v>
      </c>
      <c r="F90" s="301">
        <f>E90</f>
        <v>0</v>
      </c>
      <c r="G90" s="301">
        <f t="shared" ref="G90:AC90" si="57">F90</f>
        <v>0</v>
      </c>
      <c r="H90" s="301">
        <f t="shared" si="57"/>
        <v>0</v>
      </c>
      <c r="I90" s="301">
        <f t="shared" si="57"/>
        <v>0</v>
      </c>
      <c r="J90" s="301">
        <f t="shared" si="57"/>
        <v>0</v>
      </c>
      <c r="K90" s="301">
        <f t="shared" si="57"/>
        <v>0</v>
      </c>
      <c r="L90" s="301">
        <f t="shared" si="57"/>
        <v>0</v>
      </c>
      <c r="M90" s="301">
        <f t="shared" si="57"/>
        <v>0</v>
      </c>
      <c r="N90" s="301">
        <f t="shared" si="57"/>
        <v>0</v>
      </c>
      <c r="O90" s="301">
        <f t="shared" si="57"/>
        <v>0</v>
      </c>
      <c r="P90" s="301">
        <f t="shared" si="57"/>
        <v>0</v>
      </c>
      <c r="Q90" s="301">
        <f t="shared" si="57"/>
        <v>0</v>
      </c>
      <c r="R90" s="301">
        <f t="shared" si="57"/>
        <v>0</v>
      </c>
      <c r="S90" s="301">
        <f t="shared" si="57"/>
        <v>0</v>
      </c>
      <c r="T90" s="301">
        <f t="shared" si="57"/>
        <v>0</v>
      </c>
      <c r="U90" s="301">
        <f t="shared" si="57"/>
        <v>0</v>
      </c>
      <c r="V90" s="301">
        <f t="shared" si="57"/>
        <v>0</v>
      </c>
      <c r="W90" s="301">
        <f t="shared" si="57"/>
        <v>0</v>
      </c>
      <c r="X90" s="301">
        <f t="shared" si="57"/>
        <v>0</v>
      </c>
      <c r="Y90" s="301">
        <f t="shared" si="57"/>
        <v>0</v>
      </c>
      <c r="Z90" s="301">
        <f t="shared" si="57"/>
        <v>0</v>
      </c>
      <c r="AA90" s="301">
        <f t="shared" si="57"/>
        <v>0</v>
      </c>
      <c r="AB90" s="301">
        <f t="shared" si="57"/>
        <v>0</v>
      </c>
      <c r="AC90" s="308">
        <f t="shared" si="57"/>
        <v>0</v>
      </c>
    </row>
    <row r="91" spans="2:54" ht="15.75" thickBot="1">
      <c r="B91" s="311" t="s">
        <v>150</v>
      </c>
      <c r="C91" s="40" t="s">
        <v>31</v>
      </c>
      <c r="D91" s="312"/>
      <c r="E91" s="312">
        <f>E89-E90</f>
        <v>200.26196508002772</v>
      </c>
      <c r="F91" s="312">
        <f t="shared" ref="F91:AC91" si="58">F89-F90</f>
        <v>199.16781719311825</v>
      </c>
      <c r="G91" s="312">
        <f t="shared" si="58"/>
        <v>198.09312440052335</v>
      </c>
      <c r="H91" s="312">
        <f t="shared" si="58"/>
        <v>197.03655247085095</v>
      </c>
      <c r="I91" s="312">
        <f t="shared" si="58"/>
        <v>196.026099355074</v>
      </c>
      <c r="J91" s="312">
        <f t="shared" si="58"/>
        <v>195.0279107559702</v>
      </c>
      <c r="K91" s="312">
        <f t="shared" si="58"/>
        <v>194.05104766062891</v>
      </c>
      <c r="L91" s="312">
        <f t="shared" si="58"/>
        <v>193.09390455844917</v>
      </c>
      <c r="M91" s="312">
        <f t="shared" si="58"/>
        <v>192.1905292760286</v>
      </c>
      <c r="N91" s="312">
        <f t="shared" si="58"/>
        <v>191.29978773271148</v>
      </c>
      <c r="O91" s="312">
        <f t="shared" si="58"/>
        <v>190.43270953193917</v>
      </c>
      <c r="P91" s="312">
        <f t="shared" si="58"/>
        <v>189.58735897112547</v>
      </c>
      <c r="Q91" s="312">
        <f t="shared" si="58"/>
        <v>188.80513709124378</v>
      </c>
      <c r="R91" s="312">
        <f t="shared" si="58"/>
        <v>188.03606074524919</v>
      </c>
      <c r="S91" s="312">
        <f t="shared" si="58"/>
        <v>187.29355196104444</v>
      </c>
      <c r="T91" s="312">
        <f t="shared" si="58"/>
        <v>186.57527324769066</v>
      </c>
      <c r="U91" s="312">
        <f t="shared" si="58"/>
        <v>185.93156308932663</v>
      </c>
      <c r="V91" s="312">
        <f t="shared" si="58"/>
        <v>185.30168181158336</v>
      </c>
      <c r="W91" s="312">
        <f t="shared" si="58"/>
        <v>184.70195902045012</v>
      </c>
      <c r="X91" s="312">
        <f t="shared" si="58"/>
        <v>184.12956842293696</v>
      </c>
      <c r="Y91" s="312">
        <f t="shared" si="58"/>
        <v>183.64571159839261</v>
      </c>
      <c r="Z91" s="312">
        <f t="shared" si="58"/>
        <v>183.17657382640036</v>
      </c>
      <c r="AA91" s="312">
        <f t="shared" si="58"/>
        <v>182.74201847536804</v>
      </c>
      <c r="AB91" s="312">
        <f t="shared" si="58"/>
        <v>182.12566821434618</v>
      </c>
      <c r="AC91" s="313">
        <f t="shared" si="58"/>
        <v>176.93770704986702</v>
      </c>
    </row>
  </sheetData>
  <mergeCells count="51">
    <mergeCell ref="BA69:BB69"/>
    <mergeCell ref="AQ69:AR69"/>
    <mergeCell ref="AS69:AT69"/>
    <mergeCell ref="AU69:AV69"/>
    <mergeCell ref="AW69:AX69"/>
    <mergeCell ref="AY69:AZ69"/>
    <mergeCell ref="AG69:AH69"/>
    <mergeCell ref="AI69:AJ69"/>
    <mergeCell ref="AK69:AL69"/>
    <mergeCell ref="AM69:AN69"/>
    <mergeCell ref="AO69:AP69"/>
    <mergeCell ref="W69:X69"/>
    <mergeCell ref="Y69:Z69"/>
    <mergeCell ref="AA69:AB69"/>
    <mergeCell ref="AC69:AD69"/>
    <mergeCell ref="AE69:AF69"/>
    <mergeCell ref="M69:N69"/>
    <mergeCell ref="O69:P69"/>
    <mergeCell ref="Q69:R69"/>
    <mergeCell ref="S69:T69"/>
    <mergeCell ref="U69:V69"/>
    <mergeCell ref="B4:C4"/>
    <mergeCell ref="E70:F70"/>
    <mergeCell ref="G70:H70"/>
    <mergeCell ref="I70:J70"/>
    <mergeCell ref="K70:L70"/>
    <mergeCell ref="E69:F69"/>
    <mergeCell ref="G69:H69"/>
    <mergeCell ref="I69:J69"/>
    <mergeCell ref="K69:L69"/>
    <mergeCell ref="Y70:Z70"/>
    <mergeCell ref="AA70:AB70"/>
    <mergeCell ref="AC70:AD70"/>
    <mergeCell ref="AE70:AF70"/>
    <mergeCell ref="W70:X70"/>
    <mergeCell ref="M70:N70"/>
    <mergeCell ref="O70:P70"/>
    <mergeCell ref="Q70:R70"/>
    <mergeCell ref="S70:T70"/>
    <mergeCell ref="U70:V70"/>
    <mergeCell ref="AG70:AH70"/>
    <mergeCell ref="AW70:AX70"/>
    <mergeCell ref="BA70:BB70"/>
    <mergeCell ref="AK70:AL70"/>
    <mergeCell ref="AM70:AN70"/>
    <mergeCell ref="AI70:AJ70"/>
    <mergeCell ref="AQ70:AR70"/>
    <mergeCell ref="AS70:AT70"/>
    <mergeCell ref="AO70:AP70"/>
    <mergeCell ref="AU70:AV70"/>
    <mergeCell ref="AY70:AZ70"/>
  </mergeCells>
  <phoneticPr fontId="35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showGridLines="0" zoomScale="85" zoomScaleNormal="85" workbookViewId="0">
      <pane xSplit="2" ySplit="8" topLeftCell="C9" activePane="bottomRight" state="frozen"/>
      <selection pane="topRight"/>
      <selection pane="bottomLeft"/>
      <selection pane="bottomRight" activeCell="B4" sqref="B4:C4"/>
    </sheetView>
  </sheetViews>
  <sheetFormatPr defaultColWidth="9.140625" defaultRowHeight="15"/>
  <cols>
    <col min="1" max="1" width="5.140625" style="11" bestFit="1" customWidth="1"/>
    <col min="2" max="2" width="33.5703125" style="12" customWidth="1"/>
    <col min="3" max="24" width="11.42578125" style="12" customWidth="1"/>
    <col min="25" max="28" width="10.7109375" style="12" customWidth="1"/>
    <col min="29" max="50" width="11.85546875" style="12" customWidth="1"/>
    <col min="51" max="54" width="12.140625" style="12" customWidth="1"/>
    <col min="55" max="16384" width="9.140625" style="12"/>
  </cols>
  <sheetData>
    <row r="1" spans="1:29">
      <c r="E1" s="13"/>
      <c r="T1" s="14"/>
      <c r="U1" s="13"/>
      <c r="W1" s="15"/>
      <c r="X1" s="15"/>
    </row>
    <row r="2" spans="1:29">
      <c r="B2" s="16" t="s">
        <v>17</v>
      </c>
      <c r="C2" s="17" t="s">
        <v>184</v>
      </c>
      <c r="D2" s="16"/>
      <c r="T2" s="14"/>
      <c r="U2" s="13"/>
      <c r="W2" s="15"/>
      <c r="X2" s="15"/>
    </row>
    <row r="3" spans="1:29">
      <c r="T3" s="14"/>
      <c r="U3" s="13"/>
      <c r="W3" s="15"/>
      <c r="X3" s="15"/>
    </row>
    <row r="4" spans="1:29">
      <c r="B4" s="380" t="s">
        <v>76</v>
      </c>
      <c r="C4" s="380"/>
      <c r="L4" s="18"/>
      <c r="T4" s="14"/>
      <c r="U4" s="13"/>
      <c r="W4" s="15"/>
      <c r="Y4" s="14"/>
      <c r="Z4" s="13"/>
      <c r="AB4" s="15"/>
      <c r="AC4" s="15"/>
    </row>
    <row r="5" spans="1:29" ht="15.75" thickBot="1"/>
    <row r="6" spans="1:29">
      <c r="B6" s="289" t="s">
        <v>15</v>
      </c>
      <c r="C6" s="48"/>
      <c r="D6" s="290" t="str">
        <f>IF(MONTH(D7)&gt;3,"FY "&amp;YEAR(D7)&amp;"-"&amp;RIGHT(YEAR(D7)+1,2),"FY "&amp;YEAR(D7)-1&amp;"-"&amp;RIGHT(YEAR(D7),2))</f>
        <v>FY 2020-21</v>
      </c>
      <c r="E6" s="290" t="str">
        <f t="shared" ref="E6:AC6" si="0">IF(MONTH(E7)&gt;3,"FY "&amp;YEAR(E7)&amp;"-"&amp;RIGHT(YEAR(E7)+1,2),"FY "&amp;YEAR(E7)-1&amp;"-"&amp;RIGHT(YEAR(E7),2))</f>
        <v>FY 2021-22</v>
      </c>
      <c r="F6" s="290" t="str">
        <f t="shared" si="0"/>
        <v>FY 2022-23</v>
      </c>
      <c r="G6" s="290" t="str">
        <f t="shared" si="0"/>
        <v>FY 2023-24</v>
      </c>
      <c r="H6" s="290" t="str">
        <f t="shared" si="0"/>
        <v>FY 2024-25</v>
      </c>
      <c r="I6" s="290" t="str">
        <f t="shared" si="0"/>
        <v>FY 2025-26</v>
      </c>
      <c r="J6" s="290" t="str">
        <f t="shared" si="0"/>
        <v>FY 2026-27</v>
      </c>
      <c r="K6" s="290" t="str">
        <f t="shared" si="0"/>
        <v>FY 2027-28</v>
      </c>
      <c r="L6" s="290" t="str">
        <f t="shared" si="0"/>
        <v>FY 2028-29</v>
      </c>
      <c r="M6" s="290" t="str">
        <f t="shared" si="0"/>
        <v>FY 2029-30</v>
      </c>
      <c r="N6" s="290" t="str">
        <f t="shared" si="0"/>
        <v>FY 2030-31</v>
      </c>
      <c r="O6" s="290" t="str">
        <f t="shared" si="0"/>
        <v>FY 2031-32</v>
      </c>
      <c r="P6" s="290" t="str">
        <f t="shared" si="0"/>
        <v>FY 2032-33</v>
      </c>
      <c r="Q6" s="290" t="str">
        <f t="shared" si="0"/>
        <v>FY 2033-34</v>
      </c>
      <c r="R6" s="290" t="str">
        <f t="shared" si="0"/>
        <v>FY 2034-35</v>
      </c>
      <c r="S6" s="290" t="str">
        <f t="shared" si="0"/>
        <v>FY 2035-36</v>
      </c>
      <c r="T6" s="290" t="str">
        <f t="shared" si="0"/>
        <v>FY 2036-37</v>
      </c>
      <c r="U6" s="290" t="str">
        <f t="shared" si="0"/>
        <v>FY 2037-38</v>
      </c>
      <c r="V6" s="290" t="str">
        <f t="shared" si="0"/>
        <v>FY 2038-39</v>
      </c>
      <c r="W6" s="290" t="str">
        <f t="shared" si="0"/>
        <v>FY 2039-40</v>
      </c>
      <c r="X6" s="290" t="str">
        <f t="shared" si="0"/>
        <v>FY 2040-41</v>
      </c>
      <c r="Y6" s="290" t="str">
        <f t="shared" si="0"/>
        <v>FY 2041-42</v>
      </c>
      <c r="Z6" s="290" t="str">
        <f t="shared" si="0"/>
        <v>FY 2042-43</v>
      </c>
      <c r="AA6" s="290" t="str">
        <f t="shared" si="0"/>
        <v>FY 2043-44</v>
      </c>
      <c r="AB6" s="290" t="str">
        <f t="shared" si="0"/>
        <v>FY 2044-45</v>
      </c>
      <c r="AC6" s="291" t="str">
        <f t="shared" si="0"/>
        <v>FY 2045-46</v>
      </c>
    </row>
    <row r="7" spans="1:29">
      <c r="A7" s="19"/>
      <c r="B7" s="287" t="s">
        <v>19</v>
      </c>
      <c r="C7" s="292">
        <f>Assumption!C14</f>
        <v>44196</v>
      </c>
      <c r="D7" s="286">
        <f>IF(MONTH(C7)&lt;=3,DATE(YEAR(C7),3,31),DATE(YEAR(C7)+1,3,31))</f>
        <v>44286</v>
      </c>
      <c r="E7" s="286">
        <f t="shared" ref="E7:AB7" si="1">DATE(YEAR(D7)+1,3,31)</f>
        <v>44651</v>
      </c>
      <c r="F7" s="286">
        <f t="shared" si="1"/>
        <v>45016</v>
      </c>
      <c r="G7" s="286">
        <f t="shared" si="1"/>
        <v>45382</v>
      </c>
      <c r="H7" s="286">
        <f t="shared" si="1"/>
        <v>45747</v>
      </c>
      <c r="I7" s="286">
        <f t="shared" si="1"/>
        <v>46112</v>
      </c>
      <c r="J7" s="286">
        <f t="shared" si="1"/>
        <v>46477</v>
      </c>
      <c r="K7" s="286">
        <f t="shared" si="1"/>
        <v>46843</v>
      </c>
      <c r="L7" s="286">
        <f t="shared" si="1"/>
        <v>47208</v>
      </c>
      <c r="M7" s="286">
        <f t="shared" si="1"/>
        <v>47573</v>
      </c>
      <c r="N7" s="286">
        <f t="shared" si="1"/>
        <v>47938</v>
      </c>
      <c r="O7" s="286">
        <f t="shared" si="1"/>
        <v>48304</v>
      </c>
      <c r="P7" s="286">
        <f t="shared" si="1"/>
        <v>48669</v>
      </c>
      <c r="Q7" s="286">
        <f t="shared" si="1"/>
        <v>49034</v>
      </c>
      <c r="R7" s="286">
        <f t="shared" si="1"/>
        <v>49399</v>
      </c>
      <c r="S7" s="286">
        <f t="shared" si="1"/>
        <v>49765</v>
      </c>
      <c r="T7" s="286">
        <f t="shared" si="1"/>
        <v>50130</v>
      </c>
      <c r="U7" s="286">
        <f t="shared" si="1"/>
        <v>50495</v>
      </c>
      <c r="V7" s="286">
        <f t="shared" si="1"/>
        <v>50860</v>
      </c>
      <c r="W7" s="286">
        <f t="shared" si="1"/>
        <v>51226</v>
      </c>
      <c r="X7" s="286">
        <f t="shared" si="1"/>
        <v>51591</v>
      </c>
      <c r="Y7" s="286">
        <f t="shared" si="1"/>
        <v>51956</v>
      </c>
      <c r="Z7" s="286">
        <f t="shared" si="1"/>
        <v>52321</v>
      </c>
      <c r="AA7" s="286">
        <f t="shared" si="1"/>
        <v>52687</v>
      </c>
      <c r="AB7" s="286">
        <f t="shared" si="1"/>
        <v>53052</v>
      </c>
      <c r="AC7" s="288">
        <f>IF(MONTH(H7)&lt;=3,DATE(YEAR(AB7)+1,MONTH(H7),DAY(H7)),DATE(YEAR(AB7),MONTH(H7),DAY(H7)))</f>
        <v>53417</v>
      </c>
    </row>
    <row r="8" spans="1:29" s="18" customFormat="1" ht="15.75" thickBot="1">
      <c r="A8" s="20"/>
      <c r="B8" s="21" t="s">
        <v>20</v>
      </c>
      <c r="C8" s="22"/>
      <c r="D8" s="23">
        <f>IF(D7=C7,0,1)</f>
        <v>1</v>
      </c>
      <c r="E8" s="22">
        <f>D8+1</f>
        <v>2</v>
      </c>
      <c r="F8" s="22">
        <f t="shared" ref="F8:AB8" si="2">E8+1</f>
        <v>3</v>
      </c>
      <c r="G8" s="22">
        <f t="shared" si="2"/>
        <v>4</v>
      </c>
      <c r="H8" s="22">
        <f t="shared" si="2"/>
        <v>5</v>
      </c>
      <c r="I8" s="22">
        <f t="shared" si="2"/>
        <v>6</v>
      </c>
      <c r="J8" s="22">
        <f t="shared" si="2"/>
        <v>7</v>
      </c>
      <c r="K8" s="22">
        <f t="shared" si="2"/>
        <v>8</v>
      </c>
      <c r="L8" s="22">
        <f t="shared" si="2"/>
        <v>9</v>
      </c>
      <c r="M8" s="22">
        <f t="shared" si="2"/>
        <v>10</v>
      </c>
      <c r="N8" s="22">
        <f t="shared" si="2"/>
        <v>11</v>
      </c>
      <c r="O8" s="22">
        <f t="shared" si="2"/>
        <v>12</v>
      </c>
      <c r="P8" s="22">
        <f t="shared" si="2"/>
        <v>13</v>
      </c>
      <c r="Q8" s="22">
        <f t="shared" si="2"/>
        <v>14</v>
      </c>
      <c r="R8" s="22">
        <f t="shared" si="2"/>
        <v>15</v>
      </c>
      <c r="S8" s="22">
        <f t="shared" si="2"/>
        <v>16</v>
      </c>
      <c r="T8" s="22">
        <f t="shared" si="2"/>
        <v>17</v>
      </c>
      <c r="U8" s="22">
        <f t="shared" si="2"/>
        <v>18</v>
      </c>
      <c r="V8" s="22">
        <f t="shared" si="2"/>
        <v>19</v>
      </c>
      <c r="W8" s="22">
        <f t="shared" si="2"/>
        <v>20</v>
      </c>
      <c r="X8" s="22">
        <f t="shared" si="2"/>
        <v>21</v>
      </c>
      <c r="Y8" s="22">
        <f t="shared" si="2"/>
        <v>22</v>
      </c>
      <c r="Z8" s="22">
        <f t="shared" si="2"/>
        <v>23</v>
      </c>
      <c r="AA8" s="22">
        <f t="shared" si="2"/>
        <v>24</v>
      </c>
      <c r="AB8" s="22">
        <f t="shared" si="2"/>
        <v>25</v>
      </c>
      <c r="AC8" s="24">
        <f>AB8+1</f>
        <v>26</v>
      </c>
    </row>
    <row r="9" spans="1:29" s="46" customFormat="1" ht="15.75" thickBot="1">
      <c r="A9" s="43"/>
      <c r="B9" s="90"/>
      <c r="C9" s="90"/>
      <c r="D9" s="60"/>
      <c r="E9" s="60"/>
      <c r="F9" s="60"/>
      <c r="G9" s="60"/>
      <c r="H9" s="89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X9" s="60"/>
      <c r="Y9" s="60"/>
      <c r="Z9" s="60"/>
      <c r="AA9" s="60"/>
    </row>
    <row r="10" spans="1:29" s="80" customFormat="1" ht="15.75" thickBot="1">
      <c r="A10" s="19"/>
      <c r="B10" s="243" t="s">
        <v>75</v>
      </c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X10" s="183"/>
      <c r="Y10" s="183"/>
      <c r="Z10" s="183"/>
      <c r="AA10" s="183"/>
    </row>
    <row r="11" spans="1:29" s="46" customFormat="1" ht="15.75" thickBot="1">
      <c r="A11" s="19"/>
      <c r="B11" s="91" t="s">
        <v>50</v>
      </c>
      <c r="C11" s="92"/>
      <c r="D11" s="93">
        <f>-Assumption!C31</f>
        <v>-1412.7249999999999</v>
      </c>
      <c r="E11" s="93"/>
      <c r="F11" s="93"/>
      <c r="G11" s="93"/>
      <c r="H11" s="94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5"/>
    </row>
    <row r="12" spans="1:29" s="46" customFormat="1" ht="15.75" thickBot="1">
      <c r="A12" s="43"/>
      <c r="B12" s="27"/>
      <c r="C12" s="60"/>
      <c r="D12" s="60"/>
      <c r="E12" s="60"/>
      <c r="F12" s="60"/>
      <c r="G12" s="60"/>
      <c r="H12" s="89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</row>
    <row r="13" spans="1:29" s="46" customFormat="1" ht="15.75" thickBot="1">
      <c r="A13" s="43"/>
      <c r="B13" s="244" t="s">
        <v>51</v>
      </c>
      <c r="C13" s="29"/>
      <c r="D13" s="60"/>
      <c r="E13" s="60"/>
      <c r="F13" s="60"/>
      <c r="G13" s="60"/>
      <c r="H13" s="96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</row>
    <row r="14" spans="1:29" s="46" customFormat="1">
      <c r="A14" s="19"/>
      <c r="B14" s="97" t="s">
        <v>42</v>
      </c>
      <c r="C14" s="48"/>
      <c r="D14" s="62">
        <f>'P&amp;L Stat.'!D43</f>
        <v>14.770282590509339</v>
      </c>
      <c r="E14" s="62">
        <f>'P&amp;L Stat.'!E43</f>
        <v>43.22630064353141</v>
      </c>
      <c r="F14" s="62">
        <f>'P&amp;L Stat.'!F43</f>
        <v>51.336037789958368</v>
      </c>
      <c r="G14" s="62">
        <f>'P&amp;L Stat.'!G43</f>
        <v>64.344444519949633</v>
      </c>
      <c r="H14" s="62">
        <f>'P&amp;L Stat.'!H43</f>
        <v>74.260240011112501</v>
      </c>
      <c r="I14" s="62">
        <f>'P&amp;L Stat.'!I43</f>
        <v>85.370946097613967</v>
      </c>
      <c r="J14" s="62">
        <f>'P&amp;L Stat.'!J43</f>
        <v>96.482489317584509</v>
      </c>
      <c r="K14" s="62">
        <f>'P&amp;L Stat.'!K43</f>
        <v>108.94618364690604</v>
      </c>
      <c r="L14" s="62">
        <f>'P&amp;L Stat.'!L43</f>
        <v>118.45836995015003</v>
      </c>
      <c r="M14" s="62">
        <f>'P&amp;L Stat.'!M43</f>
        <v>129.008537235826</v>
      </c>
      <c r="N14" s="62">
        <f>'P&amp;L Stat.'!N43</f>
        <v>139.55268816968197</v>
      </c>
      <c r="O14" s="62">
        <f>'P&amp;L Stat.'!O43</f>
        <v>151.33733252154357</v>
      </c>
      <c r="P14" s="62">
        <f>'P&amp;L Stat.'!P43</f>
        <v>160.31960475947847</v>
      </c>
      <c r="Q14" s="62">
        <f>'P&amp;L Stat.'!Q43</f>
        <v>170.16059210551515</v>
      </c>
      <c r="R14" s="62">
        <f>'P&amp;L Stat.'!R43</f>
        <v>78.167941982915465</v>
      </c>
      <c r="S14" s="62">
        <f>'P&amp;L Stat.'!S43</f>
        <v>87.242286585315782</v>
      </c>
      <c r="T14" s="62">
        <f>'P&amp;L Stat.'!T43</f>
        <v>94.125034277548565</v>
      </c>
      <c r="U14" s="62">
        <f>'P&amp;L Stat.'!U43</f>
        <v>101.54844022816422</v>
      </c>
      <c r="V14" s="62">
        <f>'P&amp;L Stat.'!V43</f>
        <v>108.95206742319502</v>
      </c>
      <c r="W14" s="62">
        <f>'P&amp;L Stat.'!W43</f>
        <v>117.16455226891276</v>
      </c>
      <c r="X14" s="62">
        <f>'P&amp;L Stat.'!X43</f>
        <v>122.37637102209368</v>
      </c>
      <c r="Y14" s="62">
        <f>'P&amp;L Stat.'!Y43</f>
        <v>116.50165465913827</v>
      </c>
      <c r="Z14" s="62">
        <f>'P&amp;L Stat.'!Z43</f>
        <v>107.74058197355018</v>
      </c>
      <c r="AA14" s="62">
        <f>'P&amp;L Stat.'!AA43</f>
        <v>99.655465585760254</v>
      </c>
      <c r="AB14" s="62">
        <f>'P&amp;L Stat.'!AB43</f>
        <v>91.380233099708477</v>
      </c>
      <c r="AC14" s="63">
        <f>'P&amp;L Stat.'!AC43</f>
        <v>170.73696286256498</v>
      </c>
    </row>
    <row r="15" spans="1:29" s="46" customFormat="1">
      <c r="A15" s="19" t="s">
        <v>44</v>
      </c>
      <c r="B15" s="98" t="s">
        <v>12</v>
      </c>
      <c r="C15" s="36"/>
      <c r="D15" s="53">
        <f>'P&amp;L Stat.'!D34</f>
        <v>50.161413698630128</v>
      </c>
      <c r="E15" s="53">
        <f>'P&amp;L Stat.'!E34</f>
        <v>203.43239999999997</v>
      </c>
      <c r="F15" s="53">
        <f>'P&amp;L Stat.'!F34</f>
        <v>203.43239999999997</v>
      </c>
      <c r="G15" s="53">
        <f>'P&amp;L Stat.'!G34</f>
        <v>203.43239999999997</v>
      </c>
      <c r="H15" s="53">
        <f>'P&amp;L Stat.'!H34</f>
        <v>203.43239999999997</v>
      </c>
      <c r="I15" s="53">
        <f>'P&amp;L Stat.'!I34</f>
        <v>203.43239999999997</v>
      </c>
      <c r="J15" s="53">
        <f>'P&amp;L Stat.'!J34</f>
        <v>203.43239999999997</v>
      </c>
      <c r="K15" s="53">
        <f>'P&amp;L Stat.'!K34</f>
        <v>203.43239999999997</v>
      </c>
      <c r="L15" s="53">
        <f>'P&amp;L Stat.'!L34</f>
        <v>203.43239999999997</v>
      </c>
      <c r="M15" s="53">
        <f>'P&amp;L Stat.'!M34</f>
        <v>203.43239999999997</v>
      </c>
      <c r="N15" s="53">
        <f>'P&amp;L Stat.'!N34</f>
        <v>203.43239999999997</v>
      </c>
      <c r="O15" s="53">
        <f>'P&amp;L Stat.'!O34</f>
        <v>203.43239999999997</v>
      </c>
      <c r="P15" s="53">
        <f>'P&amp;L Stat.'!P34</f>
        <v>203.43239999999997</v>
      </c>
      <c r="Q15" s="53">
        <f>'P&amp;L Stat.'!Q34</f>
        <v>203.43239999999997</v>
      </c>
      <c r="R15" s="53">
        <f>'P&amp;L Stat.'!R34</f>
        <v>203.43239999999997</v>
      </c>
      <c r="S15" s="53">
        <f>'P&amp;L Stat.'!S34</f>
        <v>203.43239999999997</v>
      </c>
      <c r="T15" s="53">
        <f>'P&amp;L Stat.'!T34</f>
        <v>203.43239999999997</v>
      </c>
      <c r="U15" s="53">
        <f>'P&amp;L Stat.'!U34</f>
        <v>203.43239999999997</v>
      </c>
      <c r="V15" s="53">
        <f>'P&amp;L Stat.'!V34</f>
        <v>203.43239999999997</v>
      </c>
      <c r="W15" s="53">
        <f>'P&amp;L Stat.'!W34</f>
        <v>203.43239999999997</v>
      </c>
      <c r="X15" s="53">
        <f>'P&amp;L Stat.'!X34</f>
        <v>203.43239999999997</v>
      </c>
      <c r="Y15" s="53">
        <f>'P&amp;L Stat.'!Y34</f>
        <v>203.43239999999997</v>
      </c>
      <c r="Z15" s="53">
        <f>'P&amp;L Stat.'!Z34</f>
        <v>203.43239999999997</v>
      </c>
      <c r="AA15" s="53">
        <f>'P&amp;L Stat.'!AA34</f>
        <v>203.43239999999997</v>
      </c>
      <c r="AB15" s="53">
        <f>'P&amp;L Stat.'!AB34</f>
        <v>203.43239999999997</v>
      </c>
      <c r="AC15" s="314">
        <f>'P&amp;L Stat.'!AC34</f>
        <v>153.2709863013697</v>
      </c>
    </row>
    <row r="16" spans="1:29" s="46" customFormat="1">
      <c r="A16" s="19" t="s">
        <v>44</v>
      </c>
      <c r="B16" s="98" t="s">
        <v>52</v>
      </c>
      <c r="C16" s="36"/>
      <c r="D16" s="53">
        <f>IF('P&amp;L Stat.'!D57&lt;0,-'P&amp;L Stat.'!D57,'P&amp;L Stat.'!D57)</f>
        <v>13.335185556524706</v>
      </c>
      <c r="E16" s="53">
        <f>IF('P&amp;L Stat.'!E57&lt;0,-'P&amp;L Stat.'!E57,'P&amp;L Stat.'!E57)</f>
        <v>61.509199615517176</v>
      </c>
      <c r="F16" s="53">
        <f>IF('P&amp;L Stat.'!F57&lt;0,-'P&amp;L Stat.'!F57,'P&amp;L Stat.'!F57)</f>
        <v>57.896932947260431</v>
      </c>
      <c r="G16" s="53">
        <f>IF('P&amp;L Stat.'!G57&lt;0,-'P&amp;L Stat.'!G57,'P&amp;L Stat.'!G57)</f>
        <v>52.102684232482133</v>
      </c>
      <c r="H16" s="53">
        <f>IF('P&amp;L Stat.'!H57&lt;0,-'P&amp;L Stat.'!H57,'P&amp;L Stat.'!H57)</f>
        <v>47.685956921195697</v>
      </c>
      <c r="I16" s="53">
        <f>IF('P&amp;L Stat.'!I57&lt;0,-'P&amp;L Stat.'!I57,'P&amp;L Stat.'!I57)</f>
        <v>42.736988473463761</v>
      </c>
      <c r="J16" s="53">
        <f>IF('P&amp;L Stat.'!J57&lt;0,-'P&amp;L Stat.'!J57,'P&amp;L Stat.'!J57)</f>
        <v>37.78764714689833</v>
      </c>
      <c r="K16" s="53">
        <f>IF('P&amp;L Stat.'!K57&lt;0,-'P&amp;L Stat.'!K57,'P&amp;L Stat.'!K57)</f>
        <v>32.23602607999544</v>
      </c>
      <c r="L16" s="53">
        <f>IF('P&amp;L Stat.'!L57&lt;0,-'P&amp;L Stat.'!L57,'P&amp;L Stat.'!L57)</f>
        <v>27.999075744238205</v>
      </c>
      <c r="M16" s="53">
        <f>IF('P&amp;L Stat.'!M57&lt;0,-'P&amp;L Stat.'!M57,'P&amp;L Stat.'!M57)</f>
        <v>23.299784393300801</v>
      </c>
      <c r="N16" s="53">
        <f>IF('P&amp;L Stat.'!N57&lt;0,-'P&amp;L Stat.'!N57,'P&amp;L Stat.'!N57)</f>
        <v>18.603172866228391</v>
      </c>
      <c r="O16" s="53">
        <f>IF('P&amp;L Stat.'!O57&lt;0,-'P&amp;L Stat.'!O57,'P&amp;L Stat.'!O57)</f>
        <v>13.354016546994878</v>
      </c>
      <c r="P16" s="53">
        <f>IF('P&amp;L Stat.'!P57&lt;0,-'P&amp;L Stat.'!P57,'P&amp;L Stat.'!P57)</f>
        <v>9.353102334307291</v>
      </c>
      <c r="Q16" s="53">
        <f>IF('P&amp;L Stat.'!Q57&lt;0,-'P&amp;L Stat.'!Q57,'P&amp;L Stat.'!Q57)</f>
        <v>0</v>
      </c>
      <c r="R16" s="53">
        <f>IF('P&amp;L Stat.'!R57&lt;0,-'P&amp;L Stat.'!R57,'P&amp;L Stat.'!R57)</f>
        <v>0</v>
      </c>
      <c r="S16" s="53">
        <f>IF('P&amp;L Stat.'!S57&lt;0,-'P&amp;L Stat.'!S57,'P&amp;L Stat.'!S57)</f>
        <v>0</v>
      </c>
      <c r="T16" s="53">
        <f>IF('P&amp;L Stat.'!T57&lt;0,-'P&amp;L Stat.'!T57,'P&amp;L Stat.'!T57)</f>
        <v>0</v>
      </c>
      <c r="U16" s="53">
        <f>IF('P&amp;L Stat.'!U57&lt;0,-'P&amp;L Stat.'!U57,'P&amp;L Stat.'!U57)</f>
        <v>0</v>
      </c>
      <c r="V16" s="53">
        <f>IF('P&amp;L Stat.'!V57&lt;0,-'P&amp;L Stat.'!V57,'P&amp;L Stat.'!V57)</f>
        <v>0</v>
      </c>
      <c r="W16" s="53">
        <f>IF('P&amp;L Stat.'!W57&lt;0,-'P&amp;L Stat.'!W57,'P&amp;L Stat.'!W57)</f>
        <v>0</v>
      </c>
      <c r="X16" s="53">
        <f>IF('P&amp;L Stat.'!X57&lt;0,-'P&amp;L Stat.'!X57,'P&amp;L Stat.'!X57)</f>
        <v>0</v>
      </c>
      <c r="Y16" s="53">
        <f>IF('P&amp;L Stat.'!Y57&lt;0,-'P&amp;L Stat.'!Y57,'P&amp;L Stat.'!Y57)</f>
        <v>0</v>
      </c>
      <c r="Z16" s="53">
        <f>IF('P&amp;L Stat.'!Z57&lt;0,-'P&amp;L Stat.'!Z57,'P&amp;L Stat.'!Z57)</f>
        <v>0</v>
      </c>
      <c r="AA16" s="53">
        <f>IF('P&amp;L Stat.'!AA57&lt;0,-'P&amp;L Stat.'!AA57,'P&amp;L Stat.'!AA57)</f>
        <v>0</v>
      </c>
      <c r="AB16" s="53">
        <f>IF('P&amp;L Stat.'!AB57&lt;0,-'P&amp;L Stat.'!AB57,'P&amp;L Stat.'!AB57)</f>
        <v>0</v>
      </c>
      <c r="AC16" s="314">
        <f>IF('P&amp;L Stat.'!AC57&lt;0,-'P&amp;L Stat.'!AC57,'P&amp;L Stat.'!AC57)</f>
        <v>0</v>
      </c>
    </row>
    <row r="17" spans="1:29" s="46" customFormat="1">
      <c r="A17" s="19" t="s">
        <v>44</v>
      </c>
      <c r="B17" s="98" t="s">
        <v>53</v>
      </c>
      <c r="C17" s="36"/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314">
        <f>Assumption!C52</f>
        <v>565.09</v>
      </c>
    </row>
    <row r="18" spans="1:29" s="46" customFormat="1">
      <c r="A18" s="19" t="s">
        <v>44</v>
      </c>
      <c r="B18" s="98" t="s">
        <v>156</v>
      </c>
      <c r="C18" s="36"/>
      <c r="D18" s="53">
        <f>-'P&amp;L Stat.'!D89</f>
        <v>0</v>
      </c>
      <c r="E18" s="53">
        <f>-('P&amp;L Stat.'!E91-'P&amp;L Stat.'!D91)</f>
        <v>-200.26196508002772</v>
      </c>
      <c r="F18" s="53">
        <f>-('P&amp;L Stat.'!F91-'P&amp;L Stat.'!E91)</f>
        <v>1.0941478869094681</v>
      </c>
      <c r="G18" s="53">
        <f>-('P&amp;L Stat.'!G91-'P&amp;L Stat.'!F91)</f>
        <v>1.0746927925949024</v>
      </c>
      <c r="H18" s="53">
        <f>-('P&amp;L Stat.'!H91-'P&amp;L Stat.'!G91)</f>
        <v>1.0565719296724012</v>
      </c>
      <c r="I18" s="53">
        <f>-('P&amp;L Stat.'!I91-'P&amp;L Stat.'!H91)</f>
        <v>1.0104531157769543</v>
      </c>
      <c r="J18" s="53">
        <f>-('P&amp;L Stat.'!J91-'P&amp;L Stat.'!I91)</f>
        <v>0.99818859910379842</v>
      </c>
      <c r="K18" s="53">
        <f>-('P&amp;L Stat.'!K91-'P&amp;L Stat.'!J91)</f>
        <v>0.97686309534128668</v>
      </c>
      <c r="L18" s="53">
        <f>-('P&amp;L Stat.'!L91-'P&amp;L Stat.'!K91)</f>
        <v>0.9571431021797423</v>
      </c>
      <c r="M18" s="53">
        <f>-('P&amp;L Stat.'!M91-'P&amp;L Stat.'!L91)</f>
        <v>0.90337528242056919</v>
      </c>
      <c r="N18" s="53">
        <f>-('P&amp;L Stat.'!N91-'P&amp;L Stat.'!M91)</f>
        <v>0.89074154331711952</v>
      </c>
      <c r="O18" s="53">
        <f>-('P&amp;L Stat.'!O91-'P&amp;L Stat.'!N91)</f>
        <v>0.8670782007723119</v>
      </c>
      <c r="P18" s="53">
        <f>-('P&amp;L Stat.'!P91-'P&amp;L Stat.'!O91)</f>
        <v>0.8453505608136993</v>
      </c>
      <c r="Q18" s="53">
        <f>-('P&amp;L Stat.'!Q91-'P&amp;L Stat.'!P91)</f>
        <v>0.78222187988168912</v>
      </c>
      <c r="R18" s="53">
        <f>-('P&amp;L Stat.'!R91-'P&amp;L Stat.'!Q91)</f>
        <v>0.76907634599459129</v>
      </c>
      <c r="S18" s="53">
        <f>-('P&amp;L Stat.'!S91-'P&amp;L Stat.'!R91)</f>
        <v>0.74250878420474464</v>
      </c>
      <c r="T18" s="53">
        <f>-('P&amp;L Stat.'!T91-'P&amp;L Stat.'!S91)</f>
        <v>0.7182787133537829</v>
      </c>
      <c r="U18" s="53">
        <f>-('P&amp;L Stat.'!U91-'P&amp;L Stat.'!T91)</f>
        <v>0.64371015836402989</v>
      </c>
      <c r="V18" s="53">
        <f>-('P&amp;L Stat.'!V91-'P&amp;L Stat.'!U91)</f>
        <v>0.62988127774326585</v>
      </c>
      <c r="W18" s="53">
        <f>-('P&amp;L Stat.'!W91-'P&amp;L Stat.'!V91)</f>
        <v>0.59972279113324589</v>
      </c>
      <c r="X18" s="53">
        <f>-('P&amp;L Stat.'!X91-'P&amp;L Stat.'!W91)</f>
        <v>0.5723905975131629</v>
      </c>
      <c r="Y18" s="53">
        <f>-('P&amp;L Stat.'!Y91-'P&amp;L Stat.'!X91)</f>
        <v>0.48385682454434686</v>
      </c>
      <c r="Z18" s="53">
        <f>-('P&amp;L Stat.'!Z91-'P&amp;L Stat.'!Y91)</f>
        <v>0.46913777199225137</v>
      </c>
      <c r="AA18" s="53">
        <f>-('P&amp;L Stat.'!AA91-'P&amp;L Stat.'!Z91)</f>
        <v>0.43455535103231568</v>
      </c>
      <c r="AB18" s="53">
        <f>-('P&amp;L Stat.'!AB91-'P&amp;L Stat.'!AA91)</f>
        <v>0.6163502610218643</v>
      </c>
      <c r="AC18" s="314">
        <f>'P&amp;L Stat.'!AC91</f>
        <v>176.93770704986702</v>
      </c>
    </row>
    <row r="19" spans="1:29" s="46" customFormat="1">
      <c r="A19" s="19" t="s">
        <v>44</v>
      </c>
      <c r="B19" s="98" t="s">
        <v>157</v>
      </c>
      <c r="C19" s="318"/>
      <c r="D19" s="319">
        <v>0</v>
      </c>
      <c r="E19" s="319">
        <v>0</v>
      </c>
      <c r="F19" s="319">
        <v>0</v>
      </c>
      <c r="G19" s="319">
        <v>0</v>
      </c>
      <c r="H19" s="319">
        <v>0</v>
      </c>
      <c r="I19" s="319">
        <v>0</v>
      </c>
      <c r="J19" s="319">
        <v>0</v>
      </c>
      <c r="K19" s="319">
        <v>0</v>
      </c>
      <c r="L19" s="319">
        <v>0</v>
      </c>
      <c r="M19" s="319">
        <v>0</v>
      </c>
      <c r="N19" s="319">
        <v>0</v>
      </c>
      <c r="O19" s="319">
        <v>0</v>
      </c>
      <c r="P19" s="319">
        <v>0</v>
      </c>
      <c r="Q19" s="319">
        <v>0</v>
      </c>
      <c r="R19" s="319">
        <v>0</v>
      </c>
      <c r="S19" s="319">
        <v>0</v>
      </c>
      <c r="T19" s="319">
        <v>0</v>
      </c>
      <c r="U19" s="319">
        <v>0</v>
      </c>
      <c r="V19" s="319">
        <v>0</v>
      </c>
      <c r="W19" s="319">
        <v>0</v>
      </c>
      <c r="X19" s="319">
        <v>0</v>
      </c>
      <c r="Y19" s="319">
        <v>0</v>
      </c>
      <c r="Z19" s="319">
        <v>0</v>
      </c>
      <c r="AA19" s="319">
        <v>0</v>
      </c>
      <c r="AB19" s="319">
        <v>0</v>
      </c>
      <c r="AC19" s="320">
        <f>'P&amp;L Stat.'!AC90</f>
        <v>0</v>
      </c>
    </row>
    <row r="20" spans="1:29" s="46" customFormat="1" ht="15.75" thickBot="1">
      <c r="A20" s="19" t="s">
        <v>36</v>
      </c>
      <c r="B20" s="99" t="s">
        <v>78</v>
      </c>
      <c r="C20" s="40"/>
      <c r="D20" s="74">
        <f>'Loan Stat.'!D46</f>
        <v>0</v>
      </c>
      <c r="E20" s="74">
        <f>'Loan Stat.'!E46</f>
        <v>111.53092105263156</v>
      </c>
      <c r="F20" s="74">
        <f>'Loan Stat.'!F46</f>
        <v>223.06184210526311</v>
      </c>
      <c r="G20" s="74">
        <f>'Loan Stat.'!G46</f>
        <v>223.06184210526311</v>
      </c>
      <c r="H20" s="74">
        <f>'Loan Stat.'!H46</f>
        <v>223.06184210526311</v>
      </c>
      <c r="I20" s="74">
        <f>'Loan Stat.'!I46</f>
        <v>223.06184210526311</v>
      </c>
      <c r="J20" s="74">
        <f>'Loan Stat.'!J46</f>
        <v>223.06184210526311</v>
      </c>
      <c r="K20" s="74">
        <f>'Loan Stat.'!K46</f>
        <v>223.06184210526311</v>
      </c>
      <c r="L20" s="74">
        <f>'Loan Stat.'!L46</f>
        <v>223.06184210526311</v>
      </c>
      <c r="M20" s="74">
        <f>'Loan Stat.'!M46</f>
        <v>223.06184210526311</v>
      </c>
      <c r="N20" s="74">
        <f>'Loan Stat.'!N46</f>
        <v>223.06184210526311</v>
      </c>
      <c r="O20" s="74">
        <f>'Loan Stat.'!O46</f>
        <v>223.06184210526311</v>
      </c>
      <c r="P20" s="74">
        <f>'Loan Stat.'!P46</f>
        <v>223.06184210526311</v>
      </c>
      <c r="Q20" s="74">
        <f>'Loan Stat.'!Q46</f>
        <v>223.06184210526311</v>
      </c>
      <c r="R20" s="74">
        <f>'Loan Stat.'!R46</f>
        <v>223.06184210526311</v>
      </c>
      <c r="S20" s="74">
        <f>'Loan Stat.'!S46</f>
        <v>223.06184210526311</v>
      </c>
      <c r="T20" s="74">
        <f>'Loan Stat.'!T46</f>
        <v>223.06184210526311</v>
      </c>
      <c r="U20" s="74">
        <f>'Loan Stat.'!U46</f>
        <v>223.06184210526311</v>
      </c>
      <c r="V20" s="74">
        <f>'Loan Stat.'!V46</f>
        <v>223.06184210526311</v>
      </c>
      <c r="W20" s="74">
        <f>'Loan Stat.'!W46</f>
        <v>223.06184210526311</v>
      </c>
      <c r="X20" s="74">
        <f>'Loan Stat.'!X46</f>
        <v>111.53092105263156</v>
      </c>
      <c r="Y20" s="74">
        <f>'Loan Stat.'!Y46</f>
        <v>0</v>
      </c>
      <c r="Z20" s="74">
        <f>'Loan Stat.'!Z46</f>
        <v>0</v>
      </c>
      <c r="AA20" s="74">
        <f>'Loan Stat.'!AA46</f>
        <v>0</v>
      </c>
      <c r="AB20" s="74">
        <f>'Loan Stat.'!AB46</f>
        <v>0</v>
      </c>
      <c r="AC20" s="75">
        <f>'Loan Stat.'!AC46</f>
        <v>0</v>
      </c>
    </row>
    <row r="21" spans="1:29" s="46" customFormat="1" ht="15.75" thickBot="1">
      <c r="A21" s="43"/>
      <c r="B21" s="27"/>
      <c r="C21" s="29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</row>
    <row r="22" spans="1:29" s="100" customFormat="1" ht="15.75" thickBot="1">
      <c r="A22" s="55"/>
      <c r="B22" s="245" t="s">
        <v>54</v>
      </c>
      <c r="C22" s="77">
        <f>C11</f>
        <v>0</v>
      </c>
      <c r="D22" s="77">
        <f>SUM(D11:D19)-SUM(D20:D20)</f>
        <v>-1334.4581181543356</v>
      </c>
      <c r="E22" s="77">
        <f t="shared" ref="E22:AB22" si="3">SUM(E11:E19)-SUM(E20:E20)</f>
        <v>-3.6249858736107115</v>
      </c>
      <c r="F22" s="77">
        <f t="shared" si="3"/>
        <v>90.697676518865137</v>
      </c>
      <c r="G22" s="77">
        <f t="shared" si="3"/>
        <v>97.892379439763488</v>
      </c>
      <c r="H22" s="77">
        <f t="shared" si="3"/>
        <v>103.3733267567174</v>
      </c>
      <c r="I22" s="77">
        <f t="shared" si="3"/>
        <v>109.48894558159157</v>
      </c>
      <c r="J22" s="77">
        <f t="shared" si="3"/>
        <v>115.63888295832351</v>
      </c>
      <c r="K22" s="77">
        <f t="shared" si="3"/>
        <v>122.52963071697963</v>
      </c>
      <c r="L22" s="77">
        <f t="shared" si="3"/>
        <v>127.78514669130487</v>
      </c>
      <c r="M22" s="77">
        <f t="shared" si="3"/>
        <v>133.5822548062842</v>
      </c>
      <c r="N22" s="77">
        <f t="shared" si="3"/>
        <v>139.41716047396437</v>
      </c>
      <c r="O22" s="77">
        <f t="shared" si="3"/>
        <v>145.92898516404767</v>
      </c>
      <c r="P22" s="77">
        <f t="shared" si="3"/>
        <v>150.88861554933629</v>
      </c>
      <c r="Q22" s="77">
        <f t="shared" si="3"/>
        <v>151.31337188013373</v>
      </c>
      <c r="R22" s="77">
        <f t="shared" si="3"/>
        <v>59.30757622364689</v>
      </c>
      <c r="S22" s="77">
        <f t="shared" si="3"/>
        <v>68.35535326425736</v>
      </c>
      <c r="T22" s="77">
        <f t="shared" si="3"/>
        <v>75.21387088563921</v>
      </c>
      <c r="U22" s="77">
        <f t="shared" si="3"/>
        <v>82.562708281265088</v>
      </c>
      <c r="V22" s="77">
        <f t="shared" si="3"/>
        <v>89.952506595675175</v>
      </c>
      <c r="W22" s="77">
        <f t="shared" si="3"/>
        <v>98.134832954782894</v>
      </c>
      <c r="X22" s="77">
        <f t="shared" si="3"/>
        <v>214.85024056697526</v>
      </c>
      <c r="Y22" s="77">
        <f t="shared" si="3"/>
        <v>320.41791148368259</v>
      </c>
      <c r="Z22" s="77">
        <f t="shared" si="3"/>
        <v>311.64211974554235</v>
      </c>
      <c r="AA22" s="77">
        <f t="shared" si="3"/>
        <v>303.52242093679257</v>
      </c>
      <c r="AB22" s="77">
        <f t="shared" si="3"/>
        <v>295.42898336073034</v>
      </c>
      <c r="AC22" s="78">
        <f>SUM(AC11:AC19)-SUM(AC20:AC20)</f>
        <v>1066.0356562138018</v>
      </c>
    </row>
    <row r="23" spans="1:29" s="46" customFormat="1">
      <c r="A23" s="43"/>
      <c r="B23" s="101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</row>
    <row r="24" spans="1:29" s="104" customFormat="1" ht="15.75" thickBot="1">
      <c r="A24" s="102"/>
      <c r="B24" s="103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</row>
    <row r="25" spans="1:29" s="100" customFormat="1" ht="15.75" thickBot="1">
      <c r="A25" s="105"/>
      <c r="B25" s="283" t="s">
        <v>55</v>
      </c>
      <c r="C25" s="282"/>
      <c r="D25" s="284">
        <f>XIRR(D22:AC22,D7:AC7)</f>
        <v>8.2633623480796822E-2</v>
      </c>
      <c r="E25" s="185"/>
      <c r="F25" s="185"/>
      <c r="G25" s="185"/>
      <c r="H25" s="89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</row>
    <row r="26" spans="1:29" s="100" customFormat="1">
      <c r="A26" s="105"/>
      <c r="B26" s="108"/>
      <c r="C26" s="109"/>
      <c r="D26" s="106"/>
      <c r="E26" s="106"/>
      <c r="F26" s="106"/>
      <c r="G26" s="106"/>
      <c r="H26" s="107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</row>
  </sheetData>
  <mergeCells count="1">
    <mergeCell ref="B4:C4"/>
  </mergeCells>
  <phoneticPr fontId="35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0"/>
  <sheetViews>
    <sheetView showGridLines="0" zoomScale="85" zoomScaleNormal="85" workbookViewId="0">
      <selection activeCell="B4" sqref="B4:C4"/>
    </sheetView>
  </sheetViews>
  <sheetFormatPr defaultColWidth="9.140625" defaultRowHeight="15"/>
  <cols>
    <col min="1" max="1" width="9.140625" style="1"/>
    <col min="2" max="2" width="23.42578125" style="1" customWidth="1"/>
    <col min="3" max="5" width="14.5703125" style="1" customWidth="1"/>
    <col min="6" max="6" width="21.140625" style="1" customWidth="1"/>
    <col min="7" max="7" width="9.7109375" style="1" bestFit="1" customWidth="1"/>
    <col min="8" max="8" width="18.28515625" style="1" bestFit="1" customWidth="1"/>
    <col min="9" max="10" width="12.28515625" style="1" customWidth="1"/>
    <col min="11" max="11" width="11.5703125" style="1" customWidth="1"/>
    <col min="12" max="12" width="15.5703125" style="1" bestFit="1" customWidth="1"/>
    <col min="13" max="16384" width="9.140625" style="1"/>
  </cols>
  <sheetData>
    <row r="2" spans="1:23" s="147" customFormat="1">
      <c r="A2" s="144"/>
      <c r="B2" s="145" t="s">
        <v>17</v>
      </c>
      <c r="C2" s="17" t="s">
        <v>184</v>
      </c>
      <c r="D2" s="146"/>
      <c r="S2" s="148"/>
      <c r="T2" s="149"/>
      <c r="V2" s="150"/>
      <c r="W2" s="150"/>
    </row>
    <row r="3" spans="1:23">
      <c r="J3" s="151">
        <v>0</v>
      </c>
    </row>
    <row r="4" spans="1:23">
      <c r="B4" s="384" t="s">
        <v>66</v>
      </c>
      <c r="C4" s="384"/>
      <c r="J4" s="151"/>
    </row>
    <row r="5" spans="1:23" ht="15.75" thickBot="1"/>
    <row r="6" spans="1:23" s="152" customFormat="1" ht="15.75" thickBot="1">
      <c r="B6" s="247" t="s">
        <v>67</v>
      </c>
      <c r="C6" s="6"/>
      <c r="D6" s="7"/>
      <c r="E6" s="7"/>
      <c r="F6" s="7"/>
    </row>
    <row r="7" spans="1:23">
      <c r="B7" s="153" t="s">
        <v>23</v>
      </c>
      <c r="C7" s="154"/>
      <c r="D7" s="154"/>
      <c r="E7" s="154"/>
      <c r="F7" s="155">
        <v>0</v>
      </c>
      <c r="G7" s="156"/>
    </row>
    <row r="8" spans="1:23">
      <c r="B8" s="157" t="s">
        <v>68</v>
      </c>
      <c r="C8" s="158"/>
      <c r="D8" s="158"/>
      <c r="E8" s="158"/>
      <c r="F8" s="159">
        <v>0</v>
      </c>
      <c r="G8" s="156"/>
    </row>
    <row r="9" spans="1:23">
      <c r="B9" s="157" t="s">
        <v>69</v>
      </c>
      <c r="C9" s="158"/>
      <c r="D9" s="158"/>
      <c r="E9" s="158"/>
      <c r="F9" s="159">
        <v>0</v>
      </c>
      <c r="G9" s="156"/>
    </row>
    <row r="10" spans="1:23" ht="15.75" thickBot="1">
      <c r="B10" s="160" t="s">
        <v>29</v>
      </c>
      <c r="C10" s="161"/>
      <c r="D10" s="161"/>
      <c r="E10" s="161"/>
      <c r="F10" s="162">
        <v>0</v>
      </c>
      <c r="G10" s="156"/>
    </row>
    <row r="11" spans="1:23" s="152" customFormat="1" ht="15.75" thickBot="1">
      <c r="B11" s="9"/>
      <c r="C11" s="9"/>
      <c r="D11" s="9"/>
      <c r="E11" s="9"/>
      <c r="G11" s="163"/>
    </row>
    <row r="12" spans="1:23" s="152" customFormat="1">
      <c r="B12" s="1"/>
      <c r="C12" s="388" t="s">
        <v>1</v>
      </c>
      <c r="D12" s="389"/>
      <c r="E12" s="389" t="s">
        <v>2</v>
      </c>
      <c r="F12" s="390"/>
      <c r="G12" s="163"/>
    </row>
    <row r="13" spans="1:23" s="152" customFormat="1" ht="15.75" thickBot="1">
      <c r="B13" s="7" t="s">
        <v>70</v>
      </c>
      <c r="C13" s="391">
        <f>'Cashflow Stat.'!D25</f>
        <v>8.2633623480796822E-2</v>
      </c>
      <c r="D13" s="392"/>
      <c r="E13" s="392">
        <f>'Default Value Benchmark'!D7</f>
        <v>0.14166229400000008</v>
      </c>
      <c r="F13" s="393"/>
      <c r="G13" s="163"/>
    </row>
    <row r="14" spans="1:23" s="152" customFormat="1" ht="15.75" thickBot="1">
      <c r="C14" s="7"/>
      <c r="D14" s="7"/>
      <c r="E14" s="7"/>
      <c r="F14" s="7"/>
    </row>
    <row r="15" spans="1:23" ht="15.75" thickBot="1">
      <c r="B15" s="248" t="s">
        <v>71</v>
      </c>
      <c r="C15" s="385" t="s">
        <v>55</v>
      </c>
      <c r="D15" s="386"/>
      <c r="E15" s="386"/>
      <c r="F15" s="387"/>
    </row>
    <row r="16" spans="1:23" s="152" customFormat="1" ht="15.75" thickBot="1">
      <c r="B16" s="6"/>
      <c r="C16" s="166"/>
      <c r="D16" s="166"/>
      <c r="E16" s="166"/>
      <c r="F16" s="166"/>
    </row>
    <row r="17" spans="2:14" ht="30.75" thickBot="1">
      <c r="B17" s="167" t="s">
        <v>72</v>
      </c>
      <c r="C17" s="168">
        <v>-0.1</v>
      </c>
      <c r="D17" s="169" t="s">
        <v>73</v>
      </c>
      <c r="E17" s="168">
        <v>0.1</v>
      </c>
      <c r="F17" s="258" t="s">
        <v>99</v>
      </c>
    </row>
    <row r="18" spans="2:14">
      <c r="B18" s="170" t="s">
        <v>74</v>
      </c>
      <c r="C18" s="171">
        <v>5.8200000000000002E-2</v>
      </c>
      <c r="D18" s="171">
        <f>C13</f>
        <v>8.2633623480796822E-2</v>
      </c>
      <c r="E18" s="171">
        <v>0.1066</v>
      </c>
      <c r="F18" s="172">
        <v>0.223</v>
      </c>
    </row>
    <row r="19" spans="2:14">
      <c r="B19" s="174" t="s">
        <v>68</v>
      </c>
      <c r="C19" s="175">
        <v>8.6300000000000002E-2</v>
      </c>
      <c r="D19" s="175">
        <f>D18</f>
        <v>8.2633623480796822E-2</v>
      </c>
      <c r="E19" s="175">
        <v>7.8899999999999998E-2</v>
      </c>
      <c r="F19" s="219">
        <v>-1.6373</v>
      </c>
    </row>
    <row r="20" spans="2:14">
      <c r="B20" s="176" t="s">
        <v>69</v>
      </c>
      <c r="C20" s="177">
        <v>0.1052</v>
      </c>
      <c r="D20" s="175">
        <f>D18</f>
        <v>8.2633623480796822E-2</v>
      </c>
      <c r="E20" s="177">
        <v>6.4299999999999996E-2</v>
      </c>
      <c r="F20" s="220">
        <v>-0.20380000000000001</v>
      </c>
    </row>
    <row r="21" spans="2:14" ht="15.75" thickBot="1">
      <c r="B21" s="178" t="s">
        <v>29</v>
      </c>
      <c r="C21" s="179">
        <v>5.8200000000000002E-2</v>
      </c>
      <c r="D21" s="179">
        <f>D18</f>
        <v>8.2633623480796822E-2</v>
      </c>
      <c r="E21" s="179">
        <v>0.1066</v>
      </c>
      <c r="F21" s="182">
        <v>0.223</v>
      </c>
    </row>
    <row r="23" spans="2:14" s="152" customFormat="1">
      <c r="G23" s="163"/>
    </row>
    <row r="24" spans="2:14" s="152" customFormat="1">
      <c r="G24" s="163"/>
    </row>
    <row r="25" spans="2:14" s="152" customFormat="1"/>
    <row r="27" spans="2:14" s="152" customFormat="1">
      <c r="G27" s="208"/>
    </row>
    <row r="28" spans="2:14">
      <c r="K28" s="152"/>
      <c r="L28" s="164"/>
      <c r="M28" s="152"/>
      <c r="N28" s="165"/>
    </row>
    <row r="29" spans="2:14">
      <c r="K29" s="152"/>
      <c r="L29" s="9"/>
      <c r="M29" s="152"/>
      <c r="N29" s="173"/>
    </row>
    <row r="30" spans="2:14">
      <c r="K30" s="152"/>
      <c r="L30" s="152"/>
      <c r="M30" s="152"/>
      <c r="N30" s="152"/>
    </row>
  </sheetData>
  <mergeCells count="6">
    <mergeCell ref="B4:C4"/>
    <mergeCell ref="C15:F15"/>
    <mergeCell ref="C12:D12"/>
    <mergeCell ref="E12:F12"/>
    <mergeCell ref="C13:D13"/>
    <mergeCell ref="E13:F13"/>
  </mergeCells>
  <phoneticPr fontId="3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showGridLines="0" workbookViewId="0">
      <selection activeCell="E12" sqref="E12"/>
    </sheetView>
  </sheetViews>
  <sheetFormatPr defaultRowHeight="15"/>
  <cols>
    <col min="2" max="2" width="29.140625" customWidth="1"/>
    <col min="3" max="3" width="28.5703125" customWidth="1"/>
    <col min="4" max="4" width="18.42578125" customWidth="1"/>
    <col min="5" max="7" width="11.42578125" customWidth="1"/>
    <col min="8" max="8" width="11.5703125" customWidth="1"/>
    <col min="9" max="9" width="10.140625" bestFit="1" customWidth="1"/>
  </cols>
  <sheetData>
    <row r="2" spans="2:7" ht="18.75">
      <c r="B2" s="344" t="s">
        <v>175</v>
      </c>
      <c r="C2" s="345"/>
      <c r="D2" s="345"/>
      <c r="E2" s="346"/>
      <c r="F2" s="346"/>
      <c r="G2" s="346"/>
    </row>
    <row r="3" spans="2:7" ht="15.75" thickBot="1">
      <c r="E3" s="1"/>
      <c r="F3" s="1"/>
      <c r="G3" s="1"/>
    </row>
    <row r="4" spans="2:7" ht="15" customHeight="1">
      <c r="B4" s="394" t="s">
        <v>176</v>
      </c>
      <c r="C4" s="395"/>
      <c r="D4" s="396"/>
      <c r="E4" s="1"/>
      <c r="F4" s="1"/>
    </row>
    <row r="5" spans="2:7">
      <c r="B5" s="397"/>
      <c r="C5" s="398"/>
      <c r="D5" s="347"/>
      <c r="E5" s="1"/>
      <c r="F5" s="1"/>
    </row>
    <row r="6" spans="2:7">
      <c r="B6" s="399"/>
      <c r="C6" s="400"/>
      <c r="D6" s="347"/>
      <c r="E6" s="1"/>
      <c r="F6" s="1"/>
    </row>
    <row r="7" spans="2:7" ht="31.5">
      <c r="B7" s="401" t="s">
        <v>177</v>
      </c>
      <c r="C7" s="402"/>
      <c r="D7" s="348">
        <f>E16</f>
        <v>0.14166229400000008</v>
      </c>
      <c r="E7" s="1"/>
      <c r="F7" s="1"/>
    </row>
    <row r="8" spans="2:7">
      <c r="B8" s="349"/>
      <c r="C8" s="349"/>
      <c r="D8" s="1"/>
      <c r="E8" s="1"/>
      <c r="F8" s="1"/>
      <c r="G8" s="1"/>
    </row>
    <row r="9" spans="2:7" ht="15.75" customHeight="1" thickBot="1">
      <c r="G9" s="1"/>
    </row>
    <row r="10" spans="2:7">
      <c r="B10" s="350" t="s">
        <v>178</v>
      </c>
      <c r="C10" s="351"/>
      <c r="D10" s="351"/>
      <c r="E10" s="352">
        <v>9.7900000000000001E-2</v>
      </c>
      <c r="F10" s="349" t="s">
        <v>183</v>
      </c>
      <c r="G10" s="1"/>
    </row>
    <row r="11" spans="2:7">
      <c r="B11" s="353"/>
      <c r="C11" s="354"/>
      <c r="D11" s="354"/>
      <c r="E11" s="355"/>
      <c r="F11" s="356"/>
      <c r="G11" s="1"/>
    </row>
    <row r="12" spans="2:7">
      <c r="B12" s="353" t="s">
        <v>182</v>
      </c>
      <c r="C12" s="354"/>
      <c r="D12" s="354"/>
      <c r="E12" s="366">
        <v>3.986E-2</v>
      </c>
      <c r="F12" s="349" t="s">
        <v>181</v>
      </c>
      <c r="G12" s="1"/>
    </row>
    <row r="13" spans="2:7">
      <c r="B13" s="353"/>
      <c r="C13" s="354"/>
      <c r="D13" s="354"/>
      <c r="E13" s="355"/>
      <c r="F13" s="356"/>
      <c r="G13" s="1"/>
    </row>
    <row r="14" spans="2:7">
      <c r="B14" s="357" t="s">
        <v>179</v>
      </c>
      <c r="C14" s="358"/>
      <c r="D14" s="358"/>
      <c r="E14" s="359">
        <f>((1+$E$10)*(1+E12))-1</f>
        <v>0.14166229400000008</v>
      </c>
      <c r="G14" s="1"/>
    </row>
    <row r="15" spans="2:7" ht="15.75" thickBot="1">
      <c r="B15" s="360"/>
      <c r="C15" s="361"/>
      <c r="D15" s="361"/>
      <c r="E15" s="362"/>
      <c r="G15" s="1"/>
    </row>
    <row r="16" spans="2:7" ht="15.75" thickBot="1">
      <c r="B16" s="363" t="s">
        <v>180</v>
      </c>
      <c r="C16" s="364"/>
      <c r="D16" s="364"/>
      <c r="E16" s="365">
        <f>E14</f>
        <v>0.14166229400000008</v>
      </c>
      <c r="G16" s="1"/>
    </row>
  </sheetData>
  <mergeCells count="4">
    <mergeCell ref="B4:D4"/>
    <mergeCell ref="B5:C5"/>
    <mergeCell ref="B6:C6"/>
    <mergeCell ref="B7:C7"/>
  </mergeCells>
  <hyperlinks>
    <hyperlink ref="F12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Assumption</vt:lpstr>
      <vt:lpstr>Loan Stat.</vt:lpstr>
      <vt:lpstr>P&amp;L Stat.</vt:lpstr>
      <vt:lpstr>Cashflow Stat.</vt:lpstr>
      <vt:lpstr>Sensitivity</vt:lpstr>
      <vt:lpstr>Default Value Benchmark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Deepak Jain</dc:creator>
  <cp:lastModifiedBy>Sumeet Singhvi</cp:lastModifiedBy>
  <dcterms:created xsi:type="dcterms:W3CDTF">2011-11-30T11:45:26Z</dcterms:created>
  <dcterms:modified xsi:type="dcterms:W3CDTF">2020-05-25T13:27:51Z</dcterms:modified>
</cp:coreProperties>
</file>