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D:\VCS\VCS Project\5. JMSINGH_Project\August 2022\VCS 821 TQC 12522\AR pack\"/>
    </mc:Choice>
  </mc:AlternateContent>
  <xr:revisionPtr revIDLastSave="0" documentId="13_ncr:1_{D6917FE5-CC08-4AF8-884F-78784143CB81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ER Calculation" sheetId="2" r:id="rId1"/>
    <sheet name="Generation Data " sheetId="1" r:id="rId2"/>
    <sheet name="Net Generation" sheetId="5" r:id="rId3"/>
    <sheet name="DGR March-2012" sheetId="6" r:id="rId4"/>
    <sheet name="DGR February-2018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J53" i="1" l="1"/>
  <c r="CK53" i="1" s="1"/>
  <c r="CH53" i="1"/>
  <c r="CI53" i="1"/>
  <c r="CJ54" i="1"/>
  <c r="CH54" i="1"/>
  <c r="CL54" i="1" s="1"/>
  <c r="CK54" i="1"/>
  <c r="CJ80" i="1"/>
  <c r="CH80" i="1"/>
  <c r="BX80" i="1"/>
  <c r="CJ79" i="1"/>
  <c r="CH79" i="1"/>
  <c r="BX79" i="1"/>
  <c r="CK79" i="1"/>
  <c r="CI79" i="1"/>
  <c r="CJ67" i="1"/>
  <c r="CH67" i="1"/>
  <c r="BX67" i="1"/>
  <c r="CJ66" i="1"/>
  <c r="CK66" i="1" s="1"/>
  <c r="CH66" i="1"/>
  <c r="CI66" i="1" s="1"/>
  <c r="BX66" i="1"/>
  <c r="CJ40" i="1"/>
  <c r="CJ41" i="1"/>
  <c r="CH41" i="1"/>
  <c r="CI41" i="1" s="1"/>
  <c r="CM41" i="1" s="1"/>
  <c r="CJ28" i="1"/>
  <c r="CH28" i="1"/>
  <c r="BX28" i="1"/>
  <c r="CK40" i="1"/>
  <c r="CH40" i="1"/>
  <c r="CI40" i="1" s="1"/>
  <c r="CJ27" i="1"/>
  <c r="CK27" i="1" s="1"/>
  <c r="CH27" i="1"/>
  <c r="CI27" i="1" s="1"/>
  <c r="BX27" i="1"/>
  <c r="CK41" i="1"/>
  <c r="CJ15" i="1"/>
  <c r="CH15" i="1"/>
  <c r="BX15" i="1"/>
  <c r="CJ14" i="1"/>
  <c r="CK14" i="1" s="1"/>
  <c r="CH14" i="1"/>
  <c r="CI14" i="1" s="1"/>
  <c r="BX14" i="1"/>
  <c r="BY14" i="1" s="1"/>
  <c r="BZ80" i="1"/>
  <c r="BZ79" i="1"/>
  <c r="CA79" i="1" s="1"/>
  <c r="BY79" i="1"/>
  <c r="BZ66" i="1"/>
  <c r="BZ67" i="1"/>
  <c r="BN67" i="1"/>
  <c r="CA66" i="1"/>
  <c r="BY66" i="1"/>
  <c r="BZ54" i="1"/>
  <c r="CA54" i="1" s="1"/>
  <c r="BX54" i="1"/>
  <c r="CB54" i="1" s="1"/>
  <c r="BN54" i="1"/>
  <c r="BR54" i="1" s="1"/>
  <c r="BZ53" i="1"/>
  <c r="CA53" i="1" s="1"/>
  <c r="BX53" i="1"/>
  <c r="BY53" i="1" s="1"/>
  <c r="BN53" i="1"/>
  <c r="BZ41" i="1"/>
  <c r="BX41" i="1"/>
  <c r="BZ40" i="1"/>
  <c r="CA40" i="1" s="1"/>
  <c r="BX40" i="1"/>
  <c r="BY40" i="1"/>
  <c r="BZ28" i="1"/>
  <c r="BZ27" i="1"/>
  <c r="BY27" i="1"/>
  <c r="CA27" i="1"/>
  <c r="BZ15" i="1"/>
  <c r="BZ14" i="1"/>
  <c r="CA14" i="1" s="1"/>
  <c r="BD14" i="1"/>
  <c r="BE14" i="1" s="1"/>
  <c r="BP80" i="1"/>
  <c r="BN80" i="1"/>
  <c r="BP79" i="1"/>
  <c r="BN79" i="1"/>
  <c r="BO79" i="1" s="1"/>
  <c r="BN66" i="1"/>
  <c r="BO66" i="1" s="1"/>
  <c r="BQ79" i="1"/>
  <c r="BP67" i="1"/>
  <c r="BD67" i="1"/>
  <c r="BP66" i="1"/>
  <c r="BQ66" i="1" s="1"/>
  <c r="BD66" i="1"/>
  <c r="BE66" i="1" s="1"/>
  <c r="BP54" i="1"/>
  <c r="BD54" i="1"/>
  <c r="BP53" i="1"/>
  <c r="BD53" i="1"/>
  <c r="BQ53" i="1"/>
  <c r="BO53" i="1"/>
  <c r="BQ54" i="1"/>
  <c r="BO54" i="1"/>
  <c r="BR41" i="1"/>
  <c r="BP41" i="1"/>
  <c r="BN41" i="1"/>
  <c r="BD41" i="1"/>
  <c r="BP40" i="1"/>
  <c r="BN40" i="1"/>
  <c r="BD40" i="1"/>
  <c r="BE40" i="1" s="1"/>
  <c r="BQ40" i="1"/>
  <c r="BO40" i="1"/>
  <c r="BP27" i="1"/>
  <c r="BQ27" i="1" s="1"/>
  <c r="BN27" i="1"/>
  <c r="BO27" i="1" s="1"/>
  <c r="BN28" i="1"/>
  <c r="BP28" i="1"/>
  <c r="BD28" i="1"/>
  <c r="BP14" i="1"/>
  <c r="BQ14" i="1" s="1"/>
  <c r="BN14" i="1"/>
  <c r="BO14" i="1" s="1"/>
  <c r="BP15" i="1"/>
  <c r="BN15" i="1"/>
  <c r="BD15" i="1"/>
  <c r="BF80" i="1"/>
  <c r="BD80" i="1"/>
  <c r="BF79" i="1"/>
  <c r="BD79" i="1"/>
  <c r="BE79" i="1" s="1"/>
  <c r="BG79" i="1"/>
  <c r="BF67" i="1"/>
  <c r="BF66" i="1"/>
  <c r="BG66" i="1" s="1"/>
  <c r="BF54" i="1"/>
  <c r="BF53" i="1"/>
  <c r="BG53" i="1" s="1"/>
  <c r="BE53" i="1"/>
  <c r="BG54" i="1"/>
  <c r="BE54" i="1"/>
  <c r="BH54" i="1"/>
  <c r="BF41" i="1"/>
  <c r="BF40" i="1"/>
  <c r="BG40" i="1" s="1"/>
  <c r="BD27" i="1"/>
  <c r="BE27" i="1" s="1"/>
  <c r="BF27" i="1"/>
  <c r="BF28" i="1"/>
  <c r="AT28" i="1"/>
  <c r="BG27" i="1"/>
  <c r="BF15" i="1"/>
  <c r="AT15" i="1"/>
  <c r="BF14" i="1"/>
  <c r="BG14" i="1" s="1"/>
  <c r="AT14" i="1"/>
  <c r="AV80" i="1"/>
  <c r="AT80" i="1"/>
  <c r="AV79" i="1"/>
  <c r="AW79" i="1" s="1"/>
  <c r="AT79" i="1"/>
  <c r="AT66" i="1"/>
  <c r="AT54" i="1"/>
  <c r="AU79" i="1"/>
  <c r="AV66" i="1"/>
  <c r="AW66" i="1" s="1"/>
  <c r="AU66" i="1"/>
  <c r="AV67" i="1"/>
  <c r="AT67" i="1"/>
  <c r="AJ54" i="1"/>
  <c r="AV54" i="1"/>
  <c r="AW54" i="1" s="1"/>
  <c r="AV53" i="1"/>
  <c r="AW53" i="1" s="1"/>
  <c r="AT53" i="1"/>
  <c r="AJ53" i="1"/>
  <c r="AK53" i="1" s="1"/>
  <c r="AU54" i="1"/>
  <c r="AU53" i="1"/>
  <c r="AV40" i="1"/>
  <c r="AW40" i="1" s="1"/>
  <c r="AT40" i="1"/>
  <c r="AU40" i="1" s="1"/>
  <c r="AJ40" i="1"/>
  <c r="AK40" i="1" s="1"/>
  <c r="AT27" i="1"/>
  <c r="AV41" i="1"/>
  <c r="AT41" i="1"/>
  <c r="AJ41" i="1"/>
  <c r="AV28" i="1"/>
  <c r="AV27" i="1"/>
  <c r="AW27" i="1"/>
  <c r="AU27" i="1"/>
  <c r="AV15" i="1"/>
  <c r="AV14" i="1"/>
  <c r="AW14" i="1" s="1"/>
  <c r="F14" i="1"/>
  <c r="AU14" i="1"/>
  <c r="AL80" i="1"/>
  <c r="AJ80" i="1"/>
  <c r="AJ67" i="1"/>
  <c r="AL79" i="1"/>
  <c r="AM79" i="1" s="1"/>
  <c r="AJ79" i="1"/>
  <c r="AK79" i="1" s="1"/>
  <c r="AJ66" i="1"/>
  <c r="AL67" i="1"/>
  <c r="AL66" i="1"/>
  <c r="AM66" i="1"/>
  <c r="AK66" i="1"/>
  <c r="AL54" i="1"/>
  <c r="AN54" i="1"/>
  <c r="AL53" i="1"/>
  <c r="AM53" i="1" s="1"/>
  <c r="AM54" i="1"/>
  <c r="S54" i="1"/>
  <c r="Q54" i="1"/>
  <c r="S53" i="1"/>
  <c r="AL41" i="1"/>
  <c r="AJ28" i="1"/>
  <c r="AL40" i="1"/>
  <c r="AM40" i="1" s="1"/>
  <c r="AJ27" i="1"/>
  <c r="AL28" i="1"/>
  <c r="AL27" i="1"/>
  <c r="AM27" i="1" s="1"/>
  <c r="AK27" i="1"/>
  <c r="H54" i="1"/>
  <c r="I54" i="1" s="1"/>
  <c r="H53" i="1"/>
  <c r="I53" i="1" s="1"/>
  <c r="F54" i="1"/>
  <c r="G54" i="1" s="1"/>
  <c r="F53" i="1"/>
  <c r="G53" i="1" s="1"/>
  <c r="H29" i="5"/>
  <c r="H47" i="5"/>
  <c r="AL14" i="1"/>
  <c r="AM14" i="1" s="1"/>
  <c r="AJ14" i="1"/>
  <c r="AK14" i="1"/>
  <c r="AJ15" i="1"/>
  <c r="AL15" i="1"/>
  <c r="Z15" i="1"/>
  <c r="AB80" i="1"/>
  <c r="Z80" i="1"/>
  <c r="P80" i="1"/>
  <c r="AB79" i="1"/>
  <c r="Z79" i="1"/>
  <c r="P79" i="1"/>
  <c r="Q79" i="1" s="1"/>
  <c r="AC79" i="1"/>
  <c r="AA79" i="1"/>
  <c r="AB67" i="1"/>
  <c r="Z67" i="1"/>
  <c r="P67" i="1"/>
  <c r="AB66" i="1"/>
  <c r="AC66" i="1" s="1"/>
  <c r="Z66" i="1"/>
  <c r="AA66" i="1" s="1"/>
  <c r="P66" i="1"/>
  <c r="AB54" i="1"/>
  <c r="AC54" i="1" s="1"/>
  <c r="Z54" i="1"/>
  <c r="AD54" i="1" s="1"/>
  <c r="AB53" i="1"/>
  <c r="AC53" i="1" s="1"/>
  <c r="Z53" i="1"/>
  <c r="AA53" i="1" s="1"/>
  <c r="AB41" i="1"/>
  <c r="Z41" i="1"/>
  <c r="Z28" i="1"/>
  <c r="AB40" i="1"/>
  <c r="AC40" i="1" s="1"/>
  <c r="Z40" i="1"/>
  <c r="AA40" i="1" s="1"/>
  <c r="Z27" i="1"/>
  <c r="AA32" i="1"/>
  <c r="AB28" i="1"/>
  <c r="AC28" i="1" s="1"/>
  <c r="P28" i="1"/>
  <c r="AB27" i="1"/>
  <c r="P27" i="1"/>
  <c r="Q27" i="1" s="1"/>
  <c r="AC27" i="1"/>
  <c r="AA27" i="1"/>
  <c r="AA28" i="1"/>
  <c r="AB15" i="1"/>
  <c r="P15" i="1"/>
  <c r="AB14" i="1"/>
  <c r="Z14" i="1"/>
  <c r="AA14" i="1" s="1"/>
  <c r="P14" i="1"/>
  <c r="AC14" i="1"/>
  <c r="AC15" i="1"/>
  <c r="R80" i="1"/>
  <c r="F80" i="1"/>
  <c r="J80" i="1" s="1"/>
  <c r="R79" i="1"/>
  <c r="S79" i="1" s="1"/>
  <c r="F79" i="1"/>
  <c r="R54" i="1"/>
  <c r="R53" i="1"/>
  <c r="P53" i="1"/>
  <c r="Q53" i="1" s="1"/>
  <c r="P54" i="1"/>
  <c r="T54" i="1" s="1"/>
  <c r="R66" i="1"/>
  <c r="Q66" i="1"/>
  <c r="R67" i="1"/>
  <c r="S66" i="1"/>
  <c r="R41" i="1"/>
  <c r="R40" i="1"/>
  <c r="S40" i="1" s="1"/>
  <c r="P40" i="1"/>
  <c r="Q40" i="1" s="1"/>
  <c r="P41" i="1"/>
  <c r="R28" i="1"/>
  <c r="R27" i="1"/>
  <c r="S27" i="1" s="1"/>
  <c r="F27" i="1"/>
  <c r="R14" i="1"/>
  <c r="S14" i="1" s="1"/>
  <c r="Q14" i="1"/>
  <c r="R15" i="1"/>
  <c r="F15" i="1"/>
  <c r="H79" i="1"/>
  <c r="I79" i="1" s="1"/>
  <c r="H80" i="1"/>
  <c r="G79" i="1"/>
  <c r="H66" i="1"/>
  <c r="I66" i="1" s="1"/>
  <c r="H67" i="1"/>
  <c r="F66" i="1"/>
  <c r="J66" i="1" s="1"/>
  <c r="F67" i="1"/>
  <c r="H41" i="1"/>
  <c r="H40" i="1"/>
  <c r="I40" i="1" s="1"/>
  <c r="F41" i="1"/>
  <c r="J41" i="1" s="1"/>
  <c r="F40" i="1"/>
  <c r="H28" i="1"/>
  <c r="H27" i="1"/>
  <c r="I27" i="1" s="1"/>
  <c r="F28" i="1"/>
  <c r="I20" i="1"/>
  <c r="I17" i="1"/>
  <c r="J19" i="1"/>
  <c r="BY54" i="1" l="1"/>
  <c r="CI54" i="1"/>
  <c r="G66" i="1"/>
  <c r="AA54" i="1"/>
  <c r="T53" i="1"/>
  <c r="CL41" i="1"/>
  <c r="K79" i="1"/>
  <c r="K66" i="1"/>
  <c r="CM53" i="1"/>
  <c r="CL53" i="1"/>
  <c r="CM79" i="1"/>
  <c r="CL79" i="1"/>
  <c r="CM66" i="1"/>
  <c r="CL66" i="1"/>
  <c r="CM40" i="1"/>
  <c r="CM27" i="1"/>
  <c r="CL40" i="1"/>
  <c r="CL27" i="1"/>
  <c r="CM14" i="1"/>
  <c r="CL14" i="1"/>
  <c r="CC79" i="1"/>
  <c r="CB79" i="1"/>
  <c r="CC66" i="1"/>
  <c r="CB66" i="1"/>
  <c r="CC53" i="1"/>
  <c r="CB53" i="1"/>
  <c r="CC40" i="1"/>
  <c r="CB40" i="1"/>
  <c r="CC27" i="1"/>
  <c r="CB27" i="1"/>
  <c r="CC14" i="1"/>
  <c r="CB14" i="1"/>
  <c r="BS79" i="1"/>
  <c r="BR79" i="1"/>
  <c r="BS66" i="1"/>
  <c r="BR66" i="1"/>
  <c r="BS53" i="1"/>
  <c r="BR53" i="1"/>
  <c r="BS40" i="1"/>
  <c r="BR40" i="1"/>
  <c r="BS27" i="1"/>
  <c r="BR27" i="1"/>
  <c r="BS14" i="1"/>
  <c r="BR14" i="1"/>
  <c r="BI79" i="1"/>
  <c r="BH79" i="1"/>
  <c r="BI66" i="1"/>
  <c r="BH66" i="1"/>
  <c r="BI53" i="1"/>
  <c r="BH53" i="1"/>
  <c r="BI40" i="1"/>
  <c r="BH40" i="1"/>
  <c r="BI27" i="1"/>
  <c r="BH27" i="1"/>
  <c r="BI14" i="1"/>
  <c r="BH14" i="1"/>
  <c r="AY79" i="1"/>
  <c r="AX79" i="1"/>
  <c r="AY66" i="1"/>
  <c r="AX66" i="1"/>
  <c r="AY53" i="1"/>
  <c r="AX53" i="1"/>
  <c r="AX54" i="1"/>
  <c r="AY40" i="1"/>
  <c r="AX40" i="1"/>
  <c r="AY27" i="1"/>
  <c r="AX27" i="1"/>
  <c r="AY14" i="1"/>
  <c r="AX14" i="1"/>
  <c r="AO79" i="1"/>
  <c r="AN79" i="1"/>
  <c r="AO66" i="1"/>
  <c r="AN66" i="1"/>
  <c r="AK54" i="1"/>
  <c r="AO53" i="1"/>
  <c r="AN53" i="1"/>
  <c r="AO40" i="1"/>
  <c r="AN40" i="1"/>
  <c r="AO27" i="1"/>
  <c r="J53" i="1"/>
  <c r="AN27" i="1"/>
  <c r="AN14" i="1"/>
  <c r="AO14" i="1"/>
  <c r="AE79" i="1"/>
  <c r="AD79" i="1"/>
  <c r="AE66" i="1"/>
  <c r="AD66" i="1"/>
  <c r="AE53" i="1"/>
  <c r="AD53" i="1"/>
  <c r="AE40" i="1"/>
  <c r="AD40" i="1"/>
  <c r="AE28" i="1"/>
  <c r="AE27" i="1"/>
  <c r="AD27" i="1"/>
  <c r="AD28" i="1"/>
  <c r="AE14" i="1"/>
  <c r="AD14" i="1"/>
  <c r="U79" i="1"/>
  <c r="T79" i="1"/>
  <c r="U53" i="1"/>
  <c r="U66" i="1"/>
  <c r="T66" i="1"/>
  <c r="U40" i="1"/>
  <c r="T40" i="1"/>
  <c r="U27" i="1"/>
  <c r="T27" i="1"/>
  <c r="U14" i="1"/>
  <c r="T14" i="1"/>
  <c r="J79" i="1"/>
  <c r="J40" i="1"/>
  <c r="J27" i="1"/>
  <c r="CC54" i="1"/>
  <c r="AY54" i="1"/>
  <c r="J28" i="1"/>
  <c r="AE54" i="1"/>
  <c r="G27" i="1"/>
  <c r="K27" i="1" s="1"/>
  <c r="K53" i="1"/>
  <c r="CM54" i="1"/>
  <c r="BI54" i="1"/>
  <c r="U54" i="1"/>
  <c r="BS54" i="1"/>
  <c r="AO54" i="1"/>
  <c r="G40" i="1"/>
  <c r="K40" i="1"/>
  <c r="J54" i="1"/>
  <c r="K54" i="1"/>
  <c r="H14" i="1"/>
  <c r="H15" i="1"/>
  <c r="I15" i="1" s="1"/>
  <c r="J15" i="1" l="1"/>
  <c r="J14" i="1"/>
  <c r="G14" i="1" l="1"/>
  <c r="CK55" i="1"/>
  <c r="CK56" i="1"/>
  <c r="CK57" i="1"/>
  <c r="CK59" i="1"/>
  <c r="CK60" i="1"/>
  <c r="CK61" i="1"/>
  <c r="CK62" i="1"/>
  <c r="CK63" i="1"/>
  <c r="CK64" i="1"/>
  <c r="CK65" i="1"/>
  <c r="CK67" i="1"/>
  <c r="CK68" i="1"/>
  <c r="CK69" i="1"/>
  <c r="CK70" i="1"/>
  <c r="CK71" i="1"/>
  <c r="CK72" i="1"/>
  <c r="CK74" i="1"/>
  <c r="CK75" i="1"/>
  <c r="CK76" i="1"/>
  <c r="CK77" i="1"/>
  <c r="CK78" i="1"/>
  <c r="CK80" i="1"/>
  <c r="CK81" i="1"/>
  <c r="CK82" i="1"/>
  <c r="CI55" i="1"/>
  <c r="CI56" i="1"/>
  <c r="CI57" i="1"/>
  <c r="CI59" i="1"/>
  <c r="CI60" i="1"/>
  <c r="CI61" i="1"/>
  <c r="CI62" i="1"/>
  <c r="CI63" i="1"/>
  <c r="CI64" i="1"/>
  <c r="CI65" i="1"/>
  <c r="CI67" i="1"/>
  <c r="CI68" i="1"/>
  <c r="CI69" i="1"/>
  <c r="CI70" i="1"/>
  <c r="CI71" i="1"/>
  <c r="CI72" i="1"/>
  <c r="CI74" i="1"/>
  <c r="CI75" i="1"/>
  <c r="CI76" i="1"/>
  <c r="CI77" i="1"/>
  <c r="CI78" i="1"/>
  <c r="CI80" i="1"/>
  <c r="CI81" i="1"/>
  <c r="CK6" i="1"/>
  <c r="CK7" i="1"/>
  <c r="CK8" i="1"/>
  <c r="CK9" i="1"/>
  <c r="CK10" i="1"/>
  <c r="CK11" i="1"/>
  <c r="CK12" i="1"/>
  <c r="CK13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2" i="1"/>
  <c r="CK43" i="1"/>
  <c r="CK44" i="1"/>
  <c r="CK45" i="1"/>
  <c r="CK46" i="1"/>
  <c r="CK47" i="1"/>
  <c r="CK48" i="1"/>
  <c r="CK49" i="1"/>
  <c r="CK50" i="1"/>
  <c r="CK51" i="1"/>
  <c r="CK52" i="1"/>
  <c r="CI6" i="1"/>
  <c r="CM6" i="1" s="1"/>
  <c r="CI7" i="1"/>
  <c r="CI8" i="1"/>
  <c r="CM8" i="1" s="1"/>
  <c r="CI9" i="1"/>
  <c r="CI10" i="1"/>
  <c r="CM10" i="1" s="1"/>
  <c r="CI11" i="1"/>
  <c r="CI12" i="1"/>
  <c r="CI13" i="1"/>
  <c r="CI15" i="1"/>
  <c r="CI16" i="1"/>
  <c r="CI17" i="1"/>
  <c r="CI18" i="1"/>
  <c r="CI19" i="1"/>
  <c r="CM19" i="1" s="1"/>
  <c r="CI20" i="1"/>
  <c r="CI21" i="1"/>
  <c r="CM21" i="1" s="1"/>
  <c r="CI22" i="1"/>
  <c r="CM22" i="1" s="1"/>
  <c r="CI23" i="1"/>
  <c r="CM23" i="1" s="1"/>
  <c r="CI24" i="1"/>
  <c r="CI25" i="1"/>
  <c r="CI26" i="1"/>
  <c r="CI28" i="1"/>
  <c r="CI29" i="1"/>
  <c r="CI30" i="1"/>
  <c r="CI31" i="1"/>
  <c r="CI32" i="1"/>
  <c r="CM32" i="1" s="1"/>
  <c r="CI33" i="1"/>
  <c r="CI34" i="1"/>
  <c r="CM34" i="1" s="1"/>
  <c r="CI35" i="1"/>
  <c r="CM35" i="1" s="1"/>
  <c r="CI36" i="1"/>
  <c r="CM36" i="1" s="1"/>
  <c r="CI37" i="1"/>
  <c r="CI38" i="1"/>
  <c r="CI39" i="1"/>
  <c r="CI42" i="1"/>
  <c r="CI43" i="1"/>
  <c r="CI44" i="1"/>
  <c r="CI45" i="1"/>
  <c r="CI46" i="1"/>
  <c r="CI47" i="1"/>
  <c r="CM47" i="1" s="1"/>
  <c r="CI48" i="1"/>
  <c r="CM48" i="1" s="1"/>
  <c r="CI49" i="1"/>
  <c r="CM49" i="1" s="1"/>
  <c r="CI50" i="1"/>
  <c r="CM50" i="1" s="1"/>
  <c r="CI51" i="1"/>
  <c r="CI52" i="1"/>
  <c r="CK5" i="1"/>
  <c r="CA55" i="1"/>
  <c r="CA56" i="1"/>
  <c r="CA57" i="1"/>
  <c r="CA59" i="1"/>
  <c r="CA60" i="1"/>
  <c r="CA61" i="1"/>
  <c r="CA62" i="1"/>
  <c r="CA63" i="1"/>
  <c r="CA64" i="1"/>
  <c r="CA65" i="1"/>
  <c r="CA67" i="1"/>
  <c r="CA68" i="1"/>
  <c r="CA69" i="1"/>
  <c r="CA70" i="1"/>
  <c r="CA71" i="1"/>
  <c r="CA72" i="1"/>
  <c r="CA74" i="1"/>
  <c r="CA75" i="1"/>
  <c r="CA76" i="1"/>
  <c r="CA77" i="1"/>
  <c r="CA78" i="1"/>
  <c r="CA80" i="1"/>
  <c r="CA81" i="1"/>
  <c r="CA82" i="1"/>
  <c r="BY55" i="1"/>
  <c r="BY56" i="1"/>
  <c r="BY57" i="1"/>
  <c r="BY59" i="1"/>
  <c r="BY60" i="1"/>
  <c r="BY61" i="1"/>
  <c r="BY62" i="1"/>
  <c r="CC62" i="1" s="1"/>
  <c r="BY63" i="1"/>
  <c r="BY64" i="1"/>
  <c r="BY65" i="1"/>
  <c r="BY67" i="1"/>
  <c r="BY68" i="1"/>
  <c r="BY69" i="1"/>
  <c r="BY70" i="1"/>
  <c r="BY71" i="1"/>
  <c r="BY72" i="1"/>
  <c r="BY74" i="1"/>
  <c r="BY75" i="1"/>
  <c r="BY76" i="1"/>
  <c r="BY77" i="1"/>
  <c r="BY78" i="1"/>
  <c r="CC78" i="1" s="1"/>
  <c r="BY80" i="1"/>
  <c r="BY81" i="1"/>
  <c r="CA6" i="1"/>
  <c r="CA7" i="1"/>
  <c r="CA8" i="1"/>
  <c r="CA9" i="1"/>
  <c r="CA10" i="1"/>
  <c r="CA11" i="1"/>
  <c r="CA12" i="1"/>
  <c r="CA13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BY6" i="1"/>
  <c r="CC6" i="1" s="1"/>
  <c r="BY7" i="1"/>
  <c r="CC7" i="1" s="1"/>
  <c r="BY8" i="1"/>
  <c r="BY9" i="1"/>
  <c r="BY10" i="1"/>
  <c r="BY11" i="1"/>
  <c r="BY12" i="1"/>
  <c r="BY13" i="1"/>
  <c r="BY15" i="1"/>
  <c r="BY16" i="1"/>
  <c r="BY17" i="1"/>
  <c r="CC17" i="1" s="1"/>
  <c r="BY18" i="1"/>
  <c r="CC18" i="1" s="1"/>
  <c r="BY19" i="1"/>
  <c r="CC19" i="1" s="1"/>
  <c r="BY20" i="1"/>
  <c r="CC20" i="1" s="1"/>
  <c r="BY21" i="1"/>
  <c r="BY22" i="1"/>
  <c r="BY23" i="1"/>
  <c r="BY24" i="1"/>
  <c r="BY25" i="1"/>
  <c r="BY26" i="1"/>
  <c r="BY28" i="1"/>
  <c r="BY29" i="1"/>
  <c r="BY30" i="1"/>
  <c r="CC30" i="1" s="1"/>
  <c r="BY31" i="1"/>
  <c r="CC31" i="1" s="1"/>
  <c r="BY32" i="1"/>
  <c r="CC32" i="1" s="1"/>
  <c r="BY33" i="1"/>
  <c r="CC33" i="1" s="1"/>
  <c r="BY34" i="1"/>
  <c r="BY35" i="1"/>
  <c r="BY36" i="1"/>
  <c r="BY37" i="1"/>
  <c r="BY38" i="1"/>
  <c r="BY39" i="1"/>
  <c r="BY41" i="1"/>
  <c r="BY42" i="1"/>
  <c r="BY43" i="1"/>
  <c r="CC43" i="1" s="1"/>
  <c r="BY44" i="1"/>
  <c r="CC44" i="1" s="1"/>
  <c r="BY45" i="1"/>
  <c r="CC45" i="1" s="1"/>
  <c r="BY46" i="1"/>
  <c r="CC46" i="1" s="1"/>
  <c r="BY47" i="1"/>
  <c r="BY48" i="1"/>
  <c r="BY49" i="1"/>
  <c r="BY50" i="1"/>
  <c r="BY51" i="1"/>
  <c r="BY52" i="1"/>
  <c r="CA5" i="1"/>
  <c r="BQ55" i="1"/>
  <c r="BQ56" i="1"/>
  <c r="BQ57" i="1"/>
  <c r="BQ59" i="1"/>
  <c r="BQ60" i="1"/>
  <c r="BQ61" i="1"/>
  <c r="BQ62" i="1"/>
  <c r="BQ63" i="1"/>
  <c r="BQ64" i="1"/>
  <c r="BQ65" i="1"/>
  <c r="BQ67" i="1"/>
  <c r="BQ68" i="1"/>
  <c r="BQ69" i="1"/>
  <c r="BQ70" i="1"/>
  <c r="BQ71" i="1"/>
  <c r="BQ72" i="1"/>
  <c r="BQ73" i="1"/>
  <c r="BQ75" i="1"/>
  <c r="BQ76" i="1"/>
  <c r="BQ77" i="1"/>
  <c r="BQ78" i="1"/>
  <c r="BQ80" i="1"/>
  <c r="BQ81" i="1"/>
  <c r="BQ82" i="1"/>
  <c r="BO55" i="1"/>
  <c r="BO56" i="1"/>
  <c r="BO57" i="1"/>
  <c r="BO59" i="1"/>
  <c r="BO60" i="1"/>
  <c r="BO61" i="1"/>
  <c r="BS61" i="1" s="1"/>
  <c r="BO62" i="1"/>
  <c r="BO63" i="1"/>
  <c r="BS63" i="1" s="1"/>
  <c r="BO64" i="1"/>
  <c r="BO65" i="1"/>
  <c r="BO67" i="1"/>
  <c r="BO68" i="1"/>
  <c r="BO69" i="1"/>
  <c r="BO70" i="1"/>
  <c r="BO71" i="1"/>
  <c r="BO72" i="1"/>
  <c r="BO73" i="1"/>
  <c r="BO75" i="1"/>
  <c r="BO76" i="1"/>
  <c r="BO77" i="1"/>
  <c r="BS77" i="1" s="1"/>
  <c r="BO78" i="1"/>
  <c r="BO80" i="1"/>
  <c r="BO81" i="1"/>
  <c r="BQ6" i="1"/>
  <c r="BQ7" i="1"/>
  <c r="BQ8" i="1"/>
  <c r="BQ9" i="1"/>
  <c r="BQ10" i="1"/>
  <c r="BQ11" i="1"/>
  <c r="BQ12" i="1"/>
  <c r="BQ13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O6" i="1"/>
  <c r="BO7" i="1"/>
  <c r="BO8" i="1"/>
  <c r="BO9" i="1"/>
  <c r="BO10" i="1"/>
  <c r="BO11" i="1"/>
  <c r="BO12" i="1"/>
  <c r="BS12" i="1" s="1"/>
  <c r="BO13" i="1"/>
  <c r="BS13" i="1" s="1"/>
  <c r="BO15" i="1"/>
  <c r="BS15" i="1" s="1"/>
  <c r="BO16" i="1"/>
  <c r="BS16" i="1" s="1"/>
  <c r="BO17" i="1"/>
  <c r="BO18" i="1"/>
  <c r="BO19" i="1"/>
  <c r="BO20" i="1"/>
  <c r="BO21" i="1"/>
  <c r="BO22" i="1"/>
  <c r="BO23" i="1"/>
  <c r="BO24" i="1"/>
  <c r="BO25" i="1"/>
  <c r="BS25" i="1" s="1"/>
  <c r="BO26" i="1"/>
  <c r="BS26" i="1" s="1"/>
  <c r="BO28" i="1"/>
  <c r="BS28" i="1" s="1"/>
  <c r="BO29" i="1"/>
  <c r="BS29" i="1" s="1"/>
  <c r="BO30" i="1"/>
  <c r="BO31" i="1"/>
  <c r="BO32" i="1"/>
  <c r="BO33" i="1"/>
  <c r="BO34" i="1"/>
  <c r="BO35" i="1"/>
  <c r="BO36" i="1"/>
  <c r="BO37" i="1"/>
  <c r="BO38" i="1"/>
  <c r="BS38" i="1" s="1"/>
  <c r="BO39" i="1"/>
  <c r="BS39" i="1" s="1"/>
  <c r="BO41" i="1"/>
  <c r="BS41" i="1" s="1"/>
  <c r="BO42" i="1"/>
  <c r="BS42" i="1" s="1"/>
  <c r="BO43" i="1"/>
  <c r="BO44" i="1"/>
  <c r="BO45" i="1"/>
  <c r="BO46" i="1"/>
  <c r="BO47" i="1"/>
  <c r="BO48" i="1"/>
  <c r="BO49" i="1"/>
  <c r="BO50" i="1"/>
  <c r="BO51" i="1"/>
  <c r="BS51" i="1" s="1"/>
  <c r="BO52" i="1"/>
  <c r="BS52" i="1" s="1"/>
  <c r="BQ5" i="1"/>
  <c r="BG55" i="1"/>
  <c r="BG56" i="1"/>
  <c r="BG57" i="1"/>
  <c r="BG59" i="1"/>
  <c r="BG60" i="1"/>
  <c r="BG61" i="1"/>
  <c r="BG62" i="1"/>
  <c r="BG63" i="1"/>
  <c r="BG64" i="1"/>
  <c r="BG65" i="1"/>
  <c r="BG67" i="1"/>
  <c r="BG68" i="1"/>
  <c r="BG69" i="1"/>
  <c r="BG70" i="1"/>
  <c r="BG71" i="1"/>
  <c r="BG72" i="1"/>
  <c r="BG73" i="1"/>
  <c r="BG75" i="1"/>
  <c r="BG76" i="1"/>
  <c r="BG77" i="1"/>
  <c r="BG78" i="1"/>
  <c r="BG80" i="1"/>
  <c r="BG81" i="1"/>
  <c r="BG82" i="1"/>
  <c r="BE55" i="1"/>
  <c r="BE56" i="1"/>
  <c r="BE57" i="1"/>
  <c r="BE59" i="1"/>
  <c r="BI59" i="1" s="1"/>
  <c r="BE60" i="1"/>
  <c r="BE61" i="1"/>
  <c r="BE62" i="1"/>
  <c r="BE63" i="1"/>
  <c r="BI63" i="1" s="1"/>
  <c r="BE64" i="1"/>
  <c r="BE65" i="1"/>
  <c r="BE67" i="1"/>
  <c r="BE68" i="1"/>
  <c r="BI68" i="1" s="1"/>
  <c r="BE69" i="1"/>
  <c r="BE70" i="1"/>
  <c r="BE71" i="1"/>
  <c r="BE72" i="1"/>
  <c r="BE73" i="1"/>
  <c r="BE75" i="1"/>
  <c r="BE76" i="1"/>
  <c r="BE77" i="1"/>
  <c r="BI77" i="1" s="1"/>
  <c r="BE78" i="1"/>
  <c r="BE80" i="1"/>
  <c r="BE81" i="1"/>
  <c r="BG6" i="1"/>
  <c r="BG7" i="1"/>
  <c r="BG8" i="1"/>
  <c r="BG9" i="1"/>
  <c r="BG10" i="1"/>
  <c r="BG11" i="1"/>
  <c r="BG12" i="1"/>
  <c r="BG13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E6" i="1"/>
  <c r="BE7" i="1"/>
  <c r="BE8" i="1"/>
  <c r="BI8" i="1" s="1"/>
  <c r="BE9" i="1"/>
  <c r="BI9" i="1" s="1"/>
  <c r="BE10" i="1"/>
  <c r="BI10" i="1" s="1"/>
  <c r="BE11" i="1"/>
  <c r="BI11" i="1" s="1"/>
  <c r="BE12" i="1"/>
  <c r="BE13" i="1"/>
  <c r="BE15" i="1"/>
  <c r="BE16" i="1"/>
  <c r="BE17" i="1"/>
  <c r="BE18" i="1"/>
  <c r="BE19" i="1"/>
  <c r="BE20" i="1"/>
  <c r="BE21" i="1"/>
  <c r="BI21" i="1" s="1"/>
  <c r="BE22" i="1"/>
  <c r="BI22" i="1" s="1"/>
  <c r="BE23" i="1"/>
  <c r="BI23" i="1" s="1"/>
  <c r="BE24" i="1"/>
  <c r="BI24" i="1" s="1"/>
  <c r="BE25" i="1"/>
  <c r="BE26" i="1"/>
  <c r="BE28" i="1"/>
  <c r="BE29" i="1"/>
  <c r="BE30" i="1"/>
  <c r="BE31" i="1"/>
  <c r="BE32" i="1"/>
  <c r="BE33" i="1"/>
  <c r="BE34" i="1"/>
  <c r="BI34" i="1" s="1"/>
  <c r="BE35" i="1"/>
  <c r="BI35" i="1" s="1"/>
  <c r="BE36" i="1"/>
  <c r="BI36" i="1" s="1"/>
  <c r="BE37" i="1"/>
  <c r="BI37" i="1" s="1"/>
  <c r="BE38" i="1"/>
  <c r="BE39" i="1"/>
  <c r="BE41" i="1"/>
  <c r="BE42" i="1"/>
  <c r="BE43" i="1"/>
  <c r="BE44" i="1"/>
  <c r="BE45" i="1"/>
  <c r="BE46" i="1"/>
  <c r="BE47" i="1"/>
  <c r="BE48" i="1"/>
  <c r="BI48" i="1" s="1"/>
  <c r="BE49" i="1"/>
  <c r="BI49" i="1" s="1"/>
  <c r="BE50" i="1"/>
  <c r="BI50" i="1" s="1"/>
  <c r="BE51" i="1"/>
  <c r="BE52" i="1"/>
  <c r="BG5" i="1"/>
  <c r="AW55" i="1"/>
  <c r="AW56" i="1"/>
  <c r="AW57" i="1"/>
  <c r="AW59" i="1"/>
  <c r="AW60" i="1"/>
  <c r="AW61" i="1"/>
  <c r="AW62" i="1"/>
  <c r="AW63" i="1"/>
  <c r="AW64" i="1"/>
  <c r="AW65" i="1"/>
  <c r="AW67" i="1"/>
  <c r="AW68" i="1"/>
  <c r="AW69" i="1"/>
  <c r="AW70" i="1"/>
  <c r="AW71" i="1"/>
  <c r="AW72" i="1"/>
  <c r="AW74" i="1"/>
  <c r="AW75" i="1"/>
  <c r="AW76" i="1"/>
  <c r="AW77" i="1"/>
  <c r="AW78" i="1"/>
  <c r="AW80" i="1"/>
  <c r="AW81" i="1"/>
  <c r="AW82" i="1"/>
  <c r="AU55" i="1"/>
  <c r="AU56" i="1"/>
  <c r="AY56" i="1" s="1"/>
  <c r="AU57" i="1"/>
  <c r="AU59" i="1"/>
  <c r="AU60" i="1"/>
  <c r="AU61" i="1"/>
  <c r="AY61" i="1" s="1"/>
  <c r="AU62" i="1"/>
  <c r="AU63" i="1"/>
  <c r="AU64" i="1"/>
  <c r="AU65" i="1"/>
  <c r="AY65" i="1" s="1"/>
  <c r="AU67" i="1"/>
  <c r="AU68" i="1"/>
  <c r="AU69" i="1"/>
  <c r="AY69" i="1" s="1"/>
  <c r="AU70" i="1"/>
  <c r="AY70" i="1" s="1"/>
  <c r="AU71" i="1"/>
  <c r="AU72" i="1"/>
  <c r="AU74" i="1"/>
  <c r="AU75" i="1"/>
  <c r="AY75" i="1" s="1"/>
  <c r="AU76" i="1"/>
  <c r="AU77" i="1"/>
  <c r="AU78" i="1"/>
  <c r="AU80" i="1"/>
  <c r="AU81" i="1"/>
  <c r="AW6" i="1"/>
  <c r="AW7" i="1"/>
  <c r="AW8" i="1"/>
  <c r="AW9" i="1"/>
  <c r="AW10" i="1"/>
  <c r="AW11" i="1"/>
  <c r="AW12" i="1"/>
  <c r="AW13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U6" i="1"/>
  <c r="AY6" i="1" s="1"/>
  <c r="AU7" i="1"/>
  <c r="AY7" i="1" s="1"/>
  <c r="AU8" i="1"/>
  <c r="AU9" i="1"/>
  <c r="AU10" i="1"/>
  <c r="AU11" i="1"/>
  <c r="AU12" i="1"/>
  <c r="AU13" i="1"/>
  <c r="AU15" i="1"/>
  <c r="AU16" i="1"/>
  <c r="AU17" i="1"/>
  <c r="AY17" i="1" s="1"/>
  <c r="AU18" i="1"/>
  <c r="AU19" i="1"/>
  <c r="AY19" i="1" s="1"/>
  <c r="AU20" i="1"/>
  <c r="AY20" i="1" s="1"/>
  <c r="AU21" i="1"/>
  <c r="AU22" i="1"/>
  <c r="AU23" i="1"/>
  <c r="AU24" i="1"/>
  <c r="AU25" i="1"/>
  <c r="AU26" i="1"/>
  <c r="AU28" i="1"/>
  <c r="AU29" i="1"/>
  <c r="AU30" i="1"/>
  <c r="AY30" i="1" s="1"/>
  <c r="AU31" i="1"/>
  <c r="AU32" i="1"/>
  <c r="AY32" i="1" s="1"/>
  <c r="AU33" i="1"/>
  <c r="AY33" i="1" s="1"/>
  <c r="AU34" i="1"/>
  <c r="AU35" i="1"/>
  <c r="AU36" i="1"/>
  <c r="AU37" i="1"/>
  <c r="AU38" i="1"/>
  <c r="AU39" i="1"/>
  <c r="AU41" i="1"/>
  <c r="AU42" i="1"/>
  <c r="AU43" i="1"/>
  <c r="AY43" i="1" s="1"/>
  <c r="AU44" i="1"/>
  <c r="AU45" i="1"/>
  <c r="AY45" i="1" s="1"/>
  <c r="AU46" i="1"/>
  <c r="AY46" i="1" s="1"/>
  <c r="AU47" i="1"/>
  <c r="AU48" i="1"/>
  <c r="AU49" i="1"/>
  <c r="AU50" i="1"/>
  <c r="AU51" i="1"/>
  <c r="AU52" i="1"/>
  <c r="AW5" i="1"/>
  <c r="AM55" i="1"/>
  <c r="AM56" i="1"/>
  <c r="AM57" i="1"/>
  <c r="AM59" i="1"/>
  <c r="AM60" i="1"/>
  <c r="AM61" i="1"/>
  <c r="AM62" i="1"/>
  <c r="AM63" i="1"/>
  <c r="AM64" i="1"/>
  <c r="AM65" i="1"/>
  <c r="AM67" i="1"/>
  <c r="AM68" i="1"/>
  <c r="AM69" i="1"/>
  <c r="AM70" i="1"/>
  <c r="AM71" i="1"/>
  <c r="AM72" i="1"/>
  <c r="AM73" i="1"/>
  <c r="AM75" i="1"/>
  <c r="AM76" i="1"/>
  <c r="AM77" i="1"/>
  <c r="AM78" i="1"/>
  <c r="AM80" i="1"/>
  <c r="AM81" i="1"/>
  <c r="AM82" i="1"/>
  <c r="AK55" i="1"/>
  <c r="AK56" i="1"/>
  <c r="AK57" i="1"/>
  <c r="AK59" i="1"/>
  <c r="AK60" i="1"/>
  <c r="AK61" i="1"/>
  <c r="AK62" i="1"/>
  <c r="AK63" i="1"/>
  <c r="AK64" i="1"/>
  <c r="AK65" i="1"/>
  <c r="AK67" i="1"/>
  <c r="AK68" i="1"/>
  <c r="AK69" i="1"/>
  <c r="AK70" i="1"/>
  <c r="AK71" i="1"/>
  <c r="AK72" i="1"/>
  <c r="AK73" i="1"/>
  <c r="AK75" i="1"/>
  <c r="AK76" i="1"/>
  <c r="AK77" i="1"/>
  <c r="AK78" i="1"/>
  <c r="AK80" i="1"/>
  <c r="AK81" i="1"/>
  <c r="AM6" i="1"/>
  <c r="AM7" i="1"/>
  <c r="AM8" i="1"/>
  <c r="AM9" i="1"/>
  <c r="AM10" i="1"/>
  <c r="AM11" i="1"/>
  <c r="AM12" i="1"/>
  <c r="AM13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K6" i="1"/>
  <c r="AK7" i="1"/>
  <c r="AK8" i="1"/>
  <c r="AK9" i="1"/>
  <c r="AK10" i="1"/>
  <c r="AK11" i="1"/>
  <c r="AK12" i="1"/>
  <c r="AK13" i="1"/>
  <c r="AO13" i="1" s="1"/>
  <c r="AK15" i="1"/>
  <c r="AO15" i="1" s="1"/>
  <c r="AK16" i="1"/>
  <c r="AO16" i="1" s="1"/>
  <c r="AK17" i="1"/>
  <c r="AK18" i="1"/>
  <c r="AK19" i="1"/>
  <c r="AK20" i="1"/>
  <c r="AK21" i="1"/>
  <c r="AK22" i="1"/>
  <c r="AK23" i="1"/>
  <c r="AK24" i="1"/>
  <c r="AK25" i="1"/>
  <c r="AO25" i="1" s="1"/>
  <c r="AK26" i="1"/>
  <c r="AO26" i="1" s="1"/>
  <c r="AK28" i="1"/>
  <c r="AO28" i="1" s="1"/>
  <c r="AK29" i="1"/>
  <c r="AO29" i="1" s="1"/>
  <c r="AK30" i="1"/>
  <c r="AK31" i="1"/>
  <c r="AK32" i="1"/>
  <c r="AK33" i="1"/>
  <c r="AK34" i="1"/>
  <c r="AK35" i="1"/>
  <c r="AK36" i="1"/>
  <c r="AK37" i="1"/>
  <c r="AK38" i="1"/>
  <c r="AO38" i="1" s="1"/>
  <c r="AK39" i="1"/>
  <c r="AO39" i="1" s="1"/>
  <c r="AK41" i="1"/>
  <c r="AO41" i="1" s="1"/>
  <c r="AK42" i="1"/>
  <c r="AO42" i="1" s="1"/>
  <c r="AK43" i="1"/>
  <c r="AK44" i="1"/>
  <c r="AK45" i="1"/>
  <c r="AK46" i="1"/>
  <c r="AK47" i="1"/>
  <c r="AK48" i="1"/>
  <c r="AK49" i="1"/>
  <c r="AK50" i="1"/>
  <c r="AK51" i="1"/>
  <c r="AO51" i="1" s="1"/>
  <c r="AK52" i="1"/>
  <c r="AO52" i="1" s="1"/>
  <c r="AM5" i="1"/>
  <c r="AC55" i="1"/>
  <c r="AC56" i="1"/>
  <c r="AC57" i="1"/>
  <c r="AC59" i="1"/>
  <c r="AC60" i="1"/>
  <c r="AC61" i="1"/>
  <c r="AC62" i="1"/>
  <c r="AC63" i="1"/>
  <c r="AC64" i="1"/>
  <c r="AC65" i="1"/>
  <c r="AC67" i="1"/>
  <c r="AC68" i="1"/>
  <c r="AC69" i="1"/>
  <c r="AC70" i="1"/>
  <c r="AC71" i="1"/>
  <c r="AC72" i="1"/>
  <c r="AC74" i="1"/>
  <c r="AC75" i="1"/>
  <c r="AC76" i="1"/>
  <c r="AC77" i="1"/>
  <c r="AC78" i="1"/>
  <c r="AC80" i="1"/>
  <c r="AC81" i="1"/>
  <c r="AC82" i="1"/>
  <c r="AA55" i="1"/>
  <c r="AA56" i="1"/>
  <c r="AA57" i="1"/>
  <c r="AA59" i="1"/>
  <c r="AE59" i="1" s="1"/>
  <c r="AA60" i="1"/>
  <c r="AA61" i="1"/>
  <c r="AA62" i="1"/>
  <c r="AA63" i="1"/>
  <c r="AA64" i="1"/>
  <c r="AA65" i="1"/>
  <c r="AA67" i="1"/>
  <c r="AA68" i="1"/>
  <c r="AA69" i="1"/>
  <c r="AA70" i="1"/>
  <c r="AA71" i="1"/>
  <c r="AA72" i="1"/>
  <c r="AA74" i="1"/>
  <c r="AA75" i="1"/>
  <c r="AA76" i="1"/>
  <c r="AA77" i="1"/>
  <c r="AA78" i="1"/>
  <c r="AA80" i="1"/>
  <c r="AA81" i="1"/>
  <c r="AC6" i="1"/>
  <c r="AC7" i="1"/>
  <c r="AC8" i="1"/>
  <c r="AC9" i="1"/>
  <c r="AC10" i="1"/>
  <c r="AC11" i="1"/>
  <c r="AC12" i="1"/>
  <c r="AC13" i="1"/>
  <c r="AC16" i="1"/>
  <c r="AC17" i="1"/>
  <c r="AC18" i="1"/>
  <c r="AC19" i="1"/>
  <c r="AC20" i="1"/>
  <c r="AC21" i="1"/>
  <c r="AC22" i="1"/>
  <c r="AC23" i="1"/>
  <c r="AC24" i="1"/>
  <c r="AC25" i="1"/>
  <c r="AC26" i="1"/>
  <c r="AC29" i="1"/>
  <c r="AC30" i="1"/>
  <c r="AC31" i="1"/>
  <c r="AC32" i="1"/>
  <c r="AE32" i="1" s="1"/>
  <c r="AC33" i="1"/>
  <c r="AC34" i="1"/>
  <c r="AC35" i="1"/>
  <c r="AC36" i="1"/>
  <c r="AC37" i="1"/>
  <c r="AC38" i="1"/>
  <c r="AC39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A6" i="1"/>
  <c r="AA7" i="1"/>
  <c r="AA8" i="1"/>
  <c r="AE8" i="1" s="1"/>
  <c r="AA9" i="1"/>
  <c r="AE9" i="1" s="1"/>
  <c r="AA10" i="1"/>
  <c r="AE10" i="1" s="1"/>
  <c r="AA11" i="1"/>
  <c r="AE11" i="1" s="1"/>
  <c r="AA12" i="1"/>
  <c r="AE12" i="1" s="1"/>
  <c r="AA13" i="1"/>
  <c r="AA15" i="1"/>
  <c r="AE15" i="1" s="1"/>
  <c r="AA16" i="1"/>
  <c r="AA17" i="1"/>
  <c r="AA18" i="1"/>
  <c r="AA19" i="1"/>
  <c r="AA20" i="1"/>
  <c r="AA21" i="1"/>
  <c r="AA22" i="1"/>
  <c r="AE22" i="1" s="1"/>
  <c r="AA23" i="1"/>
  <c r="AE23" i="1" s="1"/>
  <c r="AA24" i="1"/>
  <c r="AE24" i="1" s="1"/>
  <c r="AA25" i="1"/>
  <c r="AE25" i="1" s="1"/>
  <c r="AA26" i="1"/>
  <c r="AA29" i="1"/>
  <c r="AA30" i="1"/>
  <c r="AA31" i="1"/>
  <c r="AA33" i="1"/>
  <c r="AA34" i="1"/>
  <c r="AA35" i="1"/>
  <c r="AA36" i="1"/>
  <c r="AE36" i="1" s="1"/>
  <c r="AA37" i="1"/>
  <c r="AE37" i="1" s="1"/>
  <c r="AA38" i="1"/>
  <c r="AE38" i="1" s="1"/>
  <c r="AA39" i="1"/>
  <c r="AA41" i="1"/>
  <c r="AA42" i="1"/>
  <c r="AA43" i="1"/>
  <c r="AA44" i="1"/>
  <c r="AA45" i="1"/>
  <c r="AA46" i="1"/>
  <c r="AA47" i="1"/>
  <c r="AA48" i="1"/>
  <c r="AA49" i="1"/>
  <c r="AE49" i="1" s="1"/>
  <c r="AA50" i="1"/>
  <c r="AE50" i="1" s="1"/>
  <c r="AA51" i="1"/>
  <c r="AE51" i="1" s="1"/>
  <c r="AA52" i="1"/>
  <c r="AC5" i="1"/>
  <c r="S55" i="1"/>
  <c r="S56" i="1"/>
  <c r="S57" i="1"/>
  <c r="S59" i="1"/>
  <c r="S60" i="1"/>
  <c r="S61" i="1"/>
  <c r="S62" i="1"/>
  <c r="S63" i="1"/>
  <c r="S64" i="1"/>
  <c r="S65" i="1"/>
  <c r="S67" i="1"/>
  <c r="S68" i="1"/>
  <c r="S69" i="1"/>
  <c r="S70" i="1"/>
  <c r="S71" i="1"/>
  <c r="S72" i="1"/>
  <c r="S74" i="1"/>
  <c r="S75" i="1"/>
  <c r="S76" i="1"/>
  <c r="S77" i="1"/>
  <c r="S78" i="1"/>
  <c r="S80" i="1"/>
  <c r="S81" i="1"/>
  <c r="S82" i="1"/>
  <c r="S6" i="1"/>
  <c r="S7" i="1"/>
  <c r="S8" i="1"/>
  <c r="S9" i="1"/>
  <c r="S10" i="1"/>
  <c r="S11" i="1"/>
  <c r="S12" i="1"/>
  <c r="S13" i="1"/>
  <c r="S15" i="1"/>
  <c r="S16" i="1"/>
  <c r="S17" i="1"/>
  <c r="S18" i="1"/>
  <c r="S19" i="1"/>
  <c r="S20" i="1"/>
  <c r="S21" i="1"/>
  <c r="S22" i="1"/>
  <c r="S23" i="1"/>
  <c r="S24" i="1"/>
  <c r="S25" i="1"/>
  <c r="S26" i="1"/>
  <c r="S28" i="1"/>
  <c r="S29" i="1"/>
  <c r="S30" i="1"/>
  <c r="S31" i="1"/>
  <c r="S32" i="1"/>
  <c r="S33" i="1"/>
  <c r="S34" i="1"/>
  <c r="S35" i="1"/>
  <c r="S36" i="1"/>
  <c r="S37" i="1"/>
  <c r="S38" i="1"/>
  <c r="S39" i="1"/>
  <c r="S41" i="1"/>
  <c r="S42" i="1"/>
  <c r="S43" i="1"/>
  <c r="S44" i="1"/>
  <c r="S45" i="1"/>
  <c r="S46" i="1"/>
  <c r="S47" i="1"/>
  <c r="S48" i="1"/>
  <c r="S49" i="1"/>
  <c r="S50" i="1"/>
  <c r="S51" i="1"/>
  <c r="S52" i="1"/>
  <c r="Q55" i="1"/>
  <c r="Q56" i="1"/>
  <c r="Q57" i="1"/>
  <c r="U57" i="1" s="1"/>
  <c r="Q59" i="1"/>
  <c r="Q60" i="1"/>
  <c r="Q61" i="1"/>
  <c r="Q62" i="1"/>
  <c r="Q63" i="1"/>
  <c r="Q64" i="1"/>
  <c r="Q65" i="1"/>
  <c r="Q67" i="1"/>
  <c r="Q68" i="1"/>
  <c r="Q69" i="1"/>
  <c r="Q70" i="1"/>
  <c r="Q71" i="1"/>
  <c r="Q72" i="1"/>
  <c r="Q74" i="1"/>
  <c r="Q75" i="1"/>
  <c r="Q76" i="1"/>
  <c r="Q77" i="1"/>
  <c r="Q78" i="1"/>
  <c r="Q80" i="1"/>
  <c r="Q81" i="1"/>
  <c r="Q6" i="1"/>
  <c r="Q7" i="1"/>
  <c r="Q8" i="1"/>
  <c r="Q9" i="1"/>
  <c r="Q10" i="1"/>
  <c r="Q11" i="1"/>
  <c r="Q12" i="1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2" i="1"/>
  <c r="Q43" i="1"/>
  <c r="Q44" i="1"/>
  <c r="Q45" i="1"/>
  <c r="Q46" i="1"/>
  <c r="Q47" i="1"/>
  <c r="Q48" i="1"/>
  <c r="Q49" i="1"/>
  <c r="Q50" i="1"/>
  <c r="Q51" i="1"/>
  <c r="Q52" i="1"/>
  <c r="BS24" i="1" l="1"/>
  <c r="AO36" i="1"/>
  <c r="BS36" i="1"/>
  <c r="CC64" i="1"/>
  <c r="U81" i="1"/>
  <c r="AE34" i="1"/>
  <c r="AO50" i="1"/>
  <c r="AO37" i="1"/>
  <c r="AO24" i="1"/>
  <c r="AO11" i="1"/>
  <c r="AY42" i="1"/>
  <c r="AY29" i="1"/>
  <c r="AY16" i="1"/>
  <c r="BI46" i="1"/>
  <c r="BI33" i="1"/>
  <c r="BI20" i="1"/>
  <c r="BI7" i="1"/>
  <c r="BS50" i="1"/>
  <c r="BS37" i="1"/>
  <c r="BS11" i="1"/>
  <c r="CC42" i="1"/>
  <c r="CC29" i="1"/>
  <c r="CC16" i="1"/>
  <c r="AE21" i="1"/>
  <c r="AO49" i="1"/>
  <c r="AO23" i="1"/>
  <c r="AO10" i="1"/>
  <c r="AY41" i="1"/>
  <c r="AY28" i="1"/>
  <c r="AY15" i="1"/>
  <c r="BI45" i="1"/>
  <c r="BI32" i="1"/>
  <c r="BI19" i="1"/>
  <c r="BI6" i="1"/>
  <c r="BS49" i="1"/>
  <c r="BS23" i="1"/>
  <c r="BS10" i="1"/>
  <c r="CC41" i="1"/>
  <c r="CC28" i="1"/>
  <c r="CC15" i="1"/>
  <c r="CM45" i="1"/>
  <c r="CM31" i="1"/>
  <c r="CM18" i="1"/>
  <c r="AE48" i="1"/>
  <c r="AE35" i="1"/>
  <c r="AE20" i="1"/>
  <c r="AE7" i="1"/>
  <c r="AO48" i="1"/>
  <c r="AO35" i="1"/>
  <c r="AO22" i="1"/>
  <c r="AO9" i="1"/>
  <c r="AY52" i="1"/>
  <c r="AY39" i="1"/>
  <c r="AY26" i="1"/>
  <c r="AY13" i="1"/>
  <c r="BI44" i="1"/>
  <c r="BI31" i="1"/>
  <c r="BS35" i="1"/>
  <c r="BS9" i="1"/>
  <c r="AE47" i="1"/>
  <c r="BS34" i="1"/>
  <c r="BS33" i="1"/>
  <c r="CC50" i="1"/>
  <c r="AO45" i="1"/>
  <c r="AO32" i="1"/>
  <c r="AO19" i="1"/>
  <c r="AO6" i="1"/>
  <c r="BI41" i="1"/>
  <c r="BI28" i="1"/>
  <c r="BI15" i="1"/>
  <c r="BS45" i="1"/>
  <c r="BS32" i="1"/>
  <c r="BS19" i="1"/>
  <c r="BS6" i="1"/>
  <c r="CC49" i="1"/>
  <c r="CC36" i="1"/>
  <c r="CC23" i="1"/>
  <c r="CC10" i="1"/>
  <c r="CM39" i="1"/>
  <c r="CM26" i="1"/>
  <c r="CM13" i="1"/>
  <c r="AO34" i="1"/>
  <c r="BS20" i="1"/>
  <c r="CC37" i="1"/>
  <c r="U62" i="1"/>
  <c r="AO31" i="1"/>
  <c r="AY48" i="1"/>
  <c r="AY35" i="1"/>
  <c r="AY22" i="1"/>
  <c r="AY9" i="1"/>
  <c r="BI52" i="1"/>
  <c r="BI39" i="1"/>
  <c r="BI26" i="1"/>
  <c r="BI13" i="1"/>
  <c r="BS44" i="1"/>
  <c r="BS31" i="1"/>
  <c r="BS18" i="1"/>
  <c r="CC48" i="1"/>
  <c r="CC35" i="1"/>
  <c r="CC22" i="1"/>
  <c r="CC9" i="1"/>
  <c r="CM52" i="1"/>
  <c r="CM38" i="1"/>
  <c r="CM25" i="1"/>
  <c r="CM12" i="1"/>
  <c r="BI18" i="1"/>
  <c r="BS48" i="1"/>
  <c r="BS22" i="1"/>
  <c r="CC52" i="1"/>
  <c r="CC39" i="1"/>
  <c r="CC26" i="1"/>
  <c r="CC13" i="1"/>
  <c r="CM44" i="1"/>
  <c r="CM30" i="1"/>
  <c r="CM17" i="1"/>
  <c r="AE46" i="1"/>
  <c r="AE33" i="1"/>
  <c r="AE19" i="1"/>
  <c r="AE6" i="1"/>
  <c r="AO47" i="1"/>
  <c r="AO21" i="1"/>
  <c r="AO8" i="1"/>
  <c r="AY51" i="1"/>
  <c r="AY38" i="1"/>
  <c r="AY25" i="1"/>
  <c r="AY12" i="1"/>
  <c r="BI43" i="1"/>
  <c r="BI30" i="1"/>
  <c r="BI17" i="1"/>
  <c r="BS47" i="1"/>
  <c r="BS21" i="1"/>
  <c r="BS8" i="1"/>
  <c r="CC51" i="1"/>
  <c r="CC38" i="1"/>
  <c r="CC25" i="1"/>
  <c r="CC12" i="1"/>
  <c r="CM43" i="1"/>
  <c r="CM29" i="1"/>
  <c r="CM16" i="1"/>
  <c r="AE45" i="1"/>
  <c r="AE18" i="1"/>
  <c r="AO46" i="1"/>
  <c r="AO33" i="1"/>
  <c r="AO20" i="1"/>
  <c r="AO7" i="1"/>
  <c r="AY50" i="1"/>
  <c r="AY37" i="1"/>
  <c r="AY24" i="1"/>
  <c r="AY11" i="1"/>
  <c r="BI42" i="1"/>
  <c r="BI29" i="1"/>
  <c r="BI16" i="1"/>
  <c r="BS46" i="1"/>
  <c r="BS7" i="1"/>
  <c r="CC24" i="1"/>
  <c r="CC11" i="1"/>
  <c r="CM42" i="1"/>
  <c r="CM28" i="1"/>
  <c r="CM15" i="1"/>
  <c r="U76" i="1"/>
  <c r="AE44" i="1"/>
  <c r="AE31" i="1"/>
  <c r="AE16" i="1"/>
  <c r="AO44" i="1"/>
  <c r="AO18" i="1"/>
  <c r="AE42" i="1"/>
  <c r="AE29" i="1"/>
  <c r="AO43" i="1"/>
  <c r="AO30" i="1"/>
  <c r="AO17" i="1"/>
  <c r="AY47" i="1"/>
  <c r="AY34" i="1"/>
  <c r="AY21" i="1"/>
  <c r="AY8" i="1"/>
  <c r="BI51" i="1"/>
  <c r="BI38" i="1"/>
  <c r="BI25" i="1"/>
  <c r="BI12" i="1"/>
  <c r="BS43" i="1"/>
  <c r="BS30" i="1"/>
  <c r="BS17" i="1"/>
  <c r="CC47" i="1"/>
  <c r="CC34" i="1"/>
  <c r="CC21" i="1"/>
  <c r="CC8" i="1"/>
  <c r="CM51" i="1"/>
  <c r="CM37" i="1"/>
  <c r="CM24" i="1"/>
  <c r="CM11" i="1"/>
  <c r="AE41" i="1"/>
  <c r="U67" i="1"/>
  <c r="U51" i="1"/>
  <c r="U47" i="1"/>
  <c r="U43" i="1"/>
  <c r="U38" i="1"/>
  <c r="U34" i="1"/>
  <c r="U30" i="1"/>
  <c r="U25" i="1"/>
  <c r="U21" i="1"/>
  <c r="U17" i="1"/>
  <c r="U12" i="1"/>
  <c r="U8" i="1"/>
  <c r="AO12" i="1"/>
  <c r="U52" i="1"/>
  <c r="U48" i="1"/>
  <c r="U44" i="1"/>
  <c r="U39" i="1"/>
  <c r="U35" i="1"/>
  <c r="U31" i="1"/>
  <c r="U26" i="1"/>
  <c r="U22" i="1"/>
  <c r="U18" i="1"/>
  <c r="U13" i="1"/>
  <c r="U9" i="1"/>
  <c r="CM9" i="1"/>
  <c r="U46" i="1"/>
  <c r="U33" i="1"/>
  <c r="U24" i="1"/>
  <c r="U16" i="1"/>
  <c r="U11" i="1"/>
  <c r="U7" i="1"/>
  <c r="U50" i="1"/>
  <c r="U42" i="1"/>
  <c r="U37" i="1"/>
  <c r="U29" i="1"/>
  <c r="U20" i="1"/>
  <c r="U49" i="1"/>
  <c r="U41" i="1"/>
  <c r="U36" i="1"/>
  <c r="U28" i="1"/>
  <c r="U23" i="1"/>
  <c r="U15" i="1"/>
  <c r="U10" i="1"/>
  <c r="AO68" i="1"/>
  <c r="CC67" i="1"/>
  <c r="CC76" i="1"/>
  <c r="AE74" i="1"/>
  <c r="AE69" i="1"/>
  <c r="AE64" i="1"/>
  <c r="AE60" i="1"/>
  <c r="AE55" i="1"/>
  <c r="AO72" i="1"/>
  <c r="AO59" i="1"/>
  <c r="AO69" i="1"/>
  <c r="CC65" i="1"/>
  <c r="AO67" i="1"/>
  <c r="AO57" i="1"/>
  <c r="BS76" i="1"/>
  <c r="BS57" i="1"/>
  <c r="CC75" i="1"/>
  <c r="U80" i="1"/>
  <c r="U75" i="1"/>
  <c r="U70" i="1"/>
  <c r="U65" i="1"/>
  <c r="U61" i="1"/>
  <c r="U56" i="1"/>
  <c r="AO78" i="1"/>
  <c r="AO73" i="1"/>
  <c r="AO60" i="1"/>
  <c r="AO55" i="1"/>
  <c r="AY60" i="1"/>
  <c r="BS78" i="1"/>
  <c r="BS69" i="1"/>
  <c r="BS64" i="1"/>
  <c r="CC71" i="1"/>
  <c r="CC57" i="1"/>
  <c r="AY59" i="1"/>
  <c r="U78" i="1"/>
  <c r="U74" i="1"/>
  <c r="AY74" i="1"/>
  <c r="AY64" i="1"/>
  <c r="AY55" i="1"/>
  <c r="BI78" i="1"/>
  <c r="BI69" i="1"/>
  <c r="BI64" i="1"/>
  <c r="CM78" i="1"/>
  <c r="CM69" i="1"/>
  <c r="CM64" i="1"/>
  <c r="CM81" i="1"/>
  <c r="CM76" i="1"/>
  <c r="CM67" i="1"/>
  <c r="CM62" i="1"/>
  <c r="AE70" i="1"/>
  <c r="AE65" i="1"/>
  <c r="AE61" i="1"/>
  <c r="AE56" i="1"/>
  <c r="AY68" i="1"/>
  <c r="BI76" i="1"/>
  <c r="AO65" i="1"/>
  <c r="BI80" i="1"/>
  <c r="BS80" i="1"/>
  <c r="BS70" i="1"/>
  <c r="BS56" i="1"/>
  <c r="CC77" i="1"/>
  <c r="CC72" i="1"/>
  <c r="CC68" i="1"/>
  <c r="CC63" i="1"/>
  <c r="CC59" i="1"/>
  <c r="AO70" i="1"/>
  <c r="AO56" i="1"/>
  <c r="AY81" i="1"/>
  <c r="BS75" i="1"/>
  <c r="BS65" i="1"/>
  <c r="U77" i="1"/>
  <c r="U72" i="1"/>
  <c r="U68" i="1"/>
  <c r="U63" i="1"/>
  <c r="U59" i="1"/>
  <c r="AE81" i="1"/>
  <c r="AE57" i="1"/>
  <c r="AE77" i="1"/>
  <c r="AE72" i="1"/>
  <c r="AE68" i="1"/>
  <c r="AE63" i="1"/>
  <c r="AO81" i="1"/>
  <c r="BI81" i="1"/>
  <c r="BI57" i="1"/>
  <c r="BS62" i="1"/>
  <c r="CC80" i="1"/>
  <c r="CC70" i="1"/>
  <c r="CM80" i="1"/>
  <c r="CM70" i="1"/>
  <c r="CM65" i="1"/>
  <c r="CM56" i="1"/>
  <c r="CM77" i="1"/>
  <c r="CM72" i="1"/>
  <c r="CM68" i="1"/>
  <c r="CM63" i="1"/>
  <c r="CM59" i="1"/>
  <c r="AE43" i="1"/>
  <c r="AE30" i="1"/>
  <c r="AE17" i="1"/>
  <c r="AO64" i="1"/>
  <c r="BS73" i="1"/>
  <c r="BS60" i="1"/>
  <c r="BS55" i="1"/>
  <c r="AE76" i="1"/>
  <c r="AY77" i="1"/>
  <c r="BI73" i="1"/>
  <c r="BI60" i="1"/>
  <c r="U71" i="1"/>
  <c r="AO77" i="1"/>
  <c r="AO63" i="1"/>
  <c r="AY49" i="1"/>
  <c r="AY36" i="1"/>
  <c r="AY23" i="1"/>
  <c r="AY10" i="1"/>
  <c r="AY72" i="1"/>
  <c r="BI47" i="1"/>
  <c r="BI72" i="1"/>
  <c r="BS72" i="1"/>
  <c r="BS68" i="1"/>
  <c r="BS59" i="1"/>
  <c r="CC81" i="1"/>
  <c r="U69" i="1"/>
  <c r="U64" i="1"/>
  <c r="U60" i="1"/>
  <c r="U55" i="1"/>
  <c r="U45" i="1"/>
  <c r="U32" i="1"/>
  <c r="U19" i="1"/>
  <c r="U6" i="1"/>
  <c r="AE52" i="1"/>
  <c r="AE39" i="1"/>
  <c r="AE26" i="1"/>
  <c r="AE13" i="1"/>
  <c r="AE78" i="1"/>
  <c r="AO61" i="1"/>
  <c r="AO76" i="1"/>
  <c r="AO71" i="1"/>
  <c r="AO62" i="1"/>
  <c r="AY44" i="1"/>
  <c r="AY31" i="1"/>
  <c r="AY18" i="1"/>
  <c r="AY76" i="1"/>
  <c r="AY71" i="1"/>
  <c r="AY62" i="1"/>
  <c r="AY57" i="1"/>
  <c r="AY78" i="1"/>
  <c r="BI70" i="1"/>
  <c r="BI65" i="1"/>
  <c r="BI61" i="1"/>
  <c r="BI56" i="1"/>
  <c r="BI71" i="1"/>
  <c r="BI67" i="1"/>
  <c r="BS81" i="1"/>
  <c r="BS71" i="1"/>
  <c r="BS67" i="1"/>
  <c r="CC61" i="1"/>
  <c r="CC56" i="1"/>
  <c r="CM75" i="1"/>
  <c r="CM61" i="1"/>
  <c r="CC74" i="1"/>
  <c r="CC69" i="1"/>
  <c r="CC60" i="1"/>
  <c r="CC55" i="1"/>
  <c r="CM46" i="1"/>
  <c r="CM33" i="1"/>
  <c r="CM20" i="1"/>
  <c r="CM7" i="1"/>
  <c r="CM71" i="1"/>
  <c r="CM57" i="1"/>
  <c r="CM74" i="1"/>
  <c r="CM60" i="1"/>
  <c r="CM55" i="1"/>
  <c r="AY80" i="1"/>
  <c r="AY67" i="1"/>
  <c r="AO80" i="1"/>
  <c r="BI75" i="1"/>
  <c r="BI62" i="1"/>
  <c r="AE80" i="1"/>
  <c r="AE67" i="1"/>
  <c r="AE75" i="1"/>
  <c r="AE62" i="1"/>
  <c r="BI55" i="1"/>
  <c r="AY63" i="1"/>
  <c r="AE71" i="1"/>
  <c r="AO75" i="1"/>
  <c r="AA36" i="9"/>
  <c r="X36" i="9"/>
  <c r="U36" i="9"/>
  <c r="R36" i="9"/>
  <c r="O36" i="9"/>
  <c r="L36" i="9"/>
  <c r="I36" i="9"/>
  <c r="F36" i="9"/>
  <c r="C36" i="9"/>
  <c r="AA33" i="9"/>
  <c r="AA35" i="9" s="1"/>
  <c r="X33" i="9"/>
  <c r="X35" i="9" s="1"/>
  <c r="U33" i="9"/>
  <c r="U35" i="9" s="1"/>
  <c r="R33" i="9"/>
  <c r="R35" i="9" s="1"/>
  <c r="O33" i="9"/>
  <c r="O35" i="9" s="1"/>
  <c r="L33" i="9"/>
  <c r="L35" i="9" s="1"/>
  <c r="I33" i="9"/>
  <c r="I35" i="9" s="1"/>
  <c r="F33" i="9"/>
  <c r="F35" i="9" s="1"/>
  <c r="C33" i="9"/>
  <c r="C35" i="9" s="1"/>
  <c r="R39" i="6"/>
  <c r="R36" i="6"/>
  <c r="L39" i="6"/>
  <c r="C37" i="9" l="1"/>
  <c r="F82" i="1" s="1"/>
  <c r="O37" i="9"/>
  <c r="AT82" i="1" s="1"/>
  <c r="AU82" i="1" s="1"/>
  <c r="AY82" i="1" s="1"/>
  <c r="AA37" i="9"/>
  <c r="CH82" i="1" s="1"/>
  <c r="CI82" i="1" s="1"/>
  <c r="CM82" i="1" s="1"/>
  <c r="F37" i="9"/>
  <c r="P82" i="1" s="1"/>
  <c r="Q82" i="1" s="1"/>
  <c r="U82" i="1" s="1"/>
  <c r="R37" i="9"/>
  <c r="BD82" i="1" s="1"/>
  <c r="BE82" i="1" s="1"/>
  <c r="BI82" i="1" s="1"/>
  <c r="I37" i="9"/>
  <c r="Z82" i="1" s="1"/>
  <c r="AA82" i="1" s="1"/>
  <c r="AE82" i="1" s="1"/>
  <c r="U37" i="9"/>
  <c r="BN82" i="1" s="1"/>
  <c r="BO82" i="1" s="1"/>
  <c r="BS82" i="1" s="1"/>
  <c r="L37" i="9"/>
  <c r="AJ82" i="1" s="1"/>
  <c r="AK82" i="1" s="1"/>
  <c r="AO82" i="1" s="1"/>
  <c r="X37" i="9"/>
  <c r="BX82" i="1" s="1"/>
  <c r="BY82" i="1" s="1"/>
  <c r="CC82" i="1" s="1"/>
  <c r="L36" i="6"/>
  <c r="L38" i="6" s="1"/>
  <c r="L40" i="6" l="1"/>
  <c r="AJ5" i="1" s="1"/>
  <c r="AK5" i="1" s="1"/>
  <c r="AO5" i="1" s="1"/>
  <c r="X39" i="6" l="1"/>
  <c r="X36" i="6"/>
  <c r="X38" i="6" s="1"/>
  <c r="O39" i="6"/>
  <c r="O36" i="6"/>
  <c r="O38" i="6" s="1"/>
  <c r="I39" i="6"/>
  <c r="AA36" i="6"/>
  <c r="U36" i="6"/>
  <c r="I36" i="6"/>
  <c r="I38" i="6" s="1"/>
  <c r="AA39" i="6"/>
  <c r="U39" i="6"/>
  <c r="E66" i="5" l="1"/>
  <c r="I29" i="5" l="1"/>
  <c r="I47" i="5"/>
  <c r="S5" i="1"/>
  <c r="H51" i="5"/>
  <c r="I51" i="5" s="1"/>
  <c r="I55" i="1"/>
  <c r="I56" i="1"/>
  <c r="I57" i="1"/>
  <c r="I59" i="1"/>
  <c r="I60" i="1"/>
  <c r="I61" i="1"/>
  <c r="I62" i="1"/>
  <c r="I63" i="1"/>
  <c r="I64" i="1"/>
  <c r="I65" i="1"/>
  <c r="I67" i="1"/>
  <c r="I68" i="1"/>
  <c r="I69" i="1"/>
  <c r="I70" i="1"/>
  <c r="I71" i="1"/>
  <c r="I72" i="1"/>
  <c r="I74" i="1"/>
  <c r="I75" i="1"/>
  <c r="I76" i="1"/>
  <c r="I77" i="1"/>
  <c r="I78" i="1"/>
  <c r="I80" i="1"/>
  <c r="I81" i="1"/>
  <c r="I82" i="1"/>
  <c r="I6" i="1"/>
  <c r="I7" i="1"/>
  <c r="I8" i="1"/>
  <c r="I9" i="1"/>
  <c r="I10" i="1"/>
  <c r="I11" i="1"/>
  <c r="I12" i="1"/>
  <c r="I13" i="1"/>
  <c r="I14" i="1"/>
  <c r="K14" i="1" s="1"/>
  <c r="I16" i="1"/>
  <c r="I18" i="1"/>
  <c r="I19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42" i="1"/>
  <c r="I43" i="1"/>
  <c r="I44" i="1"/>
  <c r="I45" i="1"/>
  <c r="I46" i="1"/>
  <c r="I47" i="1"/>
  <c r="I48" i="1"/>
  <c r="I49" i="1"/>
  <c r="I50" i="1"/>
  <c r="I51" i="1"/>
  <c r="I52" i="1"/>
  <c r="I5" i="1"/>
  <c r="F39" i="6"/>
  <c r="F36" i="6"/>
  <c r="C36" i="6"/>
  <c r="C38" i="6" s="1"/>
  <c r="C39" i="6"/>
  <c r="C40" i="6" l="1"/>
  <c r="J77" i="1"/>
  <c r="E78" i="5" l="1"/>
  <c r="G6" i="1" l="1"/>
  <c r="K6" i="1" s="1"/>
  <c r="H7" i="5" s="1"/>
  <c r="I7" i="5" s="1"/>
  <c r="G7" i="1"/>
  <c r="K7" i="1" s="1"/>
  <c r="H8" i="5" s="1"/>
  <c r="I8" i="5" s="1"/>
  <c r="G8" i="1"/>
  <c r="K8" i="1" s="1"/>
  <c r="H9" i="5" s="1"/>
  <c r="I9" i="5" s="1"/>
  <c r="G9" i="1"/>
  <c r="K9" i="1" s="1"/>
  <c r="H10" i="5" s="1"/>
  <c r="I10" i="5" s="1"/>
  <c r="G10" i="1"/>
  <c r="K10" i="1" s="1"/>
  <c r="H11" i="5" s="1"/>
  <c r="I11" i="5" s="1"/>
  <c r="G11" i="1"/>
  <c r="K11" i="1" s="1"/>
  <c r="H12" i="5" s="1"/>
  <c r="I12" i="5" s="1"/>
  <c r="G12" i="1"/>
  <c r="K12" i="1" s="1"/>
  <c r="H13" i="5" s="1"/>
  <c r="I13" i="5" s="1"/>
  <c r="G13" i="1"/>
  <c r="K13" i="1" s="1"/>
  <c r="G15" i="1"/>
  <c r="G16" i="1"/>
  <c r="K16" i="1" s="1"/>
  <c r="H16" i="5" s="1"/>
  <c r="I16" i="5" s="1"/>
  <c r="G17" i="1"/>
  <c r="K17" i="1" s="1"/>
  <c r="H17" i="5" s="1"/>
  <c r="I17" i="5" s="1"/>
  <c r="G18" i="1"/>
  <c r="K18" i="1" s="1"/>
  <c r="H18" i="5" s="1"/>
  <c r="I18" i="5" s="1"/>
  <c r="G19" i="1"/>
  <c r="K19" i="1" s="1"/>
  <c r="H19" i="5" s="1"/>
  <c r="I19" i="5" s="1"/>
  <c r="G20" i="1"/>
  <c r="K20" i="1" s="1"/>
  <c r="H20" i="5" s="1"/>
  <c r="I20" i="5" s="1"/>
  <c r="G21" i="1"/>
  <c r="K21" i="1" s="1"/>
  <c r="H21" i="5" s="1"/>
  <c r="I21" i="5" s="1"/>
  <c r="G22" i="1"/>
  <c r="K22" i="1" s="1"/>
  <c r="H22" i="5" s="1"/>
  <c r="I22" i="5" s="1"/>
  <c r="G23" i="1"/>
  <c r="K23" i="1" s="1"/>
  <c r="H23" i="5" s="1"/>
  <c r="I23" i="5" s="1"/>
  <c r="G24" i="1"/>
  <c r="K24" i="1" s="1"/>
  <c r="H24" i="5" s="1"/>
  <c r="I24" i="5" s="1"/>
  <c r="G25" i="1"/>
  <c r="K25" i="1" s="1"/>
  <c r="H25" i="5" s="1"/>
  <c r="I25" i="5" s="1"/>
  <c r="G26" i="1"/>
  <c r="K26" i="1" s="1"/>
  <c r="G28" i="1"/>
  <c r="K28" i="1" s="1"/>
  <c r="H27" i="5" s="1"/>
  <c r="I27" i="5" s="1"/>
  <c r="G29" i="1"/>
  <c r="K29" i="1" s="1"/>
  <c r="H28" i="5" s="1"/>
  <c r="I28" i="5" s="1"/>
  <c r="G30" i="1"/>
  <c r="K30" i="1" s="1"/>
  <c r="G31" i="1"/>
  <c r="K31" i="1" s="1"/>
  <c r="H30" i="5" s="1"/>
  <c r="I30" i="5" s="1"/>
  <c r="G32" i="1"/>
  <c r="K32" i="1" s="1"/>
  <c r="H31" i="5" s="1"/>
  <c r="I31" i="5" s="1"/>
  <c r="G33" i="1"/>
  <c r="K33" i="1" s="1"/>
  <c r="H32" i="5" s="1"/>
  <c r="I32" i="5" s="1"/>
  <c r="G34" i="1"/>
  <c r="K34" i="1" s="1"/>
  <c r="H33" i="5" s="1"/>
  <c r="I33" i="5" s="1"/>
  <c r="G35" i="1"/>
  <c r="K35" i="1" s="1"/>
  <c r="H34" i="5" s="1"/>
  <c r="I34" i="5" s="1"/>
  <c r="G36" i="1"/>
  <c r="K36" i="1" s="1"/>
  <c r="H35" i="5" s="1"/>
  <c r="I35" i="5" s="1"/>
  <c r="G37" i="1"/>
  <c r="K37" i="1" s="1"/>
  <c r="H36" i="5" s="1"/>
  <c r="I36" i="5" s="1"/>
  <c r="G38" i="1"/>
  <c r="K38" i="1" s="1"/>
  <c r="H37" i="5" s="1"/>
  <c r="I37" i="5" s="1"/>
  <c r="G39" i="1"/>
  <c r="K39" i="1" s="1"/>
  <c r="G41" i="1"/>
  <c r="K41" i="1" s="1"/>
  <c r="H39" i="5" s="1"/>
  <c r="I39" i="5" s="1"/>
  <c r="G42" i="1"/>
  <c r="K42" i="1" s="1"/>
  <c r="H40" i="5" s="1"/>
  <c r="I40" i="5" s="1"/>
  <c r="G43" i="1"/>
  <c r="K43" i="1" s="1"/>
  <c r="H41" i="5" s="1"/>
  <c r="I41" i="5" s="1"/>
  <c r="G44" i="1"/>
  <c r="K44" i="1" s="1"/>
  <c r="H42" i="5" s="1"/>
  <c r="I42" i="5" s="1"/>
  <c r="G45" i="1"/>
  <c r="K45" i="1" s="1"/>
  <c r="H43" i="5" s="1"/>
  <c r="I43" i="5" s="1"/>
  <c r="G46" i="1"/>
  <c r="K46" i="1" s="1"/>
  <c r="H44" i="5" s="1"/>
  <c r="I44" i="5" s="1"/>
  <c r="G47" i="1"/>
  <c r="K47" i="1" s="1"/>
  <c r="H45" i="5" s="1"/>
  <c r="I45" i="5" s="1"/>
  <c r="G48" i="1"/>
  <c r="K48" i="1" s="1"/>
  <c r="H46" i="5" s="1"/>
  <c r="I46" i="5" s="1"/>
  <c r="G49" i="1"/>
  <c r="K49" i="1" s="1"/>
  <c r="G50" i="1"/>
  <c r="K50" i="1" s="1"/>
  <c r="H48" i="5" s="1"/>
  <c r="I48" i="5" s="1"/>
  <c r="G51" i="1"/>
  <c r="K51" i="1" s="1"/>
  <c r="H49" i="5" s="1"/>
  <c r="I49" i="5" s="1"/>
  <c r="G52" i="1"/>
  <c r="K52" i="1" s="1"/>
  <c r="G55" i="1"/>
  <c r="K55" i="1" s="1"/>
  <c r="H52" i="5" s="1"/>
  <c r="I52" i="5" s="1"/>
  <c r="G56" i="1"/>
  <c r="K56" i="1" s="1"/>
  <c r="H53" i="5" s="1"/>
  <c r="I53" i="5" s="1"/>
  <c r="G57" i="1"/>
  <c r="K57" i="1" s="1"/>
  <c r="H54" i="5" s="1"/>
  <c r="I54" i="5" s="1"/>
  <c r="G59" i="1"/>
  <c r="K59" i="1" s="1"/>
  <c r="H56" i="5" s="1"/>
  <c r="I56" i="5" s="1"/>
  <c r="G60" i="1"/>
  <c r="K60" i="1" s="1"/>
  <c r="H57" i="5" s="1"/>
  <c r="I57" i="5" s="1"/>
  <c r="G61" i="1"/>
  <c r="K61" i="1" s="1"/>
  <c r="H58" i="5" s="1"/>
  <c r="I58" i="5" s="1"/>
  <c r="G62" i="1"/>
  <c r="K62" i="1" s="1"/>
  <c r="H59" i="5" s="1"/>
  <c r="I59" i="5" s="1"/>
  <c r="G63" i="1"/>
  <c r="K63" i="1" s="1"/>
  <c r="H60" i="5" s="1"/>
  <c r="I60" i="5" s="1"/>
  <c r="G64" i="1"/>
  <c r="K64" i="1" s="1"/>
  <c r="H61" i="5" s="1"/>
  <c r="I61" i="5" s="1"/>
  <c r="G65" i="1"/>
  <c r="K65" i="1" s="1"/>
  <c r="G67" i="1"/>
  <c r="G68" i="1"/>
  <c r="K68" i="1" s="1"/>
  <c r="H64" i="5" s="1"/>
  <c r="I64" i="5" s="1"/>
  <c r="G69" i="1"/>
  <c r="K69" i="1" s="1"/>
  <c r="H65" i="5" s="1"/>
  <c r="I65" i="5" s="1"/>
  <c r="G70" i="1"/>
  <c r="K70" i="1" s="1"/>
  <c r="H66" i="5" s="1"/>
  <c r="I66" i="5" s="1"/>
  <c r="G71" i="1"/>
  <c r="K71" i="1" s="1"/>
  <c r="H67" i="5" s="1"/>
  <c r="I67" i="5" s="1"/>
  <c r="G72" i="1"/>
  <c r="K72" i="1" s="1"/>
  <c r="H68" i="5" s="1"/>
  <c r="I68" i="5" s="1"/>
  <c r="G74" i="1"/>
  <c r="K74" i="1" s="1"/>
  <c r="G75" i="1"/>
  <c r="K75" i="1" s="1"/>
  <c r="H71" i="5" s="1"/>
  <c r="I71" i="5" s="1"/>
  <c r="G76" i="1"/>
  <c r="K76" i="1" s="1"/>
  <c r="H72" i="5" s="1"/>
  <c r="I72" i="5" s="1"/>
  <c r="G77" i="1"/>
  <c r="K77" i="1" s="1"/>
  <c r="G78" i="1"/>
  <c r="K78" i="1" s="1"/>
  <c r="G80" i="1"/>
  <c r="G81" i="1"/>
  <c r="K81" i="1" s="1"/>
  <c r="H76" i="5" s="1"/>
  <c r="I76" i="5" s="1"/>
  <c r="H50" i="5" l="1"/>
  <c r="I50" i="5" s="1"/>
  <c r="H38" i="5"/>
  <c r="I38" i="5" s="1"/>
  <c r="H62" i="5"/>
  <c r="I62" i="5" s="1"/>
  <c r="H74" i="5"/>
  <c r="I74" i="5" s="1"/>
  <c r="H73" i="5"/>
  <c r="I73" i="5" s="1"/>
  <c r="H26" i="5"/>
  <c r="I26" i="5" s="1"/>
  <c r="H14" i="5"/>
  <c r="I14" i="5" s="1"/>
  <c r="K67" i="1"/>
  <c r="H63" i="5" s="1"/>
  <c r="I63" i="5" s="1"/>
  <c r="K80" i="1"/>
  <c r="H75" i="5" s="1"/>
  <c r="I75" i="5" s="1"/>
  <c r="K15" i="1"/>
  <c r="H15" i="5" s="1"/>
  <c r="I15" i="5" s="1"/>
  <c r="AA38" i="6"/>
  <c r="U38" i="6"/>
  <c r="R38" i="6"/>
  <c r="F38" i="6"/>
  <c r="G82" i="1" l="1"/>
  <c r="K82" i="1" s="1"/>
  <c r="H77" i="5" s="1"/>
  <c r="I77" i="5" s="1"/>
  <c r="O40" i="6"/>
  <c r="AT5" i="1" s="1"/>
  <c r="AU5" i="1" s="1"/>
  <c r="AY5" i="1" s="1"/>
  <c r="F40" i="6"/>
  <c r="P5" i="1" s="1"/>
  <c r="Q5" i="1" s="1"/>
  <c r="U5" i="1" s="1"/>
  <c r="R40" i="6"/>
  <c r="BD5" i="1" s="1"/>
  <c r="BE5" i="1" s="1"/>
  <c r="BI5" i="1" s="1"/>
  <c r="F5" i="1"/>
  <c r="G5" i="1" s="1"/>
  <c r="K5" i="1" s="1"/>
  <c r="I40" i="6"/>
  <c r="Z5" i="1" s="1"/>
  <c r="AA5" i="1" s="1"/>
  <c r="AE5" i="1" s="1"/>
  <c r="U40" i="6"/>
  <c r="BN5" i="1" s="1"/>
  <c r="BO5" i="1" s="1"/>
  <c r="BS5" i="1" s="1"/>
  <c r="AA40" i="6"/>
  <c r="CH5" i="1" s="1"/>
  <c r="CI5" i="1" s="1"/>
  <c r="CM5" i="1" s="1"/>
  <c r="X40" i="6"/>
  <c r="BX5" i="1" s="1"/>
  <c r="BY5" i="1" s="1"/>
  <c r="CC5" i="1" s="1"/>
  <c r="P73" i="1"/>
  <c r="Q73" i="1" s="1"/>
  <c r="T31" i="1"/>
  <c r="I15" i="2"/>
  <c r="H15" i="2"/>
  <c r="H6" i="5" l="1"/>
  <c r="AL74" i="1"/>
  <c r="AM74" i="1" s="1"/>
  <c r="AJ74" i="1"/>
  <c r="AK74" i="1" s="1"/>
  <c r="BD74" i="1"/>
  <c r="BE74" i="1" s="1"/>
  <c r="BF74" i="1"/>
  <c r="BG74" i="1" s="1"/>
  <c r="BN74" i="1"/>
  <c r="BO74" i="1" s="1"/>
  <c r="BP74" i="1"/>
  <c r="BQ74" i="1" s="1"/>
  <c r="CH73" i="1"/>
  <c r="CI73" i="1" s="1"/>
  <c r="CJ73" i="1"/>
  <c r="CK73" i="1" s="1"/>
  <c r="BX73" i="1"/>
  <c r="BY73" i="1" s="1"/>
  <c r="BZ73" i="1"/>
  <c r="CA73" i="1" s="1"/>
  <c r="AT73" i="1"/>
  <c r="AU73" i="1" s="1"/>
  <c r="AV73" i="1"/>
  <c r="AW73" i="1" s="1"/>
  <c r="AB73" i="1"/>
  <c r="AC73" i="1" s="1"/>
  <c r="Z73" i="1"/>
  <c r="AA73" i="1" s="1"/>
  <c r="AE73" i="1" s="1"/>
  <c r="R73" i="1"/>
  <c r="S73" i="1" s="1"/>
  <c r="U73" i="1" s="1"/>
  <c r="F73" i="1"/>
  <c r="G73" i="1" s="1"/>
  <c r="H73" i="1"/>
  <c r="I73" i="1" s="1"/>
  <c r="AO74" i="1" l="1"/>
  <c r="AY73" i="1"/>
  <c r="CC73" i="1"/>
  <c r="CM73" i="1"/>
  <c r="BS74" i="1"/>
  <c r="K73" i="1"/>
  <c r="BI74" i="1"/>
  <c r="I6" i="5"/>
  <c r="K6" i="5" s="1"/>
  <c r="BR70" i="1"/>
  <c r="AN68" i="1"/>
  <c r="AN69" i="1"/>
  <c r="BN58" i="1"/>
  <c r="BP58" i="1"/>
  <c r="BQ58" i="1" s="1"/>
  <c r="BF58" i="1"/>
  <c r="BG58" i="1" s="1"/>
  <c r="BD58" i="1"/>
  <c r="BE58" i="1" s="1"/>
  <c r="AL58" i="1"/>
  <c r="AM58" i="1" s="1"/>
  <c r="AJ58" i="1"/>
  <c r="AK58" i="1" s="1"/>
  <c r="AB58" i="1"/>
  <c r="AC58" i="1" s="1"/>
  <c r="Z58" i="1"/>
  <c r="AA58" i="1" s="1"/>
  <c r="AV58" i="1"/>
  <c r="AW58" i="1" s="1"/>
  <c r="AT58" i="1"/>
  <c r="AU58" i="1" s="1"/>
  <c r="CJ58" i="1"/>
  <c r="CK58" i="1" s="1"/>
  <c r="CH58" i="1"/>
  <c r="CI58" i="1" s="1"/>
  <c r="BZ58" i="1"/>
  <c r="BX58" i="1"/>
  <c r="BY58" i="1" s="1"/>
  <c r="R58" i="1"/>
  <c r="S58" i="1" s="1"/>
  <c r="P58" i="1"/>
  <c r="Q58" i="1" s="1"/>
  <c r="H58" i="1"/>
  <c r="I58" i="1" s="1"/>
  <c r="F58" i="1"/>
  <c r="G58" i="1" s="1"/>
  <c r="CL6" i="1"/>
  <c r="CL7" i="1"/>
  <c r="CL8" i="1"/>
  <c r="CL9" i="1"/>
  <c r="CL10" i="1"/>
  <c r="CL11" i="1"/>
  <c r="CL12" i="1"/>
  <c r="CL13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2" i="1"/>
  <c r="CL43" i="1"/>
  <c r="CL44" i="1"/>
  <c r="CL45" i="1"/>
  <c r="CL46" i="1"/>
  <c r="CL47" i="1"/>
  <c r="CL48" i="1"/>
  <c r="CL49" i="1"/>
  <c r="CL50" i="1"/>
  <c r="CL51" i="1"/>
  <c r="CL52" i="1"/>
  <c r="CL55" i="1"/>
  <c r="CL56" i="1"/>
  <c r="CL57" i="1"/>
  <c r="CL59" i="1"/>
  <c r="CL60" i="1"/>
  <c r="CL61" i="1"/>
  <c r="CL62" i="1"/>
  <c r="CL63" i="1"/>
  <c r="CL64" i="1"/>
  <c r="CL65" i="1"/>
  <c r="CL67" i="1"/>
  <c r="CL68" i="1"/>
  <c r="CL69" i="1"/>
  <c r="CL70" i="1"/>
  <c r="CL71" i="1"/>
  <c r="CL72" i="1"/>
  <c r="CL73" i="1"/>
  <c r="CL74" i="1"/>
  <c r="CL75" i="1"/>
  <c r="CL76" i="1"/>
  <c r="CL77" i="1"/>
  <c r="CL78" i="1"/>
  <c r="CL80" i="1"/>
  <c r="CL81" i="1"/>
  <c r="CL82" i="1"/>
  <c r="CL5" i="1"/>
  <c r="CB6" i="1"/>
  <c r="CB7" i="1"/>
  <c r="CB8" i="1"/>
  <c r="CB9" i="1"/>
  <c r="CB10" i="1"/>
  <c r="CB11" i="1"/>
  <c r="CB12" i="1"/>
  <c r="CB13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5" i="1"/>
  <c r="CB56" i="1"/>
  <c r="CB57" i="1"/>
  <c r="CB59" i="1"/>
  <c r="CB60" i="1"/>
  <c r="CB61" i="1"/>
  <c r="CB62" i="1"/>
  <c r="CB63" i="1"/>
  <c r="CB64" i="1"/>
  <c r="CB65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80" i="1"/>
  <c r="CB81" i="1"/>
  <c r="CB82" i="1"/>
  <c r="CB5" i="1"/>
  <c r="BR6" i="1"/>
  <c r="BR7" i="1"/>
  <c r="BR8" i="1"/>
  <c r="BR9" i="1"/>
  <c r="BR10" i="1"/>
  <c r="BR11" i="1"/>
  <c r="BR12" i="1"/>
  <c r="BR13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2" i="1"/>
  <c r="BR43" i="1"/>
  <c r="BR44" i="1"/>
  <c r="BR45" i="1"/>
  <c r="BR46" i="1"/>
  <c r="BR47" i="1"/>
  <c r="BR48" i="1"/>
  <c r="BR49" i="1"/>
  <c r="BR50" i="1"/>
  <c r="BR51" i="1"/>
  <c r="BR52" i="1"/>
  <c r="BR55" i="1"/>
  <c r="BR56" i="1"/>
  <c r="BR57" i="1"/>
  <c r="BR59" i="1"/>
  <c r="BR60" i="1"/>
  <c r="BR61" i="1"/>
  <c r="BR62" i="1"/>
  <c r="BR63" i="1"/>
  <c r="BR64" i="1"/>
  <c r="BR65" i="1"/>
  <c r="BR67" i="1"/>
  <c r="BR68" i="1"/>
  <c r="BR69" i="1"/>
  <c r="BR71" i="1"/>
  <c r="BR72" i="1"/>
  <c r="BR73" i="1"/>
  <c r="BR74" i="1"/>
  <c r="BR75" i="1"/>
  <c r="BR76" i="1"/>
  <c r="BR77" i="1"/>
  <c r="BR78" i="1"/>
  <c r="BR80" i="1"/>
  <c r="BR81" i="1"/>
  <c r="BR82" i="1"/>
  <c r="BR5" i="1"/>
  <c r="BH6" i="1"/>
  <c r="BH7" i="1"/>
  <c r="BH8" i="1"/>
  <c r="BH9" i="1"/>
  <c r="BH10" i="1"/>
  <c r="BH11" i="1"/>
  <c r="BH12" i="1"/>
  <c r="BH13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5" i="1"/>
  <c r="BH56" i="1"/>
  <c r="BH57" i="1"/>
  <c r="BH59" i="1"/>
  <c r="BH60" i="1"/>
  <c r="BH61" i="1"/>
  <c r="BH62" i="1"/>
  <c r="BH63" i="1"/>
  <c r="BH64" i="1"/>
  <c r="BH65" i="1"/>
  <c r="BH67" i="1"/>
  <c r="BH69" i="1"/>
  <c r="BH70" i="1"/>
  <c r="BH71" i="1"/>
  <c r="BH72" i="1"/>
  <c r="BH73" i="1"/>
  <c r="BH74" i="1"/>
  <c r="BH75" i="1"/>
  <c r="BH76" i="1"/>
  <c r="BH77" i="1"/>
  <c r="BH78" i="1"/>
  <c r="BH80" i="1"/>
  <c r="BH81" i="1"/>
  <c r="BH82" i="1"/>
  <c r="BH5" i="1"/>
  <c r="AD36" i="1"/>
  <c r="K58" i="1" l="1"/>
  <c r="AY58" i="1"/>
  <c r="AY83" i="1" s="1"/>
  <c r="AO58" i="1"/>
  <c r="AO83" i="1" s="1"/>
  <c r="U58" i="1"/>
  <c r="U83" i="1" s="1"/>
  <c r="H70" i="5"/>
  <c r="I70" i="5" s="1"/>
  <c r="H69" i="5"/>
  <c r="I69" i="5" s="1"/>
  <c r="CM58" i="1"/>
  <c r="CM83" i="1" s="1"/>
  <c r="AE58" i="1"/>
  <c r="AE83" i="1" s="1"/>
  <c r="K83" i="1"/>
  <c r="BI58" i="1"/>
  <c r="BI83" i="1" s="1"/>
  <c r="CB58" i="1"/>
  <c r="CA58" i="1"/>
  <c r="CC58" i="1" s="1"/>
  <c r="CC83" i="1" s="1"/>
  <c r="BR58" i="1"/>
  <c r="BO58" i="1"/>
  <c r="BS58" i="1" s="1"/>
  <c r="BS83" i="1" s="1"/>
  <c r="CL58" i="1"/>
  <c r="BH58" i="1"/>
  <c r="AX6" i="1"/>
  <c r="AX7" i="1"/>
  <c r="AX8" i="1"/>
  <c r="AX9" i="1"/>
  <c r="AX10" i="1"/>
  <c r="AX11" i="1"/>
  <c r="AX12" i="1"/>
  <c r="AX13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5" i="1"/>
  <c r="AX56" i="1"/>
  <c r="AX57" i="1"/>
  <c r="AX58" i="1"/>
  <c r="AX59" i="1"/>
  <c r="AX60" i="1"/>
  <c r="AX61" i="1"/>
  <c r="AX62" i="1"/>
  <c r="AX63" i="1"/>
  <c r="AX64" i="1"/>
  <c r="AX65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80" i="1"/>
  <c r="AX81" i="1"/>
  <c r="AX82" i="1"/>
  <c r="AX5" i="1"/>
  <c r="AN6" i="1"/>
  <c r="AN7" i="1"/>
  <c r="AN8" i="1"/>
  <c r="AN9" i="1"/>
  <c r="AN10" i="1"/>
  <c r="AN11" i="1"/>
  <c r="AN12" i="1"/>
  <c r="AN13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1" i="1"/>
  <c r="AN42" i="1"/>
  <c r="AN43" i="1"/>
  <c r="AN44" i="1"/>
  <c r="AN45" i="1"/>
  <c r="AN46" i="1"/>
  <c r="AN47" i="1"/>
  <c r="AN48" i="1"/>
  <c r="AN50" i="1"/>
  <c r="AN51" i="1"/>
  <c r="AN52" i="1"/>
  <c r="AN55" i="1"/>
  <c r="AN56" i="1"/>
  <c r="AN57" i="1"/>
  <c r="AN58" i="1"/>
  <c r="AN59" i="1"/>
  <c r="AN60" i="1"/>
  <c r="AN61" i="1"/>
  <c r="AN62" i="1"/>
  <c r="AN63" i="1"/>
  <c r="AN64" i="1"/>
  <c r="AN65" i="1"/>
  <c r="AN67" i="1"/>
  <c r="BH68" i="1"/>
  <c r="AN70" i="1"/>
  <c r="AN71" i="1"/>
  <c r="AN72" i="1"/>
  <c r="AN73" i="1"/>
  <c r="AN74" i="1"/>
  <c r="AN75" i="1"/>
  <c r="AN76" i="1"/>
  <c r="AN77" i="1"/>
  <c r="AN78" i="1"/>
  <c r="AN80" i="1"/>
  <c r="AN81" i="1"/>
  <c r="AN82" i="1"/>
  <c r="AN5" i="1"/>
  <c r="AD6" i="1"/>
  <c r="AD7" i="1"/>
  <c r="AD8" i="1"/>
  <c r="AD9" i="1"/>
  <c r="AD10" i="1"/>
  <c r="AD11" i="1"/>
  <c r="AD12" i="1"/>
  <c r="AD13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9" i="1"/>
  <c r="AD30" i="1"/>
  <c r="AD31" i="1"/>
  <c r="AD32" i="1"/>
  <c r="AD33" i="1"/>
  <c r="AD34" i="1"/>
  <c r="AD35" i="1"/>
  <c r="AD37" i="1"/>
  <c r="AD38" i="1"/>
  <c r="AD39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5" i="1"/>
  <c r="AD56" i="1"/>
  <c r="AD57" i="1"/>
  <c r="AD58" i="1"/>
  <c r="AD59" i="1"/>
  <c r="AD60" i="1"/>
  <c r="AD61" i="1"/>
  <c r="AD62" i="1"/>
  <c r="AD63" i="1"/>
  <c r="AD64" i="1"/>
  <c r="AD65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80" i="1"/>
  <c r="AD81" i="1"/>
  <c r="AD82" i="1"/>
  <c r="AD5" i="1"/>
  <c r="T82" i="1"/>
  <c r="T81" i="1"/>
  <c r="T80" i="1"/>
  <c r="T78" i="1"/>
  <c r="T77" i="1"/>
  <c r="T76" i="1"/>
  <c r="T75" i="1"/>
  <c r="T74" i="1"/>
  <c r="T73" i="1"/>
  <c r="T72" i="1"/>
  <c r="T71" i="1"/>
  <c r="T70" i="1"/>
  <c r="T69" i="1"/>
  <c r="T68" i="1"/>
  <c r="T67" i="1"/>
  <c r="T65" i="1"/>
  <c r="T64" i="1"/>
  <c r="T63" i="1"/>
  <c r="T62" i="1"/>
  <c r="T61" i="1"/>
  <c r="T60" i="1"/>
  <c r="T59" i="1"/>
  <c r="T58" i="1"/>
  <c r="T57" i="1"/>
  <c r="T56" i="1"/>
  <c r="T55" i="1"/>
  <c r="T52" i="1"/>
  <c r="T51" i="1"/>
  <c r="T49" i="1"/>
  <c r="T48" i="1"/>
  <c r="T47" i="1"/>
  <c r="T46" i="1"/>
  <c r="T45" i="1"/>
  <c r="T44" i="1"/>
  <c r="T43" i="1"/>
  <c r="T42" i="1"/>
  <c r="T41" i="1"/>
  <c r="T39" i="1"/>
  <c r="T38" i="1"/>
  <c r="T37" i="1"/>
  <c r="T36" i="1"/>
  <c r="T35" i="1"/>
  <c r="T34" i="1"/>
  <c r="T33" i="1"/>
  <c r="T32" i="1"/>
  <c r="T30" i="1"/>
  <c r="T29" i="1"/>
  <c r="T28" i="1"/>
  <c r="T26" i="1"/>
  <c r="T25" i="1"/>
  <c r="T24" i="1"/>
  <c r="T23" i="1"/>
  <c r="T22" i="1"/>
  <c r="T21" i="1"/>
  <c r="T20" i="1"/>
  <c r="T19" i="1"/>
  <c r="T18" i="1"/>
  <c r="T17" i="1"/>
  <c r="T16" i="1"/>
  <c r="T15" i="1"/>
  <c r="T13" i="1"/>
  <c r="T12" i="1"/>
  <c r="T11" i="1"/>
  <c r="T10" i="1"/>
  <c r="T9" i="1"/>
  <c r="T8" i="1"/>
  <c r="T7" i="1"/>
  <c r="T6" i="1"/>
  <c r="T5" i="1"/>
  <c r="T50" i="1"/>
  <c r="J6" i="1"/>
  <c r="J7" i="1"/>
  <c r="J8" i="1"/>
  <c r="J9" i="1"/>
  <c r="J10" i="1"/>
  <c r="J11" i="1"/>
  <c r="J12" i="1"/>
  <c r="J13" i="1"/>
  <c r="J16" i="1"/>
  <c r="J17" i="1"/>
  <c r="J18" i="1"/>
  <c r="J20" i="1"/>
  <c r="J21" i="1"/>
  <c r="J22" i="1"/>
  <c r="J23" i="1"/>
  <c r="J24" i="1"/>
  <c r="J25" i="1"/>
  <c r="J26" i="1"/>
  <c r="J29" i="1"/>
  <c r="J30" i="1"/>
  <c r="J31" i="1"/>
  <c r="J32" i="1"/>
  <c r="J33" i="1"/>
  <c r="J34" i="1"/>
  <c r="J35" i="1"/>
  <c r="J36" i="1"/>
  <c r="J37" i="1"/>
  <c r="J38" i="1"/>
  <c r="J39" i="1"/>
  <c r="J42" i="1"/>
  <c r="J43" i="1"/>
  <c r="J44" i="1"/>
  <c r="J45" i="1"/>
  <c r="J46" i="1"/>
  <c r="J47" i="1"/>
  <c r="J48" i="1"/>
  <c r="J49" i="1"/>
  <c r="J50" i="1"/>
  <c r="J51" i="1"/>
  <c r="J52" i="1"/>
  <c r="J55" i="1"/>
  <c r="J56" i="1"/>
  <c r="J57" i="1"/>
  <c r="J58" i="1"/>
  <c r="J59" i="1"/>
  <c r="J60" i="1"/>
  <c r="J61" i="1"/>
  <c r="J62" i="1"/>
  <c r="J63" i="1"/>
  <c r="J64" i="1"/>
  <c r="J65" i="1"/>
  <c r="J67" i="1"/>
  <c r="J68" i="1"/>
  <c r="J69" i="1"/>
  <c r="J70" i="1"/>
  <c r="J71" i="1"/>
  <c r="J72" i="1"/>
  <c r="J73" i="1"/>
  <c r="J74" i="1"/>
  <c r="J75" i="1"/>
  <c r="J76" i="1"/>
  <c r="J78" i="1"/>
  <c r="J81" i="1"/>
  <c r="J82" i="1"/>
  <c r="J5" i="1"/>
  <c r="D14" i="5" l="1"/>
  <c r="D33" i="5"/>
  <c r="H55" i="5"/>
  <c r="D77" i="5"/>
  <c r="D64" i="5"/>
  <c r="D6" i="5"/>
  <c r="D18" i="5"/>
  <c r="D19" i="5"/>
  <c r="D20" i="5"/>
  <c r="D21" i="5"/>
  <c r="D22" i="5"/>
  <c r="D23" i="5"/>
  <c r="D24" i="5"/>
  <c r="D25" i="5"/>
  <c r="D26" i="5"/>
  <c r="D27" i="5"/>
  <c r="D28" i="5"/>
  <c r="K29" i="5"/>
  <c r="D30" i="5"/>
  <c r="D31" i="5"/>
  <c r="D32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K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K64" i="5"/>
  <c r="D65" i="5"/>
  <c r="D66" i="5"/>
  <c r="D67" i="5"/>
  <c r="D68" i="5"/>
  <c r="D69" i="5"/>
  <c r="D70" i="5"/>
  <c r="D71" i="5"/>
  <c r="D72" i="5"/>
  <c r="D73" i="5"/>
  <c r="D74" i="5"/>
  <c r="D75" i="5"/>
  <c r="D76" i="5"/>
  <c r="K77" i="5"/>
  <c r="D7" i="5"/>
  <c r="D8" i="5"/>
  <c r="D9" i="5"/>
  <c r="D10" i="5"/>
  <c r="D11" i="5"/>
  <c r="D12" i="5"/>
  <c r="D13" i="5"/>
  <c r="D15" i="5"/>
  <c r="D16" i="5"/>
  <c r="D17" i="5"/>
  <c r="T83" i="1"/>
  <c r="I55" i="5" l="1"/>
  <c r="H78" i="5"/>
  <c r="K70" i="5"/>
  <c r="K58" i="5"/>
  <c r="K46" i="5"/>
  <c r="K34" i="5"/>
  <c r="K30" i="5"/>
  <c r="K26" i="5"/>
  <c r="K22" i="5"/>
  <c r="K18" i="5"/>
  <c r="K73" i="5"/>
  <c r="K69" i="5"/>
  <c r="K65" i="5"/>
  <c r="K61" i="5"/>
  <c r="K57" i="5"/>
  <c r="K53" i="5"/>
  <c r="K49" i="5"/>
  <c r="K45" i="5"/>
  <c r="K41" i="5"/>
  <c r="K37" i="5"/>
  <c r="K33" i="5"/>
  <c r="K25" i="5"/>
  <c r="K21" i="5"/>
  <c r="K74" i="5"/>
  <c r="K62" i="5"/>
  <c r="K50" i="5"/>
  <c r="K42" i="5"/>
  <c r="K76" i="5"/>
  <c r="K72" i="5"/>
  <c r="K68" i="5"/>
  <c r="K60" i="5"/>
  <c r="K56" i="5"/>
  <c r="K52" i="5"/>
  <c r="K48" i="5"/>
  <c r="K44" i="5"/>
  <c r="K40" i="5"/>
  <c r="K36" i="5"/>
  <c r="K32" i="5"/>
  <c r="K28" i="5"/>
  <c r="K24" i="5"/>
  <c r="K20" i="5"/>
  <c r="K66" i="5"/>
  <c r="K54" i="5"/>
  <c r="K38" i="5"/>
  <c r="K75" i="5"/>
  <c r="K71" i="5"/>
  <c r="K67" i="5"/>
  <c r="K63" i="5"/>
  <c r="K59" i="5"/>
  <c r="K55" i="5"/>
  <c r="K51" i="5"/>
  <c r="K43" i="5"/>
  <c r="K39" i="5"/>
  <c r="K35" i="5"/>
  <c r="K31" i="5"/>
  <c r="K27" i="5"/>
  <c r="K23" i="5"/>
  <c r="K19" i="5"/>
  <c r="K14" i="5"/>
  <c r="K11" i="5"/>
  <c r="K15" i="5"/>
  <c r="K7" i="5"/>
  <c r="BH83" i="1"/>
  <c r="CL83" i="1"/>
  <c r="D78" i="5"/>
  <c r="BR83" i="1"/>
  <c r="CB83" i="1"/>
  <c r="AN83" i="1"/>
  <c r="AX83" i="1"/>
  <c r="AD83" i="1"/>
  <c r="C8" i="2"/>
  <c r="L39" i="5" l="1"/>
  <c r="G11" i="2" s="1"/>
  <c r="J11" i="2" s="1"/>
  <c r="L75" i="5"/>
  <c r="G14" i="2" s="1"/>
  <c r="J14" i="2" s="1"/>
  <c r="L27" i="5"/>
  <c r="G10" i="2" s="1"/>
  <c r="J10" i="2" s="1"/>
  <c r="L63" i="5"/>
  <c r="G13" i="2" s="1"/>
  <c r="J13" i="2" s="1"/>
  <c r="L51" i="5"/>
  <c r="G12" i="2" s="1"/>
  <c r="J12" i="2" s="1"/>
  <c r="K10" i="5"/>
  <c r="K9" i="5"/>
  <c r="K8" i="5"/>
  <c r="K17" i="5"/>
  <c r="K16" i="5"/>
  <c r="K12" i="5"/>
  <c r="J83" i="1"/>
  <c r="C13" i="2"/>
  <c r="L15" i="5" l="1"/>
  <c r="G9" i="2" s="1"/>
  <c r="J9" i="2" s="1"/>
  <c r="I78" i="5"/>
  <c r="C10" i="2" s="1"/>
  <c r="K13" i="5"/>
  <c r="L6" i="5" s="1"/>
  <c r="G8" i="2" l="1"/>
  <c r="L78" i="5"/>
  <c r="C14" i="2" s="1"/>
  <c r="K78" i="5"/>
  <c r="J8" i="2" l="1"/>
  <c r="J15" i="2" s="1"/>
  <c r="G15" i="2"/>
  <c r="C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EKI</author>
  </authors>
  <commentList>
    <comment ref="D47" authorId="0" shapeId="0" xr:uid="{6599336B-B6A8-4FF2-BD76-7C9603E54D9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The value is added as per the allocation statement because the WTG wise JMR for the month is not available.</t>
        </r>
      </text>
    </comment>
    <comment ref="D77" authorId="1" shapeId="0" xr:uid="{3030DC20-8EBC-42DF-B008-041B85210C8C}">
      <text>
        <r>
          <rPr>
            <b/>
            <sz val="9"/>
            <color indexed="81"/>
            <rFont val="Tahoma"/>
            <family val="2"/>
          </rPr>
          <t>EKI:</t>
        </r>
        <r>
          <rPr>
            <sz val="9"/>
            <color indexed="81"/>
            <rFont val="Tahoma"/>
            <family val="2"/>
          </rPr>
          <t xml:space="preserve">
Apportioned Value</t>
        </r>
      </text>
    </comment>
  </commentList>
</comments>
</file>

<file path=xl/sharedStrings.xml><?xml version="1.0" encoding="utf-8"?>
<sst xmlns="http://schemas.openxmlformats.org/spreadsheetml/2006/main" count="279" uniqueCount="72">
  <si>
    <t>Month</t>
  </si>
  <si>
    <t>From</t>
  </si>
  <si>
    <t>To</t>
  </si>
  <si>
    <t xml:space="preserve">Intial Date </t>
  </si>
  <si>
    <t>Final Date</t>
  </si>
  <si>
    <t xml:space="preserve">Billing Cyle </t>
  </si>
  <si>
    <t>Emission Factor</t>
  </si>
  <si>
    <t>Monitoring Period</t>
  </si>
  <si>
    <t>No of days for current monitoirng period</t>
  </si>
  <si>
    <t>Total Capacity of the Project (MW)</t>
  </si>
  <si>
    <t>Total net electricity supplied to the grid (MWh)</t>
  </si>
  <si>
    <t>Annual Estimated Emission Reductions as per PDD</t>
  </si>
  <si>
    <t>Estimated Emission Reductions as per PDD for the current Monitoring Perod</t>
  </si>
  <si>
    <t>Actual CERs Generated for this Monitoring Period</t>
  </si>
  <si>
    <t>Change in emission reduction</t>
  </si>
  <si>
    <t>Total</t>
  </si>
  <si>
    <t>Vintage Breakdown</t>
  </si>
  <si>
    <t>Baseline Emissions</t>
  </si>
  <si>
    <t>Project Emissions</t>
  </si>
  <si>
    <t>Leakage Emissions</t>
  </si>
  <si>
    <t xml:space="preserve">Total Emission Reduction </t>
  </si>
  <si>
    <r>
      <t>BE</t>
    </r>
    <r>
      <rPr>
        <b/>
        <vertAlign val="subscript"/>
        <sz val="9"/>
        <color theme="1"/>
        <rFont val="Arial"/>
        <family val="2"/>
      </rPr>
      <t>y</t>
    </r>
    <r>
      <rPr>
        <b/>
        <sz val="9"/>
        <color theme="1"/>
        <rFont val="Arial"/>
        <family val="2"/>
      </rPr>
      <t xml:space="preserve"> (tCO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e)</t>
    </r>
  </si>
  <si>
    <r>
      <t>PE</t>
    </r>
    <r>
      <rPr>
        <b/>
        <vertAlign val="subscript"/>
        <sz val="9"/>
        <color theme="1"/>
        <rFont val="Arial"/>
        <family val="2"/>
      </rPr>
      <t>y</t>
    </r>
    <r>
      <rPr>
        <b/>
        <sz val="9"/>
        <color theme="1"/>
        <rFont val="Arial"/>
        <family val="2"/>
      </rPr>
      <t xml:space="preserve"> (tCO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e)</t>
    </r>
  </si>
  <si>
    <r>
      <t>LE</t>
    </r>
    <r>
      <rPr>
        <b/>
        <vertAlign val="subscript"/>
        <sz val="9"/>
        <color theme="1"/>
        <rFont val="Arial"/>
        <family val="2"/>
      </rPr>
      <t>y</t>
    </r>
    <r>
      <rPr>
        <b/>
        <sz val="9"/>
        <color theme="1"/>
        <rFont val="Arial"/>
        <family val="2"/>
      </rPr>
      <t xml:space="preserve"> (tCO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e)</t>
    </r>
  </si>
  <si>
    <r>
      <t>ER</t>
    </r>
    <r>
      <rPr>
        <b/>
        <vertAlign val="subscript"/>
        <sz val="9"/>
        <color theme="1"/>
        <rFont val="Arial"/>
        <family val="2"/>
      </rPr>
      <t>y</t>
    </r>
    <r>
      <rPr>
        <b/>
        <sz val="9"/>
        <color theme="1"/>
        <rFont val="Arial"/>
        <family val="2"/>
      </rPr>
      <t xml:space="preserve"> (tCO</t>
    </r>
    <r>
      <rPr>
        <b/>
        <vertAlign val="sub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e)</t>
    </r>
  </si>
  <si>
    <t>Export (KWh)</t>
  </si>
  <si>
    <t>Net (KWh)</t>
  </si>
  <si>
    <t>Import (KWh)</t>
  </si>
  <si>
    <t>Project Name: 13.95 MW Renewable Energy-WIND</t>
  </si>
  <si>
    <r>
      <t>Net Electricity Generation(MWh) EG</t>
    </r>
    <r>
      <rPr>
        <b/>
        <vertAlign val="subscript"/>
        <sz val="11"/>
        <color theme="1"/>
        <rFont val="Calibri"/>
        <family val="2"/>
        <scheme val="minor"/>
      </rPr>
      <t>, y</t>
    </r>
  </si>
  <si>
    <t>WTG NO-2536</t>
  </si>
  <si>
    <t>WTG NO-2537</t>
  </si>
  <si>
    <t>WTG NO-2538</t>
  </si>
  <si>
    <t>WTG NO-2550</t>
  </si>
  <si>
    <t>WTG NO-2551</t>
  </si>
  <si>
    <t>WTG NO-2583</t>
  </si>
  <si>
    <t>WTG NO-2622</t>
  </si>
  <si>
    <t>WTG NO-2626</t>
  </si>
  <si>
    <t>WTG NO-2633</t>
  </si>
  <si>
    <t>Project ref: VCS 821</t>
  </si>
  <si>
    <t>-</t>
  </si>
  <si>
    <t>Year</t>
  </si>
  <si>
    <t xml:space="preserve">Grand Total </t>
  </si>
  <si>
    <t>Generation Ratio (KWh)</t>
  </si>
  <si>
    <t xml:space="preserve"> </t>
  </si>
  <si>
    <t>WTG No. 2536</t>
  </si>
  <si>
    <t>WTG No. 2537</t>
  </si>
  <si>
    <t>WTG No. 2538</t>
  </si>
  <si>
    <t>WTG No. 2550</t>
  </si>
  <si>
    <t>WTG No. 2551</t>
  </si>
  <si>
    <t>WTG No. 2583</t>
  </si>
  <si>
    <t>WTG No. 2622</t>
  </si>
  <si>
    <t>WTG No. 2626</t>
  </si>
  <si>
    <t>WTG No. 2633</t>
  </si>
  <si>
    <t>Controller data from
 15-03-2012 to 15-04-2012 (KWh)</t>
  </si>
  <si>
    <t>Controller Data from 
16-03-2012 to 15-04-2012 (KWh)</t>
  </si>
  <si>
    <t>Controller data from
05-02-2018 to 05-03-2018 (KWh)</t>
  </si>
  <si>
    <t>Controller data from
05-02-2018 to 28-02-2018 (KWh)</t>
  </si>
  <si>
    <t>Export with error factor (kWh)</t>
  </si>
  <si>
    <t>Import with error factor (kWh)</t>
  </si>
  <si>
    <t>Net Electricity Generation with error factor (KWh)</t>
  </si>
  <si>
    <t>Primary Data Source</t>
  </si>
  <si>
    <t>Cross - Check data source</t>
  </si>
  <si>
    <t>Net Electricity Generation (KWh)</t>
  </si>
  <si>
    <t>Date</t>
  </si>
  <si>
    <t>Export (kwh)</t>
  </si>
  <si>
    <t>Error factor is applied for the months highlighted in this color</t>
  </si>
  <si>
    <t>Apportioned value is highlighted in this color</t>
  </si>
  <si>
    <t>Net with error factor (kWh)</t>
  </si>
  <si>
    <r>
      <t xml:space="preserve">Emissions Reduction 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</si>
  <si>
    <t>s</t>
  </si>
  <si>
    <r>
      <t xml:space="preserve">As per monthly allocation statements
</t>
    </r>
    <r>
      <rPr>
        <sz val="11"/>
        <color theme="1"/>
        <rFont val="Calibri"/>
        <family val="2"/>
        <scheme val="minor"/>
      </rPr>
      <t>issued by the Tamil Nadu Generation and Distribution Corporation Ltd (TANGEDCO)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</si>
</sst>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sz val="9"/>
      <name val="Calibri"/>
      <family val="3"/>
      <charset val="13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</cellStyleXfs>
  <cellXfs count="180">
    <xf numFmtId="0" fontId="0" fillId="0" borderId="0" xfId="0"/>
    <xf numFmtId="0" fontId="1" fillId="0" borderId="0" xfId="0" applyFont="1"/>
    <xf numFmtId="0" fontId="0" fillId="0" borderId="9" xfId="0" applyBorder="1" applyAlignment="1">
      <alignment horizontal="center"/>
    </xf>
    <xf numFmtId="0" fontId="1" fillId="0" borderId="15" xfId="0" applyFont="1" applyBorder="1"/>
    <xf numFmtId="0" fontId="1" fillId="0" borderId="18" xfId="0" applyFont="1" applyBorder="1"/>
    <xf numFmtId="0" fontId="1" fillId="0" borderId="19" xfId="0" applyFont="1" applyBorder="1"/>
    <xf numFmtId="165" fontId="0" fillId="0" borderId="0" xfId="1" applyNumberFormat="1" applyFont="1"/>
    <xf numFmtId="0" fontId="1" fillId="0" borderId="15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5" fontId="0" fillId="2" borderId="14" xfId="0" applyNumberFormat="1" applyFill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17" fontId="0" fillId="0" borderId="28" xfId="0" applyNumberForma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1" fillId="4" borderId="29" xfId="0" applyFont="1" applyFill="1" applyBorder="1" applyAlignment="1">
      <alignment horizontal="center" vertical="center"/>
    </xf>
    <xf numFmtId="15" fontId="0" fillId="0" borderId="13" xfId="0" applyNumberFormat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17" fontId="0" fillId="2" borderId="12" xfId="0" applyNumberFormat="1" applyFill="1" applyBorder="1" applyAlignment="1">
      <alignment horizontal="center" vertical="center"/>
    </xf>
    <xf numFmtId="14" fontId="0" fillId="2" borderId="24" xfId="0" applyNumberForma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3" fontId="0" fillId="0" borderId="0" xfId="0" applyNumberFormat="1"/>
    <xf numFmtId="1" fontId="0" fillId="0" borderId="9" xfId="0" applyNumberFormat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1" fillId="4" borderId="30" xfId="0" applyNumberFormat="1" applyFont="1" applyFill="1" applyBorder="1" applyAlignment="1">
      <alignment horizontal="center" vertical="center"/>
    </xf>
    <xf numFmtId="1" fontId="1" fillId="4" borderId="23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0" fontId="0" fillId="2" borderId="0" xfId="0" applyFill="1"/>
    <xf numFmtId="3" fontId="0" fillId="2" borderId="6" xfId="0" applyNumberFormat="1" applyFill="1" applyBorder="1" applyAlignment="1">
      <alignment horizontal="center"/>
    </xf>
    <xf numFmtId="3" fontId="0" fillId="2" borderId="20" xfId="0" applyNumberFormat="1" applyFill="1" applyBorder="1" applyAlignment="1">
      <alignment horizontal="center"/>
    </xf>
    <xf numFmtId="10" fontId="0" fillId="2" borderId="8" xfId="0" applyNumberFormat="1" applyFill="1" applyBorder="1" applyAlignment="1">
      <alignment horizontal="center"/>
    </xf>
    <xf numFmtId="0" fontId="0" fillId="2" borderId="2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7" fontId="4" fillId="5" borderId="26" xfId="2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" fontId="4" fillId="5" borderId="11" xfId="2" applyNumberFormat="1" applyFont="1" applyFill="1" applyBorder="1" applyAlignment="1">
      <alignment horizontal="center" vertical="center" wrapText="1"/>
    </xf>
    <xf numFmtId="17" fontId="4" fillId="5" borderId="36" xfId="2" applyNumberFormat="1" applyFont="1" applyFill="1" applyBorder="1" applyAlignment="1">
      <alignment horizontal="center" vertical="center" wrapText="1"/>
    </xf>
    <xf numFmtId="17" fontId="4" fillId="5" borderId="14" xfId="2" applyNumberFormat="1" applyFont="1" applyFill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3" fontId="0" fillId="6" borderId="30" xfId="0" applyNumberFormat="1" applyFill="1" applyBorder="1" applyAlignment="1">
      <alignment horizontal="center" vertical="center"/>
    </xf>
    <xf numFmtId="3" fontId="0" fillId="6" borderId="23" xfId="0" applyNumberForma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14" fontId="0" fillId="8" borderId="9" xfId="0" applyNumberFormat="1" applyFill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0" fontId="12" fillId="0" borderId="0" xfId="0" applyFont="1"/>
    <xf numFmtId="0" fontId="0" fillId="10" borderId="24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12" borderId="41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 wrapText="1"/>
    </xf>
    <xf numFmtId="17" fontId="0" fillId="0" borderId="10" xfId="0" applyNumberFormat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31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4" fontId="0" fillId="2" borderId="21" xfId="0" applyNumberForma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17" fontId="0" fillId="7" borderId="37" xfId="0" applyNumberForma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5" borderId="29" xfId="0" applyFont="1" applyFill="1" applyBorder="1" applyAlignment="1">
      <alignment horizontal="center" vertical="center" wrapText="1"/>
    </xf>
    <xf numFmtId="2" fontId="16" fillId="5" borderId="2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4" fontId="14" fillId="0" borderId="12" xfId="0" applyNumberFormat="1" applyFont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/>
    </xf>
    <xf numFmtId="14" fontId="14" fillId="0" borderId="28" xfId="0" applyNumberFormat="1" applyFont="1" applyBorder="1" applyAlignment="1">
      <alignment horizontal="center" vertical="center" wrapText="1"/>
    </xf>
    <xf numFmtId="2" fontId="0" fillId="0" borderId="32" xfId="0" applyNumberFormat="1" applyBorder="1" applyAlignment="1">
      <alignment horizontal="center"/>
    </xf>
    <xf numFmtId="2" fontId="0" fillId="0" borderId="11" xfId="0" applyNumberFormat="1" applyBorder="1" applyAlignment="1">
      <alignment horizontal="center" vertical="center"/>
    </xf>
    <xf numFmtId="166" fontId="17" fillId="3" borderId="14" xfId="0" applyNumberFormat="1" applyFont="1" applyFill="1" applyBorder="1" applyAlignment="1">
      <alignment horizontal="center" vertical="center"/>
    </xf>
    <xf numFmtId="14" fontId="14" fillId="0" borderId="37" xfId="0" applyNumberFormat="1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/>
    </xf>
    <xf numFmtId="0" fontId="13" fillId="13" borderId="44" xfId="0" applyFont="1" applyFill="1" applyBorder="1" applyAlignment="1">
      <alignment horizontal="center" vertical="center" wrapText="1"/>
    </xf>
    <xf numFmtId="0" fontId="13" fillId="13" borderId="42" xfId="0" applyFont="1" applyFill="1" applyBorder="1" applyAlignment="1">
      <alignment horizontal="center" vertical="center" wrapText="1"/>
    </xf>
    <xf numFmtId="17" fontId="0" fillId="0" borderId="37" xfId="0" applyNumberForma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24" xfId="0" applyBorder="1" applyAlignment="1">
      <alignment horizontal="center"/>
    </xf>
    <xf numFmtId="1" fontId="0" fillId="0" borderId="24" xfId="0" applyNumberFormat="1" applyBorder="1" applyAlignment="1">
      <alignment horizontal="center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14" fontId="0" fillId="10" borderId="24" xfId="0" applyNumberFormat="1" applyFill="1" applyBorder="1" applyAlignment="1">
      <alignment horizontal="center" vertical="center"/>
    </xf>
    <xf numFmtId="14" fontId="0" fillId="10" borderId="21" xfId="0" applyNumberFormat="1" applyFill="1" applyBorder="1" applyAlignment="1">
      <alignment horizontal="center" vertical="center"/>
    </xf>
    <xf numFmtId="0" fontId="0" fillId="10" borderId="26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13" fillId="15" borderId="44" xfId="0" applyFont="1" applyFill="1" applyBorder="1" applyAlignment="1">
      <alignment horizontal="center" vertic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  <xf numFmtId="2" fontId="16" fillId="6" borderId="2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4" fontId="0" fillId="0" borderId="45" xfId="0" applyNumberFormat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9" fillId="6" borderId="46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9" fillId="6" borderId="42" xfId="0" applyFont="1" applyFill="1" applyBorder="1" applyAlignment="1">
      <alignment horizontal="center" vertical="center"/>
    </xf>
    <xf numFmtId="17" fontId="0" fillId="2" borderId="10" xfId="0" applyNumberFormat="1" applyFill="1" applyBorder="1" applyAlignment="1">
      <alignment horizontal="center" vertical="center"/>
    </xf>
    <xf numFmtId="14" fontId="0" fillId="10" borderId="26" xfId="0" applyNumberFormat="1" applyFill="1" applyBorder="1" applyAlignment="1">
      <alignment horizontal="center" vertical="center"/>
    </xf>
    <xf numFmtId="14" fontId="0" fillId="2" borderId="26" xfId="0" applyNumberFormat="1" applyFill="1" applyBorder="1" applyAlignment="1">
      <alignment horizontal="center" vertical="center"/>
    </xf>
    <xf numFmtId="0" fontId="0" fillId="10" borderId="26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  <xf numFmtId="14" fontId="0" fillId="2" borderId="36" xfId="0" applyNumberFormat="1" applyFill="1" applyBorder="1" applyAlignment="1">
      <alignment horizontal="center" vertical="center"/>
    </xf>
    <xf numFmtId="14" fontId="0" fillId="10" borderId="36" xfId="0" applyNumberFormat="1" applyFill="1" applyBorder="1" applyAlignment="1">
      <alignment horizontal="center" vertical="center"/>
    </xf>
    <xf numFmtId="0" fontId="0" fillId="10" borderId="3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17" fontId="0" fillId="2" borderId="37" xfId="0" applyNumberFormat="1" applyFill="1" applyBorder="1" applyAlignment="1">
      <alignment horizontal="center" vertical="center"/>
    </xf>
    <xf numFmtId="17" fontId="0" fillId="7" borderId="10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17" fontId="4" fillId="5" borderId="10" xfId="2" applyNumberFormat="1" applyFont="1" applyFill="1" applyBorder="1" applyAlignment="1">
      <alignment horizontal="center" vertical="center" wrapText="1"/>
    </xf>
    <xf numFmtId="17" fontId="4" fillId="5" borderId="13" xfId="2" applyNumberFormat="1" applyFont="1" applyFill="1" applyBorder="1" applyAlignment="1">
      <alignment horizontal="center" vertical="center" wrapText="1"/>
    </xf>
    <xf numFmtId="17" fontId="0" fillId="2" borderId="28" xfId="0" applyNumberFormat="1" applyFill="1" applyBorder="1" applyAlignment="1">
      <alignment horizontal="center" vertical="center"/>
    </xf>
    <xf numFmtId="17" fontId="0" fillId="2" borderId="37" xfId="0" applyNumberForma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165" fontId="1" fillId="0" borderId="31" xfId="1" applyNumberFormat="1" applyFont="1" applyBorder="1" applyAlignment="1">
      <alignment horizontal="center" vertical="center"/>
    </xf>
    <xf numFmtId="165" fontId="1" fillId="0" borderId="32" xfId="1" applyNumberFormat="1" applyFont="1" applyBorder="1" applyAlignment="1">
      <alignment horizontal="center" vertical="center"/>
    </xf>
    <xf numFmtId="165" fontId="1" fillId="0" borderId="27" xfId="1" applyNumberFormat="1" applyFont="1" applyBorder="1" applyAlignment="1">
      <alignment horizontal="center" vertical="center"/>
    </xf>
    <xf numFmtId="165" fontId="1" fillId="0" borderId="22" xfId="1" applyNumberFormat="1" applyFont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8" xfId="3" xr:uid="{D101B560-7F8E-4C8D-817C-0FACEF878636}"/>
    <cellStyle name="Normal_Marketing Managers CDM statu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0"/>
  <sheetViews>
    <sheetView showGridLines="0" topLeftCell="C13" workbookViewId="0">
      <selection activeCell="G26" sqref="G26"/>
    </sheetView>
  </sheetViews>
  <sheetFormatPr defaultRowHeight="14.5"/>
  <cols>
    <col min="2" max="2" width="68.453125" customWidth="1"/>
    <col min="3" max="3" width="15" customWidth="1"/>
    <col min="4" max="4" width="13.90625" customWidth="1"/>
    <col min="7" max="7" width="18" customWidth="1"/>
    <col min="8" max="8" width="17" customWidth="1"/>
    <col min="9" max="9" width="17.90625" customWidth="1"/>
    <col min="10" max="10" width="14.453125" customWidth="1"/>
  </cols>
  <sheetData>
    <row r="1" spans="2:10" ht="15" thickBot="1"/>
    <row r="2" spans="2:10" ht="21" customHeight="1" thickBot="1">
      <c r="B2" s="11" t="s">
        <v>28</v>
      </c>
    </row>
    <row r="3" spans="2:10" ht="19.75" customHeight="1" thickBot="1">
      <c r="B3" s="12" t="s">
        <v>39</v>
      </c>
    </row>
    <row r="4" spans="2:10" ht="15" thickBot="1"/>
    <row r="5" spans="2:10" ht="15" customHeight="1" thickBot="1">
      <c r="B5" s="144" t="s">
        <v>7</v>
      </c>
      <c r="C5" s="13" t="s">
        <v>1</v>
      </c>
      <c r="D5" s="14" t="s">
        <v>2</v>
      </c>
      <c r="F5" s="146" t="s">
        <v>16</v>
      </c>
      <c r="G5" s="147"/>
      <c r="H5" s="147"/>
      <c r="I5" s="147"/>
      <c r="J5" s="148"/>
    </row>
    <row r="6" spans="2:10" ht="30" customHeight="1" thickBot="1">
      <c r="B6" s="145"/>
      <c r="C6" s="25">
        <v>40984</v>
      </c>
      <c r="D6" s="15">
        <v>43159</v>
      </c>
      <c r="F6" s="149" t="s">
        <v>41</v>
      </c>
      <c r="G6" s="45" t="s">
        <v>17</v>
      </c>
      <c r="H6" s="45" t="s">
        <v>18</v>
      </c>
      <c r="I6" s="45" t="s">
        <v>19</v>
      </c>
      <c r="J6" s="50" t="s">
        <v>20</v>
      </c>
    </row>
    <row r="7" spans="2:10" ht="18" customHeight="1" thickBot="1">
      <c r="F7" s="150"/>
      <c r="G7" s="51" t="s">
        <v>21</v>
      </c>
      <c r="H7" s="51" t="s">
        <v>22</v>
      </c>
      <c r="I7" s="51" t="s">
        <v>23</v>
      </c>
      <c r="J7" s="52" t="s">
        <v>24</v>
      </c>
    </row>
    <row r="8" spans="2:10">
      <c r="B8" s="7" t="s">
        <v>8</v>
      </c>
      <c r="C8" s="8">
        <f>D6-C6+1</f>
        <v>2176</v>
      </c>
      <c r="F8" s="47">
        <v>2012</v>
      </c>
      <c r="G8" s="48">
        <f>'Net Generation'!L6</f>
        <v>29874</v>
      </c>
      <c r="H8" s="49">
        <v>0</v>
      </c>
      <c r="I8" s="49">
        <v>0</v>
      </c>
      <c r="J8" s="53">
        <f>G8-H8-I8</f>
        <v>29874</v>
      </c>
    </row>
    <row r="9" spans="2:10">
      <c r="B9" s="9" t="s">
        <v>9</v>
      </c>
      <c r="C9" s="36">
        <v>13.95</v>
      </c>
      <c r="F9" s="46">
        <v>2013</v>
      </c>
      <c r="G9" s="48">
        <f>'Net Generation'!L15</f>
        <v>23330</v>
      </c>
      <c r="H9" s="49">
        <v>0</v>
      </c>
      <c r="I9" s="49">
        <v>0</v>
      </c>
      <c r="J9" s="53">
        <f t="shared" ref="J9:J14" si="0">G9-H9-I9</f>
        <v>23330</v>
      </c>
    </row>
    <row r="10" spans="2:10" ht="15" thickBot="1">
      <c r="B10" s="10" t="s">
        <v>10</v>
      </c>
      <c r="C10" s="37">
        <f>'Net Generation'!I78</f>
        <v>166533.27996027205</v>
      </c>
      <c r="F10" s="46">
        <v>2014</v>
      </c>
      <c r="G10" s="48">
        <f>'Net Generation'!L27</f>
        <v>23946</v>
      </c>
      <c r="H10" s="49">
        <v>0</v>
      </c>
      <c r="I10" s="49">
        <v>0</v>
      </c>
      <c r="J10" s="53">
        <f t="shared" si="0"/>
        <v>23946</v>
      </c>
    </row>
    <row r="11" spans="2:10" ht="16.25" customHeight="1" thickBot="1">
      <c r="B11" s="1"/>
      <c r="C11" s="38"/>
      <c r="F11" s="46">
        <v>2015</v>
      </c>
      <c r="G11" s="48">
        <f>'Net Generation'!L39</f>
        <v>17755</v>
      </c>
      <c r="H11" s="49">
        <v>0</v>
      </c>
      <c r="I11" s="49">
        <v>0</v>
      </c>
      <c r="J11" s="53">
        <f t="shared" si="0"/>
        <v>17755</v>
      </c>
    </row>
    <row r="12" spans="2:10">
      <c r="B12" s="3" t="s">
        <v>11</v>
      </c>
      <c r="C12" s="39">
        <v>34886</v>
      </c>
      <c r="F12" s="46">
        <v>2016</v>
      </c>
      <c r="G12" s="48">
        <f>'Net Generation'!L51</f>
        <v>26984</v>
      </c>
      <c r="H12" s="49">
        <v>0</v>
      </c>
      <c r="I12" s="49">
        <v>0</v>
      </c>
      <c r="J12" s="53">
        <f t="shared" si="0"/>
        <v>26984</v>
      </c>
    </row>
    <row r="13" spans="2:10">
      <c r="B13" s="5" t="s">
        <v>12</v>
      </c>
      <c r="C13" s="40">
        <f>C12*C8/365</f>
        <v>207977.90684931507</v>
      </c>
      <c r="F13" s="46">
        <v>2017</v>
      </c>
      <c r="G13" s="48">
        <f>'Net Generation'!L63</f>
        <v>29979</v>
      </c>
      <c r="H13" s="49">
        <v>0</v>
      </c>
      <c r="I13" s="49">
        <v>0</v>
      </c>
      <c r="J13" s="53">
        <f t="shared" si="0"/>
        <v>29979</v>
      </c>
    </row>
    <row r="14" spans="2:10" ht="15" thickBot="1">
      <c r="B14" s="5" t="s">
        <v>13</v>
      </c>
      <c r="C14" s="40">
        <f>'Net Generation'!L78</f>
        <v>154757</v>
      </c>
      <c r="F14" s="54">
        <v>2018</v>
      </c>
      <c r="G14" s="48">
        <f>'Net Generation'!L75</f>
        <v>2889</v>
      </c>
      <c r="H14" s="49">
        <v>0</v>
      </c>
      <c r="I14" s="49">
        <v>0</v>
      </c>
      <c r="J14" s="53">
        <f t="shared" si="0"/>
        <v>2889</v>
      </c>
    </row>
    <row r="15" spans="2:10" ht="15" thickBot="1">
      <c r="B15" s="4" t="s">
        <v>14</v>
      </c>
      <c r="C15" s="41">
        <f>(C14-C13)/C13</f>
        <v>-0.25589692508961964</v>
      </c>
      <c r="F15" s="55" t="s">
        <v>15</v>
      </c>
      <c r="G15" s="56">
        <f>SUM(G8:G14)</f>
        <v>154757</v>
      </c>
      <c r="H15" s="56">
        <f t="shared" ref="H15:I15" si="1">SUM(H8:H14)</f>
        <v>0</v>
      </c>
      <c r="I15" s="56">
        <f t="shared" si="1"/>
        <v>0</v>
      </c>
      <c r="J15" s="57">
        <f>SUM(J8:J14)</f>
        <v>154757</v>
      </c>
    </row>
    <row r="18" spans="2:7">
      <c r="D18" s="6"/>
      <c r="G18" s="30"/>
    </row>
    <row r="19" spans="2:7">
      <c r="C19" s="6"/>
      <c r="D19" s="6"/>
      <c r="E19" s="6"/>
    </row>
    <row r="20" spans="2:7">
      <c r="B20" s="6"/>
      <c r="C20" s="6"/>
      <c r="D20" s="6"/>
      <c r="E20" s="6"/>
    </row>
    <row r="21" spans="2:7">
      <c r="B21" s="6"/>
      <c r="C21" s="6"/>
      <c r="D21" s="6"/>
      <c r="E21" s="6"/>
    </row>
    <row r="22" spans="2:7">
      <c r="B22" s="6"/>
      <c r="C22" s="6"/>
      <c r="D22" s="6"/>
      <c r="E22" s="6"/>
    </row>
    <row r="23" spans="2:7">
      <c r="B23" s="6"/>
      <c r="C23" s="6"/>
      <c r="D23" s="6"/>
      <c r="E23" s="6"/>
    </row>
    <row r="24" spans="2:7">
      <c r="B24" s="6"/>
      <c r="C24" s="6"/>
      <c r="D24" s="6"/>
      <c r="E24" s="6"/>
    </row>
    <row r="25" spans="2:7">
      <c r="B25" s="6"/>
      <c r="C25" s="6"/>
      <c r="D25" s="6"/>
      <c r="E25" s="6"/>
    </row>
    <row r="26" spans="2:7">
      <c r="B26" s="6"/>
      <c r="C26" s="6"/>
      <c r="D26" s="6"/>
      <c r="E26" s="6"/>
    </row>
    <row r="27" spans="2:7">
      <c r="B27" s="6"/>
      <c r="C27" s="6"/>
      <c r="D27" s="6"/>
      <c r="E27" s="6"/>
    </row>
    <row r="28" spans="2:7">
      <c r="C28" s="6"/>
      <c r="D28" s="6"/>
      <c r="E28" s="6"/>
    </row>
    <row r="29" spans="2:7">
      <c r="C29" s="6"/>
      <c r="D29" s="6"/>
      <c r="E29" s="6"/>
    </row>
    <row r="30" spans="2:7">
      <c r="C30" s="6"/>
      <c r="D30" s="6"/>
      <c r="E30" s="6"/>
    </row>
  </sheetData>
  <mergeCells count="3">
    <mergeCell ref="B5:B6"/>
    <mergeCell ref="F5:J5"/>
    <mergeCell ref="F6:F7"/>
  </mergeCells>
  <phoneticPr fontId="1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M90"/>
  <sheetViews>
    <sheetView showGridLines="0" topLeftCell="V1" zoomScale="80" zoomScaleNormal="80" workbookViewId="0">
      <pane ySplit="4" topLeftCell="A77" activePane="bottomLeft" state="frozen"/>
      <selection activeCell="H1" sqref="H1"/>
      <selection pane="bottomLeft" activeCell="J70" sqref="J70"/>
    </sheetView>
  </sheetViews>
  <sheetFormatPr defaultColWidth="8.90625" defaultRowHeight="14.5"/>
  <cols>
    <col min="1" max="2" width="5.08984375" style="17" customWidth="1"/>
    <col min="3" max="3" width="8.90625" style="17" customWidth="1"/>
    <col min="4" max="4" width="13.1796875" style="17" customWidth="1"/>
    <col min="5" max="5" width="13" style="17" customWidth="1"/>
    <col min="6" max="6" width="11.1796875" style="17" customWidth="1"/>
    <col min="7" max="7" width="15.453125" style="17" customWidth="1"/>
    <col min="8" max="8" width="12.6328125" style="17" customWidth="1"/>
    <col min="9" max="9" width="15.81640625" style="17" customWidth="1"/>
    <col min="10" max="11" width="15.08984375" style="17" customWidth="1"/>
    <col min="12" max="12" width="8.90625" style="17" customWidth="1"/>
    <col min="13" max="13" width="8.90625" style="17"/>
    <col min="14" max="14" width="13.1796875" style="17" customWidth="1"/>
    <col min="15" max="15" width="13" style="17" customWidth="1"/>
    <col min="16" max="16" width="11.1796875" style="17" customWidth="1"/>
    <col min="17" max="17" width="13.81640625" style="17" customWidth="1"/>
    <col min="18" max="18" width="12.08984375" style="17" customWidth="1"/>
    <col min="19" max="19" width="13" style="17" customWidth="1"/>
    <col min="20" max="21" width="15.08984375" style="17" customWidth="1"/>
    <col min="22" max="23" width="8.90625" style="17"/>
    <col min="24" max="24" width="13.1796875" style="17" customWidth="1"/>
    <col min="25" max="25" width="13" style="17" customWidth="1"/>
    <col min="26" max="27" width="11.1796875" style="17" customWidth="1"/>
    <col min="28" max="28" width="11.453125" style="17" customWidth="1"/>
    <col min="29" max="29" width="13" style="17" customWidth="1"/>
    <col min="30" max="31" width="15.08984375" style="17" customWidth="1"/>
    <col min="32" max="33" width="8.90625" style="17"/>
    <col min="34" max="34" width="13.1796875" style="17" customWidth="1"/>
    <col min="35" max="35" width="13" style="17" customWidth="1"/>
    <col min="36" max="36" width="11.1796875" style="17" customWidth="1"/>
    <col min="37" max="37" width="12.1796875" style="17" customWidth="1"/>
    <col min="38" max="39" width="11.453125" style="17" customWidth="1"/>
    <col min="40" max="41" width="15.08984375" style="17" customWidth="1"/>
    <col min="42" max="42" width="8.90625" style="17"/>
    <col min="43" max="43" width="10.6328125" style="17" customWidth="1"/>
    <col min="44" max="44" width="13.1796875" style="17" customWidth="1"/>
    <col min="45" max="45" width="13" style="17" customWidth="1"/>
    <col min="46" max="47" width="11.1796875" style="17" customWidth="1"/>
    <col min="48" max="48" width="11.453125" style="17" customWidth="1"/>
    <col min="49" max="49" width="12.1796875" style="17" customWidth="1"/>
    <col min="50" max="51" width="15.08984375" style="17" customWidth="1"/>
    <col min="52" max="53" width="8.90625" style="17"/>
    <col min="54" max="54" width="13.1796875" style="17" customWidth="1"/>
    <col min="55" max="55" width="13" style="17" customWidth="1"/>
    <col min="56" max="57" width="11.1796875" style="17" customWidth="1"/>
    <col min="58" max="59" width="11.453125" style="17" customWidth="1"/>
    <col min="60" max="61" width="15.08984375" style="17" customWidth="1"/>
    <col min="62" max="63" width="8.90625" style="17"/>
    <col min="64" max="64" width="13.1796875" style="17" customWidth="1"/>
    <col min="65" max="65" width="13" style="17" customWidth="1"/>
    <col min="66" max="66" width="11.1796875" style="17" customWidth="1"/>
    <col min="67" max="67" width="12.36328125" style="17" customWidth="1"/>
    <col min="68" max="68" width="11.453125" style="17" customWidth="1"/>
    <col min="69" max="69" width="12.1796875" style="17" customWidth="1"/>
    <col min="70" max="71" width="15.08984375" style="17" customWidth="1"/>
    <col min="72" max="73" width="8.90625" style="17"/>
    <col min="74" max="74" width="13.1796875" style="17" customWidth="1"/>
    <col min="75" max="75" width="13" style="17" customWidth="1"/>
    <col min="76" max="76" width="11.1796875" style="17" customWidth="1"/>
    <col min="77" max="77" width="13.1796875" style="17" customWidth="1"/>
    <col min="78" max="79" width="11.453125" style="17" customWidth="1"/>
    <col min="80" max="81" width="15.08984375" style="17" customWidth="1"/>
    <col min="82" max="83" width="8.90625" style="17"/>
    <col min="84" max="84" width="13.1796875" style="17" customWidth="1"/>
    <col min="85" max="85" width="13" style="17" customWidth="1"/>
    <col min="86" max="86" width="11.1796875" style="17" customWidth="1"/>
    <col min="87" max="87" width="15.90625" style="17" customWidth="1"/>
    <col min="88" max="89" width="11.453125" style="17" customWidth="1"/>
    <col min="90" max="91" width="15.08984375" style="17" customWidth="1"/>
    <col min="92" max="16384" width="8.90625" style="17"/>
  </cols>
  <sheetData>
    <row r="2" spans="3:91" ht="15" thickBot="1"/>
    <row r="3" spans="3:91" ht="27.65" customHeight="1">
      <c r="C3" s="160" t="s">
        <v>0</v>
      </c>
      <c r="D3" s="159" t="s">
        <v>5</v>
      </c>
      <c r="E3" s="159"/>
      <c r="F3" s="159" t="s">
        <v>30</v>
      </c>
      <c r="G3" s="159"/>
      <c r="H3" s="159"/>
      <c r="I3" s="159"/>
      <c r="J3" s="159"/>
      <c r="K3" s="169"/>
      <c r="M3" s="160" t="s">
        <v>0</v>
      </c>
      <c r="N3" s="159" t="s">
        <v>5</v>
      </c>
      <c r="O3" s="159"/>
      <c r="P3" s="153" t="s">
        <v>31</v>
      </c>
      <c r="Q3" s="154"/>
      <c r="R3" s="154"/>
      <c r="S3" s="154"/>
      <c r="T3" s="154"/>
      <c r="U3" s="155"/>
      <c r="W3" s="160" t="s">
        <v>0</v>
      </c>
      <c r="X3" s="159" t="s">
        <v>5</v>
      </c>
      <c r="Y3" s="159"/>
      <c r="Z3" s="153" t="s">
        <v>32</v>
      </c>
      <c r="AA3" s="154"/>
      <c r="AB3" s="154"/>
      <c r="AC3" s="154"/>
      <c r="AD3" s="154"/>
      <c r="AE3" s="155"/>
      <c r="AG3" s="160" t="s">
        <v>0</v>
      </c>
      <c r="AH3" s="159" t="s">
        <v>5</v>
      </c>
      <c r="AI3" s="159"/>
      <c r="AJ3" s="153" t="s">
        <v>33</v>
      </c>
      <c r="AK3" s="154"/>
      <c r="AL3" s="154"/>
      <c r="AM3" s="154"/>
      <c r="AN3" s="154"/>
      <c r="AO3" s="155"/>
      <c r="AQ3" s="160" t="s">
        <v>0</v>
      </c>
      <c r="AR3" s="159" t="s">
        <v>5</v>
      </c>
      <c r="AS3" s="159"/>
      <c r="AT3" s="153" t="s">
        <v>34</v>
      </c>
      <c r="AU3" s="154"/>
      <c r="AV3" s="154"/>
      <c r="AW3" s="154"/>
      <c r="AX3" s="154"/>
      <c r="AY3" s="155"/>
      <c r="BA3" s="160" t="s">
        <v>0</v>
      </c>
      <c r="BB3" s="159" t="s">
        <v>5</v>
      </c>
      <c r="BC3" s="159"/>
      <c r="BD3" s="153" t="s">
        <v>35</v>
      </c>
      <c r="BE3" s="154"/>
      <c r="BF3" s="154"/>
      <c r="BG3" s="154"/>
      <c r="BH3" s="154"/>
      <c r="BI3" s="155"/>
      <c r="BK3" s="160" t="s">
        <v>0</v>
      </c>
      <c r="BL3" s="159" t="s">
        <v>5</v>
      </c>
      <c r="BM3" s="159"/>
      <c r="BN3" s="153" t="s">
        <v>36</v>
      </c>
      <c r="BO3" s="154"/>
      <c r="BP3" s="154"/>
      <c r="BQ3" s="154"/>
      <c r="BR3" s="154"/>
      <c r="BS3" s="155"/>
      <c r="BU3" s="160" t="s">
        <v>0</v>
      </c>
      <c r="BV3" s="159" t="s">
        <v>5</v>
      </c>
      <c r="BW3" s="159"/>
      <c r="BX3" s="153" t="s">
        <v>37</v>
      </c>
      <c r="BY3" s="154"/>
      <c r="BZ3" s="154"/>
      <c r="CA3" s="154"/>
      <c r="CB3" s="154"/>
      <c r="CC3" s="155"/>
      <c r="CE3" s="160" t="s">
        <v>0</v>
      </c>
      <c r="CF3" s="159" t="s">
        <v>5</v>
      </c>
      <c r="CG3" s="159"/>
      <c r="CH3" s="153" t="s">
        <v>38</v>
      </c>
      <c r="CI3" s="154"/>
      <c r="CJ3" s="154"/>
      <c r="CK3" s="154"/>
      <c r="CL3" s="154"/>
      <c r="CM3" s="155"/>
    </row>
    <row r="4" spans="3:91" ht="43.75" customHeight="1" thickBot="1">
      <c r="C4" s="161"/>
      <c r="D4" s="69" t="s">
        <v>3</v>
      </c>
      <c r="E4" s="69" t="s">
        <v>4</v>
      </c>
      <c r="F4" s="80" t="s">
        <v>25</v>
      </c>
      <c r="G4" s="80" t="s">
        <v>58</v>
      </c>
      <c r="H4" s="80" t="s">
        <v>27</v>
      </c>
      <c r="I4" s="80" t="s">
        <v>59</v>
      </c>
      <c r="J4" s="69" t="s">
        <v>26</v>
      </c>
      <c r="K4" s="81" t="s">
        <v>68</v>
      </c>
      <c r="M4" s="161"/>
      <c r="N4" s="69" t="s">
        <v>3</v>
      </c>
      <c r="O4" s="69" t="s">
        <v>4</v>
      </c>
      <c r="P4" s="80" t="s">
        <v>25</v>
      </c>
      <c r="Q4" s="80" t="s">
        <v>58</v>
      </c>
      <c r="R4" s="80" t="s">
        <v>27</v>
      </c>
      <c r="S4" s="80" t="s">
        <v>59</v>
      </c>
      <c r="T4" s="69" t="s">
        <v>26</v>
      </c>
      <c r="U4" s="81" t="s">
        <v>68</v>
      </c>
      <c r="W4" s="161"/>
      <c r="X4" s="69" t="s">
        <v>3</v>
      </c>
      <c r="Y4" s="69" t="s">
        <v>4</v>
      </c>
      <c r="Z4" s="80" t="s">
        <v>25</v>
      </c>
      <c r="AA4" s="80" t="s">
        <v>58</v>
      </c>
      <c r="AB4" s="80" t="s">
        <v>27</v>
      </c>
      <c r="AC4" s="80" t="s">
        <v>59</v>
      </c>
      <c r="AD4" s="69" t="s">
        <v>26</v>
      </c>
      <c r="AE4" s="81" t="s">
        <v>68</v>
      </c>
      <c r="AG4" s="162"/>
      <c r="AH4" s="121" t="s">
        <v>3</v>
      </c>
      <c r="AI4" s="121" t="s">
        <v>4</v>
      </c>
      <c r="AJ4" s="122" t="s">
        <v>25</v>
      </c>
      <c r="AK4" s="122" t="s">
        <v>58</v>
      </c>
      <c r="AL4" s="122" t="s">
        <v>27</v>
      </c>
      <c r="AM4" s="122" t="s">
        <v>59</v>
      </c>
      <c r="AN4" s="121" t="s">
        <v>26</v>
      </c>
      <c r="AO4" s="123" t="s">
        <v>68</v>
      </c>
      <c r="AQ4" s="161"/>
      <c r="AR4" s="69" t="s">
        <v>3</v>
      </c>
      <c r="AS4" s="69" t="s">
        <v>4</v>
      </c>
      <c r="AT4" s="80" t="s">
        <v>25</v>
      </c>
      <c r="AU4" s="80" t="s">
        <v>58</v>
      </c>
      <c r="AV4" s="80" t="s">
        <v>27</v>
      </c>
      <c r="AW4" s="80" t="s">
        <v>59</v>
      </c>
      <c r="AX4" s="69" t="s">
        <v>26</v>
      </c>
      <c r="AY4" s="81" t="s">
        <v>68</v>
      </c>
      <c r="BA4" s="161"/>
      <c r="BB4" s="69" t="s">
        <v>3</v>
      </c>
      <c r="BC4" s="69" t="s">
        <v>4</v>
      </c>
      <c r="BD4" s="80" t="s">
        <v>25</v>
      </c>
      <c r="BE4" s="80" t="s">
        <v>58</v>
      </c>
      <c r="BF4" s="80" t="s">
        <v>27</v>
      </c>
      <c r="BG4" s="80" t="s">
        <v>59</v>
      </c>
      <c r="BH4" s="69" t="s">
        <v>26</v>
      </c>
      <c r="BI4" s="81" t="s">
        <v>68</v>
      </c>
      <c r="BK4" s="161"/>
      <c r="BL4" s="69" t="s">
        <v>3</v>
      </c>
      <c r="BM4" s="69" t="s">
        <v>4</v>
      </c>
      <c r="BN4" s="80" t="s">
        <v>25</v>
      </c>
      <c r="BO4" s="80" t="s">
        <v>58</v>
      </c>
      <c r="BP4" s="80" t="s">
        <v>27</v>
      </c>
      <c r="BQ4" s="80" t="s">
        <v>59</v>
      </c>
      <c r="BR4" s="69" t="s">
        <v>26</v>
      </c>
      <c r="BS4" s="81" t="s">
        <v>68</v>
      </c>
      <c r="BU4" s="162"/>
      <c r="BV4" s="121" t="s">
        <v>3</v>
      </c>
      <c r="BW4" s="121" t="s">
        <v>4</v>
      </c>
      <c r="BX4" s="122" t="s">
        <v>25</v>
      </c>
      <c r="BY4" s="122" t="s">
        <v>58</v>
      </c>
      <c r="BZ4" s="122" t="s">
        <v>27</v>
      </c>
      <c r="CA4" s="122" t="s">
        <v>59</v>
      </c>
      <c r="CB4" s="121" t="s">
        <v>26</v>
      </c>
      <c r="CC4" s="123" t="s">
        <v>68</v>
      </c>
      <c r="CE4" s="162"/>
      <c r="CF4" s="121" t="s">
        <v>3</v>
      </c>
      <c r="CG4" s="121" t="s">
        <v>4</v>
      </c>
      <c r="CH4" s="122" t="s">
        <v>25</v>
      </c>
      <c r="CI4" s="122" t="s">
        <v>58</v>
      </c>
      <c r="CJ4" s="122" t="s">
        <v>27</v>
      </c>
      <c r="CK4" s="122" t="s">
        <v>59</v>
      </c>
      <c r="CL4" s="121" t="s">
        <v>26</v>
      </c>
      <c r="CM4" s="123" t="s">
        <v>68</v>
      </c>
    </row>
    <row r="5" spans="3:91" s="43" customFormat="1">
      <c r="C5" s="102">
        <v>41000</v>
      </c>
      <c r="D5" s="109">
        <v>40984</v>
      </c>
      <c r="E5" s="28">
        <v>41014</v>
      </c>
      <c r="F5" s="62">
        <f>66648*'DGR March-2012'!C40</f>
        <v>66440.496960711636</v>
      </c>
      <c r="G5" s="49">
        <f t="shared" ref="G5:G51" si="0">F5</f>
        <v>66440.496960711636</v>
      </c>
      <c r="H5" s="42">
        <v>3768</v>
      </c>
      <c r="I5" s="42">
        <f>H5</f>
        <v>3768</v>
      </c>
      <c r="J5" s="42">
        <f>F5-H5</f>
        <v>62672.496960711636</v>
      </c>
      <c r="K5" s="29">
        <f>G5-I5</f>
        <v>62672.496960711636</v>
      </c>
      <c r="M5" s="102">
        <v>41000</v>
      </c>
      <c r="N5" s="109">
        <v>40984</v>
      </c>
      <c r="O5" s="28">
        <v>41014</v>
      </c>
      <c r="P5" s="62">
        <f>70512*'DGR March-2012'!F40</f>
        <v>70321.986048926992</v>
      </c>
      <c r="Q5" s="49">
        <f t="shared" ref="Q5:Q52" si="1">P5</f>
        <v>70321.986048926992</v>
      </c>
      <c r="R5" s="42">
        <v>3528</v>
      </c>
      <c r="S5" s="42">
        <f>R5</f>
        <v>3528</v>
      </c>
      <c r="T5" s="42">
        <f>P5-R5</f>
        <v>66793.986048926992</v>
      </c>
      <c r="U5" s="29">
        <f>Q5-S5</f>
        <v>66793.986048926992</v>
      </c>
      <c r="W5" s="79">
        <v>41000</v>
      </c>
      <c r="X5" s="109">
        <v>40984</v>
      </c>
      <c r="Y5" s="28">
        <v>41014</v>
      </c>
      <c r="Z5" s="62">
        <f>76488*'DGR March-2012'!I40</f>
        <v>76317.652492951762</v>
      </c>
      <c r="AA5" s="49">
        <f t="shared" ref="AA5:AA52" si="2">Z5</f>
        <v>76317.652492951762</v>
      </c>
      <c r="AB5" s="42">
        <v>3216</v>
      </c>
      <c r="AC5" s="42">
        <f>AB5</f>
        <v>3216</v>
      </c>
      <c r="AD5" s="42">
        <f t="shared" ref="AD5:AD38" si="3">Z5-AB5</f>
        <v>73101.652492951762</v>
      </c>
      <c r="AE5" s="29">
        <f>AA5-AC5</f>
        <v>73101.652492951762</v>
      </c>
      <c r="AG5" s="125">
        <v>41000</v>
      </c>
      <c r="AH5" s="126">
        <v>40984</v>
      </c>
      <c r="AI5" s="127">
        <v>41014</v>
      </c>
      <c r="AJ5" s="128">
        <f>87780*'DGR March-2012'!L40</f>
        <v>87472.445579692125</v>
      </c>
      <c r="AK5" s="129">
        <f t="shared" ref="AK5:AK52" si="4">AJ5</f>
        <v>87472.445579692125</v>
      </c>
      <c r="AL5" s="130">
        <v>4290</v>
      </c>
      <c r="AM5" s="130">
        <f>AL5</f>
        <v>4290</v>
      </c>
      <c r="AN5" s="130">
        <f t="shared" ref="AN5:AN48" si="5">AJ5-AL5</f>
        <v>83182.445579692125</v>
      </c>
      <c r="AO5" s="131">
        <f>AK5-AM5</f>
        <v>83182.445579692125</v>
      </c>
      <c r="AQ5" s="139">
        <v>41000</v>
      </c>
      <c r="AR5" s="109">
        <v>40984</v>
      </c>
      <c r="AS5" s="42">
        <v>41014</v>
      </c>
      <c r="AT5" s="62">
        <f>58344*'DGR March-2012'!O40</f>
        <v>58213.881413911062</v>
      </c>
      <c r="AU5" s="49">
        <f t="shared" ref="AU5:AU52" si="6">AT5</f>
        <v>58213.881413911062</v>
      </c>
      <c r="AV5" s="42">
        <v>3744</v>
      </c>
      <c r="AW5" s="42">
        <f>AV5</f>
        <v>3744</v>
      </c>
      <c r="AX5" s="29">
        <f t="shared" ref="AX5:AX38" si="7">AT5-AV5</f>
        <v>54469.881413911062</v>
      </c>
      <c r="AY5" s="29">
        <f>AU5-AW5</f>
        <v>54469.881413911062</v>
      </c>
      <c r="BA5" s="125">
        <v>41000</v>
      </c>
      <c r="BB5" s="126">
        <v>40984</v>
      </c>
      <c r="BC5" s="127">
        <v>41014</v>
      </c>
      <c r="BD5" s="128">
        <f>90480*'DGR March-2012'!R40</f>
        <v>90216.7977343081</v>
      </c>
      <c r="BE5" s="129">
        <f t="shared" ref="BE5:BE52" si="8">BD5</f>
        <v>90216.7977343081</v>
      </c>
      <c r="BF5" s="130">
        <v>4470</v>
      </c>
      <c r="BG5" s="130">
        <f>BF5</f>
        <v>4470</v>
      </c>
      <c r="BH5" s="130">
        <f t="shared" ref="BH5:BH38" si="9">BD5-BF5</f>
        <v>85746.7977343081</v>
      </c>
      <c r="BI5" s="131">
        <f>BE5-BG5</f>
        <v>85746.7977343081</v>
      </c>
      <c r="BK5" s="125">
        <v>41000</v>
      </c>
      <c r="BL5" s="126">
        <v>40984</v>
      </c>
      <c r="BM5" s="127">
        <v>41014</v>
      </c>
      <c r="BN5" s="128">
        <f>90930*'DGR March-2012'!U40</f>
        <v>90651.494672821544</v>
      </c>
      <c r="BO5" s="129">
        <f t="shared" ref="BO5:BO52" si="10">BN5</f>
        <v>90651.494672821544</v>
      </c>
      <c r="BP5" s="130">
        <v>4200</v>
      </c>
      <c r="BQ5" s="130">
        <f>BP5</f>
        <v>4200</v>
      </c>
      <c r="BR5" s="130">
        <f t="shared" ref="BR5:BR38" si="11">BN5-BP5</f>
        <v>86451.494672821544</v>
      </c>
      <c r="BS5" s="131">
        <f>BO5-BQ5</f>
        <v>86451.494672821544</v>
      </c>
      <c r="BU5" s="125">
        <v>41000</v>
      </c>
      <c r="BV5" s="126">
        <v>40984</v>
      </c>
      <c r="BW5" s="127">
        <v>41014</v>
      </c>
      <c r="BX5" s="128">
        <f>90936*'DGR March-2012'!X40</f>
        <v>90673.713274336289</v>
      </c>
      <c r="BY5" s="129">
        <f t="shared" ref="BY5:BY52" si="12">BX5</f>
        <v>90673.713274336289</v>
      </c>
      <c r="BZ5" s="130">
        <v>2784</v>
      </c>
      <c r="CA5" s="130">
        <f>BZ5</f>
        <v>2784</v>
      </c>
      <c r="CB5" s="130">
        <f>BX5-BZ5</f>
        <v>87889.713274336289</v>
      </c>
      <c r="CC5" s="131">
        <f>BY5-CA5</f>
        <v>87889.713274336289</v>
      </c>
      <c r="CE5" s="140">
        <v>41000</v>
      </c>
      <c r="CF5" s="126">
        <v>40984</v>
      </c>
      <c r="CG5" s="127">
        <v>41014</v>
      </c>
      <c r="CH5" s="128">
        <f>72888*'DGR March-2012'!AA40</f>
        <v>72699.333051782625</v>
      </c>
      <c r="CI5" s="129">
        <f t="shared" ref="CI5:CI52" si="13">CH5</f>
        <v>72699.333051782625</v>
      </c>
      <c r="CJ5" s="130">
        <v>2592</v>
      </c>
      <c r="CK5" s="130">
        <f>CJ5</f>
        <v>2592</v>
      </c>
      <c r="CL5" s="130">
        <f>CH5-CJ5</f>
        <v>70107.333051782625</v>
      </c>
      <c r="CM5" s="131">
        <f>CI5-CK5</f>
        <v>70107.333051782625</v>
      </c>
    </row>
    <row r="6" spans="3:91" s="43" customFormat="1">
      <c r="C6" s="27">
        <v>41030</v>
      </c>
      <c r="D6" s="44">
        <v>41014</v>
      </c>
      <c r="E6" s="44">
        <v>41039</v>
      </c>
      <c r="F6" s="20">
        <v>216864</v>
      </c>
      <c r="G6" s="19">
        <f t="shared" si="0"/>
        <v>216864</v>
      </c>
      <c r="H6" s="20">
        <v>2304</v>
      </c>
      <c r="I6" s="42">
        <f t="shared" ref="I6:I52" si="14">H6</f>
        <v>2304</v>
      </c>
      <c r="J6" s="20">
        <f t="shared" ref="J6:J74" si="15">F6-H6</f>
        <v>214560</v>
      </c>
      <c r="K6" s="29">
        <f t="shared" ref="K6:K74" si="16">G6-I6</f>
        <v>214560</v>
      </c>
      <c r="M6" s="18">
        <v>41030</v>
      </c>
      <c r="N6" s="16">
        <v>41014</v>
      </c>
      <c r="O6" s="16">
        <v>41039</v>
      </c>
      <c r="P6" s="19">
        <v>172104</v>
      </c>
      <c r="Q6" s="49">
        <f t="shared" si="1"/>
        <v>172104</v>
      </c>
      <c r="R6" s="19">
        <v>2328</v>
      </c>
      <c r="S6" s="49">
        <f t="shared" ref="S6:S52" si="17">R6</f>
        <v>2328</v>
      </c>
      <c r="T6" s="19">
        <f t="shared" ref="T6:T40" si="18">P6-R6</f>
        <v>169776</v>
      </c>
      <c r="U6" s="29">
        <f t="shared" ref="U6:U74" si="19">Q6-S6</f>
        <v>169776</v>
      </c>
      <c r="W6" s="27">
        <v>41030</v>
      </c>
      <c r="X6" s="28">
        <v>41014</v>
      </c>
      <c r="Y6" s="28">
        <v>41039</v>
      </c>
      <c r="Z6" s="42">
        <v>201096</v>
      </c>
      <c r="AA6" s="49">
        <f t="shared" si="2"/>
        <v>201096</v>
      </c>
      <c r="AB6" s="42">
        <v>2232</v>
      </c>
      <c r="AC6" s="42">
        <f t="shared" ref="AC6:AC52" si="20">AB6</f>
        <v>2232</v>
      </c>
      <c r="AD6" s="20">
        <f t="shared" si="3"/>
        <v>198864</v>
      </c>
      <c r="AE6" s="29">
        <f t="shared" ref="AE6:AE74" si="21">AA6-AC6</f>
        <v>198864</v>
      </c>
      <c r="AG6" s="18">
        <v>41030</v>
      </c>
      <c r="AH6" s="16">
        <v>41014</v>
      </c>
      <c r="AI6" s="16">
        <v>41044</v>
      </c>
      <c r="AJ6" s="19">
        <v>443580</v>
      </c>
      <c r="AK6" s="19">
        <f t="shared" si="4"/>
        <v>443580</v>
      </c>
      <c r="AL6" s="19">
        <v>1920</v>
      </c>
      <c r="AM6" s="19">
        <f t="shared" ref="AM6:AM52" si="22">AL6</f>
        <v>1920</v>
      </c>
      <c r="AN6" s="19">
        <f t="shared" si="5"/>
        <v>441660</v>
      </c>
      <c r="AO6" s="71">
        <f t="shared" ref="AO6:AO74" si="23">AK6-AM6</f>
        <v>441660</v>
      </c>
      <c r="AQ6" s="18">
        <v>41030</v>
      </c>
      <c r="AR6" s="16">
        <v>41014</v>
      </c>
      <c r="AS6" s="16">
        <v>41039</v>
      </c>
      <c r="AT6" s="19">
        <v>169632</v>
      </c>
      <c r="AU6" s="19">
        <f t="shared" si="6"/>
        <v>169632</v>
      </c>
      <c r="AV6" s="19">
        <v>2232</v>
      </c>
      <c r="AW6" s="19">
        <f t="shared" ref="AW6:AW52" si="24">AV6</f>
        <v>2232</v>
      </c>
      <c r="AX6" s="19">
        <f t="shared" si="7"/>
        <v>167400</v>
      </c>
      <c r="AY6" s="71">
        <f t="shared" ref="AY6:AY74" si="25">AU6-AW6</f>
        <v>167400</v>
      </c>
      <c r="BA6" s="27">
        <v>41030</v>
      </c>
      <c r="BB6" s="44">
        <v>41014</v>
      </c>
      <c r="BC6" s="44">
        <v>41044</v>
      </c>
      <c r="BD6" s="20">
        <v>443610</v>
      </c>
      <c r="BE6" s="19">
        <f t="shared" si="8"/>
        <v>443610</v>
      </c>
      <c r="BF6" s="20">
        <v>1920</v>
      </c>
      <c r="BG6" s="20">
        <f t="shared" ref="BG6:BG52" si="26">BF6</f>
        <v>1920</v>
      </c>
      <c r="BH6" s="20">
        <f t="shared" si="9"/>
        <v>441690</v>
      </c>
      <c r="BI6" s="71">
        <f t="shared" ref="BI6:BI74" si="27">BE6-BG6</f>
        <v>441690</v>
      </c>
      <c r="BK6" s="27">
        <v>41030</v>
      </c>
      <c r="BL6" s="44">
        <v>41014</v>
      </c>
      <c r="BM6" s="44">
        <v>41044</v>
      </c>
      <c r="BN6" s="20">
        <v>428970</v>
      </c>
      <c r="BO6" s="19">
        <f t="shared" si="10"/>
        <v>428970</v>
      </c>
      <c r="BP6" s="20">
        <v>1770</v>
      </c>
      <c r="BQ6" s="20">
        <f t="shared" ref="BQ6:BQ52" si="28">BP6</f>
        <v>1770</v>
      </c>
      <c r="BR6" s="20">
        <f t="shared" si="11"/>
        <v>427200</v>
      </c>
      <c r="BS6" s="71">
        <f t="shared" ref="BS6:BS74" si="29">BO6-BQ6</f>
        <v>427200</v>
      </c>
      <c r="BU6" s="27">
        <v>41030</v>
      </c>
      <c r="BV6" s="44">
        <v>41014</v>
      </c>
      <c r="BW6" s="44">
        <v>41039</v>
      </c>
      <c r="BX6" s="20">
        <v>248424</v>
      </c>
      <c r="BY6" s="19">
        <f t="shared" si="12"/>
        <v>248424</v>
      </c>
      <c r="BZ6" s="20">
        <v>1944</v>
      </c>
      <c r="CA6" s="20">
        <f t="shared" ref="CA6:CA52" si="30">BZ6</f>
        <v>1944</v>
      </c>
      <c r="CB6" s="20">
        <f t="shared" ref="CB6:CB74" si="31">BX6-BZ6</f>
        <v>246480</v>
      </c>
      <c r="CC6" s="71">
        <f t="shared" ref="CC6:CC74" si="32">BY6-CA6</f>
        <v>246480</v>
      </c>
      <c r="CE6" s="27">
        <v>41030</v>
      </c>
      <c r="CF6" s="16">
        <v>41014</v>
      </c>
      <c r="CG6" s="16">
        <v>41039</v>
      </c>
      <c r="CH6" s="19">
        <v>209400</v>
      </c>
      <c r="CI6" s="19">
        <f t="shared" si="13"/>
        <v>209400</v>
      </c>
      <c r="CJ6" s="19">
        <v>2016</v>
      </c>
      <c r="CK6" s="19">
        <f t="shared" ref="CK6:CK52" si="33">CJ6</f>
        <v>2016</v>
      </c>
      <c r="CL6" s="19">
        <f t="shared" ref="CL6:CL74" si="34">CH6-CJ6</f>
        <v>207384</v>
      </c>
      <c r="CM6" s="71">
        <f t="shared" ref="CM6:CM74" si="35">CI6-CK6</f>
        <v>207384</v>
      </c>
    </row>
    <row r="7" spans="3:91" s="43" customFormat="1">
      <c r="C7" s="27">
        <v>41061</v>
      </c>
      <c r="D7" s="44">
        <v>41039</v>
      </c>
      <c r="E7" s="44">
        <v>41070</v>
      </c>
      <c r="F7" s="20">
        <v>484056</v>
      </c>
      <c r="G7" s="19">
        <f t="shared" si="0"/>
        <v>484056</v>
      </c>
      <c r="H7" s="20">
        <v>984</v>
      </c>
      <c r="I7" s="42">
        <f t="shared" si="14"/>
        <v>984</v>
      </c>
      <c r="J7" s="20">
        <f t="shared" si="15"/>
        <v>483072</v>
      </c>
      <c r="K7" s="29">
        <f t="shared" si="16"/>
        <v>483072</v>
      </c>
      <c r="M7" s="18">
        <v>41061</v>
      </c>
      <c r="N7" s="16">
        <v>41039</v>
      </c>
      <c r="O7" s="16">
        <v>41070</v>
      </c>
      <c r="P7" s="19">
        <v>365112</v>
      </c>
      <c r="Q7" s="49">
        <f t="shared" si="1"/>
        <v>365112</v>
      </c>
      <c r="R7" s="19">
        <v>1728</v>
      </c>
      <c r="S7" s="49">
        <f t="shared" si="17"/>
        <v>1728</v>
      </c>
      <c r="T7" s="19">
        <f t="shared" si="18"/>
        <v>363384</v>
      </c>
      <c r="U7" s="29">
        <f t="shared" si="19"/>
        <v>363384</v>
      </c>
      <c r="W7" s="18">
        <v>41061</v>
      </c>
      <c r="X7" s="60">
        <v>41039</v>
      </c>
      <c r="Y7" s="60">
        <v>41070</v>
      </c>
      <c r="Z7" s="49">
        <v>475968</v>
      </c>
      <c r="AA7" s="49">
        <f t="shared" si="2"/>
        <v>475968</v>
      </c>
      <c r="AB7" s="49">
        <v>888</v>
      </c>
      <c r="AC7" s="49">
        <f t="shared" si="20"/>
        <v>888</v>
      </c>
      <c r="AD7" s="19">
        <f t="shared" si="3"/>
        <v>475080</v>
      </c>
      <c r="AE7" s="29">
        <f t="shared" si="21"/>
        <v>475080</v>
      </c>
      <c r="AG7" s="18">
        <v>41061</v>
      </c>
      <c r="AH7" s="16">
        <v>41044</v>
      </c>
      <c r="AI7" s="16">
        <v>41075</v>
      </c>
      <c r="AJ7" s="19">
        <v>919590</v>
      </c>
      <c r="AK7" s="19">
        <f t="shared" si="4"/>
        <v>919590</v>
      </c>
      <c r="AL7" s="19">
        <v>120</v>
      </c>
      <c r="AM7" s="19">
        <f t="shared" si="22"/>
        <v>120</v>
      </c>
      <c r="AN7" s="19">
        <f t="shared" si="5"/>
        <v>919470</v>
      </c>
      <c r="AO7" s="71">
        <f t="shared" si="23"/>
        <v>919470</v>
      </c>
      <c r="AQ7" s="18">
        <v>41061</v>
      </c>
      <c r="AR7" s="16">
        <v>41039</v>
      </c>
      <c r="AS7" s="16">
        <v>41070</v>
      </c>
      <c r="AT7" s="19">
        <v>431040</v>
      </c>
      <c r="AU7" s="19">
        <f t="shared" si="6"/>
        <v>431040</v>
      </c>
      <c r="AV7" s="19">
        <v>1488</v>
      </c>
      <c r="AW7" s="19">
        <f t="shared" si="24"/>
        <v>1488</v>
      </c>
      <c r="AX7" s="19">
        <f t="shared" si="7"/>
        <v>429552</v>
      </c>
      <c r="AY7" s="71">
        <f t="shared" si="25"/>
        <v>429552</v>
      </c>
      <c r="BA7" s="27">
        <v>41061</v>
      </c>
      <c r="BB7" s="59">
        <v>41044</v>
      </c>
      <c r="BC7" s="59">
        <v>41075</v>
      </c>
      <c r="BD7" s="58">
        <v>941160</v>
      </c>
      <c r="BE7" s="19">
        <f t="shared" si="8"/>
        <v>941160</v>
      </c>
      <c r="BF7" s="58">
        <v>30</v>
      </c>
      <c r="BG7" s="20">
        <f t="shared" si="26"/>
        <v>30</v>
      </c>
      <c r="BH7" s="58">
        <f t="shared" si="9"/>
        <v>941130</v>
      </c>
      <c r="BI7" s="71">
        <f t="shared" si="27"/>
        <v>941130</v>
      </c>
      <c r="BK7" s="27">
        <v>41061</v>
      </c>
      <c r="BL7" s="44">
        <v>41044</v>
      </c>
      <c r="BM7" s="44">
        <v>41075</v>
      </c>
      <c r="BN7" s="20">
        <v>907980</v>
      </c>
      <c r="BO7" s="19">
        <f t="shared" si="10"/>
        <v>907980</v>
      </c>
      <c r="BP7" s="20">
        <v>120</v>
      </c>
      <c r="BQ7" s="20">
        <f t="shared" si="28"/>
        <v>120</v>
      </c>
      <c r="BR7" s="20">
        <f t="shared" si="11"/>
        <v>907860</v>
      </c>
      <c r="BS7" s="71">
        <f t="shared" si="29"/>
        <v>907860</v>
      </c>
      <c r="BU7" s="27">
        <v>41061</v>
      </c>
      <c r="BV7" s="59">
        <v>41039</v>
      </c>
      <c r="BW7" s="59">
        <v>41070</v>
      </c>
      <c r="BX7" s="58">
        <v>500232</v>
      </c>
      <c r="BY7" s="19">
        <f t="shared" si="12"/>
        <v>500232</v>
      </c>
      <c r="BZ7" s="58">
        <v>720</v>
      </c>
      <c r="CA7" s="20">
        <f t="shared" si="30"/>
        <v>720</v>
      </c>
      <c r="CB7" s="58">
        <f t="shared" si="31"/>
        <v>499512</v>
      </c>
      <c r="CC7" s="71">
        <f t="shared" si="32"/>
        <v>499512</v>
      </c>
      <c r="CE7" s="27">
        <v>41061</v>
      </c>
      <c r="CF7" s="16">
        <v>41039</v>
      </c>
      <c r="CG7" s="16">
        <v>41070</v>
      </c>
      <c r="CH7" s="19">
        <v>478440</v>
      </c>
      <c r="CI7" s="19">
        <f t="shared" si="13"/>
        <v>478440</v>
      </c>
      <c r="CJ7" s="19">
        <v>888</v>
      </c>
      <c r="CK7" s="19">
        <f t="shared" si="33"/>
        <v>888</v>
      </c>
      <c r="CL7" s="19">
        <f t="shared" si="34"/>
        <v>477552</v>
      </c>
      <c r="CM7" s="71">
        <f t="shared" si="35"/>
        <v>477552</v>
      </c>
    </row>
    <row r="8" spans="3:91" s="43" customFormat="1">
      <c r="C8" s="18">
        <v>41091</v>
      </c>
      <c r="D8" s="16">
        <v>41070</v>
      </c>
      <c r="E8" s="16">
        <v>41103</v>
      </c>
      <c r="F8" s="19">
        <v>640608</v>
      </c>
      <c r="G8" s="19">
        <f t="shared" si="0"/>
        <v>640608</v>
      </c>
      <c r="H8" s="19">
        <v>432</v>
      </c>
      <c r="I8" s="49">
        <f t="shared" si="14"/>
        <v>432</v>
      </c>
      <c r="J8" s="19">
        <f t="shared" si="15"/>
        <v>640176</v>
      </c>
      <c r="K8" s="141">
        <f t="shared" si="16"/>
        <v>640176</v>
      </c>
      <c r="M8" s="18">
        <v>41091</v>
      </c>
      <c r="N8" s="16">
        <v>41070</v>
      </c>
      <c r="O8" s="16">
        <v>41100</v>
      </c>
      <c r="P8" s="19">
        <v>552456</v>
      </c>
      <c r="Q8" s="49">
        <f t="shared" si="1"/>
        <v>552456</v>
      </c>
      <c r="R8" s="19">
        <v>648</v>
      </c>
      <c r="S8" s="49">
        <f t="shared" si="17"/>
        <v>648</v>
      </c>
      <c r="T8" s="19">
        <f t="shared" si="18"/>
        <v>551808</v>
      </c>
      <c r="U8" s="29">
        <f t="shared" si="19"/>
        <v>551808</v>
      </c>
      <c r="W8" s="18">
        <v>41091</v>
      </c>
      <c r="X8" s="60">
        <v>41070</v>
      </c>
      <c r="Y8" s="60">
        <v>41100</v>
      </c>
      <c r="Z8" s="49">
        <v>621024</v>
      </c>
      <c r="AA8" s="49">
        <f t="shared" si="2"/>
        <v>621024</v>
      </c>
      <c r="AB8" s="49">
        <v>432</v>
      </c>
      <c r="AC8" s="49">
        <f t="shared" si="20"/>
        <v>432</v>
      </c>
      <c r="AD8" s="19">
        <f t="shared" si="3"/>
        <v>620592</v>
      </c>
      <c r="AE8" s="29">
        <f t="shared" si="21"/>
        <v>620592</v>
      </c>
      <c r="AG8" s="18">
        <v>41091</v>
      </c>
      <c r="AH8" s="16">
        <v>41075</v>
      </c>
      <c r="AI8" s="16">
        <v>41100</v>
      </c>
      <c r="AJ8" s="19">
        <v>897390</v>
      </c>
      <c r="AK8" s="19">
        <f t="shared" si="4"/>
        <v>897390</v>
      </c>
      <c r="AL8" s="19">
        <v>120</v>
      </c>
      <c r="AM8" s="19">
        <f t="shared" si="22"/>
        <v>120</v>
      </c>
      <c r="AN8" s="19">
        <f t="shared" si="5"/>
        <v>897270</v>
      </c>
      <c r="AO8" s="71">
        <f t="shared" si="23"/>
        <v>897270</v>
      </c>
      <c r="AQ8" s="18">
        <v>41091</v>
      </c>
      <c r="AR8" s="16">
        <v>41070</v>
      </c>
      <c r="AS8" s="16">
        <v>41100</v>
      </c>
      <c r="AT8" s="19">
        <v>588768</v>
      </c>
      <c r="AU8" s="19">
        <f t="shared" si="6"/>
        <v>588768</v>
      </c>
      <c r="AV8" s="19">
        <v>600</v>
      </c>
      <c r="AW8" s="19">
        <f t="shared" si="24"/>
        <v>600</v>
      </c>
      <c r="AX8" s="19">
        <f t="shared" si="7"/>
        <v>588168</v>
      </c>
      <c r="AY8" s="71">
        <f t="shared" si="25"/>
        <v>588168</v>
      </c>
      <c r="BA8" s="27">
        <v>41091</v>
      </c>
      <c r="BB8" s="44">
        <v>41075</v>
      </c>
      <c r="BC8" s="44">
        <v>41100</v>
      </c>
      <c r="BD8" s="20">
        <v>108690</v>
      </c>
      <c r="BE8" s="19">
        <f t="shared" si="8"/>
        <v>108690</v>
      </c>
      <c r="BF8" s="20">
        <v>2970</v>
      </c>
      <c r="BG8" s="20">
        <f t="shared" si="26"/>
        <v>2970</v>
      </c>
      <c r="BH8" s="20">
        <f t="shared" si="9"/>
        <v>105720</v>
      </c>
      <c r="BI8" s="71">
        <f t="shared" si="27"/>
        <v>105720</v>
      </c>
      <c r="BK8" s="27">
        <v>41091</v>
      </c>
      <c r="BL8" s="44">
        <v>41075</v>
      </c>
      <c r="BM8" s="44">
        <v>41100</v>
      </c>
      <c r="BN8" s="20">
        <v>874350</v>
      </c>
      <c r="BO8" s="19">
        <f t="shared" si="10"/>
        <v>874350</v>
      </c>
      <c r="BP8" s="20">
        <v>180</v>
      </c>
      <c r="BQ8" s="20">
        <f t="shared" si="28"/>
        <v>180</v>
      </c>
      <c r="BR8" s="20">
        <f t="shared" si="11"/>
        <v>874170</v>
      </c>
      <c r="BS8" s="71">
        <f t="shared" si="29"/>
        <v>874170</v>
      </c>
      <c r="BU8" s="27">
        <v>41091</v>
      </c>
      <c r="BV8" s="44">
        <v>41070</v>
      </c>
      <c r="BW8" s="44">
        <v>41100</v>
      </c>
      <c r="BX8" s="20">
        <v>650472</v>
      </c>
      <c r="BY8" s="19">
        <f t="shared" si="12"/>
        <v>650472</v>
      </c>
      <c r="BZ8" s="20">
        <v>384</v>
      </c>
      <c r="CA8" s="20">
        <f t="shared" si="30"/>
        <v>384</v>
      </c>
      <c r="CB8" s="20">
        <f t="shared" si="31"/>
        <v>650088</v>
      </c>
      <c r="CC8" s="71">
        <f t="shared" si="32"/>
        <v>650088</v>
      </c>
      <c r="CE8" s="27">
        <v>41091</v>
      </c>
      <c r="CF8" s="16">
        <v>41070</v>
      </c>
      <c r="CG8" s="16">
        <v>41103</v>
      </c>
      <c r="CH8" s="19">
        <v>632976</v>
      </c>
      <c r="CI8" s="19">
        <f t="shared" si="13"/>
        <v>632976</v>
      </c>
      <c r="CJ8" s="19">
        <v>456</v>
      </c>
      <c r="CK8" s="19">
        <f t="shared" si="33"/>
        <v>456</v>
      </c>
      <c r="CL8" s="19">
        <f t="shared" si="34"/>
        <v>632520</v>
      </c>
      <c r="CM8" s="71">
        <f t="shared" si="35"/>
        <v>632520</v>
      </c>
    </row>
    <row r="9" spans="3:91" s="43" customFormat="1">
      <c r="C9" s="18">
        <v>41122</v>
      </c>
      <c r="D9" s="16">
        <v>41103</v>
      </c>
      <c r="E9" s="16">
        <v>41131</v>
      </c>
      <c r="F9" s="19">
        <v>514776</v>
      </c>
      <c r="G9" s="19">
        <f t="shared" si="0"/>
        <v>514776</v>
      </c>
      <c r="H9" s="19">
        <v>1080</v>
      </c>
      <c r="I9" s="49">
        <f t="shared" si="14"/>
        <v>1080</v>
      </c>
      <c r="J9" s="19">
        <f t="shared" si="15"/>
        <v>513696</v>
      </c>
      <c r="K9" s="141">
        <f t="shared" si="16"/>
        <v>513696</v>
      </c>
      <c r="M9" s="18">
        <v>41122</v>
      </c>
      <c r="N9" s="16">
        <v>41100</v>
      </c>
      <c r="O9" s="16">
        <v>41131</v>
      </c>
      <c r="P9" s="19">
        <v>467496</v>
      </c>
      <c r="Q9" s="49">
        <f t="shared" si="1"/>
        <v>467496</v>
      </c>
      <c r="R9" s="19">
        <v>1200</v>
      </c>
      <c r="S9" s="49">
        <f t="shared" si="17"/>
        <v>1200</v>
      </c>
      <c r="T9" s="19">
        <f t="shared" si="18"/>
        <v>466296</v>
      </c>
      <c r="U9" s="29">
        <f t="shared" si="19"/>
        <v>466296</v>
      </c>
      <c r="W9" s="18">
        <v>41122</v>
      </c>
      <c r="X9" s="60">
        <v>41100</v>
      </c>
      <c r="Y9" s="60">
        <v>41131</v>
      </c>
      <c r="Z9" s="49">
        <v>543168</v>
      </c>
      <c r="AA9" s="49">
        <f t="shared" si="2"/>
        <v>543168</v>
      </c>
      <c r="AB9" s="49">
        <v>960</v>
      </c>
      <c r="AC9" s="49">
        <f t="shared" si="20"/>
        <v>960</v>
      </c>
      <c r="AD9" s="19">
        <f t="shared" si="3"/>
        <v>542208</v>
      </c>
      <c r="AE9" s="29">
        <f t="shared" si="21"/>
        <v>542208</v>
      </c>
      <c r="AG9" s="18">
        <v>41122</v>
      </c>
      <c r="AH9" s="16">
        <v>41100</v>
      </c>
      <c r="AI9" s="16">
        <v>41131</v>
      </c>
      <c r="AJ9" s="19">
        <v>830970</v>
      </c>
      <c r="AK9" s="19">
        <f t="shared" si="4"/>
        <v>830970</v>
      </c>
      <c r="AL9" s="19">
        <v>180</v>
      </c>
      <c r="AM9" s="19">
        <f t="shared" si="22"/>
        <v>180</v>
      </c>
      <c r="AN9" s="19">
        <f t="shared" si="5"/>
        <v>830790</v>
      </c>
      <c r="AO9" s="71">
        <f t="shared" si="23"/>
        <v>830790</v>
      </c>
      <c r="AQ9" s="18">
        <v>41122</v>
      </c>
      <c r="AR9" s="16">
        <v>41100</v>
      </c>
      <c r="AS9" s="16">
        <v>41131</v>
      </c>
      <c r="AT9" s="19">
        <v>484704</v>
      </c>
      <c r="AU9" s="19">
        <f t="shared" si="6"/>
        <v>484704</v>
      </c>
      <c r="AV9" s="19">
        <v>1176</v>
      </c>
      <c r="AW9" s="19">
        <f t="shared" si="24"/>
        <v>1176</v>
      </c>
      <c r="AX9" s="19">
        <f t="shared" si="7"/>
        <v>483528</v>
      </c>
      <c r="AY9" s="71">
        <f t="shared" si="25"/>
        <v>483528</v>
      </c>
      <c r="BA9" s="27">
        <v>41122</v>
      </c>
      <c r="BB9" s="44">
        <v>41100</v>
      </c>
      <c r="BC9" s="44">
        <v>41131</v>
      </c>
      <c r="BD9" s="20">
        <v>824220</v>
      </c>
      <c r="BE9" s="19">
        <f t="shared" si="8"/>
        <v>824220</v>
      </c>
      <c r="BF9" s="20">
        <v>210</v>
      </c>
      <c r="BG9" s="20">
        <f t="shared" si="26"/>
        <v>210</v>
      </c>
      <c r="BH9" s="20">
        <f t="shared" si="9"/>
        <v>824010</v>
      </c>
      <c r="BI9" s="71">
        <f t="shared" si="27"/>
        <v>824010</v>
      </c>
      <c r="BK9" s="27">
        <v>41122</v>
      </c>
      <c r="BL9" s="44">
        <v>41100</v>
      </c>
      <c r="BM9" s="44">
        <v>41131</v>
      </c>
      <c r="BN9" s="20">
        <v>328890</v>
      </c>
      <c r="BO9" s="19">
        <f t="shared" si="10"/>
        <v>328890</v>
      </c>
      <c r="BP9" s="20">
        <v>1860</v>
      </c>
      <c r="BQ9" s="20">
        <f t="shared" si="28"/>
        <v>1860</v>
      </c>
      <c r="BR9" s="20">
        <f t="shared" si="11"/>
        <v>327030</v>
      </c>
      <c r="BS9" s="71">
        <f t="shared" si="29"/>
        <v>327030</v>
      </c>
      <c r="BU9" s="27">
        <v>41122</v>
      </c>
      <c r="BV9" s="44">
        <v>41100</v>
      </c>
      <c r="BW9" s="44">
        <v>41131</v>
      </c>
      <c r="BX9" s="20">
        <v>517584</v>
      </c>
      <c r="BY9" s="19">
        <f t="shared" si="12"/>
        <v>517584</v>
      </c>
      <c r="BZ9" s="20">
        <v>1056</v>
      </c>
      <c r="CA9" s="20">
        <f t="shared" si="30"/>
        <v>1056</v>
      </c>
      <c r="CB9" s="20">
        <f t="shared" si="31"/>
        <v>516528</v>
      </c>
      <c r="CC9" s="71">
        <f t="shared" si="32"/>
        <v>516528</v>
      </c>
      <c r="CE9" s="27">
        <v>41122</v>
      </c>
      <c r="CF9" s="16">
        <v>41103</v>
      </c>
      <c r="CG9" s="16">
        <v>41131</v>
      </c>
      <c r="CH9" s="19">
        <v>570696</v>
      </c>
      <c r="CI9" s="19">
        <f t="shared" si="13"/>
        <v>570696</v>
      </c>
      <c r="CJ9" s="19">
        <v>840</v>
      </c>
      <c r="CK9" s="19">
        <f t="shared" si="33"/>
        <v>840</v>
      </c>
      <c r="CL9" s="19">
        <f t="shared" si="34"/>
        <v>569856</v>
      </c>
      <c r="CM9" s="71">
        <f t="shared" si="35"/>
        <v>569856</v>
      </c>
    </row>
    <row r="10" spans="3:91" s="43" customFormat="1">
      <c r="C10" s="18">
        <v>41153</v>
      </c>
      <c r="D10" s="16">
        <v>41131</v>
      </c>
      <c r="E10" s="16">
        <v>41162</v>
      </c>
      <c r="F10" s="19">
        <v>553992</v>
      </c>
      <c r="G10" s="19">
        <f t="shared" si="0"/>
        <v>553992</v>
      </c>
      <c r="H10" s="19">
        <v>816</v>
      </c>
      <c r="I10" s="49">
        <f t="shared" si="14"/>
        <v>816</v>
      </c>
      <c r="J10" s="19">
        <f t="shared" si="15"/>
        <v>553176</v>
      </c>
      <c r="K10" s="141">
        <f t="shared" si="16"/>
        <v>553176</v>
      </c>
      <c r="M10" s="18">
        <v>41153</v>
      </c>
      <c r="N10" s="16">
        <v>41131</v>
      </c>
      <c r="O10" s="16">
        <v>41162</v>
      </c>
      <c r="P10" s="19">
        <v>455520</v>
      </c>
      <c r="Q10" s="49">
        <f t="shared" si="1"/>
        <v>455520</v>
      </c>
      <c r="R10" s="19">
        <v>1200</v>
      </c>
      <c r="S10" s="49">
        <f t="shared" si="17"/>
        <v>1200</v>
      </c>
      <c r="T10" s="19">
        <f t="shared" si="18"/>
        <v>454320</v>
      </c>
      <c r="U10" s="29">
        <f t="shared" si="19"/>
        <v>454320</v>
      </c>
      <c r="W10" s="18">
        <v>41153</v>
      </c>
      <c r="X10" s="60">
        <v>41131</v>
      </c>
      <c r="Y10" s="60">
        <v>41162</v>
      </c>
      <c r="Z10" s="49">
        <v>518904</v>
      </c>
      <c r="AA10" s="49">
        <f t="shared" si="2"/>
        <v>518904</v>
      </c>
      <c r="AB10" s="49">
        <v>888</v>
      </c>
      <c r="AC10" s="49">
        <f t="shared" si="20"/>
        <v>888</v>
      </c>
      <c r="AD10" s="19">
        <f t="shared" si="3"/>
        <v>518016</v>
      </c>
      <c r="AE10" s="29">
        <f t="shared" si="21"/>
        <v>518016</v>
      </c>
      <c r="AG10" s="18">
        <v>41153</v>
      </c>
      <c r="AH10" s="16">
        <v>41131</v>
      </c>
      <c r="AI10" s="16">
        <v>41162</v>
      </c>
      <c r="AJ10" s="19">
        <v>902880</v>
      </c>
      <c r="AK10" s="19">
        <f t="shared" si="4"/>
        <v>902880</v>
      </c>
      <c r="AL10" s="19">
        <v>120</v>
      </c>
      <c r="AM10" s="19">
        <f t="shared" si="22"/>
        <v>120</v>
      </c>
      <c r="AN10" s="19">
        <f t="shared" si="5"/>
        <v>902760</v>
      </c>
      <c r="AO10" s="71">
        <f t="shared" si="23"/>
        <v>902760</v>
      </c>
      <c r="AQ10" s="18">
        <v>41153</v>
      </c>
      <c r="AR10" s="16">
        <v>41131</v>
      </c>
      <c r="AS10" s="16">
        <v>41162</v>
      </c>
      <c r="AT10" s="19">
        <v>484992</v>
      </c>
      <c r="AU10" s="19">
        <f t="shared" si="6"/>
        <v>484992</v>
      </c>
      <c r="AV10" s="19">
        <v>1200</v>
      </c>
      <c r="AW10" s="19">
        <f t="shared" si="24"/>
        <v>1200</v>
      </c>
      <c r="AX10" s="19">
        <f t="shared" si="7"/>
        <v>483792</v>
      </c>
      <c r="AY10" s="71">
        <f t="shared" si="25"/>
        <v>483792</v>
      </c>
      <c r="BA10" s="27">
        <v>41153</v>
      </c>
      <c r="BB10" s="59">
        <v>41131</v>
      </c>
      <c r="BC10" s="59">
        <v>41162</v>
      </c>
      <c r="BD10" s="58">
        <v>921270</v>
      </c>
      <c r="BE10" s="19">
        <f t="shared" si="8"/>
        <v>921270</v>
      </c>
      <c r="BF10" s="58">
        <v>60</v>
      </c>
      <c r="BG10" s="20">
        <f t="shared" si="26"/>
        <v>60</v>
      </c>
      <c r="BH10" s="58">
        <f t="shared" si="9"/>
        <v>921210</v>
      </c>
      <c r="BI10" s="71">
        <f t="shared" si="27"/>
        <v>921210</v>
      </c>
      <c r="BK10" s="27">
        <v>41153</v>
      </c>
      <c r="BL10" s="44">
        <v>41131</v>
      </c>
      <c r="BM10" s="44">
        <v>41162</v>
      </c>
      <c r="BN10" s="20">
        <v>566220</v>
      </c>
      <c r="BO10" s="19">
        <f t="shared" si="10"/>
        <v>566220</v>
      </c>
      <c r="BP10" s="20">
        <v>1050</v>
      </c>
      <c r="BQ10" s="20">
        <f t="shared" si="28"/>
        <v>1050</v>
      </c>
      <c r="BR10" s="20">
        <f t="shared" si="11"/>
        <v>565170</v>
      </c>
      <c r="BS10" s="71">
        <f t="shared" si="29"/>
        <v>565170</v>
      </c>
      <c r="BU10" s="27">
        <v>41153</v>
      </c>
      <c r="BV10" s="44">
        <v>41131</v>
      </c>
      <c r="BW10" s="44">
        <v>41162</v>
      </c>
      <c r="BX10" s="20">
        <v>596520</v>
      </c>
      <c r="BY10" s="19">
        <f t="shared" si="12"/>
        <v>596520</v>
      </c>
      <c r="BZ10" s="20">
        <v>624</v>
      </c>
      <c r="CA10" s="20">
        <f t="shared" si="30"/>
        <v>624</v>
      </c>
      <c r="CB10" s="20">
        <f t="shared" si="31"/>
        <v>595896</v>
      </c>
      <c r="CC10" s="71">
        <f t="shared" si="32"/>
        <v>595896</v>
      </c>
      <c r="CE10" s="27">
        <v>41153</v>
      </c>
      <c r="CF10" s="16">
        <v>41131</v>
      </c>
      <c r="CG10" s="16">
        <v>41162</v>
      </c>
      <c r="CH10" s="19">
        <v>499056</v>
      </c>
      <c r="CI10" s="19">
        <f t="shared" si="13"/>
        <v>499056</v>
      </c>
      <c r="CJ10" s="19">
        <v>912</v>
      </c>
      <c r="CK10" s="19">
        <f t="shared" si="33"/>
        <v>912</v>
      </c>
      <c r="CL10" s="19">
        <f t="shared" si="34"/>
        <v>498144</v>
      </c>
      <c r="CM10" s="71">
        <f t="shared" si="35"/>
        <v>498144</v>
      </c>
    </row>
    <row r="11" spans="3:91" s="43" customFormat="1">
      <c r="C11" s="18">
        <v>41183</v>
      </c>
      <c r="D11" s="16">
        <v>41162</v>
      </c>
      <c r="E11" s="16">
        <v>41192</v>
      </c>
      <c r="F11" s="19">
        <v>422016</v>
      </c>
      <c r="G11" s="19">
        <f t="shared" si="0"/>
        <v>422016</v>
      </c>
      <c r="H11" s="19">
        <v>1560</v>
      </c>
      <c r="I11" s="49">
        <f t="shared" si="14"/>
        <v>1560</v>
      </c>
      <c r="J11" s="19">
        <f t="shared" si="15"/>
        <v>420456</v>
      </c>
      <c r="K11" s="141">
        <f t="shared" si="16"/>
        <v>420456</v>
      </c>
      <c r="M11" s="18">
        <v>41183</v>
      </c>
      <c r="N11" s="16">
        <v>41162</v>
      </c>
      <c r="O11" s="16">
        <v>41192</v>
      </c>
      <c r="P11" s="19">
        <v>372912</v>
      </c>
      <c r="Q11" s="49">
        <f t="shared" si="1"/>
        <v>372912</v>
      </c>
      <c r="R11" s="19">
        <v>1752</v>
      </c>
      <c r="S11" s="49">
        <f t="shared" si="17"/>
        <v>1752</v>
      </c>
      <c r="T11" s="19">
        <f t="shared" si="18"/>
        <v>371160</v>
      </c>
      <c r="U11" s="29">
        <f t="shared" si="19"/>
        <v>371160</v>
      </c>
      <c r="W11" s="18">
        <v>41183</v>
      </c>
      <c r="X11" s="60">
        <v>41162</v>
      </c>
      <c r="Y11" s="60">
        <v>41192</v>
      </c>
      <c r="Z11" s="49">
        <v>404976</v>
      </c>
      <c r="AA11" s="49">
        <f t="shared" si="2"/>
        <v>404976</v>
      </c>
      <c r="AB11" s="49">
        <v>1608</v>
      </c>
      <c r="AC11" s="49">
        <f t="shared" si="20"/>
        <v>1608</v>
      </c>
      <c r="AD11" s="19">
        <f t="shared" si="3"/>
        <v>403368</v>
      </c>
      <c r="AE11" s="29">
        <f t="shared" si="21"/>
        <v>403368</v>
      </c>
      <c r="AG11" s="18">
        <v>41183</v>
      </c>
      <c r="AH11" s="16">
        <v>41162</v>
      </c>
      <c r="AI11" s="16">
        <v>41192</v>
      </c>
      <c r="AJ11" s="19">
        <v>677820</v>
      </c>
      <c r="AK11" s="19">
        <f t="shared" si="4"/>
        <v>677820</v>
      </c>
      <c r="AL11" s="19">
        <v>1020</v>
      </c>
      <c r="AM11" s="19">
        <f t="shared" si="22"/>
        <v>1020</v>
      </c>
      <c r="AN11" s="19">
        <f t="shared" si="5"/>
        <v>676800</v>
      </c>
      <c r="AO11" s="71">
        <f t="shared" si="23"/>
        <v>676800</v>
      </c>
      <c r="AQ11" s="18">
        <v>41183</v>
      </c>
      <c r="AR11" s="16">
        <v>41162</v>
      </c>
      <c r="AS11" s="16">
        <v>41192</v>
      </c>
      <c r="AT11" s="19">
        <v>359328</v>
      </c>
      <c r="AU11" s="19">
        <f t="shared" si="6"/>
        <v>359328</v>
      </c>
      <c r="AV11" s="19">
        <v>1920</v>
      </c>
      <c r="AW11" s="19">
        <f t="shared" si="24"/>
        <v>1920</v>
      </c>
      <c r="AX11" s="19">
        <f t="shared" si="7"/>
        <v>357408</v>
      </c>
      <c r="AY11" s="71">
        <f t="shared" si="25"/>
        <v>357408</v>
      </c>
      <c r="BA11" s="27">
        <v>41183</v>
      </c>
      <c r="BB11" s="44">
        <v>41162</v>
      </c>
      <c r="BC11" s="44">
        <v>41192</v>
      </c>
      <c r="BD11" s="20">
        <v>677910</v>
      </c>
      <c r="BE11" s="19">
        <f t="shared" si="8"/>
        <v>677910</v>
      </c>
      <c r="BF11" s="20">
        <v>1020</v>
      </c>
      <c r="BG11" s="20">
        <f t="shared" si="26"/>
        <v>1020</v>
      </c>
      <c r="BH11" s="20">
        <f t="shared" si="9"/>
        <v>676890</v>
      </c>
      <c r="BI11" s="71">
        <f t="shared" si="27"/>
        <v>676890</v>
      </c>
      <c r="BK11" s="27">
        <v>41183</v>
      </c>
      <c r="BL11" s="44">
        <v>41162</v>
      </c>
      <c r="BM11" s="44">
        <v>41192</v>
      </c>
      <c r="BN11" s="20">
        <v>407820</v>
      </c>
      <c r="BO11" s="19">
        <f t="shared" si="10"/>
        <v>407820</v>
      </c>
      <c r="BP11" s="20">
        <v>1950</v>
      </c>
      <c r="BQ11" s="20">
        <f t="shared" si="28"/>
        <v>1950</v>
      </c>
      <c r="BR11" s="20">
        <f t="shared" si="11"/>
        <v>405870</v>
      </c>
      <c r="BS11" s="71">
        <f t="shared" si="29"/>
        <v>405870</v>
      </c>
      <c r="BU11" s="27">
        <v>41183</v>
      </c>
      <c r="BV11" s="59">
        <v>41162</v>
      </c>
      <c r="BW11" s="59">
        <v>41192</v>
      </c>
      <c r="BX11" s="58">
        <v>443880</v>
      </c>
      <c r="BY11" s="19">
        <f t="shared" si="12"/>
        <v>443880</v>
      </c>
      <c r="BZ11" s="58">
        <v>1224</v>
      </c>
      <c r="CA11" s="20">
        <f t="shared" si="30"/>
        <v>1224</v>
      </c>
      <c r="CB11" s="58">
        <f t="shared" si="31"/>
        <v>442656</v>
      </c>
      <c r="CC11" s="71">
        <f t="shared" si="32"/>
        <v>442656</v>
      </c>
      <c r="CE11" s="27">
        <v>41183</v>
      </c>
      <c r="CF11" s="16">
        <v>41162</v>
      </c>
      <c r="CG11" s="16">
        <v>41192</v>
      </c>
      <c r="CH11" s="19">
        <v>380424</v>
      </c>
      <c r="CI11" s="19">
        <f t="shared" si="13"/>
        <v>380424</v>
      </c>
      <c r="CJ11" s="19">
        <v>1584</v>
      </c>
      <c r="CK11" s="19">
        <f t="shared" si="33"/>
        <v>1584</v>
      </c>
      <c r="CL11" s="19">
        <f t="shared" si="34"/>
        <v>378840</v>
      </c>
      <c r="CM11" s="71">
        <f t="shared" si="35"/>
        <v>378840</v>
      </c>
    </row>
    <row r="12" spans="3:91" s="43" customFormat="1">
      <c r="C12" s="18">
        <v>41214</v>
      </c>
      <c r="D12" s="16">
        <v>41192</v>
      </c>
      <c r="E12" s="16">
        <v>41223</v>
      </c>
      <c r="F12" s="19">
        <v>96240</v>
      </c>
      <c r="G12" s="19">
        <f t="shared" si="0"/>
        <v>96240</v>
      </c>
      <c r="H12" s="19">
        <v>2928</v>
      </c>
      <c r="I12" s="49">
        <f t="shared" si="14"/>
        <v>2928</v>
      </c>
      <c r="J12" s="19">
        <f t="shared" si="15"/>
        <v>93312</v>
      </c>
      <c r="K12" s="141">
        <f t="shared" si="16"/>
        <v>93312</v>
      </c>
      <c r="M12" s="18">
        <v>41214</v>
      </c>
      <c r="N12" s="16">
        <v>41192</v>
      </c>
      <c r="O12" s="16">
        <v>41223</v>
      </c>
      <c r="P12" s="19">
        <v>98472</v>
      </c>
      <c r="Q12" s="49">
        <f t="shared" si="1"/>
        <v>98472</v>
      </c>
      <c r="R12" s="19">
        <v>2904</v>
      </c>
      <c r="S12" s="49">
        <f t="shared" si="17"/>
        <v>2904</v>
      </c>
      <c r="T12" s="19">
        <f t="shared" si="18"/>
        <v>95568</v>
      </c>
      <c r="U12" s="29">
        <f t="shared" si="19"/>
        <v>95568</v>
      </c>
      <c r="W12" s="18">
        <v>41214</v>
      </c>
      <c r="X12" s="60">
        <v>41192</v>
      </c>
      <c r="Y12" s="60">
        <v>41223</v>
      </c>
      <c r="Z12" s="49">
        <v>98664</v>
      </c>
      <c r="AA12" s="49">
        <f t="shared" si="2"/>
        <v>98664</v>
      </c>
      <c r="AB12" s="49">
        <v>2832</v>
      </c>
      <c r="AC12" s="49">
        <f t="shared" si="20"/>
        <v>2832</v>
      </c>
      <c r="AD12" s="19">
        <f t="shared" si="3"/>
        <v>95832</v>
      </c>
      <c r="AE12" s="29">
        <f t="shared" si="21"/>
        <v>95832</v>
      </c>
      <c r="AG12" s="18">
        <v>41214</v>
      </c>
      <c r="AH12" s="16">
        <v>41192</v>
      </c>
      <c r="AI12" s="16">
        <v>41223</v>
      </c>
      <c r="AJ12" s="19">
        <v>84930</v>
      </c>
      <c r="AK12" s="19">
        <f t="shared" si="4"/>
        <v>84930</v>
      </c>
      <c r="AL12" s="19">
        <v>3960</v>
      </c>
      <c r="AM12" s="19">
        <f t="shared" si="22"/>
        <v>3960</v>
      </c>
      <c r="AN12" s="19">
        <f t="shared" si="5"/>
        <v>80970</v>
      </c>
      <c r="AO12" s="71">
        <f t="shared" si="23"/>
        <v>80970</v>
      </c>
      <c r="AQ12" s="18">
        <v>41214</v>
      </c>
      <c r="AR12" s="16">
        <v>41192</v>
      </c>
      <c r="AS12" s="16">
        <v>41223</v>
      </c>
      <c r="AT12" s="19">
        <v>82032</v>
      </c>
      <c r="AU12" s="19">
        <f t="shared" si="6"/>
        <v>82032</v>
      </c>
      <c r="AV12" s="19">
        <v>3192</v>
      </c>
      <c r="AW12" s="19">
        <f t="shared" si="24"/>
        <v>3192</v>
      </c>
      <c r="AX12" s="19">
        <f t="shared" si="7"/>
        <v>78840</v>
      </c>
      <c r="AY12" s="71">
        <f t="shared" si="25"/>
        <v>78840</v>
      </c>
      <c r="BA12" s="27">
        <v>41214</v>
      </c>
      <c r="BB12" s="44">
        <v>41192</v>
      </c>
      <c r="BC12" s="44">
        <v>41223</v>
      </c>
      <c r="BD12" s="20">
        <v>69900</v>
      </c>
      <c r="BE12" s="19">
        <f t="shared" si="8"/>
        <v>69900</v>
      </c>
      <c r="BF12" s="20">
        <v>4500</v>
      </c>
      <c r="BG12" s="20">
        <f t="shared" si="26"/>
        <v>4500</v>
      </c>
      <c r="BH12" s="20">
        <f t="shared" si="9"/>
        <v>65400</v>
      </c>
      <c r="BI12" s="71">
        <f t="shared" si="27"/>
        <v>65400</v>
      </c>
      <c r="BK12" s="27">
        <v>41214</v>
      </c>
      <c r="BL12" s="44">
        <v>41192</v>
      </c>
      <c r="BM12" s="44">
        <v>41223</v>
      </c>
      <c r="BN12" s="20">
        <v>76380</v>
      </c>
      <c r="BO12" s="19">
        <f t="shared" si="10"/>
        <v>76380</v>
      </c>
      <c r="BP12" s="20">
        <v>4080</v>
      </c>
      <c r="BQ12" s="20">
        <f t="shared" si="28"/>
        <v>4080</v>
      </c>
      <c r="BR12" s="20">
        <f t="shared" si="11"/>
        <v>72300</v>
      </c>
      <c r="BS12" s="71">
        <f t="shared" si="29"/>
        <v>72300</v>
      </c>
      <c r="BU12" s="27">
        <v>41214</v>
      </c>
      <c r="BV12" s="44">
        <v>41192</v>
      </c>
      <c r="BW12" s="44">
        <v>41223</v>
      </c>
      <c r="BX12" s="20">
        <v>116976</v>
      </c>
      <c r="BY12" s="19">
        <f t="shared" si="12"/>
        <v>116976</v>
      </c>
      <c r="BZ12" s="20">
        <v>2424</v>
      </c>
      <c r="CA12" s="20">
        <f t="shared" si="30"/>
        <v>2424</v>
      </c>
      <c r="CB12" s="20">
        <f t="shared" si="31"/>
        <v>114552</v>
      </c>
      <c r="CC12" s="71">
        <f t="shared" si="32"/>
        <v>114552</v>
      </c>
      <c r="CE12" s="27">
        <v>41214</v>
      </c>
      <c r="CF12" s="16">
        <v>41192</v>
      </c>
      <c r="CG12" s="16">
        <v>41223</v>
      </c>
      <c r="CH12" s="19">
        <v>101232</v>
      </c>
      <c r="CI12" s="19">
        <f t="shared" si="13"/>
        <v>101232</v>
      </c>
      <c r="CJ12" s="19">
        <v>2784</v>
      </c>
      <c r="CK12" s="19">
        <f t="shared" si="33"/>
        <v>2784</v>
      </c>
      <c r="CL12" s="19">
        <f t="shared" si="34"/>
        <v>98448</v>
      </c>
      <c r="CM12" s="71">
        <f t="shared" si="35"/>
        <v>98448</v>
      </c>
    </row>
    <row r="13" spans="3:91" s="43" customFormat="1">
      <c r="C13" s="18">
        <v>41244</v>
      </c>
      <c r="D13" s="16">
        <v>41223</v>
      </c>
      <c r="E13" s="16">
        <v>41253</v>
      </c>
      <c r="F13" s="19">
        <v>161952</v>
      </c>
      <c r="G13" s="19">
        <f t="shared" si="0"/>
        <v>161952</v>
      </c>
      <c r="H13" s="19">
        <v>2424</v>
      </c>
      <c r="I13" s="49">
        <f t="shared" si="14"/>
        <v>2424</v>
      </c>
      <c r="J13" s="19">
        <f t="shared" si="15"/>
        <v>159528</v>
      </c>
      <c r="K13" s="141">
        <f t="shared" si="16"/>
        <v>159528</v>
      </c>
      <c r="M13" s="18">
        <v>41244</v>
      </c>
      <c r="N13" s="16">
        <v>41223</v>
      </c>
      <c r="O13" s="16">
        <v>41253</v>
      </c>
      <c r="P13" s="19">
        <v>164232</v>
      </c>
      <c r="Q13" s="49">
        <f t="shared" si="1"/>
        <v>164232</v>
      </c>
      <c r="R13" s="19">
        <v>2184</v>
      </c>
      <c r="S13" s="49">
        <f t="shared" si="17"/>
        <v>2184</v>
      </c>
      <c r="T13" s="19">
        <f t="shared" si="18"/>
        <v>162048</v>
      </c>
      <c r="U13" s="29">
        <f t="shared" si="19"/>
        <v>162048</v>
      </c>
      <c r="W13" s="18">
        <v>41244</v>
      </c>
      <c r="X13" s="60">
        <v>41223</v>
      </c>
      <c r="Y13" s="60">
        <v>41253</v>
      </c>
      <c r="Z13" s="49">
        <v>155064</v>
      </c>
      <c r="AA13" s="49">
        <f t="shared" si="2"/>
        <v>155064</v>
      </c>
      <c r="AB13" s="49">
        <v>2424</v>
      </c>
      <c r="AC13" s="49">
        <f t="shared" si="20"/>
        <v>2424</v>
      </c>
      <c r="AD13" s="19">
        <f t="shared" si="3"/>
        <v>152640</v>
      </c>
      <c r="AE13" s="29">
        <f t="shared" si="21"/>
        <v>152640</v>
      </c>
      <c r="AG13" s="18">
        <v>41244</v>
      </c>
      <c r="AH13" s="16">
        <v>41223</v>
      </c>
      <c r="AI13" s="16">
        <v>41255</v>
      </c>
      <c r="AJ13" s="19">
        <v>19920</v>
      </c>
      <c r="AK13" s="19">
        <f t="shared" si="4"/>
        <v>19920</v>
      </c>
      <c r="AL13" s="19">
        <v>4440</v>
      </c>
      <c r="AM13" s="19">
        <f t="shared" si="22"/>
        <v>4440</v>
      </c>
      <c r="AN13" s="19">
        <f t="shared" si="5"/>
        <v>15480</v>
      </c>
      <c r="AO13" s="71">
        <f t="shared" si="23"/>
        <v>15480</v>
      </c>
      <c r="AQ13" s="18">
        <v>41244</v>
      </c>
      <c r="AR13" s="16">
        <v>41223</v>
      </c>
      <c r="AS13" s="16">
        <v>41253</v>
      </c>
      <c r="AT13" s="19">
        <v>129912</v>
      </c>
      <c r="AU13" s="19">
        <f t="shared" si="6"/>
        <v>129912</v>
      </c>
      <c r="AV13" s="19">
        <v>2520</v>
      </c>
      <c r="AW13" s="19">
        <f t="shared" si="24"/>
        <v>2520</v>
      </c>
      <c r="AX13" s="19">
        <f t="shared" si="7"/>
        <v>127392</v>
      </c>
      <c r="AY13" s="71">
        <f t="shared" si="25"/>
        <v>127392</v>
      </c>
      <c r="BA13" s="27">
        <v>41244</v>
      </c>
      <c r="BB13" s="44">
        <v>41223</v>
      </c>
      <c r="BC13" s="44">
        <v>41253</v>
      </c>
      <c r="BD13" s="20">
        <v>23100</v>
      </c>
      <c r="BE13" s="19">
        <f t="shared" si="8"/>
        <v>23100</v>
      </c>
      <c r="BF13" s="20">
        <v>4980</v>
      </c>
      <c r="BG13" s="20">
        <f t="shared" si="26"/>
        <v>4980</v>
      </c>
      <c r="BH13" s="20">
        <f t="shared" si="9"/>
        <v>18120</v>
      </c>
      <c r="BI13" s="71">
        <f t="shared" si="27"/>
        <v>18120</v>
      </c>
      <c r="BK13" s="27">
        <v>41244</v>
      </c>
      <c r="BL13" s="44">
        <v>41223</v>
      </c>
      <c r="BM13" s="44">
        <v>41255</v>
      </c>
      <c r="BN13" s="20">
        <v>19710</v>
      </c>
      <c r="BO13" s="19">
        <f t="shared" si="10"/>
        <v>19710</v>
      </c>
      <c r="BP13" s="20">
        <v>4950</v>
      </c>
      <c r="BQ13" s="20">
        <f t="shared" si="28"/>
        <v>4950</v>
      </c>
      <c r="BR13" s="20">
        <f t="shared" si="11"/>
        <v>14760</v>
      </c>
      <c r="BS13" s="71">
        <f t="shared" si="29"/>
        <v>14760</v>
      </c>
      <c r="BU13" s="27">
        <v>41244</v>
      </c>
      <c r="BV13" s="44">
        <v>41223</v>
      </c>
      <c r="BW13" s="44">
        <v>41253</v>
      </c>
      <c r="BX13" s="20">
        <v>171024</v>
      </c>
      <c r="BY13" s="19">
        <f t="shared" si="12"/>
        <v>171024</v>
      </c>
      <c r="BZ13" s="20">
        <v>1896</v>
      </c>
      <c r="CA13" s="20">
        <f t="shared" si="30"/>
        <v>1896</v>
      </c>
      <c r="CB13" s="20">
        <f t="shared" si="31"/>
        <v>169128</v>
      </c>
      <c r="CC13" s="71">
        <f t="shared" si="32"/>
        <v>169128</v>
      </c>
      <c r="CE13" s="27">
        <v>41244</v>
      </c>
      <c r="CF13" s="16">
        <v>41223</v>
      </c>
      <c r="CG13" s="16">
        <v>41253</v>
      </c>
      <c r="CH13" s="19">
        <v>143784</v>
      </c>
      <c r="CI13" s="19">
        <f t="shared" si="13"/>
        <v>143784</v>
      </c>
      <c r="CJ13" s="19">
        <v>1992</v>
      </c>
      <c r="CK13" s="19">
        <f t="shared" si="33"/>
        <v>1992</v>
      </c>
      <c r="CL13" s="19">
        <f t="shared" si="34"/>
        <v>141792</v>
      </c>
      <c r="CM13" s="71">
        <f t="shared" si="35"/>
        <v>141792</v>
      </c>
    </row>
    <row r="14" spans="3:91" s="43" customFormat="1">
      <c r="C14" s="151">
        <v>41275</v>
      </c>
      <c r="D14" s="44">
        <v>41253</v>
      </c>
      <c r="E14" s="44">
        <v>41274</v>
      </c>
      <c r="F14" s="20">
        <f>363984*(21/31)</f>
        <v>246569.80645161288</v>
      </c>
      <c r="G14" s="20">
        <f t="shared" si="0"/>
        <v>246569.80645161288</v>
      </c>
      <c r="H14" s="142">
        <f>1320*(21/31)</f>
        <v>894.19354838709671</v>
      </c>
      <c r="I14" s="142">
        <f>H14</f>
        <v>894.19354838709671</v>
      </c>
      <c r="J14" s="20">
        <f>F14-H14</f>
        <v>245675.61290322579</v>
      </c>
      <c r="K14" s="29">
        <f>G14-I14</f>
        <v>245675.61290322579</v>
      </c>
      <c r="M14" s="151">
        <v>41275</v>
      </c>
      <c r="N14" s="44">
        <v>41253</v>
      </c>
      <c r="O14" s="44">
        <v>41274</v>
      </c>
      <c r="P14" s="20">
        <f>328104*(21/31)</f>
        <v>222263.99999999997</v>
      </c>
      <c r="Q14" s="42">
        <f t="shared" ref="Q14" si="36">P14</f>
        <v>222263.99999999997</v>
      </c>
      <c r="R14" s="20">
        <f>1056*(21/31)</f>
        <v>715.35483870967732</v>
      </c>
      <c r="S14" s="42">
        <f t="shared" ref="S14" si="37">R14</f>
        <v>715.35483870967732</v>
      </c>
      <c r="T14" s="20">
        <f t="shared" ref="T14" si="38">P14-R14</f>
        <v>221548.6451612903</v>
      </c>
      <c r="U14" s="29">
        <f t="shared" ref="U14" si="39">Q14-S14</f>
        <v>221548.6451612903</v>
      </c>
      <c r="W14" s="151">
        <v>41275</v>
      </c>
      <c r="X14" s="44">
        <v>41253</v>
      </c>
      <c r="Y14" s="44">
        <v>41274</v>
      </c>
      <c r="Z14" s="20">
        <f>335136*(21/31)</f>
        <v>227027.61290322579</v>
      </c>
      <c r="AA14" s="42">
        <f t="shared" ref="AA14" si="40">Z14</f>
        <v>227027.61290322579</v>
      </c>
      <c r="AB14" s="20">
        <f>1440*(21/31)</f>
        <v>975.48387096774184</v>
      </c>
      <c r="AC14" s="42">
        <f>AB14</f>
        <v>975.48387096774184</v>
      </c>
      <c r="AD14" s="20">
        <f t="shared" ref="AD14" si="41">Z14-AB14</f>
        <v>226052.12903225806</v>
      </c>
      <c r="AE14" s="29">
        <f t="shared" ref="AE14" si="42">AA14-AC14</f>
        <v>226052.12903225806</v>
      </c>
      <c r="AG14" s="151">
        <v>41275</v>
      </c>
      <c r="AH14" s="44">
        <v>41255</v>
      </c>
      <c r="AI14" s="44">
        <v>41274</v>
      </c>
      <c r="AJ14" s="20">
        <f>64980*(19/29)</f>
        <v>42573.103448275862</v>
      </c>
      <c r="AK14" s="20">
        <f t="shared" ref="AK14" si="43">AJ14</f>
        <v>42573.103448275862</v>
      </c>
      <c r="AL14" s="142">
        <f>4230*(19/29)</f>
        <v>2771.3793103448274</v>
      </c>
      <c r="AM14" s="142">
        <f t="shared" ref="AM14" si="44">AL14</f>
        <v>2771.3793103448274</v>
      </c>
      <c r="AN14" s="20">
        <f t="shared" ref="AN14" si="45">AJ14-AL14</f>
        <v>39801.724137931036</v>
      </c>
      <c r="AO14" s="29">
        <f t="shared" ref="AO14" si="46">AK14-AM14</f>
        <v>39801.724137931036</v>
      </c>
      <c r="AQ14" s="151">
        <v>41275</v>
      </c>
      <c r="AR14" s="44">
        <v>41253</v>
      </c>
      <c r="AS14" s="44">
        <v>41274</v>
      </c>
      <c r="AT14" s="20">
        <f>287712*(21/31)</f>
        <v>194901.67741935482</v>
      </c>
      <c r="AU14" s="20">
        <f t="shared" ref="AU14" si="47">AT14</f>
        <v>194901.67741935482</v>
      </c>
      <c r="AV14" s="142">
        <f>1320*(21/31)</f>
        <v>894.19354838709671</v>
      </c>
      <c r="AW14" s="142">
        <f t="shared" ref="AW14" si="48">AV14</f>
        <v>894.19354838709671</v>
      </c>
      <c r="AX14" s="20">
        <f t="shared" ref="AX14" si="49">AT14-AV14</f>
        <v>194007.48387096773</v>
      </c>
      <c r="AY14" s="29">
        <f t="shared" ref="AY14" si="50">AU14-AW14</f>
        <v>194007.48387096773</v>
      </c>
      <c r="BA14" s="151">
        <v>41275</v>
      </c>
      <c r="BB14" s="44">
        <v>41253</v>
      </c>
      <c r="BC14" s="44">
        <v>41274</v>
      </c>
      <c r="BD14" s="20">
        <f>74580*(21/31)</f>
        <v>50521.935483870962</v>
      </c>
      <c r="BE14" s="20">
        <f t="shared" ref="BE14" si="51">BD14</f>
        <v>50521.935483870962</v>
      </c>
      <c r="BF14" s="142">
        <f>4410*(21/31)</f>
        <v>2987.4193548387093</v>
      </c>
      <c r="BG14" s="142">
        <f t="shared" ref="BG14" si="52">BF14</f>
        <v>2987.4193548387093</v>
      </c>
      <c r="BH14" s="20">
        <f t="shared" ref="BH14" si="53">BD14-BF14</f>
        <v>47534.51612903225</v>
      </c>
      <c r="BI14" s="29">
        <f t="shared" ref="BI14" si="54">BE14-BG14</f>
        <v>47534.51612903225</v>
      </c>
      <c r="BK14" s="151">
        <v>41275</v>
      </c>
      <c r="BL14" s="44">
        <v>41255</v>
      </c>
      <c r="BM14" s="44">
        <v>41274</v>
      </c>
      <c r="BN14" s="20">
        <f>69270*(19/29)</f>
        <v>45383.793103448275</v>
      </c>
      <c r="BO14" s="20">
        <f t="shared" ref="BO14" si="55">BN14</f>
        <v>45383.793103448275</v>
      </c>
      <c r="BP14" s="142">
        <f>4500*(19/29)</f>
        <v>2948.2758620689656</v>
      </c>
      <c r="BQ14" s="142">
        <f t="shared" ref="BQ14" si="56">BP14</f>
        <v>2948.2758620689656</v>
      </c>
      <c r="BR14" s="20">
        <f t="shared" ref="BR14" si="57">BN14-BP14</f>
        <v>42435.517241379312</v>
      </c>
      <c r="BS14" s="29">
        <f t="shared" ref="BS14" si="58">BO14-BQ14</f>
        <v>42435.517241379312</v>
      </c>
      <c r="BU14" s="151">
        <v>41275</v>
      </c>
      <c r="BV14" s="44">
        <v>41253</v>
      </c>
      <c r="BW14" s="44">
        <v>41274</v>
      </c>
      <c r="BX14" s="20">
        <f>343368*(21/31)</f>
        <v>232604.12903225806</v>
      </c>
      <c r="BY14" s="20">
        <f t="shared" ref="BY14" si="59">BX14</f>
        <v>232604.12903225806</v>
      </c>
      <c r="BZ14" s="142">
        <f>1008*(21/31)</f>
        <v>682.83870967741927</v>
      </c>
      <c r="CA14" s="142">
        <f t="shared" ref="CA14" si="60">BZ14</f>
        <v>682.83870967741927</v>
      </c>
      <c r="CB14" s="20">
        <f t="shared" ref="CB14" si="61">BX14-BZ14</f>
        <v>231921.29032258064</v>
      </c>
      <c r="CC14" s="29">
        <f t="shared" ref="CC14" si="62">BY14-CA14</f>
        <v>231921.29032258064</v>
      </c>
      <c r="CE14" s="151">
        <v>41275</v>
      </c>
      <c r="CF14" s="44">
        <v>41253</v>
      </c>
      <c r="CG14" s="44">
        <v>41274</v>
      </c>
      <c r="CH14" s="20">
        <f>296040*(21/31)</f>
        <v>200543.22580645161</v>
      </c>
      <c r="CI14" s="20">
        <f t="shared" ref="CI14" si="63">CH14</f>
        <v>200543.22580645161</v>
      </c>
      <c r="CJ14" s="142">
        <f>1104*(21/31)</f>
        <v>747.87096774193549</v>
      </c>
      <c r="CK14" s="142">
        <f t="shared" ref="CK14" si="64">CJ14</f>
        <v>747.87096774193549</v>
      </c>
      <c r="CL14" s="20">
        <f t="shared" ref="CL14" si="65">CH14-CJ14</f>
        <v>199795.35483870967</v>
      </c>
      <c r="CM14" s="29">
        <f t="shared" ref="CM14" si="66">CI14-CK14</f>
        <v>199795.35483870967</v>
      </c>
    </row>
    <row r="15" spans="3:91" s="43" customFormat="1">
      <c r="C15" s="152"/>
      <c r="D15" s="44">
        <v>41275</v>
      </c>
      <c r="E15" s="44">
        <v>41284</v>
      </c>
      <c r="F15" s="20">
        <f>363984*(10/31)</f>
        <v>117414.19354838709</v>
      </c>
      <c r="G15" s="20">
        <f t="shared" si="0"/>
        <v>117414.19354838709</v>
      </c>
      <c r="H15" s="142">
        <f>1320*(10/31)</f>
        <v>425.80645161290323</v>
      </c>
      <c r="I15" s="142">
        <f>H15</f>
        <v>425.80645161290323</v>
      </c>
      <c r="J15" s="20">
        <f>F15-H15</f>
        <v>116988.38709677418</v>
      </c>
      <c r="K15" s="29">
        <f>G15-I15</f>
        <v>116988.38709677418</v>
      </c>
      <c r="M15" s="152"/>
      <c r="N15" s="44">
        <v>41275</v>
      </c>
      <c r="O15" s="44">
        <v>41284</v>
      </c>
      <c r="P15" s="20">
        <f>328104*(10/31)</f>
        <v>105840</v>
      </c>
      <c r="Q15" s="42">
        <f t="shared" si="1"/>
        <v>105840</v>
      </c>
      <c r="R15" s="20">
        <f>1056*(10/31)</f>
        <v>340.64516129032256</v>
      </c>
      <c r="S15" s="42">
        <f t="shared" si="17"/>
        <v>340.64516129032256</v>
      </c>
      <c r="T15" s="20">
        <f t="shared" si="18"/>
        <v>105499.35483870968</v>
      </c>
      <c r="U15" s="29">
        <f t="shared" si="19"/>
        <v>105499.35483870968</v>
      </c>
      <c r="W15" s="152"/>
      <c r="X15" s="44">
        <v>41275</v>
      </c>
      <c r="Y15" s="44">
        <v>41284</v>
      </c>
      <c r="Z15" s="20">
        <f>335136*(10/31)</f>
        <v>108108.3870967742</v>
      </c>
      <c r="AA15" s="42">
        <f t="shared" si="2"/>
        <v>108108.3870967742</v>
      </c>
      <c r="AB15" s="20">
        <f>1440*(10/31)</f>
        <v>464.51612903225805</v>
      </c>
      <c r="AC15" s="42">
        <f>AB15</f>
        <v>464.51612903225805</v>
      </c>
      <c r="AD15" s="20">
        <f t="shared" si="3"/>
        <v>107643.87096774194</v>
      </c>
      <c r="AE15" s="29">
        <f t="shared" si="21"/>
        <v>107643.87096774194</v>
      </c>
      <c r="AG15" s="152"/>
      <c r="AH15" s="44">
        <v>41275</v>
      </c>
      <c r="AI15" s="44">
        <v>41284</v>
      </c>
      <c r="AJ15" s="20">
        <f>64980*(10/29)</f>
        <v>22406.896551724138</v>
      </c>
      <c r="AK15" s="20">
        <f t="shared" si="4"/>
        <v>22406.896551724138</v>
      </c>
      <c r="AL15" s="142">
        <f>4230*(10/29)</f>
        <v>1458.6206896551726</v>
      </c>
      <c r="AM15" s="142">
        <f t="shared" si="22"/>
        <v>1458.6206896551726</v>
      </c>
      <c r="AN15" s="20">
        <f t="shared" si="5"/>
        <v>20948.275862068964</v>
      </c>
      <c r="AO15" s="29">
        <f t="shared" si="23"/>
        <v>20948.275862068964</v>
      </c>
      <c r="AQ15" s="152"/>
      <c r="AR15" s="44">
        <v>41275</v>
      </c>
      <c r="AS15" s="44">
        <v>41284</v>
      </c>
      <c r="AT15" s="20">
        <f>287712*(10/31)</f>
        <v>92810.322580645152</v>
      </c>
      <c r="AU15" s="20">
        <f t="shared" si="6"/>
        <v>92810.322580645152</v>
      </c>
      <c r="AV15" s="142">
        <f>1320*(10/31)</f>
        <v>425.80645161290323</v>
      </c>
      <c r="AW15" s="142">
        <f t="shared" si="24"/>
        <v>425.80645161290323</v>
      </c>
      <c r="AX15" s="20">
        <f t="shared" si="7"/>
        <v>92384.516129032243</v>
      </c>
      <c r="AY15" s="29">
        <f t="shared" si="25"/>
        <v>92384.516129032243</v>
      </c>
      <c r="BA15" s="152"/>
      <c r="BB15" s="44">
        <v>41275</v>
      </c>
      <c r="BC15" s="44">
        <v>41284</v>
      </c>
      <c r="BD15" s="20">
        <f>74580*(10/31)</f>
        <v>24058.06451612903</v>
      </c>
      <c r="BE15" s="20">
        <f t="shared" si="8"/>
        <v>24058.06451612903</v>
      </c>
      <c r="BF15" s="142">
        <f>4410*(10/31)</f>
        <v>1422.5806451612902</v>
      </c>
      <c r="BG15" s="142">
        <f t="shared" si="26"/>
        <v>1422.5806451612902</v>
      </c>
      <c r="BH15" s="20">
        <f t="shared" si="9"/>
        <v>22635.483870967739</v>
      </c>
      <c r="BI15" s="29">
        <f t="shared" si="27"/>
        <v>22635.483870967739</v>
      </c>
      <c r="BK15" s="152"/>
      <c r="BL15" s="44">
        <v>41275</v>
      </c>
      <c r="BM15" s="44">
        <v>41284</v>
      </c>
      <c r="BN15" s="20">
        <f>69270*(10/29)</f>
        <v>23886.206896551725</v>
      </c>
      <c r="BO15" s="20">
        <f t="shared" si="10"/>
        <v>23886.206896551725</v>
      </c>
      <c r="BP15" s="142">
        <f>4500*(10/29)</f>
        <v>1551.7241379310346</v>
      </c>
      <c r="BQ15" s="142">
        <f t="shared" si="28"/>
        <v>1551.7241379310346</v>
      </c>
      <c r="BR15" s="20">
        <f t="shared" si="11"/>
        <v>22334.482758620688</v>
      </c>
      <c r="BS15" s="29">
        <f t="shared" si="29"/>
        <v>22334.482758620688</v>
      </c>
      <c r="BU15" s="152"/>
      <c r="BV15" s="44">
        <v>41275</v>
      </c>
      <c r="BW15" s="44">
        <v>41284</v>
      </c>
      <c r="BX15" s="20">
        <f>343368*(10/31)</f>
        <v>110763.87096774194</v>
      </c>
      <c r="BY15" s="20">
        <f t="shared" si="12"/>
        <v>110763.87096774194</v>
      </c>
      <c r="BZ15" s="142">
        <f>1008*(10/31)</f>
        <v>325.16129032258061</v>
      </c>
      <c r="CA15" s="142">
        <f t="shared" si="30"/>
        <v>325.16129032258061</v>
      </c>
      <c r="CB15" s="20">
        <f t="shared" si="31"/>
        <v>110438.70967741936</v>
      </c>
      <c r="CC15" s="29">
        <f t="shared" si="32"/>
        <v>110438.70967741936</v>
      </c>
      <c r="CE15" s="152"/>
      <c r="CF15" s="44">
        <v>41275</v>
      </c>
      <c r="CG15" s="44">
        <v>41284</v>
      </c>
      <c r="CH15" s="20">
        <f>296040*(10/31)</f>
        <v>95496.774193548379</v>
      </c>
      <c r="CI15" s="20">
        <f t="shared" si="13"/>
        <v>95496.774193548379</v>
      </c>
      <c r="CJ15" s="142">
        <f>1104*(10/31)</f>
        <v>356.12903225806451</v>
      </c>
      <c r="CK15" s="142">
        <f t="shared" si="33"/>
        <v>356.12903225806451</v>
      </c>
      <c r="CL15" s="20">
        <f t="shared" si="34"/>
        <v>95140.645161290318</v>
      </c>
      <c r="CM15" s="29">
        <f t="shared" si="35"/>
        <v>95140.645161290318</v>
      </c>
    </row>
    <row r="16" spans="3:91" s="43" customFormat="1">
      <c r="C16" s="27">
        <v>41306</v>
      </c>
      <c r="D16" s="44">
        <v>41284</v>
      </c>
      <c r="E16" s="44">
        <v>41315</v>
      </c>
      <c r="F16" s="20">
        <v>329160</v>
      </c>
      <c r="G16" s="20">
        <f t="shared" si="0"/>
        <v>329160</v>
      </c>
      <c r="H16" s="20">
        <v>936</v>
      </c>
      <c r="I16" s="20">
        <f t="shared" si="14"/>
        <v>936</v>
      </c>
      <c r="J16" s="20">
        <f t="shared" si="15"/>
        <v>328224</v>
      </c>
      <c r="K16" s="29">
        <f t="shared" si="16"/>
        <v>328224</v>
      </c>
      <c r="M16" s="27">
        <v>41306</v>
      </c>
      <c r="N16" s="44">
        <v>41284</v>
      </c>
      <c r="O16" s="44">
        <v>41315</v>
      </c>
      <c r="P16" s="20">
        <v>330240</v>
      </c>
      <c r="Q16" s="42">
        <f t="shared" si="1"/>
        <v>330240</v>
      </c>
      <c r="R16" s="20">
        <v>1080</v>
      </c>
      <c r="S16" s="42">
        <f t="shared" si="17"/>
        <v>1080</v>
      </c>
      <c r="T16" s="20">
        <f t="shared" si="18"/>
        <v>329160</v>
      </c>
      <c r="U16" s="29">
        <f t="shared" si="19"/>
        <v>329160</v>
      </c>
      <c r="W16" s="27">
        <v>41306</v>
      </c>
      <c r="X16" s="28">
        <v>41284</v>
      </c>
      <c r="Y16" s="28">
        <v>41315</v>
      </c>
      <c r="Z16" s="42">
        <v>313320</v>
      </c>
      <c r="AA16" s="42">
        <f t="shared" si="2"/>
        <v>313320</v>
      </c>
      <c r="AB16" s="42">
        <v>888</v>
      </c>
      <c r="AC16" s="42">
        <f t="shared" si="20"/>
        <v>888</v>
      </c>
      <c r="AD16" s="20">
        <f t="shared" si="3"/>
        <v>312432</v>
      </c>
      <c r="AE16" s="29">
        <f t="shared" si="21"/>
        <v>312432</v>
      </c>
      <c r="AG16" s="27">
        <v>41306</v>
      </c>
      <c r="AH16" s="44">
        <v>41284</v>
      </c>
      <c r="AI16" s="44">
        <v>41316</v>
      </c>
      <c r="AJ16" s="20">
        <v>30030</v>
      </c>
      <c r="AK16" s="20">
        <f t="shared" si="4"/>
        <v>30030</v>
      </c>
      <c r="AL16" s="20">
        <v>4260</v>
      </c>
      <c r="AM16" s="20">
        <f t="shared" si="22"/>
        <v>4260</v>
      </c>
      <c r="AN16" s="20">
        <f t="shared" si="5"/>
        <v>25770</v>
      </c>
      <c r="AO16" s="71">
        <f t="shared" si="23"/>
        <v>25770</v>
      </c>
      <c r="AQ16" s="27">
        <v>41306</v>
      </c>
      <c r="AR16" s="44">
        <v>41284</v>
      </c>
      <c r="AS16" s="44">
        <v>41315</v>
      </c>
      <c r="AT16" s="20">
        <v>296304</v>
      </c>
      <c r="AU16" s="20">
        <f t="shared" si="6"/>
        <v>296304</v>
      </c>
      <c r="AV16" s="20">
        <v>1200</v>
      </c>
      <c r="AW16" s="20">
        <f t="shared" si="24"/>
        <v>1200</v>
      </c>
      <c r="AX16" s="20">
        <f t="shared" si="7"/>
        <v>295104</v>
      </c>
      <c r="AY16" s="71">
        <f t="shared" si="25"/>
        <v>295104</v>
      </c>
      <c r="BA16" s="27">
        <v>41306</v>
      </c>
      <c r="BB16" s="44">
        <v>41284</v>
      </c>
      <c r="BC16" s="44">
        <v>41316</v>
      </c>
      <c r="BD16" s="20">
        <v>32220</v>
      </c>
      <c r="BE16" s="20">
        <f t="shared" si="8"/>
        <v>32220</v>
      </c>
      <c r="BF16" s="20">
        <v>4410</v>
      </c>
      <c r="BG16" s="20">
        <f t="shared" si="26"/>
        <v>4410</v>
      </c>
      <c r="BH16" s="20">
        <f t="shared" si="9"/>
        <v>27810</v>
      </c>
      <c r="BI16" s="71">
        <f t="shared" si="27"/>
        <v>27810</v>
      </c>
      <c r="BK16" s="27">
        <v>41306</v>
      </c>
      <c r="BL16" s="44">
        <v>41284</v>
      </c>
      <c r="BM16" s="44">
        <v>41316</v>
      </c>
      <c r="BN16" s="20">
        <v>41400</v>
      </c>
      <c r="BO16" s="20">
        <f t="shared" si="10"/>
        <v>41400</v>
      </c>
      <c r="BP16" s="20">
        <v>4410</v>
      </c>
      <c r="BQ16" s="20">
        <f t="shared" si="28"/>
        <v>4410</v>
      </c>
      <c r="BR16" s="20">
        <f t="shared" si="11"/>
        <v>36990</v>
      </c>
      <c r="BS16" s="71">
        <f t="shared" si="29"/>
        <v>36990</v>
      </c>
      <c r="BU16" s="27">
        <v>41306</v>
      </c>
      <c r="BV16" s="44">
        <v>41284</v>
      </c>
      <c r="BW16" s="44">
        <v>41315</v>
      </c>
      <c r="BX16" s="20">
        <v>366504</v>
      </c>
      <c r="BY16" s="20">
        <f t="shared" si="12"/>
        <v>366504</v>
      </c>
      <c r="BZ16" s="20">
        <v>1080</v>
      </c>
      <c r="CA16" s="20">
        <f t="shared" si="30"/>
        <v>1080</v>
      </c>
      <c r="CB16" s="20">
        <f t="shared" si="31"/>
        <v>365424</v>
      </c>
      <c r="CC16" s="71">
        <f t="shared" si="32"/>
        <v>365424</v>
      </c>
      <c r="CE16" s="27">
        <v>41306</v>
      </c>
      <c r="CF16" s="44">
        <v>41284</v>
      </c>
      <c r="CG16" s="44">
        <v>41315</v>
      </c>
      <c r="CH16" s="20">
        <v>292248</v>
      </c>
      <c r="CI16" s="20">
        <f t="shared" si="13"/>
        <v>292248</v>
      </c>
      <c r="CJ16" s="20">
        <v>840</v>
      </c>
      <c r="CK16" s="20">
        <f t="shared" si="33"/>
        <v>840</v>
      </c>
      <c r="CL16" s="20">
        <f t="shared" si="34"/>
        <v>291408</v>
      </c>
      <c r="CM16" s="71">
        <f t="shared" si="35"/>
        <v>291408</v>
      </c>
    </row>
    <row r="17" spans="3:91" s="43" customFormat="1">
      <c r="C17" s="27">
        <v>41334</v>
      </c>
      <c r="D17" s="44">
        <v>41315</v>
      </c>
      <c r="E17" s="44">
        <v>41343</v>
      </c>
      <c r="F17" s="20">
        <v>259968</v>
      </c>
      <c r="G17" s="20">
        <f t="shared" si="0"/>
        <v>259968</v>
      </c>
      <c r="H17" s="20">
        <v>1416</v>
      </c>
      <c r="I17" s="42">
        <f>H17</f>
        <v>1416</v>
      </c>
      <c r="J17" s="20">
        <f t="shared" si="15"/>
        <v>258552</v>
      </c>
      <c r="K17" s="29">
        <f t="shared" si="16"/>
        <v>258552</v>
      </c>
      <c r="M17" s="27">
        <v>41334</v>
      </c>
      <c r="N17" s="44">
        <v>41315</v>
      </c>
      <c r="O17" s="44">
        <v>41343</v>
      </c>
      <c r="P17" s="20">
        <v>246336</v>
      </c>
      <c r="Q17" s="42">
        <f t="shared" si="1"/>
        <v>246336</v>
      </c>
      <c r="R17" s="20">
        <v>1512</v>
      </c>
      <c r="S17" s="42">
        <f t="shared" si="17"/>
        <v>1512</v>
      </c>
      <c r="T17" s="20">
        <f t="shared" si="18"/>
        <v>244824</v>
      </c>
      <c r="U17" s="29">
        <f t="shared" si="19"/>
        <v>244824</v>
      </c>
      <c r="W17" s="27">
        <v>41334</v>
      </c>
      <c r="X17" s="28">
        <v>41315</v>
      </c>
      <c r="Y17" s="28">
        <v>41343</v>
      </c>
      <c r="Z17" s="42">
        <v>249048</v>
      </c>
      <c r="AA17" s="42">
        <f t="shared" si="2"/>
        <v>249048</v>
      </c>
      <c r="AB17" s="42">
        <v>1608</v>
      </c>
      <c r="AC17" s="42">
        <f t="shared" si="20"/>
        <v>1608</v>
      </c>
      <c r="AD17" s="20">
        <f t="shared" si="3"/>
        <v>247440</v>
      </c>
      <c r="AE17" s="29">
        <f t="shared" si="21"/>
        <v>247440</v>
      </c>
      <c r="AG17" s="27">
        <v>41334</v>
      </c>
      <c r="AH17" s="44">
        <v>41316</v>
      </c>
      <c r="AI17" s="44">
        <v>41344</v>
      </c>
      <c r="AJ17" s="20">
        <v>54990</v>
      </c>
      <c r="AK17" s="20">
        <f t="shared" si="4"/>
        <v>54990</v>
      </c>
      <c r="AL17" s="20">
        <v>3960</v>
      </c>
      <c r="AM17" s="20">
        <f t="shared" si="22"/>
        <v>3960</v>
      </c>
      <c r="AN17" s="20">
        <f t="shared" si="5"/>
        <v>51030</v>
      </c>
      <c r="AO17" s="71">
        <f t="shared" si="23"/>
        <v>51030</v>
      </c>
      <c r="AQ17" s="27">
        <v>41334</v>
      </c>
      <c r="AR17" s="44">
        <v>41315</v>
      </c>
      <c r="AS17" s="44">
        <v>41343</v>
      </c>
      <c r="AT17" s="20">
        <v>214608</v>
      </c>
      <c r="AU17" s="20">
        <f t="shared" si="6"/>
        <v>214608</v>
      </c>
      <c r="AV17" s="20">
        <v>1584</v>
      </c>
      <c r="AW17" s="20">
        <f t="shared" si="24"/>
        <v>1584</v>
      </c>
      <c r="AX17" s="20">
        <f t="shared" si="7"/>
        <v>213024</v>
      </c>
      <c r="AY17" s="71">
        <f t="shared" si="25"/>
        <v>213024</v>
      </c>
      <c r="BA17" s="27">
        <v>41334</v>
      </c>
      <c r="BB17" s="44">
        <v>41316</v>
      </c>
      <c r="BC17" s="44">
        <v>41344</v>
      </c>
      <c r="BD17" s="20">
        <v>63480</v>
      </c>
      <c r="BE17" s="20">
        <f t="shared" si="8"/>
        <v>63480</v>
      </c>
      <c r="BF17" s="20">
        <v>3780</v>
      </c>
      <c r="BG17" s="20">
        <f t="shared" si="26"/>
        <v>3780</v>
      </c>
      <c r="BH17" s="20">
        <f t="shared" si="9"/>
        <v>59700</v>
      </c>
      <c r="BI17" s="71">
        <f t="shared" si="27"/>
        <v>59700</v>
      </c>
      <c r="BK17" s="27">
        <v>41334</v>
      </c>
      <c r="BL17" s="44">
        <v>41316</v>
      </c>
      <c r="BM17" s="44">
        <v>41344</v>
      </c>
      <c r="BN17" s="20">
        <v>49950</v>
      </c>
      <c r="BO17" s="20">
        <f t="shared" si="10"/>
        <v>49950</v>
      </c>
      <c r="BP17" s="20">
        <v>4110</v>
      </c>
      <c r="BQ17" s="20">
        <f t="shared" si="28"/>
        <v>4110</v>
      </c>
      <c r="BR17" s="20">
        <f t="shared" si="11"/>
        <v>45840</v>
      </c>
      <c r="BS17" s="71">
        <f t="shared" si="29"/>
        <v>45840</v>
      </c>
      <c r="BU17" s="27">
        <v>41334</v>
      </c>
      <c r="BV17" s="44">
        <v>41315</v>
      </c>
      <c r="BW17" s="44">
        <v>41343</v>
      </c>
      <c r="BX17" s="20">
        <v>282552</v>
      </c>
      <c r="BY17" s="20">
        <f t="shared" si="12"/>
        <v>282552</v>
      </c>
      <c r="BZ17" s="20">
        <v>1224</v>
      </c>
      <c r="CA17" s="20">
        <f t="shared" si="30"/>
        <v>1224</v>
      </c>
      <c r="CB17" s="20">
        <f t="shared" si="31"/>
        <v>281328</v>
      </c>
      <c r="CC17" s="71">
        <f t="shared" si="32"/>
        <v>281328</v>
      </c>
      <c r="CE17" s="27">
        <v>41334</v>
      </c>
      <c r="CF17" s="44">
        <v>41315</v>
      </c>
      <c r="CG17" s="44">
        <v>41343</v>
      </c>
      <c r="CH17" s="20">
        <v>221664</v>
      </c>
      <c r="CI17" s="20">
        <f t="shared" si="13"/>
        <v>221664</v>
      </c>
      <c r="CJ17" s="20">
        <v>1440</v>
      </c>
      <c r="CK17" s="20">
        <f t="shared" si="33"/>
        <v>1440</v>
      </c>
      <c r="CL17" s="20">
        <f t="shared" si="34"/>
        <v>220224</v>
      </c>
      <c r="CM17" s="71">
        <f t="shared" si="35"/>
        <v>220224</v>
      </c>
    </row>
    <row r="18" spans="3:91" s="43" customFormat="1">
      <c r="C18" s="27">
        <v>41365</v>
      </c>
      <c r="D18" s="44">
        <v>41343</v>
      </c>
      <c r="E18" s="44">
        <v>41374</v>
      </c>
      <c r="F18" s="20">
        <v>74304</v>
      </c>
      <c r="G18" s="20">
        <f t="shared" si="0"/>
        <v>74304</v>
      </c>
      <c r="H18" s="20">
        <v>3888</v>
      </c>
      <c r="I18" s="42">
        <f t="shared" si="14"/>
        <v>3888</v>
      </c>
      <c r="J18" s="20">
        <f t="shared" si="15"/>
        <v>70416</v>
      </c>
      <c r="K18" s="29">
        <f t="shared" si="16"/>
        <v>70416</v>
      </c>
      <c r="M18" s="27">
        <v>41365</v>
      </c>
      <c r="N18" s="44">
        <v>41343</v>
      </c>
      <c r="O18" s="44">
        <v>41374</v>
      </c>
      <c r="P18" s="20">
        <v>87528</v>
      </c>
      <c r="Q18" s="42">
        <f t="shared" si="1"/>
        <v>87528</v>
      </c>
      <c r="R18" s="20">
        <v>3720</v>
      </c>
      <c r="S18" s="42">
        <f t="shared" si="17"/>
        <v>3720</v>
      </c>
      <c r="T18" s="20">
        <f t="shared" si="18"/>
        <v>83808</v>
      </c>
      <c r="U18" s="29">
        <f t="shared" si="19"/>
        <v>83808</v>
      </c>
      <c r="W18" s="27">
        <v>41365</v>
      </c>
      <c r="X18" s="28">
        <v>41343</v>
      </c>
      <c r="Y18" s="28">
        <v>41374</v>
      </c>
      <c r="Z18" s="42">
        <v>115896</v>
      </c>
      <c r="AA18" s="42">
        <f t="shared" si="2"/>
        <v>115896</v>
      </c>
      <c r="AB18" s="42">
        <v>3648</v>
      </c>
      <c r="AC18" s="42">
        <f t="shared" si="20"/>
        <v>3648</v>
      </c>
      <c r="AD18" s="20">
        <f t="shared" si="3"/>
        <v>112248</v>
      </c>
      <c r="AE18" s="29">
        <f t="shared" si="21"/>
        <v>112248</v>
      </c>
      <c r="AG18" s="27">
        <v>41365</v>
      </c>
      <c r="AH18" s="44">
        <v>41344</v>
      </c>
      <c r="AI18" s="44">
        <v>41374</v>
      </c>
      <c r="AJ18" s="20">
        <v>80850</v>
      </c>
      <c r="AK18" s="20">
        <f t="shared" si="4"/>
        <v>80850</v>
      </c>
      <c r="AL18" s="20">
        <v>3600</v>
      </c>
      <c r="AM18" s="20">
        <f t="shared" si="22"/>
        <v>3600</v>
      </c>
      <c r="AN18" s="20">
        <f t="shared" si="5"/>
        <v>77250</v>
      </c>
      <c r="AO18" s="71">
        <f t="shared" si="23"/>
        <v>77250</v>
      </c>
      <c r="AQ18" s="27">
        <v>41365</v>
      </c>
      <c r="AR18" s="44">
        <v>41343</v>
      </c>
      <c r="AS18" s="44">
        <v>41374</v>
      </c>
      <c r="AT18" s="20">
        <v>67248</v>
      </c>
      <c r="AU18" s="20">
        <f t="shared" si="6"/>
        <v>67248</v>
      </c>
      <c r="AV18" s="20">
        <v>4008</v>
      </c>
      <c r="AW18" s="20">
        <f t="shared" si="24"/>
        <v>4008</v>
      </c>
      <c r="AX18" s="20">
        <f t="shared" si="7"/>
        <v>63240</v>
      </c>
      <c r="AY18" s="71">
        <f t="shared" si="25"/>
        <v>63240</v>
      </c>
      <c r="BA18" s="27">
        <v>41365</v>
      </c>
      <c r="BB18" s="44">
        <v>41344</v>
      </c>
      <c r="BC18" s="44">
        <v>41374</v>
      </c>
      <c r="BD18" s="20">
        <v>80250</v>
      </c>
      <c r="BE18" s="20">
        <f t="shared" si="8"/>
        <v>80250</v>
      </c>
      <c r="BF18" s="20">
        <v>3840</v>
      </c>
      <c r="BG18" s="20">
        <f t="shared" si="26"/>
        <v>3840</v>
      </c>
      <c r="BH18" s="20">
        <f t="shared" si="9"/>
        <v>76410</v>
      </c>
      <c r="BI18" s="71">
        <f t="shared" si="27"/>
        <v>76410</v>
      </c>
      <c r="BK18" s="27">
        <v>41365</v>
      </c>
      <c r="BL18" s="44">
        <v>41344</v>
      </c>
      <c r="BM18" s="44">
        <v>41374</v>
      </c>
      <c r="BN18" s="20">
        <v>80040</v>
      </c>
      <c r="BO18" s="20">
        <f t="shared" si="10"/>
        <v>80040</v>
      </c>
      <c r="BP18" s="20">
        <v>3870</v>
      </c>
      <c r="BQ18" s="20">
        <f t="shared" si="28"/>
        <v>3870</v>
      </c>
      <c r="BR18" s="20">
        <f t="shared" si="11"/>
        <v>76170</v>
      </c>
      <c r="BS18" s="71">
        <f t="shared" si="29"/>
        <v>76170</v>
      </c>
      <c r="BU18" s="27">
        <v>41365</v>
      </c>
      <c r="BV18" s="44">
        <v>41343</v>
      </c>
      <c r="BW18" s="44">
        <v>41374</v>
      </c>
      <c r="BX18" s="20">
        <v>116064</v>
      </c>
      <c r="BY18" s="20">
        <f t="shared" si="12"/>
        <v>116064</v>
      </c>
      <c r="BZ18" s="20">
        <v>2832</v>
      </c>
      <c r="CA18" s="20">
        <f t="shared" si="30"/>
        <v>2832</v>
      </c>
      <c r="CB18" s="20">
        <f t="shared" si="31"/>
        <v>113232</v>
      </c>
      <c r="CC18" s="71">
        <f t="shared" si="32"/>
        <v>113232</v>
      </c>
      <c r="CE18" s="27">
        <v>41365</v>
      </c>
      <c r="CF18" s="44">
        <v>41343</v>
      </c>
      <c r="CG18" s="44">
        <v>41374</v>
      </c>
      <c r="CH18" s="20">
        <v>95616</v>
      </c>
      <c r="CI18" s="20">
        <f t="shared" si="13"/>
        <v>95616</v>
      </c>
      <c r="CJ18" s="20">
        <v>3696</v>
      </c>
      <c r="CK18" s="20">
        <f t="shared" si="33"/>
        <v>3696</v>
      </c>
      <c r="CL18" s="20">
        <f t="shared" si="34"/>
        <v>91920</v>
      </c>
      <c r="CM18" s="71">
        <f t="shared" si="35"/>
        <v>91920</v>
      </c>
    </row>
    <row r="19" spans="3:91" s="43" customFormat="1">
      <c r="C19" s="27">
        <v>41395</v>
      </c>
      <c r="D19" s="44">
        <v>41374</v>
      </c>
      <c r="E19" s="44">
        <v>41404</v>
      </c>
      <c r="F19" s="20">
        <v>112224</v>
      </c>
      <c r="G19" s="20">
        <f t="shared" si="0"/>
        <v>112224</v>
      </c>
      <c r="H19" s="20">
        <v>3432</v>
      </c>
      <c r="I19" s="42">
        <f t="shared" si="14"/>
        <v>3432</v>
      </c>
      <c r="J19" s="20">
        <f t="shared" si="15"/>
        <v>108792</v>
      </c>
      <c r="K19" s="29">
        <f t="shared" si="16"/>
        <v>108792</v>
      </c>
      <c r="M19" s="27">
        <v>41395</v>
      </c>
      <c r="N19" s="44">
        <v>41374</v>
      </c>
      <c r="O19" s="44">
        <v>41404</v>
      </c>
      <c r="P19" s="20">
        <v>104976</v>
      </c>
      <c r="Q19" s="42">
        <f t="shared" si="1"/>
        <v>104976</v>
      </c>
      <c r="R19" s="20">
        <v>3384</v>
      </c>
      <c r="S19" s="42">
        <f t="shared" si="17"/>
        <v>3384</v>
      </c>
      <c r="T19" s="20">
        <f t="shared" si="18"/>
        <v>101592</v>
      </c>
      <c r="U19" s="29">
        <f t="shared" si="19"/>
        <v>101592</v>
      </c>
      <c r="W19" s="27">
        <v>41395</v>
      </c>
      <c r="X19" s="28">
        <v>41374</v>
      </c>
      <c r="Y19" s="28">
        <v>41404</v>
      </c>
      <c r="Z19" s="42">
        <v>113904</v>
      </c>
      <c r="AA19" s="42">
        <f t="shared" si="2"/>
        <v>113904</v>
      </c>
      <c r="AB19" s="42">
        <v>3144</v>
      </c>
      <c r="AC19" s="42">
        <f t="shared" si="20"/>
        <v>3144</v>
      </c>
      <c r="AD19" s="20">
        <f t="shared" si="3"/>
        <v>110760</v>
      </c>
      <c r="AE19" s="29">
        <f t="shared" si="21"/>
        <v>110760</v>
      </c>
      <c r="AG19" s="27">
        <v>41395</v>
      </c>
      <c r="AH19" s="44">
        <v>41374</v>
      </c>
      <c r="AI19" s="44">
        <v>41404</v>
      </c>
      <c r="AJ19" s="20">
        <v>301860</v>
      </c>
      <c r="AK19" s="20">
        <f t="shared" si="4"/>
        <v>301860</v>
      </c>
      <c r="AL19" s="20">
        <v>2730</v>
      </c>
      <c r="AM19" s="20">
        <f t="shared" si="22"/>
        <v>2730</v>
      </c>
      <c r="AN19" s="20">
        <f t="shared" si="5"/>
        <v>299130</v>
      </c>
      <c r="AO19" s="71">
        <f t="shared" si="23"/>
        <v>299130</v>
      </c>
      <c r="AQ19" s="27">
        <v>41395</v>
      </c>
      <c r="AR19" s="44">
        <v>41374</v>
      </c>
      <c r="AS19" s="44">
        <v>41404</v>
      </c>
      <c r="AT19" s="20">
        <v>93096</v>
      </c>
      <c r="AU19" s="20">
        <f t="shared" si="6"/>
        <v>93096</v>
      </c>
      <c r="AV19" s="20">
        <v>3696</v>
      </c>
      <c r="AW19" s="20">
        <f t="shared" si="24"/>
        <v>3696</v>
      </c>
      <c r="AX19" s="20">
        <f t="shared" si="7"/>
        <v>89400</v>
      </c>
      <c r="AY19" s="71">
        <f t="shared" si="25"/>
        <v>89400</v>
      </c>
      <c r="BA19" s="27">
        <v>41395</v>
      </c>
      <c r="BB19" s="44">
        <v>41374</v>
      </c>
      <c r="BC19" s="44">
        <v>41404</v>
      </c>
      <c r="BD19" s="20">
        <v>310050</v>
      </c>
      <c r="BE19" s="20">
        <f t="shared" si="8"/>
        <v>310050</v>
      </c>
      <c r="BF19" s="20">
        <v>2430</v>
      </c>
      <c r="BG19" s="20">
        <f t="shared" si="26"/>
        <v>2430</v>
      </c>
      <c r="BH19" s="20">
        <f t="shared" si="9"/>
        <v>307620</v>
      </c>
      <c r="BI19" s="71">
        <f t="shared" si="27"/>
        <v>307620</v>
      </c>
      <c r="BK19" s="27">
        <v>41395</v>
      </c>
      <c r="BL19" s="44">
        <v>41374</v>
      </c>
      <c r="BM19" s="44">
        <v>41404</v>
      </c>
      <c r="BN19" s="20">
        <v>297720</v>
      </c>
      <c r="BO19" s="20">
        <f t="shared" si="10"/>
        <v>297720</v>
      </c>
      <c r="BP19" s="20">
        <v>2670</v>
      </c>
      <c r="BQ19" s="20">
        <f t="shared" si="28"/>
        <v>2670</v>
      </c>
      <c r="BR19" s="20">
        <f t="shared" si="11"/>
        <v>295050</v>
      </c>
      <c r="BS19" s="71">
        <f t="shared" si="29"/>
        <v>295050</v>
      </c>
      <c r="BU19" s="27">
        <v>41395</v>
      </c>
      <c r="BV19" s="44">
        <v>41374</v>
      </c>
      <c r="BW19" s="44">
        <v>41404</v>
      </c>
      <c r="BX19" s="20">
        <v>142056</v>
      </c>
      <c r="BY19" s="20">
        <f t="shared" si="12"/>
        <v>142056</v>
      </c>
      <c r="BZ19" s="20">
        <v>2736</v>
      </c>
      <c r="CA19" s="20">
        <f t="shared" si="30"/>
        <v>2736</v>
      </c>
      <c r="CB19" s="20">
        <f t="shared" si="31"/>
        <v>139320</v>
      </c>
      <c r="CC19" s="71">
        <f t="shared" si="32"/>
        <v>139320</v>
      </c>
      <c r="CE19" s="27">
        <v>41395</v>
      </c>
      <c r="CF19" s="44">
        <v>41374</v>
      </c>
      <c r="CG19" s="44">
        <v>41404</v>
      </c>
      <c r="CH19" s="20">
        <v>103152</v>
      </c>
      <c r="CI19" s="20">
        <f t="shared" si="13"/>
        <v>103152</v>
      </c>
      <c r="CJ19" s="20">
        <v>2880</v>
      </c>
      <c r="CK19" s="20">
        <f t="shared" si="33"/>
        <v>2880</v>
      </c>
      <c r="CL19" s="20">
        <f t="shared" si="34"/>
        <v>100272</v>
      </c>
      <c r="CM19" s="71">
        <f t="shared" si="35"/>
        <v>100272</v>
      </c>
    </row>
    <row r="20" spans="3:91" s="43" customFormat="1">
      <c r="C20" s="27">
        <v>41426</v>
      </c>
      <c r="D20" s="44">
        <v>41404</v>
      </c>
      <c r="E20" s="44">
        <v>41435</v>
      </c>
      <c r="F20" s="20">
        <v>521808</v>
      </c>
      <c r="G20" s="20">
        <f t="shared" si="0"/>
        <v>521808</v>
      </c>
      <c r="H20" s="20">
        <v>1176</v>
      </c>
      <c r="I20" s="42">
        <f t="shared" si="14"/>
        <v>1176</v>
      </c>
      <c r="J20" s="20">
        <f t="shared" si="15"/>
        <v>520632</v>
      </c>
      <c r="K20" s="29">
        <f t="shared" si="16"/>
        <v>520632</v>
      </c>
      <c r="M20" s="27">
        <v>41426</v>
      </c>
      <c r="N20" s="44">
        <v>41404</v>
      </c>
      <c r="O20" s="44">
        <v>41435</v>
      </c>
      <c r="P20" s="20">
        <v>466584</v>
      </c>
      <c r="Q20" s="42">
        <f t="shared" si="1"/>
        <v>466584</v>
      </c>
      <c r="R20" s="20">
        <v>1128</v>
      </c>
      <c r="S20" s="42">
        <f t="shared" si="17"/>
        <v>1128</v>
      </c>
      <c r="T20" s="20">
        <f t="shared" si="18"/>
        <v>465456</v>
      </c>
      <c r="U20" s="29">
        <f t="shared" si="19"/>
        <v>465456</v>
      </c>
      <c r="W20" s="27">
        <v>41426</v>
      </c>
      <c r="X20" s="28">
        <v>41404</v>
      </c>
      <c r="Y20" s="28">
        <v>41435</v>
      </c>
      <c r="Z20" s="42">
        <v>524280</v>
      </c>
      <c r="AA20" s="42">
        <f t="shared" si="2"/>
        <v>524280</v>
      </c>
      <c r="AB20" s="42">
        <v>1128</v>
      </c>
      <c r="AC20" s="42">
        <f t="shared" si="20"/>
        <v>1128</v>
      </c>
      <c r="AD20" s="20">
        <f t="shared" si="3"/>
        <v>523152</v>
      </c>
      <c r="AE20" s="29">
        <f t="shared" si="21"/>
        <v>523152</v>
      </c>
      <c r="AG20" s="27">
        <v>41426</v>
      </c>
      <c r="AH20" s="44">
        <v>41404</v>
      </c>
      <c r="AI20" s="44">
        <v>41450</v>
      </c>
      <c r="AJ20" s="20">
        <v>763830</v>
      </c>
      <c r="AK20" s="20">
        <f t="shared" si="4"/>
        <v>763830</v>
      </c>
      <c r="AL20" s="20">
        <v>240</v>
      </c>
      <c r="AM20" s="20">
        <f t="shared" si="22"/>
        <v>240</v>
      </c>
      <c r="AN20" s="20">
        <f t="shared" si="5"/>
        <v>763590</v>
      </c>
      <c r="AO20" s="71">
        <f t="shared" si="23"/>
        <v>763590</v>
      </c>
      <c r="AQ20" s="27">
        <v>41426</v>
      </c>
      <c r="AR20" s="44">
        <v>41404</v>
      </c>
      <c r="AS20" s="44">
        <v>41435</v>
      </c>
      <c r="AT20" s="20">
        <v>181608</v>
      </c>
      <c r="AU20" s="20">
        <f t="shared" si="6"/>
        <v>181608</v>
      </c>
      <c r="AV20" s="20">
        <v>2016</v>
      </c>
      <c r="AW20" s="20">
        <f t="shared" si="24"/>
        <v>2016</v>
      </c>
      <c r="AX20" s="20">
        <f t="shared" si="7"/>
        <v>179592</v>
      </c>
      <c r="AY20" s="71">
        <f t="shared" si="25"/>
        <v>179592</v>
      </c>
      <c r="BA20" s="27">
        <v>41426</v>
      </c>
      <c r="BB20" s="44">
        <v>41404</v>
      </c>
      <c r="BC20" s="44">
        <v>41430</v>
      </c>
      <c r="BD20" s="20">
        <v>782520</v>
      </c>
      <c r="BE20" s="20">
        <f t="shared" si="8"/>
        <v>782520</v>
      </c>
      <c r="BF20" s="20">
        <v>210</v>
      </c>
      <c r="BG20" s="20">
        <f t="shared" si="26"/>
        <v>210</v>
      </c>
      <c r="BH20" s="20">
        <f t="shared" si="9"/>
        <v>782310</v>
      </c>
      <c r="BI20" s="71">
        <f t="shared" si="27"/>
        <v>782310</v>
      </c>
      <c r="BK20" s="27">
        <v>41426</v>
      </c>
      <c r="BL20" s="44">
        <v>41404</v>
      </c>
      <c r="BM20" s="44">
        <v>41430</v>
      </c>
      <c r="BN20" s="20">
        <v>500100</v>
      </c>
      <c r="BO20" s="20">
        <f t="shared" si="10"/>
        <v>500100</v>
      </c>
      <c r="BP20" s="20">
        <v>1020</v>
      </c>
      <c r="BQ20" s="20">
        <f t="shared" si="28"/>
        <v>1020</v>
      </c>
      <c r="BR20" s="20">
        <f t="shared" si="11"/>
        <v>499080</v>
      </c>
      <c r="BS20" s="71">
        <f t="shared" si="29"/>
        <v>499080</v>
      </c>
      <c r="BU20" s="27">
        <v>41426</v>
      </c>
      <c r="BV20" s="44">
        <v>41404</v>
      </c>
      <c r="BW20" s="44">
        <v>41435</v>
      </c>
      <c r="BX20" s="20">
        <v>567192</v>
      </c>
      <c r="BY20" s="20">
        <f t="shared" si="12"/>
        <v>567192</v>
      </c>
      <c r="BZ20" s="20">
        <v>672</v>
      </c>
      <c r="CA20" s="20">
        <f t="shared" si="30"/>
        <v>672</v>
      </c>
      <c r="CB20" s="20">
        <f t="shared" si="31"/>
        <v>566520</v>
      </c>
      <c r="CC20" s="71">
        <f t="shared" si="32"/>
        <v>566520</v>
      </c>
      <c r="CE20" s="27">
        <v>41426</v>
      </c>
      <c r="CF20" s="44">
        <v>41404</v>
      </c>
      <c r="CG20" s="44">
        <v>41435</v>
      </c>
      <c r="CH20" s="20">
        <v>526248</v>
      </c>
      <c r="CI20" s="20">
        <f t="shared" si="13"/>
        <v>526248</v>
      </c>
      <c r="CJ20" s="20">
        <v>912</v>
      </c>
      <c r="CK20" s="20">
        <f t="shared" si="33"/>
        <v>912</v>
      </c>
      <c r="CL20" s="20">
        <f t="shared" si="34"/>
        <v>525336</v>
      </c>
      <c r="CM20" s="71">
        <f t="shared" si="35"/>
        <v>525336</v>
      </c>
    </row>
    <row r="21" spans="3:91" s="43" customFormat="1">
      <c r="C21" s="27">
        <v>41456</v>
      </c>
      <c r="D21" s="44">
        <v>41435</v>
      </c>
      <c r="E21" s="44">
        <v>41465</v>
      </c>
      <c r="F21" s="20">
        <v>514968</v>
      </c>
      <c r="G21" s="20">
        <f t="shared" si="0"/>
        <v>514968</v>
      </c>
      <c r="H21" s="20">
        <v>1416</v>
      </c>
      <c r="I21" s="42">
        <f t="shared" si="14"/>
        <v>1416</v>
      </c>
      <c r="J21" s="20">
        <f t="shared" si="15"/>
        <v>513552</v>
      </c>
      <c r="K21" s="29">
        <f t="shared" si="16"/>
        <v>513552</v>
      </c>
      <c r="M21" s="27">
        <v>41456</v>
      </c>
      <c r="N21" s="44">
        <v>41435</v>
      </c>
      <c r="O21" s="44">
        <v>41465</v>
      </c>
      <c r="P21" s="20">
        <v>403560</v>
      </c>
      <c r="Q21" s="42">
        <f t="shared" si="1"/>
        <v>403560</v>
      </c>
      <c r="R21" s="20">
        <v>1968</v>
      </c>
      <c r="S21" s="42">
        <f t="shared" si="17"/>
        <v>1968</v>
      </c>
      <c r="T21" s="20">
        <f t="shared" si="18"/>
        <v>401592</v>
      </c>
      <c r="U21" s="29">
        <f t="shared" si="19"/>
        <v>401592</v>
      </c>
      <c r="W21" s="27">
        <v>41456</v>
      </c>
      <c r="X21" s="28">
        <v>41435</v>
      </c>
      <c r="Y21" s="28">
        <v>41465</v>
      </c>
      <c r="Z21" s="42">
        <v>469608</v>
      </c>
      <c r="AA21" s="42">
        <f t="shared" si="2"/>
        <v>469608</v>
      </c>
      <c r="AB21" s="42">
        <v>2592</v>
      </c>
      <c r="AC21" s="42">
        <f t="shared" si="20"/>
        <v>2592</v>
      </c>
      <c r="AD21" s="20">
        <f t="shared" si="3"/>
        <v>467016</v>
      </c>
      <c r="AE21" s="29">
        <f t="shared" si="21"/>
        <v>467016</v>
      </c>
      <c r="AG21" s="27">
        <v>41456</v>
      </c>
      <c r="AH21" s="44">
        <v>41450</v>
      </c>
      <c r="AI21" s="44">
        <v>41460</v>
      </c>
      <c r="AJ21" s="20">
        <v>612600</v>
      </c>
      <c r="AK21" s="20">
        <f t="shared" si="4"/>
        <v>612600</v>
      </c>
      <c r="AL21" s="20">
        <v>210</v>
      </c>
      <c r="AM21" s="20">
        <f t="shared" si="22"/>
        <v>210</v>
      </c>
      <c r="AN21" s="20">
        <f t="shared" si="5"/>
        <v>612390</v>
      </c>
      <c r="AO21" s="71">
        <f t="shared" si="23"/>
        <v>612390</v>
      </c>
      <c r="AQ21" s="27">
        <v>41456</v>
      </c>
      <c r="AR21" s="44">
        <v>41435</v>
      </c>
      <c r="AS21" s="44">
        <v>41465</v>
      </c>
      <c r="AT21" s="20">
        <v>0</v>
      </c>
      <c r="AU21" s="20">
        <f t="shared" si="6"/>
        <v>0</v>
      </c>
      <c r="AV21" s="20">
        <v>1632</v>
      </c>
      <c r="AW21" s="20">
        <f t="shared" si="24"/>
        <v>1632</v>
      </c>
      <c r="AX21" s="20">
        <f t="shared" si="7"/>
        <v>-1632</v>
      </c>
      <c r="AY21" s="71">
        <f t="shared" si="25"/>
        <v>-1632</v>
      </c>
      <c r="BA21" s="27">
        <v>41456</v>
      </c>
      <c r="BB21" s="44">
        <v>41430</v>
      </c>
      <c r="BC21" s="44">
        <v>41460</v>
      </c>
      <c r="BD21" s="20">
        <v>640920</v>
      </c>
      <c r="BE21" s="20">
        <f t="shared" si="8"/>
        <v>640920</v>
      </c>
      <c r="BF21" s="20">
        <v>120</v>
      </c>
      <c r="BG21" s="20">
        <f t="shared" si="26"/>
        <v>120</v>
      </c>
      <c r="BH21" s="20">
        <f t="shared" si="9"/>
        <v>640800</v>
      </c>
      <c r="BI21" s="71">
        <f t="shared" si="27"/>
        <v>640800</v>
      </c>
      <c r="BK21" s="27">
        <v>41456</v>
      </c>
      <c r="BL21" s="44">
        <v>41430</v>
      </c>
      <c r="BM21" s="44">
        <v>41460</v>
      </c>
      <c r="BN21" s="20">
        <v>170910</v>
      </c>
      <c r="BO21" s="20">
        <f t="shared" si="10"/>
        <v>170910</v>
      </c>
      <c r="BP21" s="20">
        <v>1350</v>
      </c>
      <c r="BQ21" s="20">
        <f t="shared" si="28"/>
        <v>1350</v>
      </c>
      <c r="BR21" s="20">
        <f t="shared" si="11"/>
        <v>169560</v>
      </c>
      <c r="BS21" s="71">
        <f t="shared" si="29"/>
        <v>169560</v>
      </c>
      <c r="BU21" s="27">
        <v>41456</v>
      </c>
      <c r="BV21" s="44">
        <v>41435</v>
      </c>
      <c r="BW21" s="44">
        <v>41465</v>
      </c>
      <c r="BX21" s="20">
        <v>497304</v>
      </c>
      <c r="BY21" s="20">
        <f t="shared" si="12"/>
        <v>497304</v>
      </c>
      <c r="BZ21" s="20">
        <v>1200</v>
      </c>
      <c r="CA21" s="20">
        <f t="shared" si="30"/>
        <v>1200</v>
      </c>
      <c r="CB21" s="20">
        <f t="shared" si="31"/>
        <v>496104</v>
      </c>
      <c r="CC21" s="71">
        <f t="shared" si="32"/>
        <v>496104</v>
      </c>
      <c r="CE21" s="27">
        <v>41456</v>
      </c>
      <c r="CF21" s="44">
        <v>41435</v>
      </c>
      <c r="CG21" s="44">
        <v>41465</v>
      </c>
      <c r="CH21" s="20">
        <v>475032</v>
      </c>
      <c r="CI21" s="20">
        <f t="shared" si="13"/>
        <v>475032</v>
      </c>
      <c r="CJ21" s="20">
        <v>1560</v>
      </c>
      <c r="CK21" s="20">
        <f t="shared" si="33"/>
        <v>1560</v>
      </c>
      <c r="CL21" s="20">
        <f t="shared" si="34"/>
        <v>473472</v>
      </c>
      <c r="CM21" s="71">
        <f t="shared" si="35"/>
        <v>473472</v>
      </c>
    </row>
    <row r="22" spans="3:91" s="43" customFormat="1">
      <c r="C22" s="27">
        <v>41487</v>
      </c>
      <c r="D22" s="44">
        <v>41465</v>
      </c>
      <c r="E22" s="44">
        <v>41496</v>
      </c>
      <c r="F22" s="20">
        <v>321816</v>
      </c>
      <c r="G22" s="20">
        <f t="shared" si="0"/>
        <v>321816</v>
      </c>
      <c r="H22" s="20">
        <v>1392</v>
      </c>
      <c r="I22" s="42">
        <f t="shared" si="14"/>
        <v>1392</v>
      </c>
      <c r="J22" s="20">
        <f t="shared" si="15"/>
        <v>320424</v>
      </c>
      <c r="K22" s="29">
        <f t="shared" si="16"/>
        <v>320424</v>
      </c>
      <c r="M22" s="27">
        <v>41487</v>
      </c>
      <c r="N22" s="44">
        <v>41465</v>
      </c>
      <c r="O22" s="44">
        <v>41496</v>
      </c>
      <c r="P22" s="20">
        <v>123864</v>
      </c>
      <c r="Q22" s="42">
        <f t="shared" si="1"/>
        <v>123864</v>
      </c>
      <c r="R22" s="20">
        <v>1536</v>
      </c>
      <c r="S22" s="42">
        <f t="shared" si="17"/>
        <v>1536</v>
      </c>
      <c r="T22" s="20">
        <f t="shared" si="18"/>
        <v>122328</v>
      </c>
      <c r="U22" s="29">
        <f t="shared" si="19"/>
        <v>122328</v>
      </c>
      <c r="W22" s="27">
        <v>41487</v>
      </c>
      <c r="X22" s="28">
        <v>41465</v>
      </c>
      <c r="Y22" s="28">
        <v>41496</v>
      </c>
      <c r="Z22" s="42">
        <v>276720</v>
      </c>
      <c r="AA22" s="42">
        <f t="shared" si="2"/>
        <v>276720</v>
      </c>
      <c r="AB22" s="42">
        <v>1008</v>
      </c>
      <c r="AC22" s="42">
        <f t="shared" si="20"/>
        <v>1008</v>
      </c>
      <c r="AD22" s="20">
        <f t="shared" si="3"/>
        <v>275712</v>
      </c>
      <c r="AE22" s="29">
        <f t="shared" si="21"/>
        <v>275712</v>
      </c>
      <c r="AG22" s="27">
        <v>41487</v>
      </c>
      <c r="AH22" s="44">
        <v>41460</v>
      </c>
      <c r="AI22" s="44">
        <v>41494</v>
      </c>
      <c r="AJ22" s="20">
        <v>411510</v>
      </c>
      <c r="AK22" s="20">
        <f t="shared" si="4"/>
        <v>411510</v>
      </c>
      <c r="AL22" s="20">
        <v>150</v>
      </c>
      <c r="AM22" s="20">
        <f t="shared" si="22"/>
        <v>150</v>
      </c>
      <c r="AN22" s="20">
        <f t="shared" si="5"/>
        <v>411360</v>
      </c>
      <c r="AO22" s="71">
        <f t="shared" si="23"/>
        <v>411360</v>
      </c>
      <c r="AQ22" s="27">
        <v>41487</v>
      </c>
      <c r="AR22" s="44">
        <v>41465</v>
      </c>
      <c r="AS22" s="44">
        <v>41496</v>
      </c>
      <c r="AT22" s="20">
        <v>0</v>
      </c>
      <c r="AU22" s="20">
        <f t="shared" si="6"/>
        <v>0</v>
      </c>
      <c r="AV22" s="20">
        <v>1296</v>
      </c>
      <c r="AW22" s="20">
        <f t="shared" si="24"/>
        <v>1296</v>
      </c>
      <c r="AX22" s="20">
        <f t="shared" si="7"/>
        <v>-1296</v>
      </c>
      <c r="AY22" s="71">
        <f t="shared" si="25"/>
        <v>-1296</v>
      </c>
      <c r="BA22" s="27">
        <v>41487</v>
      </c>
      <c r="BB22" s="44">
        <v>41460</v>
      </c>
      <c r="BC22" s="44">
        <v>41494</v>
      </c>
      <c r="BD22" s="20">
        <v>401610</v>
      </c>
      <c r="BE22" s="20">
        <f t="shared" si="8"/>
        <v>401610</v>
      </c>
      <c r="BF22" s="20">
        <v>120</v>
      </c>
      <c r="BG22" s="20">
        <f t="shared" si="26"/>
        <v>120</v>
      </c>
      <c r="BH22" s="20">
        <f t="shared" si="9"/>
        <v>401490</v>
      </c>
      <c r="BI22" s="71">
        <f t="shared" si="27"/>
        <v>401490</v>
      </c>
      <c r="BK22" s="27">
        <v>41487</v>
      </c>
      <c r="BL22" s="44">
        <v>41460</v>
      </c>
      <c r="BM22" s="44">
        <v>41494</v>
      </c>
      <c r="BN22" s="20">
        <v>391890</v>
      </c>
      <c r="BO22" s="20">
        <f t="shared" si="10"/>
        <v>391890</v>
      </c>
      <c r="BP22" s="20">
        <v>150</v>
      </c>
      <c r="BQ22" s="20">
        <f t="shared" si="28"/>
        <v>150</v>
      </c>
      <c r="BR22" s="20">
        <f t="shared" si="11"/>
        <v>391740</v>
      </c>
      <c r="BS22" s="71">
        <f t="shared" si="29"/>
        <v>391740</v>
      </c>
      <c r="BU22" s="27">
        <v>41487</v>
      </c>
      <c r="BV22" s="44">
        <v>41465</v>
      </c>
      <c r="BW22" s="44">
        <v>41496</v>
      </c>
      <c r="BX22" s="20">
        <v>256728</v>
      </c>
      <c r="BY22" s="20">
        <f t="shared" si="12"/>
        <v>256728</v>
      </c>
      <c r="BZ22" s="20">
        <v>768</v>
      </c>
      <c r="CA22" s="20">
        <f t="shared" si="30"/>
        <v>768</v>
      </c>
      <c r="CB22" s="20">
        <f t="shared" si="31"/>
        <v>255960</v>
      </c>
      <c r="CC22" s="71">
        <f t="shared" si="32"/>
        <v>255960</v>
      </c>
      <c r="CE22" s="27">
        <v>41487</v>
      </c>
      <c r="CF22" s="44">
        <v>41465</v>
      </c>
      <c r="CG22" s="44">
        <v>41496</v>
      </c>
      <c r="CH22" s="20">
        <v>306456</v>
      </c>
      <c r="CI22" s="20">
        <f t="shared" si="13"/>
        <v>306456</v>
      </c>
      <c r="CJ22" s="20">
        <v>1296</v>
      </c>
      <c r="CK22" s="20">
        <f t="shared" si="33"/>
        <v>1296</v>
      </c>
      <c r="CL22" s="20">
        <f t="shared" si="34"/>
        <v>305160</v>
      </c>
      <c r="CM22" s="71">
        <f t="shared" si="35"/>
        <v>305160</v>
      </c>
    </row>
    <row r="23" spans="3:91" s="43" customFormat="1">
      <c r="C23" s="27">
        <v>41518</v>
      </c>
      <c r="D23" s="44">
        <v>41496</v>
      </c>
      <c r="E23" s="44">
        <v>41527</v>
      </c>
      <c r="F23" s="20">
        <v>210672</v>
      </c>
      <c r="G23" s="20">
        <f t="shared" si="0"/>
        <v>210672</v>
      </c>
      <c r="H23" s="20">
        <v>1488</v>
      </c>
      <c r="I23" s="42">
        <f t="shared" si="14"/>
        <v>1488</v>
      </c>
      <c r="J23" s="20">
        <f t="shared" si="15"/>
        <v>209184</v>
      </c>
      <c r="K23" s="29">
        <f t="shared" si="16"/>
        <v>209184</v>
      </c>
      <c r="M23" s="27">
        <v>41518</v>
      </c>
      <c r="N23" s="44">
        <v>41496</v>
      </c>
      <c r="O23" s="44">
        <v>41527</v>
      </c>
      <c r="P23" s="20">
        <v>189912</v>
      </c>
      <c r="Q23" s="42">
        <f t="shared" si="1"/>
        <v>189912</v>
      </c>
      <c r="R23" s="20">
        <v>1992</v>
      </c>
      <c r="S23" s="42">
        <f t="shared" si="17"/>
        <v>1992</v>
      </c>
      <c r="T23" s="20">
        <f t="shared" si="18"/>
        <v>187920</v>
      </c>
      <c r="U23" s="29">
        <f t="shared" si="19"/>
        <v>187920</v>
      </c>
      <c r="W23" s="27">
        <v>41518</v>
      </c>
      <c r="X23" s="28">
        <v>41496</v>
      </c>
      <c r="Y23" s="28">
        <v>41527</v>
      </c>
      <c r="Z23" s="42">
        <v>202200</v>
      </c>
      <c r="AA23" s="42">
        <f t="shared" si="2"/>
        <v>202200</v>
      </c>
      <c r="AB23" s="42">
        <v>1224</v>
      </c>
      <c r="AC23" s="42">
        <f t="shared" si="20"/>
        <v>1224</v>
      </c>
      <c r="AD23" s="20">
        <f t="shared" si="3"/>
        <v>200976</v>
      </c>
      <c r="AE23" s="29">
        <f t="shared" si="21"/>
        <v>200976</v>
      </c>
      <c r="AG23" s="27">
        <v>41518</v>
      </c>
      <c r="AH23" s="44">
        <v>41494</v>
      </c>
      <c r="AI23" s="44">
        <v>41522</v>
      </c>
      <c r="AJ23" s="20">
        <v>411120</v>
      </c>
      <c r="AK23" s="20">
        <f t="shared" si="4"/>
        <v>411120</v>
      </c>
      <c r="AL23" s="20">
        <v>870</v>
      </c>
      <c r="AM23" s="20">
        <f t="shared" si="22"/>
        <v>870</v>
      </c>
      <c r="AN23" s="20">
        <f t="shared" si="5"/>
        <v>410250</v>
      </c>
      <c r="AO23" s="71">
        <f t="shared" si="23"/>
        <v>410250</v>
      </c>
      <c r="AQ23" s="27">
        <v>41518</v>
      </c>
      <c r="AR23" s="44">
        <v>41496</v>
      </c>
      <c r="AS23" s="44">
        <v>41527</v>
      </c>
      <c r="AT23" s="20">
        <v>69960</v>
      </c>
      <c r="AU23" s="20">
        <f t="shared" si="6"/>
        <v>69960</v>
      </c>
      <c r="AV23" s="20">
        <v>1632</v>
      </c>
      <c r="AW23" s="20">
        <f t="shared" si="24"/>
        <v>1632</v>
      </c>
      <c r="AX23" s="20">
        <f t="shared" si="7"/>
        <v>68328</v>
      </c>
      <c r="AY23" s="71">
        <f t="shared" si="25"/>
        <v>68328</v>
      </c>
      <c r="BA23" s="27">
        <v>41518</v>
      </c>
      <c r="BB23" s="44">
        <v>41494</v>
      </c>
      <c r="BC23" s="44">
        <v>41522</v>
      </c>
      <c r="BD23" s="20">
        <v>422820</v>
      </c>
      <c r="BE23" s="20">
        <f t="shared" si="8"/>
        <v>422820</v>
      </c>
      <c r="BF23" s="20">
        <v>990</v>
      </c>
      <c r="BG23" s="20">
        <f t="shared" si="26"/>
        <v>990</v>
      </c>
      <c r="BH23" s="20">
        <f t="shared" si="9"/>
        <v>421830</v>
      </c>
      <c r="BI23" s="71">
        <f t="shared" si="27"/>
        <v>421830</v>
      </c>
      <c r="BK23" s="27">
        <v>41518</v>
      </c>
      <c r="BL23" s="44">
        <v>41494</v>
      </c>
      <c r="BM23" s="44">
        <v>41525</v>
      </c>
      <c r="BN23" s="20">
        <v>394920</v>
      </c>
      <c r="BO23" s="20">
        <f t="shared" si="10"/>
        <v>394920</v>
      </c>
      <c r="BP23" s="20">
        <v>1110</v>
      </c>
      <c r="BQ23" s="20">
        <f t="shared" si="28"/>
        <v>1110</v>
      </c>
      <c r="BR23" s="20">
        <f t="shared" si="11"/>
        <v>393810</v>
      </c>
      <c r="BS23" s="71">
        <f t="shared" si="29"/>
        <v>393810</v>
      </c>
      <c r="BU23" s="27">
        <v>41518</v>
      </c>
      <c r="BV23" s="44">
        <v>41496</v>
      </c>
      <c r="BW23" s="44">
        <v>41527</v>
      </c>
      <c r="BX23" s="20">
        <v>227112</v>
      </c>
      <c r="BY23" s="20">
        <f t="shared" si="12"/>
        <v>227112</v>
      </c>
      <c r="BZ23" s="20">
        <v>1728</v>
      </c>
      <c r="CA23" s="20">
        <f t="shared" si="30"/>
        <v>1728</v>
      </c>
      <c r="CB23" s="20">
        <f t="shared" si="31"/>
        <v>225384</v>
      </c>
      <c r="CC23" s="71">
        <f t="shared" si="32"/>
        <v>225384</v>
      </c>
      <c r="CE23" s="27">
        <v>41518</v>
      </c>
      <c r="CF23" s="44">
        <v>41496</v>
      </c>
      <c r="CG23" s="44">
        <v>41527</v>
      </c>
      <c r="CH23" s="20">
        <v>168408</v>
      </c>
      <c r="CI23" s="20">
        <f t="shared" si="13"/>
        <v>168408</v>
      </c>
      <c r="CJ23" s="20">
        <v>1344</v>
      </c>
      <c r="CK23" s="20">
        <f t="shared" si="33"/>
        <v>1344</v>
      </c>
      <c r="CL23" s="20">
        <f t="shared" si="34"/>
        <v>167064</v>
      </c>
      <c r="CM23" s="71">
        <f t="shared" si="35"/>
        <v>167064</v>
      </c>
    </row>
    <row r="24" spans="3:91" s="43" customFormat="1">
      <c r="C24" s="27">
        <v>41548</v>
      </c>
      <c r="D24" s="44">
        <v>41527</v>
      </c>
      <c r="E24" s="44">
        <v>41557</v>
      </c>
      <c r="F24" s="20">
        <v>230664</v>
      </c>
      <c r="G24" s="20">
        <f t="shared" si="0"/>
        <v>230664</v>
      </c>
      <c r="H24" s="20">
        <v>624</v>
      </c>
      <c r="I24" s="42">
        <f t="shared" si="14"/>
        <v>624</v>
      </c>
      <c r="J24" s="20">
        <f t="shared" si="15"/>
        <v>230040</v>
      </c>
      <c r="K24" s="29">
        <f t="shared" si="16"/>
        <v>230040</v>
      </c>
      <c r="M24" s="27">
        <v>41548</v>
      </c>
      <c r="N24" s="44">
        <v>41527</v>
      </c>
      <c r="O24" s="44">
        <v>41557</v>
      </c>
      <c r="P24" s="20">
        <v>213984</v>
      </c>
      <c r="Q24" s="42">
        <f t="shared" si="1"/>
        <v>213984</v>
      </c>
      <c r="R24" s="20">
        <v>744</v>
      </c>
      <c r="S24" s="42">
        <f t="shared" si="17"/>
        <v>744</v>
      </c>
      <c r="T24" s="20">
        <f t="shared" si="18"/>
        <v>213240</v>
      </c>
      <c r="U24" s="29">
        <f t="shared" si="19"/>
        <v>213240</v>
      </c>
      <c r="W24" s="27">
        <v>41548</v>
      </c>
      <c r="X24" s="28">
        <v>41527</v>
      </c>
      <c r="Y24" s="28">
        <v>41557</v>
      </c>
      <c r="Z24" s="42">
        <v>218664</v>
      </c>
      <c r="AA24" s="42">
        <f t="shared" si="2"/>
        <v>218664</v>
      </c>
      <c r="AB24" s="42">
        <v>264</v>
      </c>
      <c r="AC24" s="42">
        <f t="shared" si="20"/>
        <v>264</v>
      </c>
      <c r="AD24" s="20">
        <f t="shared" si="3"/>
        <v>218400</v>
      </c>
      <c r="AE24" s="29">
        <f t="shared" si="21"/>
        <v>218400</v>
      </c>
      <c r="AG24" s="27">
        <v>41548</v>
      </c>
      <c r="AH24" s="44">
        <v>41522</v>
      </c>
      <c r="AI24" s="44">
        <v>41552</v>
      </c>
      <c r="AJ24" s="20">
        <v>299520</v>
      </c>
      <c r="AK24" s="20">
        <f t="shared" si="4"/>
        <v>299520</v>
      </c>
      <c r="AL24" s="20">
        <v>240</v>
      </c>
      <c r="AM24" s="20">
        <f t="shared" si="22"/>
        <v>240</v>
      </c>
      <c r="AN24" s="20">
        <f t="shared" si="5"/>
        <v>299280</v>
      </c>
      <c r="AO24" s="71">
        <f t="shared" si="23"/>
        <v>299280</v>
      </c>
      <c r="AQ24" s="27">
        <v>41548</v>
      </c>
      <c r="AR24" s="44">
        <v>41527</v>
      </c>
      <c r="AS24" s="44">
        <v>41557</v>
      </c>
      <c r="AT24" s="20">
        <v>190056</v>
      </c>
      <c r="AU24" s="20">
        <f t="shared" si="6"/>
        <v>190056</v>
      </c>
      <c r="AV24" s="20">
        <v>816</v>
      </c>
      <c r="AW24" s="20">
        <f t="shared" si="24"/>
        <v>816</v>
      </c>
      <c r="AX24" s="20">
        <f t="shared" si="7"/>
        <v>189240</v>
      </c>
      <c r="AY24" s="71">
        <f t="shared" si="25"/>
        <v>189240</v>
      </c>
      <c r="BA24" s="27">
        <v>41548</v>
      </c>
      <c r="BB24" s="44">
        <v>41522</v>
      </c>
      <c r="BC24" s="44">
        <v>41552</v>
      </c>
      <c r="BD24" s="20">
        <v>280380</v>
      </c>
      <c r="BE24" s="20">
        <f t="shared" si="8"/>
        <v>280380</v>
      </c>
      <c r="BF24" s="20">
        <v>270</v>
      </c>
      <c r="BG24" s="20">
        <f t="shared" si="26"/>
        <v>270</v>
      </c>
      <c r="BH24" s="20">
        <f t="shared" si="9"/>
        <v>280110</v>
      </c>
      <c r="BI24" s="71">
        <f t="shared" si="27"/>
        <v>280110</v>
      </c>
      <c r="BK24" s="27">
        <v>41548</v>
      </c>
      <c r="BL24" s="44">
        <v>41525</v>
      </c>
      <c r="BM24" s="44">
        <v>41555</v>
      </c>
      <c r="BN24" s="20">
        <v>312630</v>
      </c>
      <c r="BO24" s="20">
        <f t="shared" si="10"/>
        <v>312630</v>
      </c>
      <c r="BP24" s="20">
        <v>180</v>
      </c>
      <c r="BQ24" s="20">
        <f t="shared" si="28"/>
        <v>180</v>
      </c>
      <c r="BR24" s="20">
        <f t="shared" si="11"/>
        <v>312450</v>
      </c>
      <c r="BS24" s="71">
        <f t="shared" si="29"/>
        <v>312450</v>
      </c>
      <c r="BU24" s="27">
        <v>41548</v>
      </c>
      <c r="BV24" s="44">
        <v>41527</v>
      </c>
      <c r="BW24" s="44">
        <v>41557</v>
      </c>
      <c r="BX24" s="20">
        <v>258504</v>
      </c>
      <c r="BY24" s="20">
        <f t="shared" si="12"/>
        <v>258504</v>
      </c>
      <c r="BZ24" s="20">
        <v>456</v>
      </c>
      <c r="CA24" s="20">
        <f t="shared" si="30"/>
        <v>456</v>
      </c>
      <c r="CB24" s="20">
        <f t="shared" si="31"/>
        <v>258048</v>
      </c>
      <c r="CC24" s="71">
        <f t="shared" si="32"/>
        <v>258048</v>
      </c>
      <c r="CE24" s="27">
        <v>41548</v>
      </c>
      <c r="CF24" s="44">
        <v>41527</v>
      </c>
      <c r="CG24" s="44">
        <v>41557</v>
      </c>
      <c r="CH24" s="20">
        <v>223968</v>
      </c>
      <c r="CI24" s="20">
        <f t="shared" si="13"/>
        <v>223968</v>
      </c>
      <c r="CJ24" s="20">
        <v>480</v>
      </c>
      <c r="CK24" s="20">
        <f t="shared" si="33"/>
        <v>480</v>
      </c>
      <c r="CL24" s="20">
        <f t="shared" si="34"/>
        <v>223488</v>
      </c>
      <c r="CM24" s="71">
        <f t="shared" si="35"/>
        <v>223488</v>
      </c>
    </row>
    <row r="25" spans="3:91" s="43" customFormat="1">
      <c r="C25" s="27">
        <v>41579</v>
      </c>
      <c r="D25" s="44">
        <v>41557</v>
      </c>
      <c r="E25" s="44">
        <v>41588</v>
      </c>
      <c r="F25" s="20">
        <v>118224</v>
      </c>
      <c r="G25" s="20">
        <f t="shared" si="0"/>
        <v>118224</v>
      </c>
      <c r="H25" s="20">
        <v>1728</v>
      </c>
      <c r="I25" s="42">
        <f t="shared" si="14"/>
        <v>1728</v>
      </c>
      <c r="J25" s="20">
        <f t="shared" si="15"/>
        <v>116496</v>
      </c>
      <c r="K25" s="29">
        <f t="shared" si="16"/>
        <v>116496</v>
      </c>
      <c r="M25" s="27">
        <v>41579</v>
      </c>
      <c r="N25" s="44">
        <v>41557</v>
      </c>
      <c r="O25" s="44">
        <v>41588</v>
      </c>
      <c r="P25" s="20">
        <v>105384</v>
      </c>
      <c r="Q25" s="42">
        <f t="shared" si="1"/>
        <v>105384</v>
      </c>
      <c r="R25" s="20">
        <v>1680</v>
      </c>
      <c r="S25" s="42">
        <f t="shared" si="17"/>
        <v>1680</v>
      </c>
      <c r="T25" s="20">
        <f t="shared" si="18"/>
        <v>103704</v>
      </c>
      <c r="U25" s="29">
        <f t="shared" si="19"/>
        <v>103704</v>
      </c>
      <c r="W25" s="27">
        <v>41579</v>
      </c>
      <c r="X25" s="28">
        <v>41557</v>
      </c>
      <c r="Y25" s="28">
        <v>41588</v>
      </c>
      <c r="Z25" s="42">
        <v>125952</v>
      </c>
      <c r="AA25" s="42">
        <f t="shared" si="2"/>
        <v>125952</v>
      </c>
      <c r="AB25" s="42">
        <v>1560</v>
      </c>
      <c r="AC25" s="42">
        <f t="shared" si="20"/>
        <v>1560</v>
      </c>
      <c r="AD25" s="20">
        <f t="shared" si="3"/>
        <v>124392</v>
      </c>
      <c r="AE25" s="29">
        <f t="shared" si="21"/>
        <v>124392</v>
      </c>
      <c r="AG25" s="27">
        <v>41579</v>
      </c>
      <c r="AH25" s="44">
        <v>41552</v>
      </c>
      <c r="AI25" s="44">
        <v>41583</v>
      </c>
      <c r="AJ25" s="20">
        <v>215850</v>
      </c>
      <c r="AK25" s="20">
        <f t="shared" si="4"/>
        <v>215850</v>
      </c>
      <c r="AL25" s="20">
        <v>1410</v>
      </c>
      <c r="AM25" s="20">
        <f t="shared" si="22"/>
        <v>1410</v>
      </c>
      <c r="AN25" s="20">
        <f t="shared" si="5"/>
        <v>214440</v>
      </c>
      <c r="AO25" s="71">
        <f t="shared" si="23"/>
        <v>214440</v>
      </c>
      <c r="AQ25" s="27">
        <v>41579</v>
      </c>
      <c r="AR25" s="44">
        <v>41557</v>
      </c>
      <c r="AS25" s="44">
        <v>41588</v>
      </c>
      <c r="AT25" s="20">
        <v>72624</v>
      </c>
      <c r="AU25" s="20">
        <f t="shared" si="6"/>
        <v>72624</v>
      </c>
      <c r="AV25" s="20">
        <v>1728</v>
      </c>
      <c r="AW25" s="20">
        <f t="shared" si="24"/>
        <v>1728</v>
      </c>
      <c r="AX25" s="20">
        <f t="shared" si="7"/>
        <v>70896</v>
      </c>
      <c r="AY25" s="71">
        <f t="shared" si="25"/>
        <v>70896</v>
      </c>
      <c r="BA25" s="27">
        <v>41579</v>
      </c>
      <c r="BB25" s="44">
        <v>41552</v>
      </c>
      <c r="BC25" s="44">
        <v>41583</v>
      </c>
      <c r="BD25" s="20">
        <v>217470</v>
      </c>
      <c r="BE25" s="20">
        <f t="shared" si="8"/>
        <v>217470</v>
      </c>
      <c r="BF25" s="20">
        <v>1500</v>
      </c>
      <c r="BG25" s="20">
        <f t="shared" si="26"/>
        <v>1500</v>
      </c>
      <c r="BH25" s="20">
        <f t="shared" si="9"/>
        <v>215970</v>
      </c>
      <c r="BI25" s="71">
        <f t="shared" si="27"/>
        <v>215970</v>
      </c>
      <c r="BK25" s="27">
        <v>41579</v>
      </c>
      <c r="BL25" s="44">
        <v>41555</v>
      </c>
      <c r="BM25" s="44">
        <v>41586</v>
      </c>
      <c r="BN25" s="20">
        <v>192570</v>
      </c>
      <c r="BO25" s="20">
        <f t="shared" si="10"/>
        <v>192570</v>
      </c>
      <c r="BP25" s="20">
        <v>1650</v>
      </c>
      <c r="BQ25" s="20">
        <f t="shared" si="28"/>
        <v>1650</v>
      </c>
      <c r="BR25" s="20">
        <f t="shared" si="11"/>
        <v>190920</v>
      </c>
      <c r="BS25" s="71">
        <f t="shared" si="29"/>
        <v>190920</v>
      </c>
      <c r="BU25" s="27">
        <v>41579</v>
      </c>
      <c r="BV25" s="44">
        <v>41557</v>
      </c>
      <c r="BW25" s="44">
        <v>41588</v>
      </c>
      <c r="BX25" s="20">
        <v>129360</v>
      </c>
      <c r="BY25" s="20">
        <f t="shared" si="12"/>
        <v>129360</v>
      </c>
      <c r="BZ25" s="20">
        <v>1248</v>
      </c>
      <c r="CA25" s="20">
        <f t="shared" si="30"/>
        <v>1248</v>
      </c>
      <c r="CB25" s="20">
        <f t="shared" si="31"/>
        <v>128112</v>
      </c>
      <c r="CC25" s="71">
        <f t="shared" si="32"/>
        <v>128112</v>
      </c>
      <c r="CE25" s="27">
        <v>41579</v>
      </c>
      <c r="CF25" s="44">
        <v>41557</v>
      </c>
      <c r="CG25" s="44">
        <v>41588</v>
      </c>
      <c r="CH25" s="20">
        <v>114480</v>
      </c>
      <c r="CI25" s="20">
        <f t="shared" si="13"/>
        <v>114480</v>
      </c>
      <c r="CJ25" s="20">
        <v>1464</v>
      </c>
      <c r="CK25" s="20">
        <f t="shared" si="33"/>
        <v>1464</v>
      </c>
      <c r="CL25" s="20">
        <f t="shared" si="34"/>
        <v>113016</v>
      </c>
      <c r="CM25" s="71">
        <f t="shared" si="35"/>
        <v>113016</v>
      </c>
    </row>
    <row r="26" spans="3:91" s="43" customFormat="1">
      <c r="C26" s="27">
        <v>41609</v>
      </c>
      <c r="D26" s="44">
        <v>41588</v>
      </c>
      <c r="E26" s="44">
        <v>41618</v>
      </c>
      <c r="F26" s="20">
        <v>104232</v>
      </c>
      <c r="G26" s="20">
        <f t="shared" si="0"/>
        <v>104232</v>
      </c>
      <c r="H26" s="20">
        <v>3288</v>
      </c>
      <c r="I26" s="42">
        <f t="shared" si="14"/>
        <v>3288</v>
      </c>
      <c r="J26" s="20">
        <f t="shared" si="15"/>
        <v>100944</v>
      </c>
      <c r="K26" s="29">
        <f t="shared" si="16"/>
        <v>100944</v>
      </c>
      <c r="M26" s="27">
        <v>41609</v>
      </c>
      <c r="N26" s="44">
        <v>41588</v>
      </c>
      <c r="O26" s="44">
        <v>41618</v>
      </c>
      <c r="P26" s="20">
        <v>118800</v>
      </c>
      <c r="Q26" s="42">
        <f t="shared" si="1"/>
        <v>118800</v>
      </c>
      <c r="R26" s="20">
        <v>2856</v>
      </c>
      <c r="S26" s="42">
        <f t="shared" si="17"/>
        <v>2856</v>
      </c>
      <c r="T26" s="20">
        <f t="shared" si="18"/>
        <v>115944</v>
      </c>
      <c r="U26" s="29">
        <f t="shared" si="19"/>
        <v>115944</v>
      </c>
      <c r="W26" s="27">
        <v>41609</v>
      </c>
      <c r="X26" s="28">
        <v>41588</v>
      </c>
      <c r="Y26" s="28">
        <v>41618</v>
      </c>
      <c r="Z26" s="42">
        <v>98304</v>
      </c>
      <c r="AA26" s="42">
        <f t="shared" si="2"/>
        <v>98304</v>
      </c>
      <c r="AB26" s="42">
        <v>2928</v>
      </c>
      <c r="AC26" s="42">
        <f t="shared" si="20"/>
        <v>2928</v>
      </c>
      <c r="AD26" s="20">
        <f t="shared" si="3"/>
        <v>95376</v>
      </c>
      <c r="AE26" s="29">
        <f t="shared" si="21"/>
        <v>95376</v>
      </c>
      <c r="AG26" s="27">
        <v>41609</v>
      </c>
      <c r="AH26" s="44">
        <v>41583</v>
      </c>
      <c r="AI26" s="44">
        <v>41613</v>
      </c>
      <c r="AJ26" s="20">
        <v>20160</v>
      </c>
      <c r="AK26" s="20">
        <f t="shared" si="4"/>
        <v>20160</v>
      </c>
      <c r="AL26" s="20">
        <v>4260</v>
      </c>
      <c r="AM26" s="20">
        <f t="shared" si="22"/>
        <v>4260</v>
      </c>
      <c r="AN26" s="20">
        <f t="shared" si="5"/>
        <v>15900</v>
      </c>
      <c r="AO26" s="71">
        <f t="shared" si="23"/>
        <v>15900</v>
      </c>
      <c r="AQ26" s="27">
        <v>41609</v>
      </c>
      <c r="AR26" s="44">
        <v>41588</v>
      </c>
      <c r="AS26" s="44">
        <v>41618</v>
      </c>
      <c r="AT26" s="20">
        <v>85056</v>
      </c>
      <c r="AU26" s="20">
        <f t="shared" si="6"/>
        <v>85056</v>
      </c>
      <c r="AV26" s="20">
        <v>3072</v>
      </c>
      <c r="AW26" s="20">
        <f t="shared" si="24"/>
        <v>3072</v>
      </c>
      <c r="AX26" s="20">
        <f t="shared" si="7"/>
        <v>81984</v>
      </c>
      <c r="AY26" s="71">
        <f t="shared" si="25"/>
        <v>81984</v>
      </c>
      <c r="BA26" s="27">
        <v>41609</v>
      </c>
      <c r="BB26" s="44">
        <v>41583</v>
      </c>
      <c r="BC26" s="44">
        <v>41613</v>
      </c>
      <c r="BD26" s="20">
        <v>24720</v>
      </c>
      <c r="BE26" s="20">
        <f t="shared" si="8"/>
        <v>24720</v>
      </c>
      <c r="BF26" s="20">
        <v>4440</v>
      </c>
      <c r="BG26" s="20">
        <f t="shared" si="26"/>
        <v>4440</v>
      </c>
      <c r="BH26" s="20">
        <f t="shared" si="9"/>
        <v>20280</v>
      </c>
      <c r="BI26" s="71">
        <f t="shared" si="27"/>
        <v>20280</v>
      </c>
      <c r="BK26" s="27">
        <v>41609</v>
      </c>
      <c r="BL26" s="44">
        <v>41586</v>
      </c>
      <c r="BM26" s="44">
        <v>41616</v>
      </c>
      <c r="BN26" s="20">
        <v>21330</v>
      </c>
      <c r="BO26" s="20">
        <f t="shared" si="10"/>
        <v>21330</v>
      </c>
      <c r="BP26" s="20">
        <v>4500</v>
      </c>
      <c r="BQ26" s="20">
        <f t="shared" si="28"/>
        <v>4500</v>
      </c>
      <c r="BR26" s="20">
        <f t="shared" si="11"/>
        <v>16830</v>
      </c>
      <c r="BS26" s="71">
        <f t="shared" si="29"/>
        <v>16830</v>
      </c>
      <c r="BU26" s="27">
        <v>41609</v>
      </c>
      <c r="BV26" s="44">
        <v>41588</v>
      </c>
      <c r="BW26" s="44">
        <v>41618</v>
      </c>
      <c r="BX26" s="20">
        <v>129912</v>
      </c>
      <c r="BY26" s="20">
        <f t="shared" si="12"/>
        <v>129912</v>
      </c>
      <c r="BZ26" s="20">
        <v>2376</v>
      </c>
      <c r="CA26" s="20">
        <f t="shared" si="30"/>
        <v>2376</v>
      </c>
      <c r="CB26" s="20">
        <f t="shared" si="31"/>
        <v>127536</v>
      </c>
      <c r="CC26" s="71">
        <f t="shared" si="32"/>
        <v>127536</v>
      </c>
      <c r="CE26" s="27">
        <v>41609</v>
      </c>
      <c r="CF26" s="44">
        <v>41588</v>
      </c>
      <c r="CG26" s="44">
        <v>41618</v>
      </c>
      <c r="CH26" s="20">
        <v>98280</v>
      </c>
      <c r="CI26" s="20">
        <f t="shared" si="13"/>
        <v>98280</v>
      </c>
      <c r="CJ26" s="20">
        <v>2616</v>
      </c>
      <c r="CK26" s="20">
        <f t="shared" si="33"/>
        <v>2616</v>
      </c>
      <c r="CL26" s="20">
        <f t="shared" si="34"/>
        <v>95664</v>
      </c>
      <c r="CM26" s="71">
        <f t="shared" si="35"/>
        <v>95664</v>
      </c>
    </row>
    <row r="27" spans="3:91" s="43" customFormat="1">
      <c r="C27" s="151">
        <v>41640</v>
      </c>
      <c r="D27" s="44">
        <v>41618</v>
      </c>
      <c r="E27" s="44">
        <v>41639</v>
      </c>
      <c r="F27" s="20">
        <f>240600*(21/31)</f>
        <v>162987.09677419355</v>
      </c>
      <c r="G27" s="20">
        <f t="shared" si="0"/>
        <v>162987.09677419355</v>
      </c>
      <c r="H27" s="20">
        <f>1728*(21/31)</f>
        <v>1170.5806451612902</v>
      </c>
      <c r="I27" s="42">
        <f t="shared" si="14"/>
        <v>1170.5806451612902</v>
      </c>
      <c r="J27" s="20">
        <f>F27-H27</f>
        <v>161816.51612903224</v>
      </c>
      <c r="K27" s="29">
        <f t="shared" ref="K27" si="67">G27-I27</f>
        <v>161816.51612903224</v>
      </c>
      <c r="M27" s="151">
        <v>41640</v>
      </c>
      <c r="N27" s="44">
        <v>41618</v>
      </c>
      <c r="O27" s="44">
        <v>41639</v>
      </c>
      <c r="P27" s="20">
        <f>212520*(21/31)</f>
        <v>143965.16129032258</v>
      </c>
      <c r="Q27" s="42">
        <f t="shared" ref="Q27" si="68">P27</f>
        <v>143965.16129032258</v>
      </c>
      <c r="R27" s="20">
        <f>1704*(21/31)</f>
        <v>1154.3225806451612</v>
      </c>
      <c r="S27" s="42">
        <f t="shared" ref="S27" si="69">R27</f>
        <v>1154.3225806451612</v>
      </c>
      <c r="T27" s="20">
        <f t="shared" ref="T27" si="70">P27-R27</f>
        <v>142810.83870967742</v>
      </c>
      <c r="U27" s="29">
        <f t="shared" ref="U27" si="71">Q27-S27</f>
        <v>142810.83870967742</v>
      </c>
      <c r="W27" s="151">
        <v>41640</v>
      </c>
      <c r="X27" s="44">
        <v>41618</v>
      </c>
      <c r="Y27" s="44">
        <v>41639</v>
      </c>
      <c r="Z27" s="20">
        <f>223800*(21/31)</f>
        <v>151606.45161290321</v>
      </c>
      <c r="AA27" s="42">
        <f t="shared" ref="AA27" si="72">Z27</f>
        <v>151606.45161290321</v>
      </c>
      <c r="AB27" s="20">
        <f>1728*(21/31)</f>
        <v>1170.5806451612902</v>
      </c>
      <c r="AC27" s="42">
        <f t="shared" ref="AC27" si="73">AB27</f>
        <v>1170.5806451612902</v>
      </c>
      <c r="AD27" s="20">
        <f t="shared" ref="AD27" si="74">Z27-AB27</f>
        <v>150435.87096774191</v>
      </c>
      <c r="AE27" s="29">
        <f t="shared" ref="AE27" si="75">AA27-AC27</f>
        <v>150435.87096774191</v>
      </c>
      <c r="AG27" s="151">
        <v>41640</v>
      </c>
      <c r="AH27" s="44">
        <v>41613</v>
      </c>
      <c r="AI27" s="44">
        <v>41639</v>
      </c>
      <c r="AJ27" s="20">
        <f>19110*(26/31)</f>
        <v>16027.741935483871</v>
      </c>
      <c r="AK27" s="20">
        <f t="shared" ref="AK27" si="76">AJ27</f>
        <v>16027.741935483871</v>
      </c>
      <c r="AL27" s="142">
        <f>3810*(26/31)</f>
        <v>3195.483870967742</v>
      </c>
      <c r="AM27" s="142">
        <f t="shared" ref="AM27" si="77">AL27</f>
        <v>3195.483870967742</v>
      </c>
      <c r="AN27" s="20">
        <f t="shared" ref="AN27" si="78">AJ27-AL27</f>
        <v>12832.258064516129</v>
      </c>
      <c r="AO27" s="29">
        <f t="shared" ref="AO27" si="79">AK27-AM27</f>
        <v>12832.258064516129</v>
      </c>
      <c r="AQ27" s="151">
        <v>41640</v>
      </c>
      <c r="AR27" s="44">
        <v>41618</v>
      </c>
      <c r="AS27" s="44">
        <v>41639</v>
      </c>
      <c r="AT27" s="20">
        <f>191928*(21/31)</f>
        <v>130015.74193548386</v>
      </c>
      <c r="AU27" s="20">
        <f t="shared" ref="AU27" si="80">AT27</f>
        <v>130015.74193548386</v>
      </c>
      <c r="AV27" s="142">
        <f>1728*(21/31)</f>
        <v>1170.5806451612902</v>
      </c>
      <c r="AW27" s="142">
        <f t="shared" ref="AW27" si="81">AV27</f>
        <v>1170.5806451612902</v>
      </c>
      <c r="AX27" s="20">
        <f t="shared" ref="AX27" si="82">AT27-AV27</f>
        <v>128845.16129032258</v>
      </c>
      <c r="AY27" s="29">
        <f t="shared" ref="AY27" si="83">AU27-AW27</f>
        <v>128845.16129032258</v>
      </c>
      <c r="BA27" s="151">
        <v>41640</v>
      </c>
      <c r="BB27" s="44">
        <v>41613</v>
      </c>
      <c r="BC27" s="44">
        <v>41639</v>
      </c>
      <c r="BD27" s="20">
        <f>23490*(26/31)</f>
        <v>19701.290322580648</v>
      </c>
      <c r="BE27" s="20">
        <f t="shared" ref="BE27" si="84">BD27</f>
        <v>19701.290322580648</v>
      </c>
      <c r="BF27" s="142">
        <f>3840*(26/31)</f>
        <v>3220.6451612903229</v>
      </c>
      <c r="BG27" s="142">
        <f t="shared" ref="BG27" si="85">BF27</f>
        <v>3220.6451612903229</v>
      </c>
      <c r="BH27" s="20">
        <f t="shared" ref="BH27" si="86">BD27-BF27</f>
        <v>16480.645161290326</v>
      </c>
      <c r="BI27" s="29">
        <f t="shared" ref="BI27" si="87">BE27-BG27</f>
        <v>16480.645161290326</v>
      </c>
      <c r="BK27" s="151">
        <v>41640</v>
      </c>
      <c r="BL27" s="44">
        <v>41616</v>
      </c>
      <c r="BM27" s="44">
        <v>41639</v>
      </c>
      <c r="BN27" s="20">
        <f>21000*(23/31)</f>
        <v>15580.645161290322</v>
      </c>
      <c r="BO27" s="20">
        <f t="shared" ref="BO27" si="88">BN27</f>
        <v>15580.645161290322</v>
      </c>
      <c r="BP27" s="142">
        <f>3990*(23/31)</f>
        <v>2960.3225806451615</v>
      </c>
      <c r="BQ27" s="142">
        <f t="shared" ref="BQ27" si="89">BP27</f>
        <v>2960.3225806451615</v>
      </c>
      <c r="BR27" s="20">
        <f t="shared" ref="BR27" si="90">BN27-BP27</f>
        <v>12620.322580645161</v>
      </c>
      <c r="BS27" s="29">
        <f t="shared" ref="BS27" si="91">BO27-BQ27</f>
        <v>12620.322580645161</v>
      </c>
      <c r="BU27" s="151">
        <v>41640</v>
      </c>
      <c r="BV27" s="44">
        <v>41618</v>
      </c>
      <c r="BW27" s="44">
        <v>41639</v>
      </c>
      <c r="BX27" s="20">
        <f>227592*(21/31)</f>
        <v>154175.22580645161</v>
      </c>
      <c r="BY27" s="20">
        <f t="shared" ref="BY27" si="92">BX27</f>
        <v>154175.22580645161</v>
      </c>
      <c r="BZ27" s="142">
        <f>1488*(21/31)</f>
        <v>1007.9999999999999</v>
      </c>
      <c r="CA27" s="142">
        <f t="shared" ref="CA27" si="93">BZ27</f>
        <v>1007.9999999999999</v>
      </c>
      <c r="CB27" s="20">
        <f t="shared" ref="CB27" si="94">BX27-BZ27</f>
        <v>153167.22580645161</v>
      </c>
      <c r="CC27" s="29">
        <f t="shared" ref="CC27" si="95">BY27-CA27</f>
        <v>153167.22580645161</v>
      </c>
      <c r="CE27" s="151">
        <v>41640</v>
      </c>
      <c r="CF27" s="44">
        <v>41618</v>
      </c>
      <c r="CG27" s="44">
        <v>41639</v>
      </c>
      <c r="CH27" s="20">
        <f>212136*(21/31)</f>
        <v>143705.03225806452</v>
      </c>
      <c r="CI27" s="20">
        <f t="shared" ref="CI27" si="96">CH27</f>
        <v>143705.03225806452</v>
      </c>
      <c r="CJ27" s="142">
        <f>1536*(21/31)</f>
        <v>1040.516129032258</v>
      </c>
      <c r="CK27" s="142">
        <f t="shared" ref="CK27" si="97">CJ27</f>
        <v>1040.516129032258</v>
      </c>
      <c r="CL27" s="20">
        <f t="shared" ref="CL27" si="98">CH27-CJ27</f>
        <v>142664.51612903224</v>
      </c>
      <c r="CM27" s="29">
        <f t="shared" ref="CM27" si="99">CI27-CK27</f>
        <v>142664.51612903224</v>
      </c>
    </row>
    <row r="28" spans="3:91" s="43" customFormat="1">
      <c r="C28" s="152"/>
      <c r="D28" s="143">
        <v>41640</v>
      </c>
      <c r="E28" s="44">
        <v>41649</v>
      </c>
      <c r="F28" s="20">
        <f>240600*(10/31)</f>
        <v>77612.903225806454</v>
      </c>
      <c r="G28" s="20">
        <f t="shared" si="0"/>
        <v>77612.903225806454</v>
      </c>
      <c r="H28" s="20">
        <f>1728*(10/31)</f>
        <v>557.41935483870964</v>
      </c>
      <c r="I28" s="42">
        <f t="shared" si="14"/>
        <v>557.41935483870964</v>
      </c>
      <c r="J28" s="20">
        <f>F28-H28</f>
        <v>77055.483870967742</v>
      </c>
      <c r="K28" s="29">
        <f t="shared" si="16"/>
        <v>77055.483870967742</v>
      </c>
      <c r="M28" s="152"/>
      <c r="N28" s="44">
        <v>41640</v>
      </c>
      <c r="O28" s="44">
        <v>41649</v>
      </c>
      <c r="P28" s="20">
        <f>212520*(10/31)</f>
        <v>68554.838709677424</v>
      </c>
      <c r="Q28" s="42">
        <f t="shared" si="1"/>
        <v>68554.838709677424</v>
      </c>
      <c r="R28" s="20">
        <f>1704*(10/31)</f>
        <v>549.67741935483866</v>
      </c>
      <c r="S28" s="42">
        <f t="shared" si="17"/>
        <v>549.67741935483866</v>
      </c>
      <c r="T28" s="20">
        <f t="shared" si="18"/>
        <v>68005.161290322591</v>
      </c>
      <c r="U28" s="29">
        <f t="shared" si="19"/>
        <v>68005.161290322591</v>
      </c>
      <c r="W28" s="152"/>
      <c r="X28" s="44">
        <v>41640</v>
      </c>
      <c r="Y28" s="44">
        <v>41649</v>
      </c>
      <c r="Z28" s="20">
        <f>223800*(10/31)</f>
        <v>72193.548387096773</v>
      </c>
      <c r="AA28" s="42">
        <f t="shared" si="2"/>
        <v>72193.548387096773</v>
      </c>
      <c r="AB28" s="20">
        <f>1728*(10/31)</f>
        <v>557.41935483870964</v>
      </c>
      <c r="AC28" s="42">
        <f t="shared" si="20"/>
        <v>557.41935483870964</v>
      </c>
      <c r="AD28" s="20">
        <f t="shared" si="3"/>
        <v>71636.129032258061</v>
      </c>
      <c r="AE28" s="29">
        <f t="shared" si="21"/>
        <v>71636.129032258061</v>
      </c>
      <c r="AG28" s="152"/>
      <c r="AH28" s="44">
        <v>41640</v>
      </c>
      <c r="AI28" s="44">
        <v>41644</v>
      </c>
      <c r="AJ28" s="20">
        <f>19110*(5/31)</f>
        <v>3082.2580645161288</v>
      </c>
      <c r="AK28" s="20">
        <f t="shared" si="4"/>
        <v>3082.2580645161288</v>
      </c>
      <c r="AL28" s="142">
        <f>3810*(5/31)</f>
        <v>614.51612903225805</v>
      </c>
      <c r="AM28" s="142">
        <f t="shared" si="22"/>
        <v>614.51612903225805</v>
      </c>
      <c r="AN28" s="20">
        <f t="shared" si="5"/>
        <v>2467.7419354838707</v>
      </c>
      <c r="AO28" s="29">
        <f t="shared" si="23"/>
        <v>2467.7419354838707</v>
      </c>
      <c r="AQ28" s="152"/>
      <c r="AR28" s="44">
        <v>41640</v>
      </c>
      <c r="AS28" s="44">
        <v>41649</v>
      </c>
      <c r="AT28" s="20">
        <f>191928*(10/31)</f>
        <v>61912.258064516129</v>
      </c>
      <c r="AU28" s="20">
        <f t="shared" si="6"/>
        <v>61912.258064516129</v>
      </c>
      <c r="AV28" s="142">
        <f>1728*(10/31)</f>
        <v>557.41935483870964</v>
      </c>
      <c r="AW28" s="142">
        <f t="shared" si="24"/>
        <v>557.41935483870964</v>
      </c>
      <c r="AX28" s="20">
        <f t="shared" si="7"/>
        <v>61354.838709677417</v>
      </c>
      <c r="AY28" s="29">
        <f t="shared" si="25"/>
        <v>61354.838709677417</v>
      </c>
      <c r="BA28" s="152"/>
      <c r="BB28" s="44">
        <v>41640</v>
      </c>
      <c r="BC28" s="44">
        <v>41644</v>
      </c>
      <c r="BD28" s="20">
        <f>23490*(5/31)</f>
        <v>3788.7096774193546</v>
      </c>
      <c r="BE28" s="20">
        <f t="shared" si="8"/>
        <v>3788.7096774193546</v>
      </c>
      <c r="BF28" s="142">
        <f>3840*(5/31)</f>
        <v>619.35483870967744</v>
      </c>
      <c r="BG28" s="142">
        <f t="shared" si="26"/>
        <v>619.35483870967744</v>
      </c>
      <c r="BH28" s="20">
        <f t="shared" si="9"/>
        <v>3169.3548387096771</v>
      </c>
      <c r="BI28" s="29">
        <f t="shared" si="27"/>
        <v>3169.3548387096771</v>
      </c>
      <c r="BK28" s="152"/>
      <c r="BL28" s="44">
        <v>41640</v>
      </c>
      <c r="BM28" s="44">
        <v>41647</v>
      </c>
      <c r="BN28" s="20">
        <f>21000*(8/31)</f>
        <v>5419.3548387096771</v>
      </c>
      <c r="BO28" s="20">
        <f t="shared" si="10"/>
        <v>5419.3548387096771</v>
      </c>
      <c r="BP28" s="142">
        <f>3990*(8/31)</f>
        <v>1029.6774193548388</v>
      </c>
      <c r="BQ28" s="142">
        <f t="shared" si="28"/>
        <v>1029.6774193548388</v>
      </c>
      <c r="BR28" s="20">
        <f t="shared" si="11"/>
        <v>4389.6774193548381</v>
      </c>
      <c r="BS28" s="29">
        <f t="shared" si="29"/>
        <v>4389.6774193548381</v>
      </c>
      <c r="BU28" s="152"/>
      <c r="BV28" s="44">
        <v>41640</v>
      </c>
      <c r="BW28" s="44">
        <v>41649</v>
      </c>
      <c r="BX28" s="20">
        <f>227592*(10/31)</f>
        <v>73416.774193548379</v>
      </c>
      <c r="BY28" s="20">
        <f t="shared" si="12"/>
        <v>73416.774193548379</v>
      </c>
      <c r="BZ28" s="142">
        <f>1488*(10/31)</f>
        <v>480</v>
      </c>
      <c r="CA28" s="142">
        <f t="shared" si="30"/>
        <v>480</v>
      </c>
      <c r="CB28" s="20">
        <f t="shared" si="31"/>
        <v>72936.774193548379</v>
      </c>
      <c r="CC28" s="29">
        <f t="shared" si="32"/>
        <v>72936.774193548379</v>
      </c>
      <c r="CE28" s="152"/>
      <c r="CF28" s="44">
        <v>41640</v>
      </c>
      <c r="CG28" s="44">
        <v>41649</v>
      </c>
      <c r="CH28" s="20">
        <f>212136*(10/31)</f>
        <v>68430.967741935485</v>
      </c>
      <c r="CI28" s="20">
        <f t="shared" si="13"/>
        <v>68430.967741935485</v>
      </c>
      <c r="CJ28" s="142">
        <f>1536*(10/31)</f>
        <v>495.48387096774195</v>
      </c>
      <c r="CK28" s="142">
        <f t="shared" si="33"/>
        <v>495.48387096774195</v>
      </c>
      <c r="CL28" s="20">
        <f t="shared" si="34"/>
        <v>67935.483870967742</v>
      </c>
      <c r="CM28" s="29">
        <f t="shared" si="35"/>
        <v>67935.483870967742</v>
      </c>
    </row>
    <row r="29" spans="3:91" s="43" customFormat="1">
      <c r="C29" s="18">
        <v>41671</v>
      </c>
      <c r="D29" s="16">
        <v>41649</v>
      </c>
      <c r="E29" s="16">
        <v>41680</v>
      </c>
      <c r="F29" s="19">
        <v>286392</v>
      </c>
      <c r="G29" s="19">
        <f t="shared" si="0"/>
        <v>286392</v>
      </c>
      <c r="H29" s="19">
        <v>744</v>
      </c>
      <c r="I29" s="42">
        <f t="shared" si="14"/>
        <v>744</v>
      </c>
      <c r="J29" s="19">
        <f t="shared" si="15"/>
        <v>285648</v>
      </c>
      <c r="K29" s="29">
        <f t="shared" si="16"/>
        <v>285648</v>
      </c>
      <c r="M29" s="18">
        <v>41671</v>
      </c>
      <c r="N29" s="16">
        <v>41649</v>
      </c>
      <c r="O29" s="16">
        <v>41680</v>
      </c>
      <c r="P29" s="19">
        <v>252936</v>
      </c>
      <c r="Q29" s="49">
        <f t="shared" si="1"/>
        <v>252936</v>
      </c>
      <c r="R29" s="19">
        <v>552</v>
      </c>
      <c r="S29" s="49">
        <f t="shared" si="17"/>
        <v>552</v>
      </c>
      <c r="T29" s="19">
        <f t="shared" si="18"/>
        <v>252384</v>
      </c>
      <c r="U29" s="29">
        <f t="shared" si="19"/>
        <v>252384</v>
      </c>
      <c r="W29" s="18">
        <v>41671</v>
      </c>
      <c r="X29" s="60">
        <v>41649</v>
      </c>
      <c r="Y29" s="60">
        <v>41680</v>
      </c>
      <c r="Z29" s="49">
        <v>283152</v>
      </c>
      <c r="AA29" s="49">
        <f t="shared" si="2"/>
        <v>283152</v>
      </c>
      <c r="AB29" s="49">
        <v>768</v>
      </c>
      <c r="AC29" s="49">
        <f t="shared" si="20"/>
        <v>768</v>
      </c>
      <c r="AD29" s="19">
        <f t="shared" si="3"/>
        <v>282384</v>
      </c>
      <c r="AE29" s="29">
        <f t="shared" si="21"/>
        <v>282384</v>
      </c>
      <c r="AG29" s="18">
        <v>41671</v>
      </c>
      <c r="AH29" s="16">
        <v>41644</v>
      </c>
      <c r="AI29" s="16">
        <v>41675</v>
      </c>
      <c r="AJ29" s="19">
        <v>28860</v>
      </c>
      <c r="AK29" s="19">
        <f t="shared" si="4"/>
        <v>28860</v>
      </c>
      <c r="AL29" s="19">
        <v>3060</v>
      </c>
      <c r="AM29" s="19">
        <f t="shared" si="22"/>
        <v>3060</v>
      </c>
      <c r="AN29" s="19">
        <f t="shared" si="5"/>
        <v>25800</v>
      </c>
      <c r="AO29" s="71">
        <f t="shared" si="23"/>
        <v>25800</v>
      </c>
      <c r="AQ29" s="18">
        <v>41671</v>
      </c>
      <c r="AR29" s="16">
        <v>41649</v>
      </c>
      <c r="AS29" s="16">
        <v>41680</v>
      </c>
      <c r="AT29" s="19">
        <v>230496</v>
      </c>
      <c r="AU29" s="19">
        <f t="shared" si="6"/>
        <v>230496</v>
      </c>
      <c r="AV29" s="19">
        <v>744</v>
      </c>
      <c r="AW29" s="19">
        <f t="shared" si="24"/>
        <v>744</v>
      </c>
      <c r="AX29" s="19">
        <f t="shared" si="7"/>
        <v>229752</v>
      </c>
      <c r="AY29" s="71">
        <f t="shared" si="25"/>
        <v>229752</v>
      </c>
      <c r="BA29" s="18">
        <v>41671</v>
      </c>
      <c r="BB29" s="16">
        <v>41644</v>
      </c>
      <c r="BC29" s="16">
        <v>41675</v>
      </c>
      <c r="BD29" s="19">
        <v>37230</v>
      </c>
      <c r="BE29" s="19">
        <f t="shared" si="8"/>
        <v>37230</v>
      </c>
      <c r="BF29" s="19">
        <v>2760</v>
      </c>
      <c r="BG29" s="19">
        <f t="shared" si="26"/>
        <v>2760</v>
      </c>
      <c r="BH29" s="19">
        <f t="shared" si="9"/>
        <v>34470</v>
      </c>
      <c r="BI29" s="71">
        <f t="shared" si="27"/>
        <v>34470</v>
      </c>
      <c r="BK29" s="27">
        <v>41671</v>
      </c>
      <c r="BL29" s="44">
        <v>41647</v>
      </c>
      <c r="BM29" s="44">
        <v>41675</v>
      </c>
      <c r="BN29" s="20">
        <v>34140</v>
      </c>
      <c r="BO29" s="19">
        <f t="shared" si="10"/>
        <v>34140</v>
      </c>
      <c r="BP29" s="20">
        <v>2970</v>
      </c>
      <c r="BQ29" s="20">
        <f t="shared" si="28"/>
        <v>2970</v>
      </c>
      <c r="BR29" s="20">
        <f t="shared" si="11"/>
        <v>31170</v>
      </c>
      <c r="BS29" s="71">
        <f t="shared" si="29"/>
        <v>31170</v>
      </c>
      <c r="BU29" s="27">
        <v>41671</v>
      </c>
      <c r="BV29" s="44">
        <v>41649</v>
      </c>
      <c r="BW29" s="44">
        <v>41680</v>
      </c>
      <c r="BX29" s="20">
        <v>306096</v>
      </c>
      <c r="BY29" s="19">
        <f t="shared" si="12"/>
        <v>306096</v>
      </c>
      <c r="BZ29" s="20">
        <v>480</v>
      </c>
      <c r="CA29" s="20">
        <f t="shared" si="30"/>
        <v>480</v>
      </c>
      <c r="CB29" s="20">
        <f t="shared" si="31"/>
        <v>305616</v>
      </c>
      <c r="CC29" s="71">
        <f t="shared" si="32"/>
        <v>305616</v>
      </c>
      <c r="CE29" s="27">
        <v>41671</v>
      </c>
      <c r="CF29" s="16">
        <v>41649</v>
      </c>
      <c r="CG29" s="16">
        <v>41680</v>
      </c>
      <c r="CH29" s="19">
        <v>148272</v>
      </c>
      <c r="CI29" s="19">
        <f t="shared" si="13"/>
        <v>148272</v>
      </c>
      <c r="CJ29" s="19">
        <v>0</v>
      </c>
      <c r="CK29" s="19">
        <f t="shared" si="33"/>
        <v>0</v>
      </c>
      <c r="CL29" s="19">
        <f t="shared" si="34"/>
        <v>148272</v>
      </c>
      <c r="CM29" s="71">
        <f t="shared" si="35"/>
        <v>148272</v>
      </c>
    </row>
    <row r="30" spans="3:91" s="43" customFormat="1">
      <c r="C30" s="18">
        <v>41699</v>
      </c>
      <c r="D30" s="16">
        <v>41680</v>
      </c>
      <c r="E30" s="16">
        <v>41708</v>
      </c>
      <c r="F30" s="19">
        <v>0</v>
      </c>
      <c r="G30" s="19">
        <f t="shared" si="0"/>
        <v>0</v>
      </c>
      <c r="H30" s="19">
        <v>0</v>
      </c>
      <c r="I30" s="42">
        <f t="shared" si="14"/>
        <v>0</v>
      </c>
      <c r="J30" s="19">
        <f t="shared" si="15"/>
        <v>0</v>
      </c>
      <c r="K30" s="29">
        <f t="shared" si="16"/>
        <v>0</v>
      </c>
      <c r="M30" s="18">
        <v>41699</v>
      </c>
      <c r="N30" s="16">
        <v>41680</v>
      </c>
      <c r="O30" s="16">
        <v>41708</v>
      </c>
      <c r="P30" s="19">
        <v>0</v>
      </c>
      <c r="Q30" s="49">
        <f t="shared" si="1"/>
        <v>0</v>
      </c>
      <c r="R30" s="19">
        <v>0</v>
      </c>
      <c r="S30" s="49">
        <f t="shared" si="17"/>
        <v>0</v>
      </c>
      <c r="T30" s="19">
        <f t="shared" si="18"/>
        <v>0</v>
      </c>
      <c r="U30" s="29">
        <f t="shared" si="19"/>
        <v>0</v>
      </c>
      <c r="W30" s="18">
        <v>41699</v>
      </c>
      <c r="X30" s="60">
        <v>41680</v>
      </c>
      <c r="Y30" s="60">
        <v>41708</v>
      </c>
      <c r="Z30" s="49">
        <v>0</v>
      </c>
      <c r="AA30" s="49">
        <f t="shared" si="2"/>
        <v>0</v>
      </c>
      <c r="AB30" s="49">
        <v>0</v>
      </c>
      <c r="AC30" s="49">
        <f t="shared" si="20"/>
        <v>0</v>
      </c>
      <c r="AD30" s="19">
        <f t="shared" si="3"/>
        <v>0</v>
      </c>
      <c r="AE30" s="29">
        <f t="shared" si="21"/>
        <v>0</v>
      </c>
      <c r="AG30" s="18">
        <v>41699</v>
      </c>
      <c r="AH30" s="16">
        <v>41675</v>
      </c>
      <c r="AI30" s="16">
        <v>41703</v>
      </c>
      <c r="AJ30" s="19">
        <v>0</v>
      </c>
      <c r="AK30" s="19">
        <f t="shared" si="4"/>
        <v>0</v>
      </c>
      <c r="AL30" s="19">
        <v>0</v>
      </c>
      <c r="AM30" s="19">
        <f t="shared" si="22"/>
        <v>0</v>
      </c>
      <c r="AN30" s="19">
        <f t="shared" si="5"/>
        <v>0</v>
      </c>
      <c r="AO30" s="71">
        <f t="shared" si="23"/>
        <v>0</v>
      </c>
      <c r="AQ30" s="18">
        <v>41699</v>
      </c>
      <c r="AR30" s="16">
        <v>41680</v>
      </c>
      <c r="AS30" s="16">
        <v>41708</v>
      </c>
      <c r="AT30" s="19">
        <v>0</v>
      </c>
      <c r="AU30" s="19">
        <f t="shared" si="6"/>
        <v>0</v>
      </c>
      <c r="AV30" s="19">
        <v>0</v>
      </c>
      <c r="AW30" s="19">
        <f t="shared" si="24"/>
        <v>0</v>
      </c>
      <c r="AX30" s="19">
        <f t="shared" si="7"/>
        <v>0</v>
      </c>
      <c r="AY30" s="71">
        <f t="shared" si="25"/>
        <v>0</v>
      </c>
      <c r="BA30" s="18">
        <v>41699</v>
      </c>
      <c r="BB30" s="16">
        <v>41675</v>
      </c>
      <c r="BC30" s="16">
        <v>41703</v>
      </c>
      <c r="BD30" s="19">
        <v>0</v>
      </c>
      <c r="BE30" s="19">
        <f t="shared" si="8"/>
        <v>0</v>
      </c>
      <c r="BF30" s="19">
        <v>0</v>
      </c>
      <c r="BG30" s="19">
        <f t="shared" si="26"/>
        <v>0</v>
      </c>
      <c r="BH30" s="19">
        <f t="shared" si="9"/>
        <v>0</v>
      </c>
      <c r="BI30" s="71">
        <f t="shared" si="27"/>
        <v>0</v>
      </c>
      <c r="BK30" s="27">
        <v>41699</v>
      </c>
      <c r="BL30" s="44">
        <v>41675</v>
      </c>
      <c r="BM30" s="44">
        <v>41703</v>
      </c>
      <c r="BN30" s="20">
        <v>0</v>
      </c>
      <c r="BO30" s="19">
        <f t="shared" si="10"/>
        <v>0</v>
      </c>
      <c r="BP30" s="20">
        <v>0</v>
      </c>
      <c r="BQ30" s="20">
        <f t="shared" si="28"/>
        <v>0</v>
      </c>
      <c r="BR30" s="20">
        <f t="shared" si="11"/>
        <v>0</v>
      </c>
      <c r="BS30" s="71">
        <f t="shared" si="29"/>
        <v>0</v>
      </c>
      <c r="BU30" s="27">
        <v>41699</v>
      </c>
      <c r="BV30" s="44">
        <v>41680</v>
      </c>
      <c r="BW30" s="44">
        <v>41708</v>
      </c>
      <c r="BX30" s="20">
        <v>0</v>
      </c>
      <c r="BY30" s="19">
        <f t="shared" si="12"/>
        <v>0</v>
      </c>
      <c r="BZ30" s="20">
        <v>0</v>
      </c>
      <c r="CA30" s="20">
        <f t="shared" si="30"/>
        <v>0</v>
      </c>
      <c r="CB30" s="20">
        <f t="shared" si="31"/>
        <v>0</v>
      </c>
      <c r="CC30" s="71">
        <f t="shared" si="32"/>
        <v>0</v>
      </c>
      <c r="CE30" s="27">
        <v>41699</v>
      </c>
      <c r="CF30" s="16">
        <v>41680</v>
      </c>
      <c r="CG30" s="16">
        <v>41708</v>
      </c>
      <c r="CH30" s="19">
        <v>0</v>
      </c>
      <c r="CI30" s="19">
        <f t="shared" si="13"/>
        <v>0</v>
      </c>
      <c r="CJ30" s="19">
        <v>0</v>
      </c>
      <c r="CK30" s="19">
        <f t="shared" si="33"/>
        <v>0</v>
      </c>
      <c r="CL30" s="19">
        <f t="shared" si="34"/>
        <v>0</v>
      </c>
      <c r="CM30" s="71">
        <f t="shared" si="35"/>
        <v>0</v>
      </c>
    </row>
    <row r="31" spans="3:91" s="43" customFormat="1">
      <c r="C31" s="18">
        <v>41730</v>
      </c>
      <c r="D31" s="16">
        <v>41708</v>
      </c>
      <c r="E31" s="16">
        <v>41734</v>
      </c>
      <c r="F31" s="19">
        <v>146304</v>
      </c>
      <c r="G31" s="19">
        <f t="shared" si="0"/>
        <v>146304</v>
      </c>
      <c r="H31" s="19">
        <v>2496</v>
      </c>
      <c r="I31" s="42">
        <f t="shared" si="14"/>
        <v>2496</v>
      </c>
      <c r="J31" s="19">
        <f t="shared" si="15"/>
        <v>143808</v>
      </c>
      <c r="K31" s="29">
        <f t="shared" si="16"/>
        <v>143808</v>
      </c>
      <c r="M31" s="18">
        <v>41730</v>
      </c>
      <c r="N31" s="16">
        <v>41708</v>
      </c>
      <c r="O31" s="16">
        <v>41739</v>
      </c>
      <c r="P31" s="19">
        <v>143568</v>
      </c>
      <c r="Q31" s="49">
        <f t="shared" si="1"/>
        <v>143568</v>
      </c>
      <c r="R31" s="19">
        <v>2160</v>
      </c>
      <c r="S31" s="49">
        <f t="shared" si="17"/>
        <v>2160</v>
      </c>
      <c r="T31" s="19">
        <f t="shared" si="18"/>
        <v>141408</v>
      </c>
      <c r="U31" s="29">
        <f t="shared" si="19"/>
        <v>141408</v>
      </c>
      <c r="W31" s="18">
        <v>41730</v>
      </c>
      <c r="X31" s="60">
        <v>41708</v>
      </c>
      <c r="Y31" s="60">
        <v>41739</v>
      </c>
      <c r="Z31" s="49">
        <v>232536</v>
      </c>
      <c r="AA31" s="49">
        <f t="shared" si="2"/>
        <v>232536</v>
      </c>
      <c r="AB31" s="49">
        <v>2184</v>
      </c>
      <c r="AC31" s="49">
        <f t="shared" si="20"/>
        <v>2184</v>
      </c>
      <c r="AD31" s="19">
        <f t="shared" si="3"/>
        <v>230352</v>
      </c>
      <c r="AE31" s="29">
        <f t="shared" si="21"/>
        <v>230352</v>
      </c>
      <c r="AG31" s="18">
        <v>41730</v>
      </c>
      <c r="AH31" s="16">
        <v>41703</v>
      </c>
      <c r="AI31" s="16">
        <v>41734</v>
      </c>
      <c r="AJ31" s="19">
        <v>75690</v>
      </c>
      <c r="AK31" s="19">
        <f t="shared" si="4"/>
        <v>75690</v>
      </c>
      <c r="AL31" s="19">
        <v>4050</v>
      </c>
      <c r="AM31" s="19">
        <f t="shared" si="22"/>
        <v>4050</v>
      </c>
      <c r="AN31" s="19">
        <f t="shared" si="5"/>
        <v>71640</v>
      </c>
      <c r="AO31" s="71">
        <f t="shared" si="23"/>
        <v>71640</v>
      </c>
      <c r="AQ31" s="18">
        <v>41730</v>
      </c>
      <c r="AR31" s="16">
        <v>41708</v>
      </c>
      <c r="AS31" s="16">
        <v>41739</v>
      </c>
      <c r="AT31" s="19">
        <v>187416</v>
      </c>
      <c r="AU31" s="19">
        <f t="shared" si="6"/>
        <v>187416</v>
      </c>
      <c r="AV31" s="19">
        <v>2616</v>
      </c>
      <c r="AW31" s="19">
        <f t="shared" si="24"/>
        <v>2616</v>
      </c>
      <c r="AX31" s="19">
        <f t="shared" si="7"/>
        <v>184800</v>
      </c>
      <c r="AY31" s="71">
        <f t="shared" si="25"/>
        <v>184800</v>
      </c>
      <c r="BA31" s="18">
        <v>41730</v>
      </c>
      <c r="BB31" s="16">
        <v>41703</v>
      </c>
      <c r="BC31" s="16">
        <v>41734</v>
      </c>
      <c r="BD31" s="19">
        <v>86520</v>
      </c>
      <c r="BE31" s="19">
        <f t="shared" si="8"/>
        <v>86520</v>
      </c>
      <c r="BF31" s="19">
        <v>3930</v>
      </c>
      <c r="BG31" s="19">
        <f t="shared" si="26"/>
        <v>3930</v>
      </c>
      <c r="BH31" s="19">
        <f t="shared" si="9"/>
        <v>82590</v>
      </c>
      <c r="BI31" s="71">
        <f t="shared" si="27"/>
        <v>82590</v>
      </c>
      <c r="BK31" s="27">
        <v>41730</v>
      </c>
      <c r="BL31" s="44">
        <v>41703</v>
      </c>
      <c r="BM31" s="44">
        <v>41734</v>
      </c>
      <c r="BN31" s="20">
        <v>82110</v>
      </c>
      <c r="BO31" s="19">
        <f t="shared" si="10"/>
        <v>82110</v>
      </c>
      <c r="BP31" s="20">
        <v>4410</v>
      </c>
      <c r="BQ31" s="20">
        <f t="shared" si="28"/>
        <v>4410</v>
      </c>
      <c r="BR31" s="20">
        <f t="shared" si="11"/>
        <v>77700</v>
      </c>
      <c r="BS31" s="71">
        <f t="shared" si="29"/>
        <v>77700</v>
      </c>
      <c r="BU31" s="27">
        <v>41730</v>
      </c>
      <c r="BV31" s="44">
        <v>41708</v>
      </c>
      <c r="BW31" s="44">
        <v>41739</v>
      </c>
      <c r="BX31" s="20">
        <v>263376</v>
      </c>
      <c r="BY31" s="19">
        <f t="shared" si="12"/>
        <v>263376</v>
      </c>
      <c r="BZ31" s="20">
        <v>1944</v>
      </c>
      <c r="CA31" s="20">
        <f t="shared" si="30"/>
        <v>1944</v>
      </c>
      <c r="CB31" s="20">
        <f t="shared" si="31"/>
        <v>261432</v>
      </c>
      <c r="CC31" s="71">
        <f t="shared" si="32"/>
        <v>261432</v>
      </c>
      <c r="CE31" s="27">
        <v>41730</v>
      </c>
      <c r="CF31" s="16">
        <v>41708</v>
      </c>
      <c r="CG31" s="16">
        <v>41734</v>
      </c>
      <c r="CH31" s="19">
        <v>214488</v>
      </c>
      <c r="CI31" s="19">
        <f t="shared" si="13"/>
        <v>214488</v>
      </c>
      <c r="CJ31" s="19">
        <v>2376</v>
      </c>
      <c r="CK31" s="19">
        <f t="shared" si="33"/>
        <v>2376</v>
      </c>
      <c r="CL31" s="19">
        <f t="shared" si="34"/>
        <v>212112</v>
      </c>
      <c r="CM31" s="71">
        <f t="shared" si="35"/>
        <v>212112</v>
      </c>
    </row>
    <row r="32" spans="3:91" s="43" customFormat="1">
      <c r="C32" s="18">
        <v>41760</v>
      </c>
      <c r="D32" s="16">
        <v>41734</v>
      </c>
      <c r="E32" s="16">
        <v>41769</v>
      </c>
      <c r="F32" s="19">
        <v>82200</v>
      </c>
      <c r="G32" s="19">
        <f t="shared" si="0"/>
        <v>82200</v>
      </c>
      <c r="H32" s="19">
        <v>3336</v>
      </c>
      <c r="I32" s="42">
        <f t="shared" si="14"/>
        <v>3336</v>
      </c>
      <c r="J32" s="19">
        <f t="shared" si="15"/>
        <v>78864</v>
      </c>
      <c r="K32" s="29">
        <f t="shared" si="16"/>
        <v>78864</v>
      </c>
      <c r="M32" s="18">
        <v>41760</v>
      </c>
      <c r="N32" s="16">
        <v>41739</v>
      </c>
      <c r="O32" s="16">
        <v>41764</v>
      </c>
      <c r="P32" s="19">
        <v>81216</v>
      </c>
      <c r="Q32" s="49">
        <f t="shared" si="1"/>
        <v>81216</v>
      </c>
      <c r="R32" s="19">
        <v>3120</v>
      </c>
      <c r="S32" s="49">
        <f t="shared" si="17"/>
        <v>3120</v>
      </c>
      <c r="T32" s="19">
        <f t="shared" si="18"/>
        <v>78096</v>
      </c>
      <c r="U32" s="29">
        <f t="shared" si="19"/>
        <v>78096</v>
      </c>
      <c r="W32" s="18">
        <v>41760</v>
      </c>
      <c r="X32" s="60">
        <v>41739</v>
      </c>
      <c r="Y32" s="60">
        <v>41769</v>
      </c>
      <c r="Z32" s="49">
        <v>95016</v>
      </c>
      <c r="AA32" s="49">
        <f>Z32</f>
        <v>95016</v>
      </c>
      <c r="AB32" s="49">
        <v>3000</v>
      </c>
      <c r="AC32" s="49">
        <f t="shared" si="20"/>
        <v>3000</v>
      </c>
      <c r="AD32" s="19">
        <f t="shared" si="3"/>
        <v>92016</v>
      </c>
      <c r="AE32" s="29">
        <f t="shared" si="21"/>
        <v>92016</v>
      </c>
      <c r="AG32" s="18">
        <v>41760</v>
      </c>
      <c r="AH32" s="16">
        <v>41734</v>
      </c>
      <c r="AI32" s="16">
        <v>41764</v>
      </c>
      <c r="AJ32" s="19">
        <v>105900</v>
      </c>
      <c r="AK32" s="19">
        <f t="shared" si="4"/>
        <v>105900</v>
      </c>
      <c r="AL32" s="19">
        <v>3390</v>
      </c>
      <c r="AM32" s="19">
        <f t="shared" si="22"/>
        <v>3390</v>
      </c>
      <c r="AN32" s="19">
        <f t="shared" si="5"/>
        <v>102510</v>
      </c>
      <c r="AO32" s="71">
        <f t="shared" si="23"/>
        <v>102510</v>
      </c>
      <c r="AQ32" s="18">
        <v>41760</v>
      </c>
      <c r="AR32" s="16">
        <v>41739</v>
      </c>
      <c r="AS32" s="16">
        <v>41764</v>
      </c>
      <c r="AT32" s="19">
        <v>61032</v>
      </c>
      <c r="AU32" s="19">
        <f t="shared" si="6"/>
        <v>61032</v>
      </c>
      <c r="AV32" s="19">
        <v>3408</v>
      </c>
      <c r="AW32" s="19">
        <f t="shared" si="24"/>
        <v>3408</v>
      </c>
      <c r="AX32" s="19">
        <f t="shared" si="7"/>
        <v>57624</v>
      </c>
      <c r="AY32" s="71">
        <f t="shared" si="25"/>
        <v>57624</v>
      </c>
      <c r="BA32" s="18">
        <v>41760</v>
      </c>
      <c r="BB32" s="16">
        <v>41734</v>
      </c>
      <c r="BC32" s="16">
        <v>41764</v>
      </c>
      <c r="BD32" s="19">
        <v>101430</v>
      </c>
      <c r="BE32" s="19">
        <f t="shared" si="8"/>
        <v>101430</v>
      </c>
      <c r="BF32" s="19">
        <v>3540</v>
      </c>
      <c r="BG32" s="19">
        <f t="shared" si="26"/>
        <v>3540</v>
      </c>
      <c r="BH32" s="19">
        <f t="shared" si="9"/>
        <v>97890</v>
      </c>
      <c r="BI32" s="71">
        <f t="shared" si="27"/>
        <v>97890</v>
      </c>
      <c r="BK32" s="27">
        <v>41760</v>
      </c>
      <c r="BL32" s="44">
        <v>41734</v>
      </c>
      <c r="BM32" s="44">
        <v>41764</v>
      </c>
      <c r="BN32" s="20">
        <v>95370</v>
      </c>
      <c r="BO32" s="19">
        <f t="shared" si="10"/>
        <v>95370</v>
      </c>
      <c r="BP32" s="20">
        <v>3750</v>
      </c>
      <c r="BQ32" s="20">
        <f t="shared" si="28"/>
        <v>3750</v>
      </c>
      <c r="BR32" s="20">
        <f t="shared" si="11"/>
        <v>91620</v>
      </c>
      <c r="BS32" s="71">
        <f t="shared" si="29"/>
        <v>91620</v>
      </c>
      <c r="BU32" s="27">
        <v>41760</v>
      </c>
      <c r="BV32" s="44">
        <v>41739</v>
      </c>
      <c r="BW32" s="44">
        <v>41769</v>
      </c>
      <c r="BX32" s="20">
        <v>99576</v>
      </c>
      <c r="BY32" s="19">
        <f t="shared" si="12"/>
        <v>99576</v>
      </c>
      <c r="BZ32" s="20">
        <v>2376</v>
      </c>
      <c r="CA32" s="20">
        <f t="shared" si="30"/>
        <v>2376</v>
      </c>
      <c r="CB32" s="20">
        <f t="shared" si="31"/>
        <v>97200</v>
      </c>
      <c r="CC32" s="71">
        <f t="shared" si="32"/>
        <v>97200</v>
      </c>
      <c r="CE32" s="27">
        <v>41760</v>
      </c>
      <c r="CF32" s="16">
        <v>41734</v>
      </c>
      <c r="CG32" s="16">
        <v>41769</v>
      </c>
      <c r="CH32" s="19">
        <v>82104</v>
      </c>
      <c r="CI32" s="19">
        <f t="shared" si="13"/>
        <v>82104</v>
      </c>
      <c r="CJ32" s="19">
        <v>2640</v>
      </c>
      <c r="CK32" s="19">
        <f t="shared" si="33"/>
        <v>2640</v>
      </c>
      <c r="CL32" s="19">
        <f t="shared" si="34"/>
        <v>79464</v>
      </c>
      <c r="CM32" s="71">
        <f t="shared" si="35"/>
        <v>79464</v>
      </c>
    </row>
    <row r="33" spans="3:91" s="43" customFormat="1">
      <c r="C33" s="18">
        <v>41791</v>
      </c>
      <c r="D33" s="16">
        <v>41769</v>
      </c>
      <c r="E33" s="16">
        <v>41795</v>
      </c>
      <c r="F33" s="19">
        <v>268776</v>
      </c>
      <c r="G33" s="19">
        <f t="shared" si="0"/>
        <v>268776</v>
      </c>
      <c r="H33" s="19">
        <v>1464</v>
      </c>
      <c r="I33" s="42">
        <f t="shared" si="14"/>
        <v>1464</v>
      </c>
      <c r="J33" s="19">
        <f t="shared" si="15"/>
        <v>267312</v>
      </c>
      <c r="K33" s="29">
        <f t="shared" si="16"/>
        <v>267312</v>
      </c>
      <c r="M33" s="18">
        <v>41791</v>
      </c>
      <c r="N33" s="16">
        <v>41764</v>
      </c>
      <c r="O33" s="16">
        <v>41795</v>
      </c>
      <c r="P33" s="19">
        <v>207168</v>
      </c>
      <c r="Q33" s="49">
        <f t="shared" si="1"/>
        <v>207168</v>
      </c>
      <c r="R33" s="19">
        <v>1848</v>
      </c>
      <c r="S33" s="49">
        <f t="shared" si="17"/>
        <v>1848</v>
      </c>
      <c r="T33" s="19">
        <f t="shared" si="18"/>
        <v>205320</v>
      </c>
      <c r="U33" s="29">
        <f t="shared" si="19"/>
        <v>205320</v>
      </c>
      <c r="W33" s="18">
        <v>41791</v>
      </c>
      <c r="X33" s="60">
        <v>41769</v>
      </c>
      <c r="Y33" s="60">
        <v>41800</v>
      </c>
      <c r="Z33" s="49">
        <v>250224</v>
      </c>
      <c r="AA33" s="49">
        <f t="shared" si="2"/>
        <v>250224</v>
      </c>
      <c r="AB33" s="49">
        <v>1704</v>
      </c>
      <c r="AC33" s="49">
        <f t="shared" si="20"/>
        <v>1704</v>
      </c>
      <c r="AD33" s="19">
        <f t="shared" si="3"/>
        <v>248520</v>
      </c>
      <c r="AE33" s="29">
        <f t="shared" si="21"/>
        <v>248520</v>
      </c>
      <c r="AG33" s="18">
        <v>41791</v>
      </c>
      <c r="AH33" s="16">
        <v>41764</v>
      </c>
      <c r="AI33" s="16">
        <v>41795</v>
      </c>
      <c r="AJ33" s="19">
        <v>545550</v>
      </c>
      <c r="AK33" s="19">
        <f t="shared" si="4"/>
        <v>545550</v>
      </c>
      <c r="AL33" s="19">
        <v>540</v>
      </c>
      <c r="AM33" s="19">
        <f t="shared" si="22"/>
        <v>540</v>
      </c>
      <c r="AN33" s="19">
        <f t="shared" si="5"/>
        <v>545010</v>
      </c>
      <c r="AO33" s="71">
        <f t="shared" si="23"/>
        <v>545010</v>
      </c>
      <c r="AQ33" s="18">
        <v>41791</v>
      </c>
      <c r="AR33" s="16">
        <v>41764</v>
      </c>
      <c r="AS33" s="16">
        <v>41795</v>
      </c>
      <c r="AT33" s="19">
        <v>202728</v>
      </c>
      <c r="AU33" s="19">
        <f t="shared" si="6"/>
        <v>202728</v>
      </c>
      <c r="AV33" s="19">
        <v>1944</v>
      </c>
      <c r="AW33" s="19">
        <f t="shared" si="24"/>
        <v>1944</v>
      </c>
      <c r="AX33" s="19">
        <f t="shared" si="7"/>
        <v>200784</v>
      </c>
      <c r="AY33" s="71">
        <f t="shared" si="25"/>
        <v>200784</v>
      </c>
      <c r="BA33" s="18">
        <v>41791</v>
      </c>
      <c r="BB33" s="16">
        <v>41764</v>
      </c>
      <c r="BC33" s="16">
        <v>41795</v>
      </c>
      <c r="BD33" s="19">
        <v>541860</v>
      </c>
      <c r="BE33" s="19">
        <f t="shared" si="8"/>
        <v>541860</v>
      </c>
      <c r="BF33" s="19">
        <v>540</v>
      </c>
      <c r="BG33" s="19">
        <f t="shared" si="26"/>
        <v>540</v>
      </c>
      <c r="BH33" s="19">
        <f t="shared" si="9"/>
        <v>541320</v>
      </c>
      <c r="BI33" s="71">
        <f t="shared" si="27"/>
        <v>541320</v>
      </c>
      <c r="BK33" s="27">
        <v>41791</v>
      </c>
      <c r="BL33" s="44">
        <v>41764</v>
      </c>
      <c r="BM33" s="44">
        <v>41795</v>
      </c>
      <c r="BN33" s="20">
        <v>498180</v>
      </c>
      <c r="BO33" s="19">
        <f t="shared" si="10"/>
        <v>498180</v>
      </c>
      <c r="BP33" s="20">
        <v>630</v>
      </c>
      <c r="BQ33" s="20">
        <f t="shared" si="28"/>
        <v>630</v>
      </c>
      <c r="BR33" s="20">
        <f t="shared" si="11"/>
        <v>497550</v>
      </c>
      <c r="BS33" s="71">
        <f t="shared" si="29"/>
        <v>497550</v>
      </c>
      <c r="BU33" s="27">
        <v>41791</v>
      </c>
      <c r="BV33" s="44">
        <v>41769</v>
      </c>
      <c r="BW33" s="44">
        <v>41800</v>
      </c>
      <c r="BX33" s="20">
        <v>272640</v>
      </c>
      <c r="BY33" s="19">
        <f t="shared" si="12"/>
        <v>272640</v>
      </c>
      <c r="BZ33" s="20">
        <v>1152</v>
      </c>
      <c r="CA33" s="20">
        <f t="shared" si="30"/>
        <v>1152</v>
      </c>
      <c r="CB33" s="20">
        <f t="shared" si="31"/>
        <v>271488</v>
      </c>
      <c r="CC33" s="71">
        <f t="shared" si="32"/>
        <v>271488</v>
      </c>
      <c r="CE33" s="27">
        <v>41791</v>
      </c>
      <c r="CF33" s="16">
        <v>41769</v>
      </c>
      <c r="CG33" s="16">
        <v>41795</v>
      </c>
      <c r="CH33" s="19">
        <v>267072</v>
      </c>
      <c r="CI33" s="19">
        <f t="shared" si="13"/>
        <v>267072</v>
      </c>
      <c r="CJ33" s="19">
        <v>1056</v>
      </c>
      <c r="CK33" s="19">
        <f t="shared" si="33"/>
        <v>1056</v>
      </c>
      <c r="CL33" s="19">
        <f t="shared" si="34"/>
        <v>266016</v>
      </c>
      <c r="CM33" s="71">
        <f t="shared" si="35"/>
        <v>266016</v>
      </c>
    </row>
    <row r="34" spans="3:91" s="43" customFormat="1">
      <c r="C34" s="18">
        <v>41821</v>
      </c>
      <c r="D34" s="16">
        <v>41795</v>
      </c>
      <c r="E34" s="16">
        <v>41830</v>
      </c>
      <c r="F34" s="19">
        <v>559680</v>
      </c>
      <c r="G34" s="19">
        <f t="shared" si="0"/>
        <v>559680</v>
      </c>
      <c r="H34" s="19">
        <v>624</v>
      </c>
      <c r="I34" s="42">
        <f t="shared" si="14"/>
        <v>624</v>
      </c>
      <c r="J34" s="19">
        <f t="shared" si="15"/>
        <v>559056</v>
      </c>
      <c r="K34" s="29">
        <f t="shared" si="16"/>
        <v>559056</v>
      </c>
      <c r="M34" s="18">
        <v>41821</v>
      </c>
      <c r="N34" s="16">
        <v>41795</v>
      </c>
      <c r="O34" s="16">
        <v>41825</v>
      </c>
      <c r="P34" s="19">
        <v>494856</v>
      </c>
      <c r="Q34" s="49">
        <f t="shared" si="1"/>
        <v>494856</v>
      </c>
      <c r="R34" s="19">
        <v>888</v>
      </c>
      <c r="S34" s="49">
        <f t="shared" si="17"/>
        <v>888</v>
      </c>
      <c r="T34" s="19">
        <f t="shared" si="18"/>
        <v>493968</v>
      </c>
      <c r="U34" s="29">
        <f t="shared" si="19"/>
        <v>493968</v>
      </c>
      <c r="W34" s="18">
        <v>41821</v>
      </c>
      <c r="X34" s="60">
        <v>41800</v>
      </c>
      <c r="Y34" s="60">
        <v>41830</v>
      </c>
      <c r="Z34" s="49">
        <v>562248</v>
      </c>
      <c r="AA34" s="49">
        <f t="shared" si="2"/>
        <v>562248</v>
      </c>
      <c r="AB34" s="49">
        <v>624</v>
      </c>
      <c r="AC34" s="49">
        <f t="shared" si="20"/>
        <v>624</v>
      </c>
      <c r="AD34" s="19">
        <f t="shared" si="3"/>
        <v>561624</v>
      </c>
      <c r="AE34" s="29">
        <f t="shared" si="21"/>
        <v>561624</v>
      </c>
      <c r="AG34" s="18">
        <v>41821</v>
      </c>
      <c r="AH34" s="16">
        <v>41795</v>
      </c>
      <c r="AI34" s="16">
        <v>41825</v>
      </c>
      <c r="AJ34" s="19">
        <v>716400</v>
      </c>
      <c r="AK34" s="19">
        <f t="shared" si="4"/>
        <v>716400</v>
      </c>
      <c r="AL34" s="19">
        <v>120</v>
      </c>
      <c r="AM34" s="19">
        <f t="shared" si="22"/>
        <v>120</v>
      </c>
      <c r="AN34" s="19">
        <f t="shared" si="5"/>
        <v>716280</v>
      </c>
      <c r="AO34" s="71">
        <f t="shared" si="23"/>
        <v>716280</v>
      </c>
      <c r="AQ34" s="18">
        <v>41821</v>
      </c>
      <c r="AR34" s="16">
        <v>41795</v>
      </c>
      <c r="AS34" s="16">
        <v>41825</v>
      </c>
      <c r="AT34" s="19">
        <v>473112</v>
      </c>
      <c r="AU34" s="19">
        <f t="shared" si="6"/>
        <v>473112</v>
      </c>
      <c r="AV34" s="19">
        <v>1008</v>
      </c>
      <c r="AW34" s="19">
        <f t="shared" si="24"/>
        <v>1008</v>
      </c>
      <c r="AX34" s="19">
        <f t="shared" si="7"/>
        <v>472104</v>
      </c>
      <c r="AY34" s="71">
        <f t="shared" si="25"/>
        <v>472104</v>
      </c>
      <c r="BA34" s="18">
        <v>41821</v>
      </c>
      <c r="BB34" s="44">
        <v>41795</v>
      </c>
      <c r="BC34" s="44">
        <v>41825</v>
      </c>
      <c r="BD34" s="20">
        <v>723750</v>
      </c>
      <c r="BE34" s="19">
        <f t="shared" si="8"/>
        <v>723750</v>
      </c>
      <c r="BF34" s="20">
        <v>210</v>
      </c>
      <c r="BG34" s="20">
        <f t="shared" si="26"/>
        <v>210</v>
      </c>
      <c r="BH34" s="20">
        <f t="shared" si="9"/>
        <v>723540</v>
      </c>
      <c r="BI34" s="71">
        <f t="shared" si="27"/>
        <v>723540</v>
      </c>
      <c r="BK34" s="27">
        <v>41821</v>
      </c>
      <c r="BL34" s="44">
        <v>41795</v>
      </c>
      <c r="BM34" s="44">
        <v>41825</v>
      </c>
      <c r="BN34" s="20">
        <v>691680</v>
      </c>
      <c r="BO34" s="19">
        <f t="shared" si="10"/>
        <v>691680</v>
      </c>
      <c r="BP34" s="20">
        <v>210</v>
      </c>
      <c r="BQ34" s="20">
        <f t="shared" si="28"/>
        <v>210</v>
      </c>
      <c r="BR34" s="20">
        <f t="shared" si="11"/>
        <v>691470</v>
      </c>
      <c r="BS34" s="71">
        <f t="shared" si="29"/>
        <v>691470</v>
      </c>
      <c r="BU34" s="27">
        <v>41821</v>
      </c>
      <c r="BV34" s="44">
        <v>41800</v>
      </c>
      <c r="BW34" s="44">
        <v>41830</v>
      </c>
      <c r="BX34" s="20">
        <v>620088</v>
      </c>
      <c r="BY34" s="19">
        <f t="shared" si="12"/>
        <v>620088</v>
      </c>
      <c r="BZ34" s="20">
        <v>1728</v>
      </c>
      <c r="CA34" s="20">
        <f t="shared" si="30"/>
        <v>1728</v>
      </c>
      <c r="CB34" s="20">
        <f t="shared" si="31"/>
        <v>618360</v>
      </c>
      <c r="CC34" s="71">
        <f t="shared" si="32"/>
        <v>618360</v>
      </c>
      <c r="CE34" s="27">
        <v>41821</v>
      </c>
      <c r="CF34" s="16">
        <v>41795</v>
      </c>
      <c r="CG34" s="16">
        <v>41830</v>
      </c>
      <c r="CH34" s="19">
        <v>542376</v>
      </c>
      <c r="CI34" s="19">
        <f t="shared" si="13"/>
        <v>542376</v>
      </c>
      <c r="CJ34" s="19">
        <v>552</v>
      </c>
      <c r="CK34" s="19">
        <f t="shared" si="33"/>
        <v>552</v>
      </c>
      <c r="CL34" s="19">
        <f t="shared" si="34"/>
        <v>541824</v>
      </c>
      <c r="CM34" s="71">
        <f t="shared" si="35"/>
        <v>541824</v>
      </c>
    </row>
    <row r="35" spans="3:91" s="43" customFormat="1">
      <c r="C35" s="18">
        <v>41852</v>
      </c>
      <c r="D35" s="16">
        <v>41830</v>
      </c>
      <c r="E35" s="16">
        <v>41860</v>
      </c>
      <c r="F35" s="19">
        <v>611304</v>
      </c>
      <c r="G35" s="19">
        <f t="shared" si="0"/>
        <v>611304</v>
      </c>
      <c r="H35" s="19">
        <v>480</v>
      </c>
      <c r="I35" s="42">
        <f t="shared" si="14"/>
        <v>480</v>
      </c>
      <c r="J35" s="19">
        <f t="shared" si="15"/>
        <v>610824</v>
      </c>
      <c r="K35" s="29">
        <f t="shared" si="16"/>
        <v>610824</v>
      </c>
      <c r="M35" s="18">
        <v>41852</v>
      </c>
      <c r="N35" s="16">
        <v>41825</v>
      </c>
      <c r="O35" s="16">
        <v>41860</v>
      </c>
      <c r="P35" s="19">
        <v>545160</v>
      </c>
      <c r="Q35" s="49">
        <f t="shared" si="1"/>
        <v>545160</v>
      </c>
      <c r="R35" s="19">
        <v>840</v>
      </c>
      <c r="S35" s="49">
        <f t="shared" si="17"/>
        <v>840</v>
      </c>
      <c r="T35" s="19">
        <f t="shared" si="18"/>
        <v>544320</v>
      </c>
      <c r="U35" s="29">
        <f t="shared" si="19"/>
        <v>544320</v>
      </c>
      <c r="W35" s="18">
        <v>41852</v>
      </c>
      <c r="X35" s="60">
        <v>41830</v>
      </c>
      <c r="Y35" s="60">
        <v>41861</v>
      </c>
      <c r="Z35" s="49">
        <v>591312</v>
      </c>
      <c r="AA35" s="49">
        <f t="shared" si="2"/>
        <v>591312</v>
      </c>
      <c r="AB35" s="49">
        <v>600</v>
      </c>
      <c r="AC35" s="49">
        <f t="shared" si="20"/>
        <v>600</v>
      </c>
      <c r="AD35" s="19">
        <f t="shared" si="3"/>
        <v>590712</v>
      </c>
      <c r="AE35" s="29">
        <f t="shared" si="21"/>
        <v>590712</v>
      </c>
      <c r="AG35" s="18">
        <v>41852</v>
      </c>
      <c r="AH35" s="16">
        <v>41825</v>
      </c>
      <c r="AI35" s="16">
        <v>41856</v>
      </c>
      <c r="AJ35" s="19">
        <v>649200</v>
      </c>
      <c r="AK35" s="19">
        <f t="shared" si="4"/>
        <v>649200</v>
      </c>
      <c r="AL35" s="19">
        <v>120</v>
      </c>
      <c r="AM35" s="19">
        <f t="shared" si="22"/>
        <v>120</v>
      </c>
      <c r="AN35" s="19">
        <f t="shared" si="5"/>
        <v>649080</v>
      </c>
      <c r="AO35" s="71">
        <f t="shared" si="23"/>
        <v>649080</v>
      </c>
      <c r="AQ35" s="18">
        <v>41852</v>
      </c>
      <c r="AR35" s="16">
        <v>41825</v>
      </c>
      <c r="AS35" s="16">
        <v>41860</v>
      </c>
      <c r="AT35" s="19">
        <v>536832</v>
      </c>
      <c r="AU35" s="19">
        <f t="shared" si="6"/>
        <v>536832</v>
      </c>
      <c r="AV35" s="19">
        <v>696</v>
      </c>
      <c r="AW35" s="19">
        <f t="shared" si="24"/>
        <v>696</v>
      </c>
      <c r="AX35" s="19">
        <f t="shared" si="7"/>
        <v>536136</v>
      </c>
      <c r="AY35" s="71">
        <f t="shared" si="25"/>
        <v>536136</v>
      </c>
      <c r="BA35" s="18">
        <v>41852</v>
      </c>
      <c r="BB35" s="44">
        <v>41825</v>
      </c>
      <c r="BC35" s="44">
        <v>41856</v>
      </c>
      <c r="BD35" s="20">
        <v>623520</v>
      </c>
      <c r="BE35" s="19">
        <f t="shared" si="8"/>
        <v>623520</v>
      </c>
      <c r="BF35" s="20">
        <v>240</v>
      </c>
      <c r="BG35" s="20">
        <f t="shared" si="26"/>
        <v>240</v>
      </c>
      <c r="BH35" s="20">
        <f t="shared" si="9"/>
        <v>623280</v>
      </c>
      <c r="BI35" s="71">
        <f t="shared" si="27"/>
        <v>623280</v>
      </c>
      <c r="BK35" s="27">
        <v>41852</v>
      </c>
      <c r="BL35" s="44">
        <v>41825</v>
      </c>
      <c r="BM35" s="44">
        <v>41856</v>
      </c>
      <c r="BN35" s="20">
        <v>627240</v>
      </c>
      <c r="BO35" s="19">
        <f t="shared" si="10"/>
        <v>627240</v>
      </c>
      <c r="BP35" s="20">
        <v>120</v>
      </c>
      <c r="BQ35" s="20">
        <f t="shared" si="28"/>
        <v>120</v>
      </c>
      <c r="BR35" s="20">
        <f t="shared" si="11"/>
        <v>627120</v>
      </c>
      <c r="BS35" s="71">
        <f t="shared" si="29"/>
        <v>627120</v>
      </c>
      <c r="BU35" s="27">
        <v>41852</v>
      </c>
      <c r="BV35" s="44">
        <v>41830</v>
      </c>
      <c r="BW35" s="44">
        <v>41861</v>
      </c>
      <c r="BX35" s="20">
        <v>646608</v>
      </c>
      <c r="BY35" s="19">
        <f t="shared" si="12"/>
        <v>646608</v>
      </c>
      <c r="BZ35" s="20">
        <v>384</v>
      </c>
      <c r="CA35" s="20">
        <f t="shared" si="30"/>
        <v>384</v>
      </c>
      <c r="CB35" s="20">
        <f t="shared" si="31"/>
        <v>646224</v>
      </c>
      <c r="CC35" s="71">
        <f t="shared" si="32"/>
        <v>646224</v>
      </c>
      <c r="CE35" s="27">
        <v>41852</v>
      </c>
      <c r="CF35" s="16">
        <v>41830</v>
      </c>
      <c r="CG35" s="16">
        <v>41860</v>
      </c>
      <c r="CH35" s="19">
        <v>574320</v>
      </c>
      <c r="CI35" s="19">
        <f t="shared" si="13"/>
        <v>574320</v>
      </c>
      <c r="CJ35" s="19">
        <v>336</v>
      </c>
      <c r="CK35" s="19">
        <f t="shared" si="33"/>
        <v>336</v>
      </c>
      <c r="CL35" s="19">
        <f t="shared" si="34"/>
        <v>573984</v>
      </c>
      <c r="CM35" s="71">
        <f t="shared" si="35"/>
        <v>573984</v>
      </c>
    </row>
    <row r="36" spans="3:91" s="43" customFormat="1">
      <c r="C36" s="18">
        <v>41883</v>
      </c>
      <c r="D36" s="16">
        <v>41860</v>
      </c>
      <c r="E36" s="16">
        <v>41892</v>
      </c>
      <c r="F36" s="19">
        <v>266520</v>
      </c>
      <c r="G36" s="19">
        <f t="shared" si="0"/>
        <v>266520</v>
      </c>
      <c r="H36" s="19">
        <v>1656</v>
      </c>
      <c r="I36" s="42">
        <f t="shared" si="14"/>
        <v>1656</v>
      </c>
      <c r="J36" s="19">
        <f t="shared" si="15"/>
        <v>264864</v>
      </c>
      <c r="K36" s="29">
        <f t="shared" si="16"/>
        <v>264864</v>
      </c>
      <c r="M36" s="18">
        <v>41883</v>
      </c>
      <c r="N36" s="16">
        <v>41860</v>
      </c>
      <c r="O36" s="16">
        <v>41892</v>
      </c>
      <c r="P36" s="19">
        <v>240960</v>
      </c>
      <c r="Q36" s="49">
        <f t="shared" si="1"/>
        <v>240960</v>
      </c>
      <c r="R36" s="20">
        <v>1776</v>
      </c>
      <c r="S36" s="42">
        <f t="shared" si="17"/>
        <v>1776</v>
      </c>
      <c r="T36" s="20">
        <f t="shared" si="18"/>
        <v>239184</v>
      </c>
      <c r="U36" s="29">
        <f t="shared" si="19"/>
        <v>239184</v>
      </c>
      <c r="W36" s="18">
        <v>41883</v>
      </c>
      <c r="X36" s="60">
        <v>41861</v>
      </c>
      <c r="Y36" s="60">
        <v>41892</v>
      </c>
      <c r="Z36" s="49">
        <v>242832</v>
      </c>
      <c r="AA36" s="49">
        <f t="shared" si="2"/>
        <v>242832</v>
      </c>
      <c r="AB36" s="49">
        <v>1704</v>
      </c>
      <c r="AC36" s="49">
        <f t="shared" si="20"/>
        <v>1704</v>
      </c>
      <c r="AD36" s="19">
        <f t="shared" si="3"/>
        <v>241128</v>
      </c>
      <c r="AE36" s="29">
        <f t="shared" si="21"/>
        <v>241128</v>
      </c>
      <c r="AG36" s="18">
        <v>41883</v>
      </c>
      <c r="AH36" s="16">
        <v>41856</v>
      </c>
      <c r="AI36" s="16">
        <v>41887</v>
      </c>
      <c r="AJ36" s="19">
        <v>388650</v>
      </c>
      <c r="AK36" s="19">
        <f t="shared" si="4"/>
        <v>388650</v>
      </c>
      <c r="AL36" s="19">
        <v>720</v>
      </c>
      <c r="AM36" s="19">
        <f t="shared" si="22"/>
        <v>720</v>
      </c>
      <c r="AN36" s="19">
        <f t="shared" si="5"/>
        <v>387930</v>
      </c>
      <c r="AO36" s="71">
        <f t="shared" si="23"/>
        <v>387930</v>
      </c>
      <c r="AQ36" s="18">
        <v>41883</v>
      </c>
      <c r="AR36" s="16">
        <v>41860</v>
      </c>
      <c r="AS36" s="16">
        <v>41892</v>
      </c>
      <c r="AT36" s="19">
        <v>204816</v>
      </c>
      <c r="AU36" s="19">
        <f t="shared" si="6"/>
        <v>204816</v>
      </c>
      <c r="AV36" s="19">
        <v>1920</v>
      </c>
      <c r="AW36" s="19">
        <f t="shared" si="24"/>
        <v>1920</v>
      </c>
      <c r="AX36" s="19">
        <f t="shared" si="7"/>
        <v>202896</v>
      </c>
      <c r="AY36" s="71">
        <f t="shared" si="25"/>
        <v>202896</v>
      </c>
      <c r="BA36" s="18">
        <v>41883</v>
      </c>
      <c r="BB36" s="44">
        <v>41856</v>
      </c>
      <c r="BC36" s="44">
        <v>41887</v>
      </c>
      <c r="BD36" s="20">
        <v>352470</v>
      </c>
      <c r="BE36" s="19">
        <f t="shared" si="8"/>
        <v>352470</v>
      </c>
      <c r="BF36" s="20">
        <v>810</v>
      </c>
      <c r="BG36" s="20">
        <f t="shared" si="26"/>
        <v>810</v>
      </c>
      <c r="BH36" s="20">
        <f t="shared" si="9"/>
        <v>351660</v>
      </c>
      <c r="BI36" s="71">
        <f t="shared" si="27"/>
        <v>351660</v>
      </c>
      <c r="BK36" s="27">
        <v>41883</v>
      </c>
      <c r="BL36" s="44">
        <v>41856</v>
      </c>
      <c r="BM36" s="44">
        <v>41887</v>
      </c>
      <c r="BN36" s="20">
        <v>378660</v>
      </c>
      <c r="BO36" s="19">
        <f t="shared" si="10"/>
        <v>378660</v>
      </c>
      <c r="BP36" s="20">
        <v>720</v>
      </c>
      <c r="BQ36" s="20">
        <f t="shared" si="28"/>
        <v>720</v>
      </c>
      <c r="BR36" s="20">
        <f t="shared" si="11"/>
        <v>377940</v>
      </c>
      <c r="BS36" s="71">
        <f t="shared" si="29"/>
        <v>377940</v>
      </c>
      <c r="BU36" s="27">
        <v>41883</v>
      </c>
      <c r="BV36" s="44">
        <v>41861</v>
      </c>
      <c r="BW36" s="44">
        <v>41892</v>
      </c>
      <c r="BX36" s="20">
        <v>285864</v>
      </c>
      <c r="BY36" s="19">
        <f t="shared" si="12"/>
        <v>285864</v>
      </c>
      <c r="BZ36" s="20">
        <v>1248</v>
      </c>
      <c r="CA36" s="20">
        <f t="shared" si="30"/>
        <v>1248</v>
      </c>
      <c r="CB36" s="20">
        <f t="shared" si="31"/>
        <v>284616</v>
      </c>
      <c r="CC36" s="71">
        <f t="shared" si="32"/>
        <v>284616</v>
      </c>
      <c r="CE36" s="27">
        <v>41883</v>
      </c>
      <c r="CF36" s="16">
        <v>41860</v>
      </c>
      <c r="CG36" s="16">
        <v>41892</v>
      </c>
      <c r="CH36" s="19">
        <v>152208</v>
      </c>
      <c r="CI36" s="19">
        <f t="shared" si="13"/>
        <v>152208</v>
      </c>
      <c r="CJ36" s="19">
        <v>432</v>
      </c>
      <c r="CK36" s="19">
        <f t="shared" si="33"/>
        <v>432</v>
      </c>
      <c r="CL36" s="19">
        <f t="shared" si="34"/>
        <v>151776</v>
      </c>
      <c r="CM36" s="71">
        <f t="shared" si="35"/>
        <v>151776</v>
      </c>
    </row>
    <row r="37" spans="3:91" s="43" customFormat="1">
      <c r="C37" s="18">
        <v>41913</v>
      </c>
      <c r="D37" s="16">
        <v>41892</v>
      </c>
      <c r="E37" s="16">
        <v>41922</v>
      </c>
      <c r="F37" s="19">
        <v>162192</v>
      </c>
      <c r="G37" s="19">
        <f t="shared" si="0"/>
        <v>162192</v>
      </c>
      <c r="H37" s="19">
        <v>3168</v>
      </c>
      <c r="I37" s="42">
        <f t="shared" si="14"/>
        <v>3168</v>
      </c>
      <c r="J37" s="19">
        <f t="shared" si="15"/>
        <v>159024</v>
      </c>
      <c r="K37" s="29">
        <f t="shared" si="16"/>
        <v>159024</v>
      </c>
      <c r="M37" s="18">
        <v>41913</v>
      </c>
      <c r="N37" s="16">
        <v>41892</v>
      </c>
      <c r="O37" s="16">
        <v>41922</v>
      </c>
      <c r="P37" s="19">
        <v>165984</v>
      </c>
      <c r="Q37" s="49">
        <f t="shared" si="1"/>
        <v>165984</v>
      </c>
      <c r="R37" s="19">
        <v>3480</v>
      </c>
      <c r="S37" s="49">
        <f t="shared" si="17"/>
        <v>3480</v>
      </c>
      <c r="T37" s="19">
        <f t="shared" si="18"/>
        <v>162504</v>
      </c>
      <c r="U37" s="29">
        <f t="shared" si="19"/>
        <v>162504</v>
      </c>
      <c r="W37" s="18">
        <v>41913</v>
      </c>
      <c r="X37" s="60">
        <v>41892</v>
      </c>
      <c r="Y37" s="60">
        <v>41922</v>
      </c>
      <c r="Z37" s="49">
        <v>198936</v>
      </c>
      <c r="AA37" s="49">
        <f t="shared" si="2"/>
        <v>198936</v>
      </c>
      <c r="AB37" s="49">
        <v>3120</v>
      </c>
      <c r="AC37" s="49">
        <f t="shared" si="20"/>
        <v>3120</v>
      </c>
      <c r="AD37" s="19">
        <f t="shared" si="3"/>
        <v>195816</v>
      </c>
      <c r="AE37" s="29">
        <f t="shared" si="21"/>
        <v>195816</v>
      </c>
      <c r="AG37" s="18">
        <v>41913</v>
      </c>
      <c r="AH37" s="16">
        <v>41887</v>
      </c>
      <c r="AI37" s="16">
        <v>41917</v>
      </c>
      <c r="AJ37" s="19">
        <v>271830</v>
      </c>
      <c r="AK37" s="19">
        <f t="shared" si="4"/>
        <v>271830</v>
      </c>
      <c r="AL37" s="19">
        <v>1830</v>
      </c>
      <c r="AM37" s="19">
        <f t="shared" si="22"/>
        <v>1830</v>
      </c>
      <c r="AN37" s="19">
        <f t="shared" si="5"/>
        <v>270000</v>
      </c>
      <c r="AO37" s="71">
        <f t="shared" si="23"/>
        <v>270000</v>
      </c>
      <c r="AQ37" s="18">
        <v>41913</v>
      </c>
      <c r="AR37" s="16">
        <v>41892</v>
      </c>
      <c r="AS37" s="16">
        <v>41922</v>
      </c>
      <c r="AT37" s="19">
        <v>137832</v>
      </c>
      <c r="AU37" s="19">
        <f t="shared" si="6"/>
        <v>137832</v>
      </c>
      <c r="AV37" s="19">
        <v>3504</v>
      </c>
      <c r="AW37" s="19">
        <f t="shared" si="24"/>
        <v>3504</v>
      </c>
      <c r="AX37" s="19">
        <f t="shared" si="7"/>
        <v>134328</v>
      </c>
      <c r="AY37" s="71">
        <f t="shared" si="25"/>
        <v>134328</v>
      </c>
      <c r="BA37" s="18">
        <v>41913</v>
      </c>
      <c r="BB37" s="44">
        <v>41887</v>
      </c>
      <c r="BC37" s="44">
        <v>41917</v>
      </c>
      <c r="BD37" s="20">
        <v>269340</v>
      </c>
      <c r="BE37" s="19">
        <f t="shared" si="8"/>
        <v>269340</v>
      </c>
      <c r="BF37" s="20">
        <v>1890</v>
      </c>
      <c r="BG37" s="20">
        <f t="shared" si="26"/>
        <v>1890</v>
      </c>
      <c r="BH37" s="20">
        <f t="shared" si="9"/>
        <v>267450</v>
      </c>
      <c r="BI37" s="71">
        <f t="shared" si="27"/>
        <v>267450</v>
      </c>
      <c r="BK37" s="27">
        <v>41913</v>
      </c>
      <c r="BL37" s="44">
        <v>41887</v>
      </c>
      <c r="BM37" s="44">
        <v>41917</v>
      </c>
      <c r="BN37" s="20">
        <v>257370</v>
      </c>
      <c r="BO37" s="19">
        <f t="shared" si="10"/>
        <v>257370</v>
      </c>
      <c r="BP37" s="20">
        <v>1920</v>
      </c>
      <c r="BQ37" s="20">
        <f t="shared" si="28"/>
        <v>1920</v>
      </c>
      <c r="BR37" s="20">
        <f t="shared" si="11"/>
        <v>255450</v>
      </c>
      <c r="BS37" s="71">
        <f t="shared" si="29"/>
        <v>255450</v>
      </c>
      <c r="BU37" s="27">
        <v>41913</v>
      </c>
      <c r="BV37" s="44">
        <v>41892</v>
      </c>
      <c r="BW37" s="44">
        <v>41922</v>
      </c>
      <c r="BX37" s="20">
        <v>204984</v>
      </c>
      <c r="BY37" s="19">
        <f t="shared" si="12"/>
        <v>204984</v>
      </c>
      <c r="BZ37" s="20">
        <v>2544</v>
      </c>
      <c r="CA37" s="20">
        <f t="shared" si="30"/>
        <v>2544</v>
      </c>
      <c r="CB37" s="20">
        <f t="shared" si="31"/>
        <v>202440</v>
      </c>
      <c r="CC37" s="71">
        <f t="shared" si="32"/>
        <v>202440</v>
      </c>
      <c r="CE37" s="27">
        <v>41913</v>
      </c>
      <c r="CF37" s="44">
        <v>41892</v>
      </c>
      <c r="CG37" s="44">
        <v>41922</v>
      </c>
      <c r="CH37" s="20">
        <v>152136</v>
      </c>
      <c r="CI37" s="19">
        <f t="shared" si="13"/>
        <v>152136</v>
      </c>
      <c r="CJ37" s="20">
        <v>2448</v>
      </c>
      <c r="CK37" s="20">
        <f t="shared" si="33"/>
        <v>2448</v>
      </c>
      <c r="CL37" s="20">
        <f t="shared" si="34"/>
        <v>149688</v>
      </c>
      <c r="CM37" s="71">
        <f t="shared" si="35"/>
        <v>149688</v>
      </c>
    </row>
    <row r="38" spans="3:91" s="43" customFormat="1">
      <c r="C38" s="18">
        <v>41944</v>
      </c>
      <c r="D38" s="16">
        <v>41922</v>
      </c>
      <c r="E38" s="16">
        <v>41953</v>
      </c>
      <c r="F38" s="19">
        <v>63072</v>
      </c>
      <c r="G38" s="19">
        <f t="shared" si="0"/>
        <v>63072</v>
      </c>
      <c r="H38" s="19">
        <v>4272</v>
      </c>
      <c r="I38" s="42">
        <f t="shared" si="14"/>
        <v>4272</v>
      </c>
      <c r="J38" s="19">
        <f t="shared" si="15"/>
        <v>58800</v>
      </c>
      <c r="K38" s="29">
        <f t="shared" si="16"/>
        <v>58800</v>
      </c>
      <c r="M38" s="18">
        <v>41944</v>
      </c>
      <c r="N38" s="16">
        <v>41922</v>
      </c>
      <c r="O38" s="16">
        <v>41953</v>
      </c>
      <c r="P38" s="19">
        <v>66504</v>
      </c>
      <c r="Q38" s="49">
        <f t="shared" si="1"/>
        <v>66504</v>
      </c>
      <c r="R38" s="19">
        <v>3864</v>
      </c>
      <c r="S38" s="49">
        <f t="shared" si="17"/>
        <v>3864</v>
      </c>
      <c r="T38" s="19">
        <f t="shared" si="18"/>
        <v>62640</v>
      </c>
      <c r="U38" s="29">
        <f t="shared" si="19"/>
        <v>62640</v>
      </c>
      <c r="W38" s="18">
        <v>41944</v>
      </c>
      <c r="X38" s="60">
        <v>41922</v>
      </c>
      <c r="Y38" s="60">
        <v>41953</v>
      </c>
      <c r="Z38" s="49">
        <v>68856</v>
      </c>
      <c r="AA38" s="49">
        <f t="shared" si="2"/>
        <v>68856</v>
      </c>
      <c r="AB38" s="49">
        <v>4104</v>
      </c>
      <c r="AC38" s="49">
        <f t="shared" si="20"/>
        <v>4104</v>
      </c>
      <c r="AD38" s="19">
        <f t="shared" si="3"/>
        <v>64752</v>
      </c>
      <c r="AE38" s="29">
        <f t="shared" si="21"/>
        <v>64752</v>
      </c>
      <c r="AG38" s="18">
        <v>41944</v>
      </c>
      <c r="AH38" s="16">
        <v>41917</v>
      </c>
      <c r="AI38" s="16">
        <v>41948</v>
      </c>
      <c r="AJ38" s="19">
        <v>143520</v>
      </c>
      <c r="AK38" s="19">
        <f t="shared" si="4"/>
        <v>143520</v>
      </c>
      <c r="AL38" s="19">
        <v>2520</v>
      </c>
      <c r="AM38" s="19">
        <f t="shared" si="22"/>
        <v>2520</v>
      </c>
      <c r="AN38" s="19">
        <f t="shared" si="5"/>
        <v>141000</v>
      </c>
      <c r="AO38" s="71">
        <f t="shared" si="23"/>
        <v>141000</v>
      </c>
      <c r="AQ38" s="18">
        <v>41944</v>
      </c>
      <c r="AR38" s="16">
        <v>41922</v>
      </c>
      <c r="AS38" s="16">
        <v>41953</v>
      </c>
      <c r="AT38" s="19">
        <v>51504</v>
      </c>
      <c r="AU38" s="19">
        <f t="shared" si="6"/>
        <v>51504</v>
      </c>
      <c r="AV38" s="19">
        <v>3984</v>
      </c>
      <c r="AW38" s="19">
        <f t="shared" si="24"/>
        <v>3984</v>
      </c>
      <c r="AX38" s="19">
        <f t="shared" si="7"/>
        <v>47520</v>
      </c>
      <c r="AY38" s="71">
        <f t="shared" si="25"/>
        <v>47520</v>
      </c>
      <c r="BA38" s="18">
        <v>41944</v>
      </c>
      <c r="BB38" s="16">
        <v>41917</v>
      </c>
      <c r="BC38" s="16">
        <v>41948</v>
      </c>
      <c r="BD38" s="19">
        <v>135510</v>
      </c>
      <c r="BE38" s="19">
        <f t="shared" si="8"/>
        <v>135510</v>
      </c>
      <c r="BF38" s="19">
        <v>3000</v>
      </c>
      <c r="BG38" s="19">
        <f t="shared" si="26"/>
        <v>3000</v>
      </c>
      <c r="BH38" s="19">
        <f t="shared" si="9"/>
        <v>132510</v>
      </c>
      <c r="BI38" s="71">
        <f t="shared" si="27"/>
        <v>132510</v>
      </c>
      <c r="BK38" s="27">
        <v>41944</v>
      </c>
      <c r="BL38" s="44">
        <v>41917</v>
      </c>
      <c r="BM38" s="44">
        <v>41948</v>
      </c>
      <c r="BN38" s="20">
        <v>137670</v>
      </c>
      <c r="BO38" s="19">
        <f t="shared" si="10"/>
        <v>137670</v>
      </c>
      <c r="BP38" s="20">
        <v>2730</v>
      </c>
      <c r="BQ38" s="20">
        <f t="shared" si="28"/>
        <v>2730</v>
      </c>
      <c r="BR38" s="20">
        <f t="shared" si="11"/>
        <v>134940</v>
      </c>
      <c r="BS38" s="71">
        <f t="shared" si="29"/>
        <v>134940</v>
      </c>
      <c r="BU38" s="27">
        <v>41944</v>
      </c>
      <c r="BV38" s="44">
        <v>41922</v>
      </c>
      <c r="BW38" s="44">
        <v>41953</v>
      </c>
      <c r="BX38" s="20">
        <v>75648</v>
      </c>
      <c r="BY38" s="19">
        <f t="shared" si="12"/>
        <v>75648</v>
      </c>
      <c r="BZ38" s="20">
        <v>2880</v>
      </c>
      <c r="CA38" s="20">
        <f t="shared" si="30"/>
        <v>2880</v>
      </c>
      <c r="CB38" s="20">
        <f t="shared" si="31"/>
        <v>72768</v>
      </c>
      <c r="CC38" s="71">
        <f t="shared" si="32"/>
        <v>72768</v>
      </c>
      <c r="CE38" s="27">
        <v>41944</v>
      </c>
      <c r="CF38" s="44">
        <v>41922</v>
      </c>
      <c r="CG38" s="44">
        <v>41953</v>
      </c>
      <c r="CH38" s="20">
        <v>68184</v>
      </c>
      <c r="CI38" s="19">
        <f t="shared" si="13"/>
        <v>68184</v>
      </c>
      <c r="CJ38" s="20">
        <v>3672</v>
      </c>
      <c r="CK38" s="20">
        <f t="shared" si="33"/>
        <v>3672</v>
      </c>
      <c r="CL38" s="20">
        <f t="shared" si="34"/>
        <v>64512</v>
      </c>
      <c r="CM38" s="71">
        <f t="shared" si="35"/>
        <v>64512</v>
      </c>
    </row>
    <row r="39" spans="3:91" s="43" customFormat="1">
      <c r="C39" s="18">
        <v>41974</v>
      </c>
      <c r="D39" s="16">
        <v>41953</v>
      </c>
      <c r="E39" s="16">
        <v>41983</v>
      </c>
      <c r="F39" s="19">
        <v>150336</v>
      </c>
      <c r="G39" s="19">
        <f t="shared" si="0"/>
        <v>150336</v>
      </c>
      <c r="H39" s="19">
        <v>1704</v>
      </c>
      <c r="I39" s="42">
        <f t="shared" si="14"/>
        <v>1704</v>
      </c>
      <c r="J39" s="19">
        <f t="shared" si="15"/>
        <v>148632</v>
      </c>
      <c r="K39" s="29">
        <f t="shared" si="16"/>
        <v>148632</v>
      </c>
      <c r="M39" s="18">
        <v>41974</v>
      </c>
      <c r="N39" s="16">
        <v>41953</v>
      </c>
      <c r="O39" s="16">
        <v>41979</v>
      </c>
      <c r="P39" s="19">
        <v>148368</v>
      </c>
      <c r="Q39" s="49">
        <f t="shared" si="1"/>
        <v>148368</v>
      </c>
      <c r="R39" s="19">
        <v>1608</v>
      </c>
      <c r="S39" s="49">
        <f t="shared" si="17"/>
        <v>1608</v>
      </c>
      <c r="T39" s="19">
        <f t="shared" si="18"/>
        <v>146760</v>
      </c>
      <c r="U39" s="29">
        <f t="shared" si="19"/>
        <v>146760</v>
      </c>
      <c r="W39" s="18">
        <v>41974</v>
      </c>
      <c r="X39" s="60">
        <v>41953</v>
      </c>
      <c r="Y39" s="60">
        <v>41983</v>
      </c>
      <c r="Z39" s="49">
        <v>137496</v>
      </c>
      <c r="AA39" s="49">
        <f t="shared" si="2"/>
        <v>137496</v>
      </c>
      <c r="AB39" s="49">
        <v>1560</v>
      </c>
      <c r="AC39" s="49">
        <f t="shared" si="20"/>
        <v>1560</v>
      </c>
      <c r="AD39" s="19">
        <f t="shared" ref="AD39:AD73" si="100">Z39-AB39</f>
        <v>135936</v>
      </c>
      <c r="AE39" s="29">
        <f t="shared" si="21"/>
        <v>135936</v>
      </c>
      <c r="AG39" s="18">
        <v>41974</v>
      </c>
      <c r="AH39" s="16">
        <v>41948</v>
      </c>
      <c r="AI39" s="16">
        <v>41978</v>
      </c>
      <c r="AJ39" s="19">
        <v>23730</v>
      </c>
      <c r="AK39" s="19">
        <f t="shared" si="4"/>
        <v>23730</v>
      </c>
      <c r="AL39" s="19">
        <v>3420</v>
      </c>
      <c r="AM39" s="19">
        <f t="shared" si="22"/>
        <v>3420</v>
      </c>
      <c r="AN39" s="19">
        <f t="shared" si="5"/>
        <v>20310</v>
      </c>
      <c r="AO39" s="71">
        <f t="shared" si="23"/>
        <v>20310</v>
      </c>
      <c r="AQ39" s="18">
        <v>41974</v>
      </c>
      <c r="AR39" s="16">
        <v>41953</v>
      </c>
      <c r="AS39" s="16">
        <v>41979</v>
      </c>
      <c r="AT39" s="19">
        <v>106368</v>
      </c>
      <c r="AU39" s="19">
        <f t="shared" si="6"/>
        <v>106368</v>
      </c>
      <c r="AV39" s="19">
        <v>1800</v>
      </c>
      <c r="AW39" s="19">
        <f t="shared" si="24"/>
        <v>1800</v>
      </c>
      <c r="AX39" s="19">
        <f t="shared" ref="AX39:AX73" si="101">AT39-AV39</f>
        <v>104568</v>
      </c>
      <c r="AY39" s="71">
        <f t="shared" si="25"/>
        <v>104568</v>
      </c>
      <c r="BA39" s="18">
        <v>41974</v>
      </c>
      <c r="BB39" s="44">
        <v>41948</v>
      </c>
      <c r="BC39" s="44">
        <v>41978</v>
      </c>
      <c r="BD39" s="20">
        <v>27210</v>
      </c>
      <c r="BE39" s="19">
        <f t="shared" si="8"/>
        <v>27210</v>
      </c>
      <c r="BF39" s="20">
        <v>3450</v>
      </c>
      <c r="BG39" s="20">
        <f t="shared" si="26"/>
        <v>3450</v>
      </c>
      <c r="BH39" s="20">
        <f t="shared" ref="BH39:BH73" si="102">BD39-BF39</f>
        <v>23760</v>
      </c>
      <c r="BI39" s="71">
        <f t="shared" si="27"/>
        <v>23760</v>
      </c>
      <c r="BK39" s="27">
        <v>41974</v>
      </c>
      <c r="BL39" s="44">
        <v>41948</v>
      </c>
      <c r="BM39" s="44">
        <v>41978</v>
      </c>
      <c r="BN39" s="20">
        <v>23820</v>
      </c>
      <c r="BO39" s="19">
        <f t="shared" si="10"/>
        <v>23820</v>
      </c>
      <c r="BP39" s="20">
        <v>3330</v>
      </c>
      <c r="BQ39" s="20">
        <f t="shared" si="28"/>
        <v>3330</v>
      </c>
      <c r="BR39" s="20">
        <f t="shared" ref="BR39:BR73" si="103">BN39-BP39</f>
        <v>20490</v>
      </c>
      <c r="BS39" s="71">
        <f t="shared" si="29"/>
        <v>20490</v>
      </c>
      <c r="BU39" s="27">
        <v>41974</v>
      </c>
      <c r="BV39" s="44">
        <v>41953</v>
      </c>
      <c r="BW39" s="44">
        <v>41983</v>
      </c>
      <c r="BX39" s="20">
        <v>127416</v>
      </c>
      <c r="BY39" s="19">
        <f t="shared" si="12"/>
        <v>127416</v>
      </c>
      <c r="BZ39" s="20">
        <v>1368</v>
      </c>
      <c r="CA39" s="20">
        <f t="shared" si="30"/>
        <v>1368</v>
      </c>
      <c r="CB39" s="20">
        <f t="shared" si="31"/>
        <v>126048</v>
      </c>
      <c r="CC39" s="71">
        <f t="shared" si="32"/>
        <v>126048</v>
      </c>
      <c r="CE39" s="27">
        <v>41974</v>
      </c>
      <c r="CF39" s="44">
        <v>41953</v>
      </c>
      <c r="CG39" s="44">
        <v>41983</v>
      </c>
      <c r="CH39" s="20">
        <v>120888</v>
      </c>
      <c r="CI39" s="19">
        <f t="shared" si="13"/>
        <v>120888</v>
      </c>
      <c r="CJ39" s="20">
        <v>1632</v>
      </c>
      <c r="CK39" s="20">
        <f t="shared" si="33"/>
        <v>1632</v>
      </c>
      <c r="CL39" s="20">
        <f t="shared" si="34"/>
        <v>119256</v>
      </c>
      <c r="CM39" s="71">
        <f t="shared" si="35"/>
        <v>119256</v>
      </c>
    </row>
    <row r="40" spans="3:91" s="43" customFormat="1">
      <c r="C40" s="151">
        <v>42005</v>
      </c>
      <c r="D40" s="44">
        <v>41983</v>
      </c>
      <c r="E40" s="44">
        <v>42004</v>
      </c>
      <c r="F40" s="20">
        <f>171288*(21/31)</f>
        <v>116033.80645161289</v>
      </c>
      <c r="G40" s="20">
        <f t="shared" ref="G40" si="104">F40</f>
        <v>116033.80645161289</v>
      </c>
      <c r="H40" s="20">
        <f>2520*(21/31)</f>
        <v>1707.0967741935483</v>
      </c>
      <c r="I40" s="42">
        <f t="shared" ref="I40" si="105">H40</f>
        <v>1707.0967741935483</v>
      </c>
      <c r="J40" s="20">
        <f>F40-H40</f>
        <v>114326.70967741935</v>
      </c>
      <c r="K40" s="29">
        <f t="shared" ref="K40" si="106">G40-I40</f>
        <v>114326.70967741935</v>
      </c>
      <c r="M40" s="151">
        <v>42005</v>
      </c>
      <c r="N40" s="44">
        <v>41979</v>
      </c>
      <c r="O40" s="44">
        <v>42004</v>
      </c>
      <c r="P40" s="20">
        <f>178200*(25/31)</f>
        <v>143709.67741935482</v>
      </c>
      <c r="Q40" s="42">
        <f t="shared" ref="Q40" si="107">P40</f>
        <v>143709.67741935482</v>
      </c>
      <c r="R40" s="20">
        <f>2496*(25/31)</f>
        <v>2012.9032258064515</v>
      </c>
      <c r="S40" s="42">
        <f t="shared" ref="S40" si="108">R40</f>
        <v>2012.9032258064515</v>
      </c>
      <c r="T40" s="20">
        <f t="shared" si="18"/>
        <v>141696.77419354836</v>
      </c>
      <c r="U40" s="29">
        <f t="shared" ref="U40" si="109">Q40-S40</f>
        <v>141696.77419354836</v>
      </c>
      <c r="W40" s="151">
        <v>42005</v>
      </c>
      <c r="X40" s="44">
        <v>41983</v>
      </c>
      <c r="Y40" s="44">
        <v>42004</v>
      </c>
      <c r="Z40" s="20">
        <f>162120*(21/31)</f>
        <v>109823.22580645161</v>
      </c>
      <c r="AA40" s="42">
        <f t="shared" ref="AA40" si="110">Z40</f>
        <v>109823.22580645161</v>
      </c>
      <c r="AB40" s="20">
        <f>2136*(21/31)</f>
        <v>1446.9677419354837</v>
      </c>
      <c r="AC40" s="42">
        <f t="shared" ref="AC40" si="111">AB40</f>
        <v>1446.9677419354837</v>
      </c>
      <c r="AD40" s="20">
        <f t="shared" ref="AD40" si="112">Z40-AB40</f>
        <v>108376.25806451612</v>
      </c>
      <c r="AE40" s="29">
        <f t="shared" ref="AE40" si="113">AA40-AC40</f>
        <v>108376.25806451612</v>
      </c>
      <c r="AG40" s="151">
        <v>42005</v>
      </c>
      <c r="AH40" s="44">
        <v>41978</v>
      </c>
      <c r="AI40" s="44">
        <v>42004</v>
      </c>
      <c r="AJ40" s="20">
        <f>8040*(26/31)</f>
        <v>6743.2258064516136</v>
      </c>
      <c r="AK40" s="42">
        <f t="shared" ref="AK40" si="114">AJ40</f>
        <v>6743.2258064516136</v>
      </c>
      <c r="AL40" s="20">
        <f>2850*(26/31)</f>
        <v>2390.3225806451615</v>
      </c>
      <c r="AM40" s="42">
        <f t="shared" ref="AM40" si="115">AL40</f>
        <v>2390.3225806451615</v>
      </c>
      <c r="AN40" s="20">
        <f t="shared" ref="AN40" si="116">AJ40-AL40</f>
        <v>4352.9032258064526</v>
      </c>
      <c r="AO40" s="29">
        <f t="shared" ref="AO40" si="117">AK40-AM40</f>
        <v>4352.9032258064526</v>
      </c>
      <c r="AQ40" s="151">
        <v>42005</v>
      </c>
      <c r="AR40" s="44">
        <v>41979</v>
      </c>
      <c r="AS40" s="44">
        <v>42004</v>
      </c>
      <c r="AT40" s="20">
        <f>125856*(25/31)</f>
        <v>101496.77419354838</v>
      </c>
      <c r="AU40" s="42">
        <f t="shared" ref="AU40" si="118">AT40</f>
        <v>101496.77419354838</v>
      </c>
      <c r="AV40" s="20">
        <f>2424*(25/31)</f>
        <v>1954.8387096774193</v>
      </c>
      <c r="AW40" s="42">
        <f t="shared" ref="AW40" si="119">AV40</f>
        <v>1954.8387096774193</v>
      </c>
      <c r="AX40" s="20">
        <f t="shared" ref="AX40" si="120">AT40-AV40</f>
        <v>99541.935483870955</v>
      </c>
      <c r="AY40" s="29">
        <f t="shared" ref="AY40" si="121">AU40-AW40</f>
        <v>99541.935483870955</v>
      </c>
      <c r="BA40" s="151">
        <v>42005</v>
      </c>
      <c r="BB40" s="44">
        <v>41978</v>
      </c>
      <c r="BC40" s="44">
        <v>42004</v>
      </c>
      <c r="BD40" s="20">
        <f>9750*(26/31)</f>
        <v>8177.4193548387102</v>
      </c>
      <c r="BE40" s="20">
        <f t="shared" ref="BE40" si="122">BD40</f>
        <v>8177.4193548387102</v>
      </c>
      <c r="BF40" s="142">
        <f>3540*(26/31)</f>
        <v>2969.0322580645161</v>
      </c>
      <c r="BG40" s="142">
        <f t="shared" ref="BG40" si="123">BF40</f>
        <v>2969.0322580645161</v>
      </c>
      <c r="BH40" s="20">
        <f t="shared" ref="BH40" si="124">BD40-BF40</f>
        <v>5208.3870967741941</v>
      </c>
      <c r="BI40" s="29">
        <f t="shared" ref="BI40" si="125">BE40-BG40</f>
        <v>5208.3870967741941</v>
      </c>
      <c r="BK40" s="151">
        <v>42005</v>
      </c>
      <c r="BL40" s="44">
        <v>41978</v>
      </c>
      <c r="BM40" s="44">
        <v>42004</v>
      </c>
      <c r="BN40" s="20">
        <f>7860*(26/31)</f>
        <v>6592.2580645161297</v>
      </c>
      <c r="BO40" s="20">
        <f t="shared" ref="BO40" si="126">BN40</f>
        <v>6592.2580645161297</v>
      </c>
      <c r="BP40" s="142">
        <f>3210*(26/31)</f>
        <v>2692.2580645161293</v>
      </c>
      <c r="BQ40" s="142">
        <f t="shared" ref="BQ40" si="127">BP40</f>
        <v>2692.2580645161293</v>
      </c>
      <c r="BR40" s="20">
        <f t="shared" ref="BR40" si="128">BN40-BP40</f>
        <v>3900.0000000000005</v>
      </c>
      <c r="BS40" s="29">
        <f t="shared" ref="BS40" si="129">BO40-BQ40</f>
        <v>3900.0000000000005</v>
      </c>
      <c r="BU40" s="151">
        <v>42005</v>
      </c>
      <c r="BV40" s="44">
        <v>41983</v>
      </c>
      <c r="BW40" s="44">
        <v>42004</v>
      </c>
      <c r="BX40" s="20">
        <f>156072*(21/31)</f>
        <v>105726.19354838709</v>
      </c>
      <c r="BY40" s="20">
        <f t="shared" ref="BY40" si="130">BX40</f>
        <v>105726.19354838709</v>
      </c>
      <c r="BZ40" s="142">
        <f>1776*(21/31)</f>
        <v>1203.0967741935483</v>
      </c>
      <c r="CA40" s="142">
        <f t="shared" ref="CA40" si="131">BZ40</f>
        <v>1203.0967741935483</v>
      </c>
      <c r="CB40" s="20">
        <f t="shared" ref="CB40" si="132">BX40-BZ40</f>
        <v>104523.09677419355</v>
      </c>
      <c r="CC40" s="29">
        <f t="shared" ref="CC40" si="133">BY40-CA40</f>
        <v>104523.09677419355</v>
      </c>
      <c r="CE40" s="151">
        <v>42005</v>
      </c>
      <c r="CF40" s="44">
        <v>41983</v>
      </c>
      <c r="CG40" s="44">
        <v>42004</v>
      </c>
      <c r="CH40" s="20">
        <f>146688*(21/31)</f>
        <v>99369.290322580637</v>
      </c>
      <c r="CI40" s="20">
        <f t="shared" ref="CI40" si="134">CH40</f>
        <v>99369.290322580637</v>
      </c>
      <c r="CJ40" s="142">
        <f>2184*(21/31)</f>
        <v>1479.4838709677417</v>
      </c>
      <c r="CK40" s="142">
        <f t="shared" ref="CK40" si="135">CJ40</f>
        <v>1479.4838709677417</v>
      </c>
      <c r="CL40" s="20">
        <f t="shared" ref="CL40" si="136">CH40-CJ40</f>
        <v>97889.806451612894</v>
      </c>
      <c r="CM40" s="29">
        <f t="shared" ref="CM40" si="137">CI40-CK40</f>
        <v>97889.806451612894</v>
      </c>
    </row>
    <row r="41" spans="3:91" s="43" customFormat="1">
      <c r="C41" s="152"/>
      <c r="D41" s="143">
        <v>42005</v>
      </c>
      <c r="E41" s="44">
        <v>42014</v>
      </c>
      <c r="F41" s="20">
        <f>171288*(10/31)</f>
        <v>55254.193548387098</v>
      </c>
      <c r="G41" s="20">
        <f t="shared" si="0"/>
        <v>55254.193548387098</v>
      </c>
      <c r="H41" s="20">
        <f>2520*(10/31)</f>
        <v>812.90322580645159</v>
      </c>
      <c r="I41" s="42">
        <f t="shared" si="14"/>
        <v>812.90322580645159</v>
      </c>
      <c r="J41" s="20">
        <f>F41-H41</f>
        <v>54441.290322580644</v>
      </c>
      <c r="K41" s="29">
        <f t="shared" si="16"/>
        <v>54441.290322580644</v>
      </c>
      <c r="M41" s="152"/>
      <c r="N41" s="143">
        <v>42005</v>
      </c>
      <c r="O41" s="44">
        <v>42010</v>
      </c>
      <c r="P41" s="20">
        <f>178200*(6/31)</f>
        <v>34490.322580645159</v>
      </c>
      <c r="Q41" s="42">
        <f t="shared" si="1"/>
        <v>34490.322580645159</v>
      </c>
      <c r="R41" s="20">
        <f>2496*(6/31)</f>
        <v>483.09677419354836</v>
      </c>
      <c r="S41" s="42">
        <f t="shared" si="17"/>
        <v>483.09677419354836</v>
      </c>
      <c r="T41" s="20">
        <f t="shared" ref="T41:T74" si="138">P41-R41</f>
        <v>34007.225806451614</v>
      </c>
      <c r="U41" s="29">
        <f t="shared" si="19"/>
        <v>34007.225806451614</v>
      </c>
      <c r="W41" s="152"/>
      <c r="X41" s="44">
        <v>42005</v>
      </c>
      <c r="Y41" s="44">
        <v>42014</v>
      </c>
      <c r="Z41" s="20">
        <f>162120*(10/31)</f>
        <v>52296.774193548386</v>
      </c>
      <c r="AA41" s="42">
        <f t="shared" si="2"/>
        <v>52296.774193548386</v>
      </c>
      <c r="AB41" s="20">
        <f>2136*(10/31)</f>
        <v>689.0322580645161</v>
      </c>
      <c r="AC41" s="42">
        <f t="shared" si="20"/>
        <v>689.0322580645161</v>
      </c>
      <c r="AD41" s="20">
        <f t="shared" si="100"/>
        <v>51607.741935483871</v>
      </c>
      <c r="AE41" s="29">
        <f t="shared" si="21"/>
        <v>51607.741935483871</v>
      </c>
      <c r="AG41" s="152"/>
      <c r="AH41" s="44">
        <v>42005</v>
      </c>
      <c r="AI41" s="44">
        <v>42009</v>
      </c>
      <c r="AJ41" s="20">
        <f>8040*(5/31)</f>
        <v>1296.7741935483871</v>
      </c>
      <c r="AK41" s="42">
        <f t="shared" si="4"/>
        <v>1296.7741935483871</v>
      </c>
      <c r="AL41" s="20">
        <f>2850*(5/31)</f>
        <v>459.67741935483872</v>
      </c>
      <c r="AM41" s="42">
        <f t="shared" si="22"/>
        <v>459.67741935483872</v>
      </c>
      <c r="AN41" s="20">
        <f t="shared" si="5"/>
        <v>837.0967741935483</v>
      </c>
      <c r="AO41" s="29">
        <f t="shared" si="23"/>
        <v>837.0967741935483</v>
      </c>
      <c r="AQ41" s="152"/>
      <c r="AR41" s="44">
        <v>42005</v>
      </c>
      <c r="AS41" s="44">
        <v>42010</v>
      </c>
      <c r="AT41" s="20">
        <f>125856*(6/31)</f>
        <v>24359.225806451614</v>
      </c>
      <c r="AU41" s="42">
        <f t="shared" si="6"/>
        <v>24359.225806451614</v>
      </c>
      <c r="AV41" s="20">
        <f>2424*(6/31)</f>
        <v>469.16129032258061</v>
      </c>
      <c r="AW41" s="42">
        <f t="shared" si="24"/>
        <v>469.16129032258061</v>
      </c>
      <c r="AX41" s="20">
        <f t="shared" si="101"/>
        <v>23890.064516129034</v>
      </c>
      <c r="AY41" s="29">
        <f t="shared" si="25"/>
        <v>23890.064516129034</v>
      </c>
      <c r="BA41" s="152"/>
      <c r="BB41" s="44">
        <v>42005</v>
      </c>
      <c r="BC41" s="44">
        <v>42009</v>
      </c>
      <c r="BD41" s="20">
        <f>9750*(5/31)</f>
        <v>1572.5806451612902</v>
      </c>
      <c r="BE41" s="20">
        <f t="shared" si="8"/>
        <v>1572.5806451612902</v>
      </c>
      <c r="BF41" s="142">
        <f>3540*(5/31)</f>
        <v>570.9677419354839</v>
      </c>
      <c r="BG41" s="142">
        <f t="shared" si="26"/>
        <v>570.9677419354839</v>
      </c>
      <c r="BH41" s="20">
        <f t="shared" si="102"/>
        <v>1001.6129032258063</v>
      </c>
      <c r="BI41" s="29">
        <f t="shared" si="27"/>
        <v>1001.6129032258063</v>
      </c>
      <c r="BK41" s="152"/>
      <c r="BL41" s="44">
        <v>42005</v>
      </c>
      <c r="BM41" s="44">
        <v>42009</v>
      </c>
      <c r="BN41" s="20">
        <f>7860*(5/31)</f>
        <v>1267.741935483871</v>
      </c>
      <c r="BO41" s="20">
        <f t="shared" si="10"/>
        <v>1267.741935483871</v>
      </c>
      <c r="BP41" s="142">
        <f>3210*(5/31)</f>
        <v>517.74193548387098</v>
      </c>
      <c r="BQ41" s="142">
        <f t="shared" si="28"/>
        <v>517.74193548387098</v>
      </c>
      <c r="BR41" s="20">
        <f>BN41-BP41</f>
        <v>750</v>
      </c>
      <c r="BS41" s="29">
        <f t="shared" si="29"/>
        <v>750</v>
      </c>
      <c r="BU41" s="152"/>
      <c r="BV41" s="44">
        <v>42005</v>
      </c>
      <c r="BW41" s="44">
        <v>42014</v>
      </c>
      <c r="BX41" s="20">
        <f>156072*(10/31)</f>
        <v>50345.806451612902</v>
      </c>
      <c r="BY41" s="20">
        <f t="shared" si="12"/>
        <v>50345.806451612902</v>
      </c>
      <c r="BZ41" s="142">
        <f>1776*(10/31)</f>
        <v>572.90322580645159</v>
      </c>
      <c r="CA41" s="142">
        <f t="shared" si="30"/>
        <v>572.90322580645159</v>
      </c>
      <c r="CB41" s="20">
        <f t="shared" si="31"/>
        <v>49772.903225806447</v>
      </c>
      <c r="CC41" s="29">
        <f t="shared" si="32"/>
        <v>49772.903225806447</v>
      </c>
      <c r="CE41" s="152"/>
      <c r="CF41" s="44">
        <v>42005</v>
      </c>
      <c r="CG41" s="44">
        <v>42014</v>
      </c>
      <c r="CH41" s="20">
        <f>146688*(10/31)</f>
        <v>47318.709677419356</v>
      </c>
      <c r="CI41" s="20">
        <f t="shared" si="13"/>
        <v>47318.709677419356</v>
      </c>
      <c r="CJ41" s="142">
        <f>2184*(10/31)</f>
        <v>704.51612903225805</v>
      </c>
      <c r="CK41" s="142">
        <f t="shared" si="33"/>
        <v>704.51612903225805</v>
      </c>
      <c r="CL41" s="20">
        <f t="shared" si="34"/>
        <v>46614.193548387098</v>
      </c>
      <c r="CM41" s="29">
        <f t="shared" si="35"/>
        <v>46614.193548387098</v>
      </c>
    </row>
    <row r="42" spans="3:91" s="43" customFormat="1">
      <c r="C42" s="18">
        <v>42036</v>
      </c>
      <c r="D42" s="16">
        <v>42014</v>
      </c>
      <c r="E42" s="16">
        <v>42045</v>
      </c>
      <c r="F42" s="19">
        <v>194616</v>
      </c>
      <c r="G42" s="19">
        <f t="shared" si="0"/>
        <v>194616</v>
      </c>
      <c r="H42" s="19">
        <v>2544</v>
      </c>
      <c r="I42" s="42">
        <f t="shared" si="14"/>
        <v>2544</v>
      </c>
      <c r="J42" s="19">
        <f t="shared" si="15"/>
        <v>192072</v>
      </c>
      <c r="K42" s="29">
        <f t="shared" si="16"/>
        <v>192072</v>
      </c>
      <c r="M42" s="18">
        <v>42036</v>
      </c>
      <c r="N42" s="16">
        <v>42010</v>
      </c>
      <c r="O42" s="16">
        <v>42040</v>
      </c>
      <c r="P42" s="19">
        <v>182544</v>
      </c>
      <c r="Q42" s="49">
        <f t="shared" si="1"/>
        <v>182544</v>
      </c>
      <c r="R42" s="19">
        <v>2400</v>
      </c>
      <c r="S42" s="49">
        <f t="shared" si="17"/>
        <v>2400</v>
      </c>
      <c r="T42" s="19">
        <f t="shared" si="138"/>
        <v>180144</v>
      </c>
      <c r="U42" s="29">
        <f t="shared" si="19"/>
        <v>180144</v>
      </c>
      <c r="W42" s="18">
        <v>42036</v>
      </c>
      <c r="X42" s="60">
        <v>42014</v>
      </c>
      <c r="Y42" s="60">
        <v>42040</v>
      </c>
      <c r="Z42" s="49">
        <v>193920</v>
      </c>
      <c r="AA42" s="49">
        <f t="shared" si="2"/>
        <v>193920</v>
      </c>
      <c r="AB42" s="49">
        <v>2472</v>
      </c>
      <c r="AC42" s="49">
        <f t="shared" si="20"/>
        <v>2472</v>
      </c>
      <c r="AD42" s="19">
        <f t="shared" si="100"/>
        <v>191448</v>
      </c>
      <c r="AE42" s="29">
        <f t="shared" si="21"/>
        <v>191448</v>
      </c>
      <c r="AG42" s="18">
        <v>42036</v>
      </c>
      <c r="AH42" s="16">
        <v>42009</v>
      </c>
      <c r="AI42" s="16">
        <v>42040</v>
      </c>
      <c r="AJ42" s="19">
        <v>16170</v>
      </c>
      <c r="AK42" s="19">
        <f t="shared" si="4"/>
        <v>16170</v>
      </c>
      <c r="AL42" s="19">
        <v>3030</v>
      </c>
      <c r="AM42" s="19">
        <f t="shared" si="22"/>
        <v>3030</v>
      </c>
      <c r="AN42" s="19">
        <f t="shared" si="5"/>
        <v>13140</v>
      </c>
      <c r="AO42" s="71">
        <f t="shared" si="23"/>
        <v>13140</v>
      </c>
      <c r="AQ42" s="18">
        <v>42036</v>
      </c>
      <c r="AR42" s="16">
        <v>42010</v>
      </c>
      <c r="AS42" s="16">
        <v>42040</v>
      </c>
      <c r="AT42" s="19">
        <v>150336</v>
      </c>
      <c r="AU42" s="19">
        <f t="shared" si="6"/>
        <v>150336</v>
      </c>
      <c r="AV42" s="19">
        <v>2760</v>
      </c>
      <c r="AW42" s="19">
        <f t="shared" si="24"/>
        <v>2760</v>
      </c>
      <c r="AX42" s="19">
        <f t="shared" si="101"/>
        <v>147576</v>
      </c>
      <c r="AY42" s="71">
        <f t="shared" si="25"/>
        <v>147576</v>
      </c>
      <c r="BA42" s="18">
        <v>42036</v>
      </c>
      <c r="BB42" s="44">
        <v>42009</v>
      </c>
      <c r="BC42" s="44">
        <v>42040</v>
      </c>
      <c r="BD42" s="20">
        <v>20310</v>
      </c>
      <c r="BE42" s="19">
        <f t="shared" si="8"/>
        <v>20310</v>
      </c>
      <c r="BF42" s="20">
        <v>3240</v>
      </c>
      <c r="BG42" s="20">
        <f t="shared" si="26"/>
        <v>3240</v>
      </c>
      <c r="BH42" s="20">
        <f t="shared" si="102"/>
        <v>17070</v>
      </c>
      <c r="BI42" s="71">
        <f t="shared" si="27"/>
        <v>17070</v>
      </c>
      <c r="BK42" s="18">
        <v>42036</v>
      </c>
      <c r="BL42" s="44">
        <v>42009</v>
      </c>
      <c r="BM42" s="44">
        <v>42040</v>
      </c>
      <c r="BN42" s="20">
        <v>19350</v>
      </c>
      <c r="BO42" s="19">
        <f t="shared" si="10"/>
        <v>19350</v>
      </c>
      <c r="BP42" s="20">
        <v>3240</v>
      </c>
      <c r="BQ42" s="20">
        <f t="shared" si="28"/>
        <v>3240</v>
      </c>
      <c r="BR42" s="20">
        <f t="shared" si="103"/>
        <v>16110</v>
      </c>
      <c r="BS42" s="71">
        <f t="shared" si="29"/>
        <v>16110</v>
      </c>
      <c r="BU42" s="27">
        <v>42036</v>
      </c>
      <c r="BV42" s="16">
        <v>42014</v>
      </c>
      <c r="BW42" s="16">
        <v>42040</v>
      </c>
      <c r="BX42" s="19">
        <v>201240</v>
      </c>
      <c r="BY42" s="19">
        <f t="shared" si="12"/>
        <v>201240</v>
      </c>
      <c r="BZ42" s="19">
        <v>2040</v>
      </c>
      <c r="CA42" s="19">
        <f t="shared" si="30"/>
        <v>2040</v>
      </c>
      <c r="CB42" s="19">
        <f t="shared" si="31"/>
        <v>199200</v>
      </c>
      <c r="CC42" s="71">
        <f t="shared" si="32"/>
        <v>199200</v>
      </c>
      <c r="CE42" s="27">
        <v>42036</v>
      </c>
      <c r="CF42" s="44">
        <v>42014</v>
      </c>
      <c r="CG42" s="44">
        <v>42040</v>
      </c>
      <c r="CH42" s="20">
        <v>166272</v>
      </c>
      <c r="CI42" s="19">
        <f t="shared" si="13"/>
        <v>166272</v>
      </c>
      <c r="CJ42" s="20">
        <v>2664</v>
      </c>
      <c r="CK42" s="20">
        <f t="shared" si="33"/>
        <v>2664</v>
      </c>
      <c r="CL42" s="20">
        <f t="shared" si="34"/>
        <v>163608</v>
      </c>
      <c r="CM42" s="71">
        <f t="shared" si="35"/>
        <v>163608</v>
      </c>
    </row>
    <row r="43" spans="3:91" s="43" customFormat="1">
      <c r="C43" s="18">
        <v>42064</v>
      </c>
      <c r="D43" s="16">
        <v>42045</v>
      </c>
      <c r="E43" s="16">
        <v>42073</v>
      </c>
      <c r="F43" s="19">
        <v>111192</v>
      </c>
      <c r="G43" s="19">
        <f t="shared" si="0"/>
        <v>111192</v>
      </c>
      <c r="H43" s="19">
        <v>2256</v>
      </c>
      <c r="I43" s="42">
        <f t="shared" si="14"/>
        <v>2256</v>
      </c>
      <c r="J43" s="19">
        <f t="shared" si="15"/>
        <v>108936</v>
      </c>
      <c r="K43" s="29">
        <f t="shared" si="16"/>
        <v>108936</v>
      </c>
      <c r="M43" s="18">
        <v>42064</v>
      </c>
      <c r="N43" s="16">
        <v>42040</v>
      </c>
      <c r="O43" s="16">
        <v>42068</v>
      </c>
      <c r="P43" s="19">
        <v>130872</v>
      </c>
      <c r="Q43" s="49">
        <f t="shared" si="1"/>
        <v>130872</v>
      </c>
      <c r="R43" s="19">
        <v>2352</v>
      </c>
      <c r="S43" s="49">
        <f t="shared" si="17"/>
        <v>2352</v>
      </c>
      <c r="T43" s="19">
        <f t="shared" si="138"/>
        <v>128520</v>
      </c>
      <c r="U43" s="29">
        <f t="shared" si="19"/>
        <v>128520</v>
      </c>
      <c r="W43" s="18">
        <v>42064</v>
      </c>
      <c r="X43" s="60">
        <v>42040</v>
      </c>
      <c r="Y43" s="60">
        <v>42068</v>
      </c>
      <c r="Z43" s="49">
        <v>139464</v>
      </c>
      <c r="AA43" s="49">
        <f t="shared" si="2"/>
        <v>139464</v>
      </c>
      <c r="AB43" s="49">
        <v>2280</v>
      </c>
      <c r="AC43" s="49">
        <f t="shared" si="20"/>
        <v>2280</v>
      </c>
      <c r="AD43" s="19">
        <f t="shared" si="100"/>
        <v>137184</v>
      </c>
      <c r="AE43" s="29">
        <f t="shared" si="21"/>
        <v>137184</v>
      </c>
      <c r="AG43" s="18">
        <v>42064</v>
      </c>
      <c r="AH43" s="16">
        <v>42040</v>
      </c>
      <c r="AI43" s="16">
        <v>42068</v>
      </c>
      <c r="AJ43" s="19">
        <v>18060</v>
      </c>
      <c r="AK43" s="19">
        <f t="shared" si="4"/>
        <v>18060</v>
      </c>
      <c r="AL43" s="19">
        <v>3150</v>
      </c>
      <c r="AM43" s="19">
        <f t="shared" si="22"/>
        <v>3150</v>
      </c>
      <c r="AN43" s="19">
        <f t="shared" si="5"/>
        <v>14910</v>
      </c>
      <c r="AO43" s="71">
        <f t="shared" si="23"/>
        <v>14910</v>
      </c>
      <c r="AQ43" s="18">
        <v>42064</v>
      </c>
      <c r="AR43" s="16">
        <v>42040</v>
      </c>
      <c r="AS43" s="16">
        <v>42068</v>
      </c>
      <c r="AT43" s="19">
        <v>106704</v>
      </c>
      <c r="AU43" s="19">
        <f t="shared" si="6"/>
        <v>106704</v>
      </c>
      <c r="AV43" s="19">
        <v>2424</v>
      </c>
      <c r="AW43" s="19">
        <f t="shared" si="24"/>
        <v>2424</v>
      </c>
      <c r="AX43" s="19">
        <f t="shared" si="101"/>
        <v>104280</v>
      </c>
      <c r="AY43" s="71">
        <f t="shared" si="25"/>
        <v>104280</v>
      </c>
      <c r="BA43" s="18">
        <v>42064</v>
      </c>
      <c r="BB43" s="44">
        <v>42040</v>
      </c>
      <c r="BC43" s="44">
        <v>42068</v>
      </c>
      <c r="BD43" s="20">
        <v>22170</v>
      </c>
      <c r="BE43" s="19">
        <f t="shared" si="8"/>
        <v>22170</v>
      </c>
      <c r="BF43" s="20">
        <v>3480</v>
      </c>
      <c r="BG43" s="20">
        <f t="shared" si="26"/>
        <v>3480</v>
      </c>
      <c r="BH43" s="20">
        <f t="shared" si="102"/>
        <v>18690</v>
      </c>
      <c r="BI43" s="71">
        <f t="shared" si="27"/>
        <v>18690</v>
      </c>
      <c r="BK43" s="18">
        <v>42064</v>
      </c>
      <c r="BL43" s="44">
        <v>42040</v>
      </c>
      <c r="BM43" s="44">
        <v>42068</v>
      </c>
      <c r="BN43" s="20">
        <v>20910</v>
      </c>
      <c r="BO43" s="19">
        <f t="shared" si="10"/>
        <v>20910</v>
      </c>
      <c r="BP43" s="20">
        <v>3420</v>
      </c>
      <c r="BQ43" s="20">
        <f t="shared" si="28"/>
        <v>3420</v>
      </c>
      <c r="BR43" s="20">
        <f t="shared" si="103"/>
        <v>17490</v>
      </c>
      <c r="BS43" s="71">
        <f t="shared" si="29"/>
        <v>17490</v>
      </c>
      <c r="BU43" s="27">
        <v>42064</v>
      </c>
      <c r="BV43" s="44">
        <v>42040</v>
      </c>
      <c r="BW43" s="44">
        <v>42068</v>
      </c>
      <c r="BX43" s="20">
        <v>148008</v>
      </c>
      <c r="BY43" s="19">
        <f t="shared" si="12"/>
        <v>148008</v>
      </c>
      <c r="BZ43" s="20">
        <v>1848</v>
      </c>
      <c r="CA43" s="20">
        <f t="shared" si="30"/>
        <v>1848</v>
      </c>
      <c r="CB43" s="20">
        <f t="shared" si="31"/>
        <v>146160</v>
      </c>
      <c r="CC43" s="71">
        <f t="shared" si="32"/>
        <v>146160</v>
      </c>
      <c r="CE43" s="27">
        <v>42064</v>
      </c>
      <c r="CF43" s="44">
        <v>42040</v>
      </c>
      <c r="CG43" s="44">
        <v>42073</v>
      </c>
      <c r="CH43" s="20">
        <v>124608</v>
      </c>
      <c r="CI43" s="19">
        <f t="shared" si="13"/>
        <v>124608</v>
      </c>
      <c r="CJ43" s="20">
        <v>2256</v>
      </c>
      <c r="CK43" s="20">
        <f t="shared" si="33"/>
        <v>2256</v>
      </c>
      <c r="CL43" s="20">
        <f t="shared" si="34"/>
        <v>122352</v>
      </c>
      <c r="CM43" s="71">
        <f t="shared" si="35"/>
        <v>122352</v>
      </c>
    </row>
    <row r="44" spans="3:91" s="43" customFormat="1">
      <c r="C44" s="18">
        <v>42095</v>
      </c>
      <c r="D44" s="16">
        <v>42073</v>
      </c>
      <c r="E44" s="16">
        <v>42104</v>
      </c>
      <c r="F44" s="19">
        <v>114120</v>
      </c>
      <c r="G44" s="19">
        <f t="shared" si="0"/>
        <v>114120</v>
      </c>
      <c r="H44" s="19">
        <v>3216</v>
      </c>
      <c r="I44" s="42">
        <f t="shared" si="14"/>
        <v>3216</v>
      </c>
      <c r="J44" s="19">
        <f t="shared" si="15"/>
        <v>110904</v>
      </c>
      <c r="K44" s="29">
        <f t="shared" si="16"/>
        <v>110904</v>
      </c>
      <c r="M44" s="18">
        <v>42095</v>
      </c>
      <c r="N44" s="16">
        <v>42068</v>
      </c>
      <c r="O44" s="16">
        <v>42100</v>
      </c>
      <c r="P44" s="19">
        <v>133776</v>
      </c>
      <c r="Q44" s="49">
        <f t="shared" si="1"/>
        <v>133776</v>
      </c>
      <c r="R44" s="19">
        <v>3096</v>
      </c>
      <c r="S44" s="49">
        <f t="shared" si="17"/>
        <v>3096</v>
      </c>
      <c r="T44" s="19">
        <f t="shared" si="138"/>
        <v>130680</v>
      </c>
      <c r="U44" s="29">
        <f t="shared" si="19"/>
        <v>130680</v>
      </c>
      <c r="W44" s="18">
        <v>42095</v>
      </c>
      <c r="X44" s="60">
        <v>42068</v>
      </c>
      <c r="Y44" s="60">
        <v>42099</v>
      </c>
      <c r="Z44" s="49">
        <v>129504</v>
      </c>
      <c r="AA44" s="49">
        <f t="shared" si="2"/>
        <v>129504</v>
      </c>
      <c r="AB44" s="49">
        <v>3072</v>
      </c>
      <c r="AC44" s="49">
        <f t="shared" si="20"/>
        <v>3072</v>
      </c>
      <c r="AD44" s="19">
        <f t="shared" si="100"/>
        <v>126432</v>
      </c>
      <c r="AE44" s="29">
        <f t="shared" si="21"/>
        <v>126432</v>
      </c>
      <c r="AG44" s="18">
        <v>42095</v>
      </c>
      <c r="AH44" s="16">
        <v>42068</v>
      </c>
      <c r="AI44" s="16">
        <v>42099</v>
      </c>
      <c r="AJ44" s="19">
        <v>22590</v>
      </c>
      <c r="AK44" s="19">
        <f t="shared" si="4"/>
        <v>22590</v>
      </c>
      <c r="AL44" s="19">
        <v>4680</v>
      </c>
      <c r="AM44" s="19">
        <f t="shared" si="22"/>
        <v>4680</v>
      </c>
      <c r="AN44" s="19">
        <f t="shared" si="5"/>
        <v>17910</v>
      </c>
      <c r="AO44" s="71">
        <f t="shared" si="23"/>
        <v>17910</v>
      </c>
      <c r="AQ44" s="18">
        <v>42095</v>
      </c>
      <c r="AR44" s="16">
        <v>42068</v>
      </c>
      <c r="AS44" s="16">
        <v>42100</v>
      </c>
      <c r="AT44" s="19">
        <v>94776</v>
      </c>
      <c r="AU44" s="19">
        <f t="shared" si="6"/>
        <v>94776</v>
      </c>
      <c r="AV44" s="19">
        <v>3648</v>
      </c>
      <c r="AW44" s="19">
        <f t="shared" si="24"/>
        <v>3648</v>
      </c>
      <c r="AX44" s="19">
        <f t="shared" si="101"/>
        <v>91128</v>
      </c>
      <c r="AY44" s="71">
        <f t="shared" si="25"/>
        <v>91128</v>
      </c>
      <c r="BA44" s="18">
        <v>42095</v>
      </c>
      <c r="BB44" s="44">
        <v>42068</v>
      </c>
      <c r="BC44" s="44">
        <v>42099</v>
      </c>
      <c r="BD44" s="20">
        <v>25500</v>
      </c>
      <c r="BE44" s="19">
        <f t="shared" si="8"/>
        <v>25500</v>
      </c>
      <c r="BF44" s="20">
        <v>5010</v>
      </c>
      <c r="BG44" s="20">
        <f t="shared" si="26"/>
        <v>5010</v>
      </c>
      <c r="BH44" s="20">
        <f t="shared" si="102"/>
        <v>20490</v>
      </c>
      <c r="BI44" s="71">
        <f t="shared" si="27"/>
        <v>20490</v>
      </c>
      <c r="BK44" s="18">
        <v>42095</v>
      </c>
      <c r="BL44" s="44">
        <v>42068</v>
      </c>
      <c r="BM44" s="44">
        <v>42099</v>
      </c>
      <c r="BN44" s="20">
        <v>24240</v>
      </c>
      <c r="BO44" s="19">
        <f t="shared" si="10"/>
        <v>24240</v>
      </c>
      <c r="BP44" s="20">
        <v>4590</v>
      </c>
      <c r="BQ44" s="20">
        <f t="shared" si="28"/>
        <v>4590</v>
      </c>
      <c r="BR44" s="20">
        <f t="shared" si="103"/>
        <v>19650</v>
      </c>
      <c r="BS44" s="71">
        <f t="shared" si="29"/>
        <v>19650</v>
      </c>
      <c r="BU44" s="27">
        <v>42095</v>
      </c>
      <c r="BV44" s="44">
        <v>42068</v>
      </c>
      <c r="BW44" s="44">
        <v>42100</v>
      </c>
      <c r="BX44" s="20">
        <v>167496</v>
      </c>
      <c r="BY44" s="19">
        <f t="shared" si="12"/>
        <v>167496</v>
      </c>
      <c r="BZ44" s="20">
        <v>2208</v>
      </c>
      <c r="CA44" s="20">
        <f t="shared" si="30"/>
        <v>2208</v>
      </c>
      <c r="CB44" s="20">
        <f t="shared" si="31"/>
        <v>165288</v>
      </c>
      <c r="CC44" s="71">
        <f t="shared" si="32"/>
        <v>165288</v>
      </c>
      <c r="CE44" s="27">
        <v>42095</v>
      </c>
      <c r="CF44" s="16">
        <v>42073</v>
      </c>
      <c r="CG44" s="16">
        <v>42104</v>
      </c>
      <c r="CH44" s="19">
        <v>113904</v>
      </c>
      <c r="CI44" s="19">
        <f t="shared" si="13"/>
        <v>113904</v>
      </c>
      <c r="CJ44" s="19">
        <v>3024</v>
      </c>
      <c r="CK44" s="19">
        <f t="shared" si="33"/>
        <v>3024</v>
      </c>
      <c r="CL44" s="19">
        <f t="shared" si="34"/>
        <v>110880</v>
      </c>
      <c r="CM44" s="71">
        <f t="shared" si="35"/>
        <v>110880</v>
      </c>
    </row>
    <row r="45" spans="3:91" s="43" customFormat="1">
      <c r="C45" s="18">
        <v>42125</v>
      </c>
      <c r="D45" s="16">
        <v>42104</v>
      </c>
      <c r="E45" s="16">
        <v>42130</v>
      </c>
      <c r="F45" s="19">
        <v>28680</v>
      </c>
      <c r="G45" s="19">
        <f t="shared" si="0"/>
        <v>28680</v>
      </c>
      <c r="H45" s="19">
        <v>3360</v>
      </c>
      <c r="I45" s="42">
        <f t="shared" si="14"/>
        <v>3360</v>
      </c>
      <c r="J45" s="19">
        <f t="shared" si="15"/>
        <v>25320</v>
      </c>
      <c r="K45" s="29">
        <f t="shared" si="16"/>
        <v>25320</v>
      </c>
      <c r="M45" s="18">
        <v>42125</v>
      </c>
      <c r="N45" s="16">
        <v>42100</v>
      </c>
      <c r="O45" s="16">
        <v>42129</v>
      </c>
      <c r="P45" s="19">
        <v>31464</v>
      </c>
      <c r="Q45" s="49">
        <f t="shared" si="1"/>
        <v>31464</v>
      </c>
      <c r="R45" s="19">
        <v>3336</v>
      </c>
      <c r="S45" s="49">
        <f t="shared" si="17"/>
        <v>3336</v>
      </c>
      <c r="T45" s="19">
        <f t="shared" si="138"/>
        <v>28128</v>
      </c>
      <c r="U45" s="29">
        <f t="shared" si="19"/>
        <v>28128</v>
      </c>
      <c r="W45" s="18">
        <v>42125</v>
      </c>
      <c r="X45" s="60">
        <v>42099</v>
      </c>
      <c r="Y45" s="60">
        <v>42130</v>
      </c>
      <c r="Z45" s="49">
        <v>48216</v>
      </c>
      <c r="AA45" s="49">
        <f t="shared" si="2"/>
        <v>48216</v>
      </c>
      <c r="AB45" s="49">
        <v>3720</v>
      </c>
      <c r="AC45" s="49">
        <f t="shared" si="20"/>
        <v>3720</v>
      </c>
      <c r="AD45" s="19">
        <f t="shared" si="100"/>
        <v>44496</v>
      </c>
      <c r="AE45" s="29">
        <f t="shared" si="21"/>
        <v>44496</v>
      </c>
      <c r="AG45" s="18">
        <v>42125</v>
      </c>
      <c r="AH45" s="16">
        <v>42099</v>
      </c>
      <c r="AI45" s="16">
        <v>42129</v>
      </c>
      <c r="AJ45" s="19">
        <v>43500</v>
      </c>
      <c r="AK45" s="19">
        <f t="shared" si="4"/>
        <v>43500</v>
      </c>
      <c r="AL45" s="19">
        <v>2640</v>
      </c>
      <c r="AM45" s="19">
        <f t="shared" si="22"/>
        <v>2640</v>
      </c>
      <c r="AN45" s="19">
        <f t="shared" si="5"/>
        <v>40860</v>
      </c>
      <c r="AO45" s="71">
        <f t="shared" si="23"/>
        <v>40860</v>
      </c>
      <c r="AQ45" s="18">
        <v>42125</v>
      </c>
      <c r="AR45" s="16">
        <v>42100</v>
      </c>
      <c r="AS45" s="16">
        <v>42129</v>
      </c>
      <c r="AT45" s="19">
        <v>22392</v>
      </c>
      <c r="AU45" s="19">
        <f t="shared" si="6"/>
        <v>22392</v>
      </c>
      <c r="AV45" s="19">
        <v>3024</v>
      </c>
      <c r="AW45" s="19">
        <f t="shared" si="24"/>
        <v>3024</v>
      </c>
      <c r="AX45" s="19">
        <f t="shared" si="101"/>
        <v>19368</v>
      </c>
      <c r="AY45" s="71">
        <f t="shared" si="25"/>
        <v>19368</v>
      </c>
      <c r="BA45" s="18">
        <v>42125</v>
      </c>
      <c r="BB45" s="44">
        <v>42099</v>
      </c>
      <c r="BC45" s="44">
        <v>42129</v>
      </c>
      <c r="BD45" s="20">
        <v>44760</v>
      </c>
      <c r="BE45" s="19">
        <f t="shared" si="8"/>
        <v>44760</v>
      </c>
      <c r="BF45" s="20">
        <v>2970</v>
      </c>
      <c r="BG45" s="20">
        <f t="shared" si="26"/>
        <v>2970</v>
      </c>
      <c r="BH45" s="20">
        <f t="shared" si="102"/>
        <v>41790</v>
      </c>
      <c r="BI45" s="71">
        <f t="shared" si="27"/>
        <v>41790</v>
      </c>
      <c r="BK45" s="18">
        <v>42125</v>
      </c>
      <c r="BL45" s="44">
        <v>42099</v>
      </c>
      <c r="BM45" s="44">
        <v>42129</v>
      </c>
      <c r="BN45" s="20">
        <v>42930</v>
      </c>
      <c r="BO45" s="19">
        <f t="shared" si="10"/>
        <v>42930</v>
      </c>
      <c r="BP45" s="20">
        <v>2640</v>
      </c>
      <c r="BQ45" s="20">
        <f t="shared" si="28"/>
        <v>2640</v>
      </c>
      <c r="BR45" s="20">
        <f t="shared" si="103"/>
        <v>40290</v>
      </c>
      <c r="BS45" s="71">
        <f t="shared" si="29"/>
        <v>40290</v>
      </c>
      <c r="BU45" s="27">
        <v>42125</v>
      </c>
      <c r="BV45" s="44">
        <v>42100</v>
      </c>
      <c r="BW45" s="44">
        <v>42129</v>
      </c>
      <c r="BX45" s="20">
        <v>54336</v>
      </c>
      <c r="BY45" s="19">
        <f t="shared" si="12"/>
        <v>54336</v>
      </c>
      <c r="BZ45" s="20">
        <v>2592</v>
      </c>
      <c r="CA45" s="20">
        <f t="shared" si="30"/>
        <v>2592</v>
      </c>
      <c r="CB45" s="20">
        <f t="shared" si="31"/>
        <v>51744</v>
      </c>
      <c r="CC45" s="71">
        <f t="shared" si="32"/>
        <v>51744</v>
      </c>
      <c r="CE45" s="27">
        <v>42125</v>
      </c>
      <c r="CF45" s="44">
        <v>42104</v>
      </c>
      <c r="CG45" s="44">
        <v>42130</v>
      </c>
      <c r="CH45" s="20">
        <v>28272</v>
      </c>
      <c r="CI45" s="19">
        <f t="shared" si="13"/>
        <v>28272</v>
      </c>
      <c r="CJ45" s="20">
        <v>3528</v>
      </c>
      <c r="CK45" s="20">
        <f t="shared" si="33"/>
        <v>3528</v>
      </c>
      <c r="CL45" s="20">
        <f t="shared" si="34"/>
        <v>24744</v>
      </c>
      <c r="CM45" s="71">
        <f t="shared" si="35"/>
        <v>24744</v>
      </c>
    </row>
    <row r="46" spans="3:91" s="43" customFormat="1">
      <c r="C46" s="18">
        <v>42156</v>
      </c>
      <c r="D46" s="16">
        <v>42130</v>
      </c>
      <c r="E46" s="16">
        <v>42165</v>
      </c>
      <c r="F46" s="19">
        <v>208968</v>
      </c>
      <c r="G46" s="19">
        <f t="shared" si="0"/>
        <v>208968</v>
      </c>
      <c r="H46" s="19">
        <v>2832</v>
      </c>
      <c r="I46" s="42">
        <f t="shared" si="14"/>
        <v>2832</v>
      </c>
      <c r="J46" s="19">
        <f t="shared" si="15"/>
        <v>206136</v>
      </c>
      <c r="K46" s="29">
        <f t="shared" si="16"/>
        <v>206136</v>
      </c>
      <c r="M46" s="18">
        <v>42156</v>
      </c>
      <c r="N46" s="16">
        <v>42129</v>
      </c>
      <c r="O46" s="16">
        <v>42161</v>
      </c>
      <c r="P46" s="19">
        <v>135984</v>
      </c>
      <c r="Q46" s="49">
        <f t="shared" si="1"/>
        <v>135984</v>
      </c>
      <c r="R46" s="19">
        <v>3432</v>
      </c>
      <c r="S46" s="49">
        <f t="shared" si="17"/>
        <v>3432</v>
      </c>
      <c r="T46" s="19">
        <f t="shared" si="138"/>
        <v>132552</v>
      </c>
      <c r="U46" s="29">
        <f t="shared" si="19"/>
        <v>132552</v>
      </c>
      <c r="W46" s="18">
        <v>42156</v>
      </c>
      <c r="X46" s="60">
        <v>42130</v>
      </c>
      <c r="Y46" s="60">
        <v>42160</v>
      </c>
      <c r="Z46" s="49">
        <v>29472</v>
      </c>
      <c r="AA46" s="49">
        <f t="shared" si="2"/>
        <v>29472</v>
      </c>
      <c r="AB46" s="49">
        <v>2784</v>
      </c>
      <c r="AC46" s="49">
        <f t="shared" si="20"/>
        <v>2784</v>
      </c>
      <c r="AD46" s="19">
        <f t="shared" si="100"/>
        <v>26688</v>
      </c>
      <c r="AE46" s="29">
        <f t="shared" si="21"/>
        <v>26688</v>
      </c>
      <c r="AG46" s="18">
        <v>42156</v>
      </c>
      <c r="AH46" s="16">
        <v>42129</v>
      </c>
      <c r="AI46" s="16">
        <v>42160</v>
      </c>
      <c r="AJ46" s="19">
        <v>209880</v>
      </c>
      <c r="AK46" s="19">
        <f t="shared" si="4"/>
        <v>209880</v>
      </c>
      <c r="AL46" s="19">
        <v>1380</v>
      </c>
      <c r="AM46" s="19">
        <f t="shared" si="22"/>
        <v>1380</v>
      </c>
      <c r="AN46" s="19">
        <f t="shared" si="5"/>
        <v>208500</v>
      </c>
      <c r="AO46" s="71">
        <f t="shared" si="23"/>
        <v>208500</v>
      </c>
      <c r="AQ46" s="18">
        <v>42156</v>
      </c>
      <c r="AR46" s="16">
        <v>42129</v>
      </c>
      <c r="AS46" s="16">
        <v>42161</v>
      </c>
      <c r="AT46" s="19">
        <v>91968</v>
      </c>
      <c r="AU46" s="19">
        <f t="shared" si="6"/>
        <v>91968</v>
      </c>
      <c r="AV46" s="19">
        <v>3216</v>
      </c>
      <c r="AW46" s="19">
        <f t="shared" si="24"/>
        <v>3216</v>
      </c>
      <c r="AX46" s="19">
        <f t="shared" si="101"/>
        <v>88752</v>
      </c>
      <c r="AY46" s="71">
        <f t="shared" si="25"/>
        <v>88752</v>
      </c>
      <c r="BA46" s="18">
        <v>42156</v>
      </c>
      <c r="BB46" s="44">
        <v>42129</v>
      </c>
      <c r="BC46" s="44">
        <v>42160</v>
      </c>
      <c r="BD46" s="20">
        <v>210960</v>
      </c>
      <c r="BE46" s="19">
        <f t="shared" si="8"/>
        <v>210960</v>
      </c>
      <c r="BF46" s="20">
        <v>1440</v>
      </c>
      <c r="BG46" s="20">
        <f t="shared" si="26"/>
        <v>1440</v>
      </c>
      <c r="BH46" s="20">
        <f t="shared" si="102"/>
        <v>209520</v>
      </c>
      <c r="BI46" s="71">
        <f t="shared" si="27"/>
        <v>209520</v>
      </c>
      <c r="BK46" s="18">
        <v>42156</v>
      </c>
      <c r="BL46" s="44">
        <v>42129</v>
      </c>
      <c r="BM46" s="44">
        <v>42160</v>
      </c>
      <c r="BN46" s="20">
        <v>202020</v>
      </c>
      <c r="BO46" s="19">
        <f t="shared" si="10"/>
        <v>202020</v>
      </c>
      <c r="BP46" s="20">
        <v>1680</v>
      </c>
      <c r="BQ46" s="20">
        <f t="shared" si="28"/>
        <v>1680</v>
      </c>
      <c r="BR46" s="20">
        <f t="shared" si="103"/>
        <v>200340</v>
      </c>
      <c r="BS46" s="71">
        <f t="shared" si="29"/>
        <v>200340</v>
      </c>
      <c r="BU46" s="27">
        <v>42156</v>
      </c>
      <c r="BV46" s="44">
        <v>42129</v>
      </c>
      <c r="BW46" s="44">
        <v>42161</v>
      </c>
      <c r="BX46" s="20">
        <v>183792</v>
      </c>
      <c r="BY46" s="19">
        <f t="shared" si="12"/>
        <v>183792</v>
      </c>
      <c r="BZ46" s="20">
        <v>2568</v>
      </c>
      <c r="CA46" s="20">
        <f t="shared" si="30"/>
        <v>2568</v>
      </c>
      <c r="CB46" s="20">
        <f t="shared" si="31"/>
        <v>181224</v>
      </c>
      <c r="CC46" s="71">
        <f t="shared" si="32"/>
        <v>181224</v>
      </c>
      <c r="CE46" s="27">
        <v>42156</v>
      </c>
      <c r="CF46" s="44">
        <v>42130</v>
      </c>
      <c r="CG46" s="44">
        <v>42165</v>
      </c>
      <c r="CH46" s="20">
        <v>184176</v>
      </c>
      <c r="CI46" s="19">
        <f t="shared" si="13"/>
        <v>184176</v>
      </c>
      <c r="CJ46" s="20">
        <v>2928</v>
      </c>
      <c r="CK46" s="20">
        <f t="shared" si="33"/>
        <v>2928</v>
      </c>
      <c r="CL46" s="20">
        <f t="shared" si="34"/>
        <v>181248</v>
      </c>
      <c r="CM46" s="71">
        <f t="shared" si="35"/>
        <v>181248</v>
      </c>
    </row>
    <row r="47" spans="3:91" s="43" customFormat="1">
      <c r="C47" s="18">
        <v>42186</v>
      </c>
      <c r="D47" s="16">
        <v>42165</v>
      </c>
      <c r="E47" s="16">
        <v>42195</v>
      </c>
      <c r="F47" s="19">
        <v>383856</v>
      </c>
      <c r="G47" s="19">
        <f t="shared" si="0"/>
        <v>383856</v>
      </c>
      <c r="H47" s="19">
        <v>1632</v>
      </c>
      <c r="I47" s="42">
        <f t="shared" si="14"/>
        <v>1632</v>
      </c>
      <c r="J47" s="19">
        <f t="shared" si="15"/>
        <v>382224</v>
      </c>
      <c r="K47" s="29">
        <f t="shared" si="16"/>
        <v>382224</v>
      </c>
      <c r="M47" s="18">
        <v>42186</v>
      </c>
      <c r="N47" s="16">
        <v>42161</v>
      </c>
      <c r="O47" s="16">
        <v>42190</v>
      </c>
      <c r="P47" s="19">
        <v>372120</v>
      </c>
      <c r="Q47" s="49">
        <f t="shared" si="1"/>
        <v>372120</v>
      </c>
      <c r="R47" s="19">
        <v>1968</v>
      </c>
      <c r="S47" s="49">
        <f t="shared" si="17"/>
        <v>1968</v>
      </c>
      <c r="T47" s="19">
        <f t="shared" si="138"/>
        <v>370152</v>
      </c>
      <c r="U47" s="29">
        <f t="shared" si="19"/>
        <v>370152</v>
      </c>
      <c r="W47" s="27">
        <v>42186</v>
      </c>
      <c r="X47" s="28">
        <v>42160</v>
      </c>
      <c r="Y47" s="28">
        <v>42192</v>
      </c>
      <c r="Z47" s="42">
        <v>325704</v>
      </c>
      <c r="AA47" s="49">
        <f t="shared" si="2"/>
        <v>325704</v>
      </c>
      <c r="AB47" s="42">
        <v>1896</v>
      </c>
      <c r="AC47" s="42">
        <f t="shared" si="20"/>
        <v>1896</v>
      </c>
      <c r="AD47" s="20">
        <f t="shared" si="100"/>
        <v>323808</v>
      </c>
      <c r="AE47" s="29">
        <f t="shared" si="21"/>
        <v>323808</v>
      </c>
      <c r="AG47" s="18">
        <v>42186</v>
      </c>
      <c r="AH47" s="16">
        <v>42160</v>
      </c>
      <c r="AI47" s="16">
        <v>42190</v>
      </c>
      <c r="AJ47" s="19">
        <v>506760</v>
      </c>
      <c r="AK47" s="19">
        <f t="shared" si="4"/>
        <v>506760</v>
      </c>
      <c r="AL47" s="19">
        <v>210</v>
      </c>
      <c r="AM47" s="19">
        <f t="shared" si="22"/>
        <v>210</v>
      </c>
      <c r="AN47" s="19">
        <f t="shared" si="5"/>
        <v>506550</v>
      </c>
      <c r="AO47" s="71">
        <f t="shared" si="23"/>
        <v>506550</v>
      </c>
      <c r="AQ47" s="18">
        <v>42186</v>
      </c>
      <c r="AR47" s="16">
        <v>42161</v>
      </c>
      <c r="AS47" s="16">
        <v>42190</v>
      </c>
      <c r="AT47" s="19">
        <v>302976</v>
      </c>
      <c r="AU47" s="19">
        <f t="shared" si="6"/>
        <v>302976</v>
      </c>
      <c r="AV47" s="19">
        <v>2328</v>
      </c>
      <c r="AW47" s="19">
        <f t="shared" si="24"/>
        <v>2328</v>
      </c>
      <c r="AX47" s="19">
        <f t="shared" si="101"/>
        <v>300648</v>
      </c>
      <c r="AY47" s="71">
        <f t="shared" si="25"/>
        <v>300648</v>
      </c>
      <c r="BA47" s="18">
        <v>42186</v>
      </c>
      <c r="BB47" s="44">
        <v>42160</v>
      </c>
      <c r="BC47" s="44">
        <v>42190</v>
      </c>
      <c r="BD47" s="20">
        <v>512580</v>
      </c>
      <c r="BE47" s="19">
        <f t="shared" si="8"/>
        <v>512580</v>
      </c>
      <c r="BF47" s="20">
        <v>210</v>
      </c>
      <c r="BG47" s="20">
        <f t="shared" si="26"/>
        <v>210</v>
      </c>
      <c r="BH47" s="20">
        <f t="shared" si="102"/>
        <v>512370</v>
      </c>
      <c r="BI47" s="71">
        <f t="shared" si="27"/>
        <v>512370</v>
      </c>
      <c r="BK47" s="18">
        <v>42186</v>
      </c>
      <c r="BL47" s="44">
        <v>42160</v>
      </c>
      <c r="BM47" s="44">
        <v>42190</v>
      </c>
      <c r="BN47" s="20">
        <v>507030</v>
      </c>
      <c r="BO47" s="19">
        <f t="shared" si="10"/>
        <v>507030</v>
      </c>
      <c r="BP47" s="20">
        <v>270</v>
      </c>
      <c r="BQ47" s="20">
        <f t="shared" si="28"/>
        <v>270</v>
      </c>
      <c r="BR47" s="20">
        <f t="shared" si="103"/>
        <v>506760</v>
      </c>
      <c r="BS47" s="71">
        <f t="shared" si="29"/>
        <v>506760</v>
      </c>
      <c r="BU47" s="27">
        <v>42186</v>
      </c>
      <c r="BV47" s="16">
        <v>42161</v>
      </c>
      <c r="BW47" s="16">
        <v>42192</v>
      </c>
      <c r="BX47" s="19">
        <v>345216</v>
      </c>
      <c r="BY47" s="19">
        <f t="shared" si="12"/>
        <v>345216</v>
      </c>
      <c r="BZ47" s="19">
        <v>1344</v>
      </c>
      <c r="CA47" s="19">
        <f t="shared" si="30"/>
        <v>1344</v>
      </c>
      <c r="CB47" s="19">
        <f t="shared" si="31"/>
        <v>343872</v>
      </c>
      <c r="CC47" s="71">
        <f t="shared" si="32"/>
        <v>343872</v>
      </c>
      <c r="CE47" s="27">
        <v>42186</v>
      </c>
      <c r="CF47" s="44">
        <v>42165</v>
      </c>
      <c r="CG47" s="44">
        <v>42195</v>
      </c>
      <c r="CH47" s="20">
        <v>318120</v>
      </c>
      <c r="CI47" s="19">
        <f t="shared" si="13"/>
        <v>318120</v>
      </c>
      <c r="CJ47" s="20">
        <v>1656</v>
      </c>
      <c r="CK47" s="20">
        <f t="shared" si="33"/>
        <v>1656</v>
      </c>
      <c r="CL47" s="20">
        <f t="shared" si="34"/>
        <v>316464</v>
      </c>
      <c r="CM47" s="71">
        <f t="shared" si="35"/>
        <v>316464</v>
      </c>
    </row>
    <row r="48" spans="3:91" s="43" customFormat="1">
      <c r="C48" s="18">
        <v>42217</v>
      </c>
      <c r="D48" s="16">
        <v>42195</v>
      </c>
      <c r="E48" s="16">
        <v>42226</v>
      </c>
      <c r="F48" s="19">
        <v>405456</v>
      </c>
      <c r="G48" s="19">
        <f t="shared" si="0"/>
        <v>405456</v>
      </c>
      <c r="H48" s="19">
        <v>1848</v>
      </c>
      <c r="I48" s="42">
        <f t="shared" si="14"/>
        <v>1848</v>
      </c>
      <c r="J48" s="19">
        <f t="shared" si="15"/>
        <v>403608</v>
      </c>
      <c r="K48" s="29">
        <f t="shared" si="16"/>
        <v>403608</v>
      </c>
      <c r="M48" s="18">
        <v>42217</v>
      </c>
      <c r="N48" s="16">
        <v>42190</v>
      </c>
      <c r="O48" s="16">
        <v>42226</v>
      </c>
      <c r="P48" s="19">
        <v>354288</v>
      </c>
      <c r="Q48" s="49">
        <f t="shared" si="1"/>
        <v>354288</v>
      </c>
      <c r="R48" s="19">
        <v>2184</v>
      </c>
      <c r="S48" s="49">
        <f t="shared" si="17"/>
        <v>2184</v>
      </c>
      <c r="T48" s="19">
        <f t="shared" si="138"/>
        <v>352104</v>
      </c>
      <c r="U48" s="29">
        <f t="shared" si="19"/>
        <v>352104</v>
      </c>
      <c r="W48" s="18">
        <v>42217</v>
      </c>
      <c r="X48" s="60">
        <v>42192</v>
      </c>
      <c r="Y48" s="60">
        <v>42226</v>
      </c>
      <c r="Z48" s="49">
        <v>454152</v>
      </c>
      <c r="AA48" s="49">
        <f t="shared" si="2"/>
        <v>454152</v>
      </c>
      <c r="AB48" s="49">
        <v>2280</v>
      </c>
      <c r="AC48" s="49">
        <f t="shared" si="20"/>
        <v>2280</v>
      </c>
      <c r="AD48" s="19">
        <f t="shared" si="100"/>
        <v>451872</v>
      </c>
      <c r="AE48" s="29">
        <f t="shared" si="21"/>
        <v>451872</v>
      </c>
      <c r="AG48" s="18">
        <v>42217</v>
      </c>
      <c r="AH48" s="16">
        <v>42190</v>
      </c>
      <c r="AI48" s="16">
        <v>42221</v>
      </c>
      <c r="AJ48" s="19">
        <v>653310</v>
      </c>
      <c r="AK48" s="19">
        <f t="shared" si="4"/>
        <v>653310</v>
      </c>
      <c r="AL48" s="19">
        <v>120</v>
      </c>
      <c r="AM48" s="19">
        <f t="shared" si="22"/>
        <v>120</v>
      </c>
      <c r="AN48" s="19">
        <f t="shared" si="5"/>
        <v>653190</v>
      </c>
      <c r="AO48" s="71">
        <f t="shared" si="23"/>
        <v>653190</v>
      </c>
      <c r="AQ48" s="18">
        <v>42217</v>
      </c>
      <c r="AR48" s="16">
        <v>42190</v>
      </c>
      <c r="AS48" s="16">
        <v>42226</v>
      </c>
      <c r="AT48" s="19">
        <v>342360</v>
      </c>
      <c r="AU48" s="19">
        <f t="shared" si="6"/>
        <v>342360</v>
      </c>
      <c r="AV48" s="19">
        <v>2256</v>
      </c>
      <c r="AW48" s="19">
        <f t="shared" si="24"/>
        <v>2256</v>
      </c>
      <c r="AX48" s="19">
        <f t="shared" si="101"/>
        <v>340104</v>
      </c>
      <c r="AY48" s="71">
        <f t="shared" si="25"/>
        <v>340104</v>
      </c>
      <c r="BA48" s="18">
        <v>42217</v>
      </c>
      <c r="BB48" s="44">
        <v>42190</v>
      </c>
      <c r="BC48" s="44">
        <v>42221</v>
      </c>
      <c r="BD48" s="20">
        <v>649260</v>
      </c>
      <c r="BE48" s="19">
        <f t="shared" si="8"/>
        <v>649260</v>
      </c>
      <c r="BF48" s="20">
        <v>120</v>
      </c>
      <c r="BG48" s="20">
        <f t="shared" si="26"/>
        <v>120</v>
      </c>
      <c r="BH48" s="20">
        <f t="shared" si="102"/>
        <v>649140</v>
      </c>
      <c r="BI48" s="71">
        <f t="shared" si="27"/>
        <v>649140</v>
      </c>
      <c r="BK48" s="18">
        <v>42217</v>
      </c>
      <c r="BL48" s="44">
        <v>42190</v>
      </c>
      <c r="BM48" s="44">
        <v>42221</v>
      </c>
      <c r="BN48" s="20">
        <v>622140</v>
      </c>
      <c r="BO48" s="19">
        <f t="shared" si="10"/>
        <v>622140</v>
      </c>
      <c r="BP48" s="20">
        <v>270</v>
      </c>
      <c r="BQ48" s="20">
        <f t="shared" si="28"/>
        <v>270</v>
      </c>
      <c r="BR48" s="20">
        <f t="shared" si="103"/>
        <v>621870</v>
      </c>
      <c r="BS48" s="71">
        <f t="shared" si="29"/>
        <v>621870</v>
      </c>
      <c r="BU48" s="27">
        <v>42217</v>
      </c>
      <c r="BV48" s="44">
        <v>42192</v>
      </c>
      <c r="BW48" s="44">
        <v>42226</v>
      </c>
      <c r="BX48" s="20">
        <v>561816</v>
      </c>
      <c r="BY48" s="19">
        <f t="shared" si="12"/>
        <v>561816</v>
      </c>
      <c r="BZ48" s="20">
        <v>1560</v>
      </c>
      <c r="CA48" s="20">
        <f t="shared" si="30"/>
        <v>1560</v>
      </c>
      <c r="CB48" s="20">
        <f t="shared" si="31"/>
        <v>560256</v>
      </c>
      <c r="CC48" s="71">
        <f t="shared" si="32"/>
        <v>560256</v>
      </c>
      <c r="CE48" s="27">
        <v>42217</v>
      </c>
      <c r="CF48" s="44">
        <v>42195</v>
      </c>
      <c r="CG48" s="44">
        <v>42226</v>
      </c>
      <c r="CH48" s="20">
        <v>387648</v>
      </c>
      <c r="CI48" s="19">
        <f t="shared" si="13"/>
        <v>387648</v>
      </c>
      <c r="CJ48" s="20">
        <v>2016</v>
      </c>
      <c r="CK48" s="20">
        <f t="shared" si="33"/>
        <v>2016</v>
      </c>
      <c r="CL48" s="20">
        <f t="shared" si="34"/>
        <v>385632</v>
      </c>
      <c r="CM48" s="71">
        <f t="shared" si="35"/>
        <v>385632</v>
      </c>
    </row>
    <row r="49" spans="3:91" s="43" customFormat="1">
      <c r="C49" s="18">
        <v>42248</v>
      </c>
      <c r="D49" s="16">
        <v>42226</v>
      </c>
      <c r="E49" s="16">
        <v>42252</v>
      </c>
      <c r="F49" s="19">
        <v>0</v>
      </c>
      <c r="G49" s="19">
        <f t="shared" si="0"/>
        <v>0</v>
      </c>
      <c r="H49" s="19">
        <v>0</v>
      </c>
      <c r="I49" s="42">
        <f t="shared" si="14"/>
        <v>0</v>
      </c>
      <c r="J49" s="19">
        <f t="shared" si="15"/>
        <v>0</v>
      </c>
      <c r="K49" s="29">
        <f t="shared" si="16"/>
        <v>0</v>
      </c>
      <c r="M49" s="18">
        <v>42248</v>
      </c>
      <c r="N49" s="16">
        <v>42226</v>
      </c>
      <c r="O49" s="16">
        <v>42252</v>
      </c>
      <c r="P49" s="19">
        <v>0</v>
      </c>
      <c r="Q49" s="49">
        <f t="shared" si="1"/>
        <v>0</v>
      </c>
      <c r="R49" s="19">
        <v>0</v>
      </c>
      <c r="S49" s="49">
        <f t="shared" si="17"/>
        <v>0</v>
      </c>
      <c r="T49" s="19">
        <f t="shared" si="138"/>
        <v>0</v>
      </c>
      <c r="U49" s="29">
        <f t="shared" si="19"/>
        <v>0</v>
      </c>
      <c r="W49" s="27">
        <v>42248</v>
      </c>
      <c r="X49" s="28">
        <v>42226</v>
      </c>
      <c r="Y49" s="28">
        <v>42252</v>
      </c>
      <c r="Z49" s="42">
        <v>0</v>
      </c>
      <c r="AA49" s="49">
        <f t="shared" si="2"/>
        <v>0</v>
      </c>
      <c r="AB49" s="42">
        <v>0</v>
      </c>
      <c r="AC49" s="42">
        <f t="shared" si="20"/>
        <v>0</v>
      </c>
      <c r="AD49" s="20">
        <f t="shared" si="100"/>
        <v>0</v>
      </c>
      <c r="AE49" s="29">
        <f t="shared" si="21"/>
        <v>0</v>
      </c>
      <c r="AG49" s="18">
        <v>42248</v>
      </c>
      <c r="AH49" s="16">
        <v>42221</v>
      </c>
      <c r="AI49" s="16">
        <v>42252</v>
      </c>
      <c r="AJ49" s="19">
        <v>0</v>
      </c>
      <c r="AK49" s="19">
        <f t="shared" si="4"/>
        <v>0</v>
      </c>
      <c r="AL49" s="19">
        <v>0</v>
      </c>
      <c r="AM49" s="19">
        <f t="shared" si="22"/>
        <v>0</v>
      </c>
      <c r="AN49" s="19">
        <v>0</v>
      </c>
      <c r="AO49" s="71">
        <f t="shared" si="23"/>
        <v>0</v>
      </c>
      <c r="AQ49" s="18">
        <v>42248</v>
      </c>
      <c r="AR49" s="16">
        <v>42226</v>
      </c>
      <c r="AS49" s="16">
        <v>42252</v>
      </c>
      <c r="AT49" s="19">
        <v>0</v>
      </c>
      <c r="AU49" s="19">
        <f t="shared" si="6"/>
        <v>0</v>
      </c>
      <c r="AV49" s="20">
        <v>0</v>
      </c>
      <c r="AW49" s="20">
        <f t="shared" si="24"/>
        <v>0</v>
      </c>
      <c r="AX49" s="20">
        <f t="shared" si="101"/>
        <v>0</v>
      </c>
      <c r="AY49" s="71">
        <f t="shared" si="25"/>
        <v>0</v>
      </c>
      <c r="BA49" s="18">
        <v>42248</v>
      </c>
      <c r="BB49" s="44">
        <v>42221</v>
      </c>
      <c r="BC49" s="44">
        <v>42252</v>
      </c>
      <c r="BD49" s="20">
        <v>0</v>
      </c>
      <c r="BE49" s="19">
        <f t="shared" si="8"/>
        <v>0</v>
      </c>
      <c r="BF49" s="20">
        <v>0</v>
      </c>
      <c r="BG49" s="20">
        <f t="shared" si="26"/>
        <v>0</v>
      </c>
      <c r="BH49" s="20">
        <f t="shared" si="102"/>
        <v>0</v>
      </c>
      <c r="BI49" s="71">
        <f t="shared" si="27"/>
        <v>0</v>
      </c>
      <c r="BK49" s="18">
        <v>42248</v>
      </c>
      <c r="BL49" s="44">
        <v>42221</v>
      </c>
      <c r="BM49" s="44">
        <v>42252</v>
      </c>
      <c r="BN49" s="20">
        <v>0</v>
      </c>
      <c r="BO49" s="19">
        <f t="shared" si="10"/>
        <v>0</v>
      </c>
      <c r="BP49" s="20">
        <v>0</v>
      </c>
      <c r="BQ49" s="20">
        <f t="shared" si="28"/>
        <v>0</v>
      </c>
      <c r="BR49" s="20">
        <f t="shared" si="103"/>
        <v>0</v>
      </c>
      <c r="BS49" s="71">
        <f t="shared" si="29"/>
        <v>0</v>
      </c>
      <c r="BU49" s="27">
        <v>42248</v>
      </c>
      <c r="BV49" s="44">
        <v>42226</v>
      </c>
      <c r="BW49" s="44">
        <v>42252</v>
      </c>
      <c r="BX49" s="20">
        <v>0</v>
      </c>
      <c r="BY49" s="19">
        <f t="shared" si="12"/>
        <v>0</v>
      </c>
      <c r="BZ49" s="20">
        <v>0</v>
      </c>
      <c r="CA49" s="20">
        <f t="shared" si="30"/>
        <v>0</v>
      </c>
      <c r="CB49" s="20">
        <f t="shared" si="31"/>
        <v>0</v>
      </c>
      <c r="CC49" s="71">
        <f t="shared" si="32"/>
        <v>0</v>
      </c>
      <c r="CE49" s="27">
        <v>42248</v>
      </c>
      <c r="CF49" s="44">
        <v>42226</v>
      </c>
      <c r="CG49" s="44">
        <v>42252</v>
      </c>
      <c r="CH49" s="20">
        <v>0</v>
      </c>
      <c r="CI49" s="19">
        <f t="shared" si="13"/>
        <v>0</v>
      </c>
      <c r="CJ49" s="20">
        <v>0</v>
      </c>
      <c r="CK49" s="20">
        <f t="shared" si="33"/>
        <v>0</v>
      </c>
      <c r="CL49" s="20">
        <f t="shared" si="34"/>
        <v>0</v>
      </c>
      <c r="CM49" s="71">
        <f t="shared" si="35"/>
        <v>0</v>
      </c>
    </row>
    <row r="50" spans="3:91" s="43" customFormat="1">
      <c r="C50" s="18">
        <v>42278</v>
      </c>
      <c r="D50" s="16">
        <v>42252</v>
      </c>
      <c r="E50" s="16">
        <v>42282</v>
      </c>
      <c r="F50" s="19">
        <v>236928</v>
      </c>
      <c r="G50" s="19">
        <f t="shared" si="0"/>
        <v>236928</v>
      </c>
      <c r="H50" s="19">
        <v>2448</v>
      </c>
      <c r="I50" s="42">
        <f t="shared" si="14"/>
        <v>2448</v>
      </c>
      <c r="J50" s="19">
        <f t="shared" si="15"/>
        <v>234480</v>
      </c>
      <c r="K50" s="29">
        <f t="shared" si="16"/>
        <v>234480</v>
      </c>
      <c r="M50" s="18">
        <v>42278</v>
      </c>
      <c r="N50" s="16">
        <v>42252</v>
      </c>
      <c r="O50" s="16">
        <v>42283</v>
      </c>
      <c r="P50" s="19">
        <v>214728</v>
      </c>
      <c r="Q50" s="49">
        <f t="shared" si="1"/>
        <v>214728</v>
      </c>
      <c r="R50" s="19">
        <v>2328</v>
      </c>
      <c r="S50" s="49">
        <f t="shared" si="17"/>
        <v>2328</v>
      </c>
      <c r="T50" s="19">
        <f t="shared" si="138"/>
        <v>212400</v>
      </c>
      <c r="U50" s="29">
        <f t="shared" si="19"/>
        <v>212400</v>
      </c>
      <c r="W50" s="27">
        <v>42278</v>
      </c>
      <c r="X50" s="28">
        <v>42252</v>
      </c>
      <c r="Y50" s="28">
        <v>42282</v>
      </c>
      <c r="Z50" s="42">
        <v>217632</v>
      </c>
      <c r="AA50" s="49">
        <f t="shared" si="2"/>
        <v>217632</v>
      </c>
      <c r="AB50" s="42">
        <v>2424</v>
      </c>
      <c r="AC50" s="42">
        <f t="shared" si="20"/>
        <v>2424</v>
      </c>
      <c r="AD50" s="20">
        <f t="shared" si="100"/>
        <v>215208</v>
      </c>
      <c r="AE50" s="29">
        <f t="shared" si="21"/>
        <v>215208</v>
      </c>
      <c r="AG50" s="18">
        <v>42278</v>
      </c>
      <c r="AH50" s="16">
        <v>42252</v>
      </c>
      <c r="AI50" s="16">
        <v>42286</v>
      </c>
      <c r="AJ50" s="19">
        <v>268140</v>
      </c>
      <c r="AK50" s="19">
        <f t="shared" si="4"/>
        <v>268140</v>
      </c>
      <c r="AL50" s="19">
        <v>1230</v>
      </c>
      <c r="AM50" s="19">
        <f t="shared" si="22"/>
        <v>1230</v>
      </c>
      <c r="AN50" s="19">
        <f t="shared" ref="AN50:AN82" si="139">AJ50-AL50</f>
        <v>266910</v>
      </c>
      <c r="AO50" s="71">
        <f t="shared" si="23"/>
        <v>266910</v>
      </c>
      <c r="AQ50" s="18">
        <v>42278</v>
      </c>
      <c r="AR50" s="16">
        <v>42252</v>
      </c>
      <c r="AS50" s="16">
        <v>42283</v>
      </c>
      <c r="AT50" s="19">
        <v>198864</v>
      </c>
      <c r="AU50" s="19">
        <f t="shared" si="6"/>
        <v>198864</v>
      </c>
      <c r="AV50" s="20">
        <v>2688</v>
      </c>
      <c r="AW50" s="20">
        <f t="shared" si="24"/>
        <v>2688</v>
      </c>
      <c r="AX50" s="20">
        <f t="shared" si="101"/>
        <v>196176</v>
      </c>
      <c r="AY50" s="71">
        <f t="shared" si="25"/>
        <v>196176</v>
      </c>
      <c r="BA50" s="18">
        <v>42278</v>
      </c>
      <c r="BB50" s="44">
        <v>42252</v>
      </c>
      <c r="BC50" s="44">
        <v>42286</v>
      </c>
      <c r="BD50" s="20">
        <v>318750</v>
      </c>
      <c r="BE50" s="19">
        <f t="shared" si="8"/>
        <v>318750</v>
      </c>
      <c r="BF50" s="20">
        <v>1530</v>
      </c>
      <c r="BG50" s="20">
        <f t="shared" si="26"/>
        <v>1530</v>
      </c>
      <c r="BH50" s="20">
        <f t="shared" si="102"/>
        <v>317220</v>
      </c>
      <c r="BI50" s="71">
        <f t="shared" si="27"/>
        <v>317220</v>
      </c>
      <c r="BK50" s="18">
        <v>42278</v>
      </c>
      <c r="BL50" s="44">
        <v>42252</v>
      </c>
      <c r="BM50" s="44">
        <v>42286</v>
      </c>
      <c r="BN50" s="20">
        <v>330240</v>
      </c>
      <c r="BO50" s="19">
        <f t="shared" si="10"/>
        <v>330240</v>
      </c>
      <c r="BP50" s="20">
        <v>1740</v>
      </c>
      <c r="BQ50" s="20">
        <f t="shared" si="28"/>
        <v>1740</v>
      </c>
      <c r="BR50" s="20">
        <f t="shared" si="103"/>
        <v>328500</v>
      </c>
      <c r="BS50" s="71">
        <f t="shared" si="29"/>
        <v>328500</v>
      </c>
      <c r="BU50" s="27">
        <v>42278</v>
      </c>
      <c r="BV50" s="44">
        <v>42252</v>
      </c>
      <c r="BW50" s="44">
        <v>42283</v>
      </c>
      <c r="BX50" s="20">
        <v>133872</v>
      </c>
      <c r="BY50" s="19">
        <f t="shared" si="12"/>
        <v>133872</v>
      </c>
      <c r="BZ50" s="20">
        <v>2088</v>
      </c>
      <c r="CA50" s="20">
        <f t="shared" si="30"/>
        <v>2088</v>
      </c>
      <c r="CB50" s="20">
        <f t="shared" si="31"/>
        <v>131784</v>
      </c>
      <c r="CC50" s="71">
        <f t="shared" si="32"/>
        <v>131784</v>
      </c>
      <c r="CE50" s="27">
        <v>42278</v>
      </c>
      <c r="CF50" s="44">
        <v>42252</v>
      </c>
      <c r="CG50" s="44">
        <v>42282</v>
      </c>
      <c r="CH50" s="20">
        <v>235560</v>
      </c>
      <c r="CI50" s="19">
        <f t="shared" si="13"/>
        <v>235560</v>
      </c>
      <c r="CJ50" s="20">
        <v>2376</v>
      </c>
      <c r="CK50" s="20">
        <f t="shared" si="33"/>
        <v>2376</v>
      </c>
      <c r="CL50" s="20">
        <f t="shared" si="34"/>
        <v>233184</v>
      </c>
      <c r="CM50" s="71">
        <f t="shared" si="35"/>
        <v>233184</v>
      </c>
    </row>
    <row r="51" spans="3:91" s="43" customFormat="1">
      <c r="C51" s="18">
        <v>42309</v>
      </c>
      <c r="D51" s="16">
        <v>42282</v>
      </c>
      <c r="E51" s="16">
        <v>42314</v>
      </c>
      <c r="F51" s="19">
        <v>53064</v>
      </c>
      <c r="G51" s="19">
        <f t="shared" si="0"/>
        <v>53064</v>
      </c>
      <c r="H51" s="19">
        <v>3888</v>
      </c>
      <c r="I51" s="42">
        <f t="shared" si="14"/>
        <v>3888</v>
      </c>
      <c r="J51" s="19">
        <f t="shared" si="15"/>
        <v>49176</v>
      </c>
      <c r="K51" s="29">
        <f t="shared" si="16"/>
        <v>49176</v>
      </c>
      <c r="M51" s="18">
        <v>42309</v>
      </c>
      <c r="N51" s="16">
        <v>42283</v>
      </c>
      <c r="O51" s="16">
        <v>42317</v>
      </c>
      <c r="P51" s="19">
        <v>49968</v>
      </c>
      <c r="Q51" s="49">
        <f t="shared" si="1"/>
        <v>49968</v>
      </c>
      <c r="R51" s="19">
        <v>4224</v>
      </c>
      <c r="S51" s="49">
        <f t="shared" si="17"/>
        <v>4224</v>
      </c>
      <c r="T51" s="19">
        <f t="shared" si="138"/>
        <v>45744</v>
      </c>
      <c r="U51" s="29">
        <f t="shared" si="19"/>
        <v>45744</v>
      </c>
      <c r="W51" s="18">
        <v>42309</v>
      </c>
      <c r="X51" s="60">
        <v>42282</v>
      </c>
      <c r="Y51" s="60">
        <v>42314</v>
      </c>
      <c r="Z51" s="49">
        <v>61224</v>
      </c>
      <c r="AA51" s="49">
        <f t="shared" si="2"/>
        <v>61224</v>
      </c>
      <c r="AB51" s="49">
        <v>4056</v>
      </c>
      <c r="AC51" s="49">
        <f t="shared" si="20"/>
        <v>4056</v>
      </c>
      <c r="AD51" s="19">
        <f t="shared" si="100"/>
        <v>57168</v>
      </c>
      <c r="AE51" s="29">
        <f t="shared" si="21"/>
        <v>57168</v>
      </c>
      <c r="AG51" s="18">
        <v>42309</v>
      </c>
      <c r="AH51" s="16">
        <v>42286</v>
      </c>
      <c r="AI51" s="16">
        <v>42315</v>
      </c>
      <c r="AJ51" s="19">
        <v>3360</v>
      </c>
      <c r="AK51" s="19">
        <f t="shared" si="4"/>
        <v>3360</v>
      </c>
      <c r="AL51" s="19">
        <v>2910</v>
      </c>
      <c r="AM51" s="19">
        <f t="shared" si="22"/>
        <v>2910</v>
      </c>
      <c r="AN51" s="19">
        <f t="shared" si="139"/>
        <v>450</v>
      </c>
      <c r="AO51" s="71">
        <f t="shared" si="23"/>
        <v>450</v>
      </c>
      <c r="AQ51" s="18">
        <v>42309</v>
      </c>
      <c r="AR51" s="16">
        <v>42283</v>
      </c>
      <c r="AS51" s="16">
        <v>42317</v>
      </c>
      <c r="AT51" s="19">
        <v>40512</v>
      </c>
      <c r="AU51" s="19">
        <f t="shared" si="6"/>
        <v>40512</v>
      </c>
      <c r="AV51" s="19">
        <v>4080</v>
      </c>
      <c r="AW51" s="20">
        <f t="shared" si="24"/>
        <v>4080</v>
      </c>
      <c r="AX51" s="19">
        <f t="shared" si="101"/>
        <v>36432</v>
      </c>
      <c r="AY51" s="71">
        <f t="shared" si="25"/>
        <v>36432</v>
      </c>
      <c r="BA51" s="18">
        <v>42309</v>
      </c>
      <c r="BB51" s="44">
        <v>42286</v>
      </c>
      <c r="BC51" s="44">
        <v>42315</v>
      </c>
      <c r="BD51" s="20">
        <v>36840</v>
      </c>
      <c r="BE51" s="19">
        <f t="shared" si="8"/>
        <v>36840</v>
      </c>
      <c r="BF51" s="20">
        <v>4080</v>
      </c>
      <c r="BG51" s="20">
        <f t="shared" si="26"/>
        <v>4080</v>
      </c>
      <c r="BH51" s="20">
        <f t="shared" si="102"/>
        <v>32760</v>
      </c>
      <c r="BI51" s="71">
        <f t="shared" si="27"/>
        <v>32760</v>
      </c>
      <c r="BK51" s="18">
        <v>42309</v>
      </c>
      <c r="BL51" s="44">
        <v>42286</v>
      </c>
      <c r="BM51" s="44">
        <v>42315</v>
      </c>
      <c r="BN51" s="20">
        <v>34680</v>
      </c>
      <c r="BO51" s="19">
        <f t="shared" si="10"/>
        <v>34680</v>
      </c>
      <c r="BP51" s="20">
        <v>4290</v>
      </c>
      <c r="BQ51" s="20">
        <f t="shared" si="28"/>
        <v>4290</v>
      </c>
      <c r="BR51" s="20">
        <f t="shared" si="103"/>
        <v>30390</v>
      </c>
      <c r="BS51" s="71">
        <f t="shared" si="29"/>
        <v>30390</v>
      </c>
      <c r="BU51" s="27">
        <v>42309</v>
      </c>
      <c r="BV51" s="44">
        <v>42283</v>
      </c>
      <c r="BW51" s="44">
        <v>42317</v>
      </c>
      <c r="BX51" s="20">
        <v>68136</v>
      </c>
      <c r="BY51" s="19">
        <f t="shared" si="12"/>
        <v>68136</v>
      </c>
      <c r="BZ51" s="20">
        <v>3264</v>
      </c>
      <c r="CA51" s="20">
        <f t="shared" si="30"/>
        <v>3264</v>
      </c>
      <c r="CB51" s="20">
        <f t="shared" si="31"/>
        <v>64872</v>
      </c>
      <c r="CC51" s="71">
        <f t="shared" si="32"/>
        <v>64872</v>
      </c>
      <c r="CE51" s="27">
        <v>42309</v>
      </c>
      <c r="CF51" s="44">
        <v>42282</v>
      </c>
      <c r="CG51" s="44">
        <v>42314</v>
      </c>
      <c r="CH51" s="20">
        <v>57768</v>
      </c>
      <c r="CI51" s="19">
        <f t="shared" si="13"/>
        <v>57768</v>
      </c>
      <c r="CJ51" s="20">
        <v>3576</v>
      </c>
      <c r="CK51" s="20">
        <f t="shared" si="33"/>
        <v>3576</v>
      </c>
      <c r="CL51" s="20">
        <f t="shared" si="34"/>
        <v>54192</v>
      </c>
      <c r="CM51" s="71">
        <f t="shared" si="35"/>
        <v>54192</v>
      </c>
    </row>
    <row r="52" spans="3:91" s="43" customFormat="1">
      <c r="C52" s="18">
        <v>42339</v>
      </c>
      <c r="D52" s="16">
        <v>42314</v>
      </c>
      <c r="E52" s="16">
        <v>42343</v>
      </c>
      <c r="F52" s="19">
        <v>52968</v>
      </c>
      <c r="G52" s="19">
        <f>F52</f>
        <v>52968</v>
      </c>
      <c r="H52" s="19">
        <v>3408</v>
      </c>
      <c r="I52" s="42">
        <f t="shared" si="14"/>
        <v>3408</v>
      </c>
      <c r="J52" s="19">
        <f t="shared" si="15"/>
        <v>49560</v>
      </c>
      <c r="K52" s="29">
        <f t="shared" si="16"/>
        <v>49560</v>
      </c>
      <c r="M52" s="27">
        <v>42339</v>
      </c>
      <c r="N52" s="44">
        <v>42317</v>
      </c>
      <c r="O52" s="44">
        <v>42348</v>
      </c>
      <c r="P52" s="20">
        <v>54768</v>
      </c>
      <c r="Q52" s="49">
        <f t="shared" si="1"/>
        <v>54768</v>
      </c>
      <c r="R52" s="20">
        <v>3192</v>
      </c>
      <c r="S52" s="42">
        <f t="shared" si="17"/>
        <v>3192</v>
      </c>
      <c r="T52" s="20">
        <f t="shared" si="138"/>
        <v>51576</v>
      </c>
      <c r="U52" s="29">
        <f t="shared" si="19"/>
        <v>51576</v>
      </c>
      <c r="W52" s="27">
        <v>42339</v>
      </c>
      <c r="X52" s="28">
        <v>42314</v>
      </c>
      <c r="Y52" s="28">
        <v>42343</v>
      </c>
      <c r="Z52" s="20">
        <v>42024</v>
      </c>
      <c r="AA52" s="49">
        <f t="shared" si="2"/>
        <v>42024</v>
      </c>
      <c r="AB52" s="20">
        <v>3336</v>
      </c>
      <c r="AC52" s="42">
        <f t="shared" si="20"/>
        <v>3336</v>
      </c>
      <c r="AD52" s="20">
        <f t="shared" si="100"/>
        <v>38688</v>
      </c>
      <c r="AE52" s="29">
        <f t="shared" si="21"/>
        <v>38688</v>
      </c>
      <c r="AG52" s="27">
        <v>42339</v>
      </c>
      <c r="AH52" s="44">
        <v>42315</v>
      </c>
      <c r="AI52" s="44">
        <v>42343</v>
      </c>
      <c r="AJ52" s="20">
        <v>18540</v>
      </c>
      <c r="AK52" s="19">
        <f t="shared" si="4"/>
        <v>18540</v>
      </c>
      <c r="AL52" s="20">
        <v>1950</v>
      </c>
      <c r="AM52" s="20">
        <f t="shared" si="22"/>
        <v>1950</v>
      </c>
      <c r="AN52" s="20">
        <f t="shared" si="139"/>
        <v>16590</v>
      </c>
      <c r="AO52" s="71">
        <f t="shared" si="23"/>
        <v>16590</v>
      </c>
      <c r="AQ52" s="18">
        <v>42339</v>
      </c>
      <c r="AR52" s="16">
        <v>42317</v>
      </c>
      <c r="AS52" s="16">
        <v>42348</v>
      </c>
      <c r="AT52" s="19">
        <v>45360</v>
      </c>
      <c r="AU52" s="19">
        <f t="shared" si="6"/>
        <v>45360</v>
      </c>
      <c r="AV52" s="19">
        <v>3264</v>
      </c>
      <c r="AW52" s="20">
        <f t="shared" si="24"/>
        <v>3264</v>
      </c>
      <c r="AX52" s="19">
        <f t="shared" si="101"/>
        <v>42096</v>
      </c>
      <c r="AY52" s="71">
        <f t="shared" si="25"/>
        <v>42096</v>
      </c>
      <c r="BA52" s="18">
        <v>42339</v>
      </c>
      <c r="BB52" s="44">
        <v>42315</v>
      </c>
      <c r="BC52" s="44">
        <v>42343</v>
      </c>
      <c r="BD52" s="20">
        <v>18840</v>
      </c>
      <c r="BE52" s="19">
        <f t="shared" si="8"/>
        <v>18840</v>
      </c>
      <c r="BF52" s="20">
        <v>2130</v>
      </c>
      <c r="BG52" s="20">
        <f t="shared" si="26"/>
        <v>2130</v>
      </c>
      <c r="BH52" s="20">
        <f t="shared" si="102"/>
        <v>16710</v>
      </c>
      <c r="BI52" s="71">
        <f t="shared" si="27"/>
        <v>16710</v>
      </c>
      <c r="BK52" s="18">
        <v>42339</v>
      </c>
      <c r="BL52" s="44">
        <v>42315</v>
      </c>
      <c r="BM52" s="44">
        <v>42343</v>
      </c>
      <c r="BN52" s="20">
        <v>16980</v>
      </c>
      <c r="BO52" s="19">
        <f t="shared" si="10"/>
        <v>16980</v>
      </c>
      <c r="BP52" s="20">
        <v>2460</v>
      </c>
      <c r="BQ52" s="20">
        <f t="shared" si="28"/>
        <v>2460</v>
      </c>
      <c r="BR52" s="20">
        <f t="shared" si="103"/>
        <v>14520</v>
      </c>
      <c r="BS52" s="71">
        <f t="shared" si="29"/>
        <v>14520</v>
      </c>
      <c r="BU52" s="27">
        <v>42339</v>
      </c>
      <c r="BV52" s="44">
        <v>42317</v>
      </c>
      <c r="BW52" s="44">
        <v>42343</v>
      </c>
      <c r="BX52" s="20">
        <v>37608</v>
      </c>
      <c r="BY52" s="19">
        <f t="shared" si="12"/>
        <v>37608</v>
      </c>
      <c r="BZ52" s="20">
        <v>3024</v>
      </c>
      <c r="CA52" s="20">
        <f t="shared" si="30"/>
        <v>3024</v>
      </c>
      <c r="CB52" s="20">
        <f t="shared" si="31"/>
        <v>34584</v>
      </c>
      <c r="CC52" s="71">
        <f t="shared" si="32"/>
        <v>34584</v>
      </c>
      <c r="CE52" s="27">
        <v>42339</v>
      </c>
      <c r="CF52" s="44">
        <v>42314</v>
      </c>
      <c r="CG52" s="44">
        <v>42343</v>
      </c>
      <c r="CH52" s="20">
        <v>41088</v>
      </c>
      <c r="CI52" s="19">
        <f t="shared" si="13"/>
        <v>41088</v>
      </c>
      <c r="CJ52" s="20">
        <v>3144</v>
      </c>
      <c r="CK52" s="20">
        <f t="shared" si="33"/>
        <v>3144</v>
      </c>
      <c r="CL52" s="20">
        <f t="shared" si="34"/>
        <v>37944</v>
      </c>
      <c r="CM52" s="71">
        <f t="shared" si="35"/>
        <v>37944</v>
      </c>
    </row>
    <row r="53" spans="3:91" s="43" customFormat="1">
      <c r="C53" s="151">
        <v>42370</v>
      </c>
      <c r="D53" s="44">
        <v>42343</v>
      </c>
      <c r="E53" s="44">
        <v>42369</v>
      </c>
      <c r="F53" s="20">
        <f>203640*(26/32)</f>
        <v>165457.5</v>
      </c>
      <c r="G53" s="20">
        <f>F53</f>
        <v>165457.5</v>
      </c>
      <c r="H53" s="20">
        <f>2304*(26/32)</f>
        <v>1872</v>
      </c>
      <c r="I53" s="42">
        <f>H53</f>
        <v>1872</v>
      </c>
      <c r="J53" s="20">
        <f>F53-H53</f>
        <v>163585.5</v>
      </c>
      <c r="K53" s="29">
        <f t="shared" ref="K53" si="140">G53-I53</f>
        <v>163585.5</v>
      </c>
      <c r="M53" s="151">
        <v>42370</v>
      </c>
      <c r="N53" s="44">
        <v>42348</v>
      </c>
      <c r="O53" s="44">
        <v>42369</v>
      </c>
      <c r="P53" s="20">
        <f>160560*(21/26)</f>
        <v>129683.07692307692</v>
      </c>
      <c r="Q53" s="20">
        <f>P53</f>
        <v>129683.07692307692</v>
      </c>
      <c r="R53" s="20">
        <f>1920*(21/26)</f>
        <v>1550.7692307692307</v>
      </c>
      <c r="S53" s="42">
        <f>R53</f>
        <v>1550.7692307692307</v>
      </c>
      <c r="T53" s="20">
        <f t="shared" ref="T53" si="141">P53-R53</f>
        <v>128132.30769230769</v>
      </c>
      <c r="U53" s="29">
        <f t="shared" ref="U53" si="142">Q53-S53</f>
        <v>128132.30769230769</v>
      </c>
      <c r="W53" s="151">
        <v>42370</v>
      </c>
      <c r="X53" s="44">
        <v>42343</v>
      </c>
      <c r="Y53" s="44">
        <v>42369</v>
      </c>
      <c r="Z53" s="20">
        <f>192192*(26/32)</f>
        <v>156156</v>
      </c>
      <c r="AA53" s="20">
        <f>Z53</f>
        <v>156156</v>
      </c>
      <c r="AB53" s="20">
        <f>2328*(26/32)</f>
        <v>1891.5</v>
      </c>
      <c r="AC53" s="42">
        <f>AB53</f>
        <v>1891.5</v>
      </c>
      <c r="AD53" s="20">
        <f t="shared" ref="AD53" si="143">Z53-AB53</f>
        <v>154264.5</v>
      </c>
      <c r="AE53" s="29">
        <f t="shared" ref="AE53" si="144">AA53-AC53</f>
        <v>154264.5</v>
      </c>
      <c r="AG53" s="151">
        <v>42370</v>
      </c>
      <c r="AH53" s="44">
        <v>42343</v>
      </c>
      <c r="AI53" s="44">
        <v>42369</v>
      </c>
      <c r="AJ53" s="20">
        <f>26280*(26/31)</f>
        <v>22041.290322580648</v>
      </c>
      <c r="AK53" s="42">
        <f>AJ53</f>
        <v>22041.290322580648</v>
      </c>
      <c r="AL53" s="20">
        <f>2700*(26/31)</f>
        <v>2264.516129032258</v>
      </c>
      <c r="AM53" s="42">
        <f>AL53</f>
        <v>2264.516129032258</v>
      </c>
      <c r="AN53" s="20">
        <f t="shared" ref="AN53" si="145">AJ53-AL53</f>
        <v>19776.77419354839</v>
      </c>
      <c r="AO53" s="29">
        <f t="shared" ref="AO53" si="146">AK53-AM53</f>
        <v>19776.77419354839</v>
      </c>
      <c r="AQ53" s="151">
        <v>42370</v>
      </c>
      <c r="AR53" s="44">
        <v>42348</v>
      </c>
      <c r="AS53" s="44">
        <v>42369</v>
      </c>
      <c r="AT53" s="20">
        <f>119208*(21/26)</f>
        <v>96283.384615384624</v>
      </c>
      <c r="AU53" s="42">
        <f>AT53</f>
        <v>96283.384615384624</v>
      </c>
      <c r="AV53" s="20">
        <f>2112*(21/26)</f>
        <v>1705.8461538461538</v>
      </c>
      <c r="AW53" s="42">
        <f>AV53</f>
        <v>1705.8461538461538</v>
      </c>
      <c r="AX53" s="20">
        <f t="shared" ref="AX53" si="147">AT53-AV53</f>
        <v>94577.538461538468</v>
      </c>
      <c r="AY53" s="29">
        <f t="shared" ref="AY53" si="148">AU53-AW53</f>
        <v>94577.538461538468</v>
      </c>
      <c r="BA53" s="151">
        <v>42370</v>
      </c>
      <c r="BB53" s="44">
        <v>42343</v>
      </c>
      <c r="BC53" s="44">
        <v>42369</v>
      </c>
      <c r="BD53" s="20">
        <f>31080*(26/31)</f>
        <v>26067.096774193549</v>
      </c>
      <c r="BE53" s="42">
        <f>BD53</f>
        <v>26067.096774193549</v>
      </c>
      <c r="BF53" s="20">
        <f>2730*(26/31)</f>
        <v>2289.677419354839</v>
      </c>
      <c r="BG53" s="42">
        <f>BF53</f>
        <v>2289.677419354839</v>
      </c>
      <c r="BH53" s="20">
        <f t="shared" ref="BH53" si="149">BD53-BF53</f>
        <v>23777.419354838712</v>
      </c>
      <c r="BI53" s="29">
        <f t="shared" ref="BI53" si="150">BE53-BG53</f>
        <v>23777.419354838712</v>
      </c>
      <c r="BK53" s="151">
        <v>42370</v>
      </c>
      <c r="BL53" s="44">
        <v>42343</v>
      </c>
      <c r="BM53" s="44">
        <v>42369</v>
      </c>
      <c r="BN53" s="20">
        <f>27030*(26/31)</f>
        <v>22670.322580645163</v>
      </c>
      <c r="BO53" s="42">
        <f>BN53</f>
        <v>22670.322580645163</v>
      </c>
      <c r="BP53" s="20">
        <f>2730*(26/31)</f>
        <v>2289.677419354839</v>
      </c>
      <c r="BQ53" s="42">
        <f>BP53</f>
        <v>2289.677419354839</v>
      </c>
      <c r="BR53" s="20">
        <f t="shared" ref="BR53" si="151">BN53-BP53</f>
        <v>20380.645161290326</v>
      </c>
      <c r="BS53" s="29">
        <f t="shared" ref="BS53" si="152">BO53-BQ53</f>
        <v>20380.645161290326</v>
      </c>
      <c r="BU53" s="151">
        <v>42370</v>
      </c>
      <c r="BV53" s="44">
        <v>42343</v>
      </c>
      <c r="BW53" s="44">
        <v>42369</v>
      </c>
      <c r="BX53" s="20">
        <f>171600*(26/31)</f>
        <v>143922.5806451613</v>
      </c>
      <c r="BY53" s="42">
        <f>BX53</f>
        <v>143922.5806451613</v>
      </c>
      <c r="BZ53" s="20">
        <f>2088*(26/31)</f>
        <v>1751.2258064516129</v>
      </c>
      <c r="CA53" s="42">
        <f>BZ53</f>
        <v>1751.2258064516129</v>
      </c>
      <c r="CB53" s="20">
        <f t="shared" ref="CB53" si="153">BX53-BZ53</f>
        <v>142171.3548387097</v>
      </c>
      <c r="CC53" s="29">
        <f t="shared" ref="CC53" si="154">BY53-CA53</f>
        <v>142171.3548387097</v>
      </c>
      <c r="CE53" s="151">
        <v>42370</v>
      </c>
      <c r="CF53" s="44">
        <v>42343</v>
      </c>
      <c r="CG53" s="44">
        <v>42369</v>
      </c>
      <c r="CH53" s="20">
        <f>170448*(26/32)</f>
        <v>138489</v>
      </c>
      <c r="CI53" s="42">
        <f>CH53</f>
        <v>138489</v>
      </c>
      <c r="CJ53" s="20">
        <f>2400*(26/32)</f>
        <v>1950</v>
      </c>
      <c r="CK53" s="42">
        <f>CJ53</f>
        <v>1950</v>
      </c>
      <c r="CL53" s="20">
        <f t="shared" ref="CL53" si="155">CH53-CJ53</f>
        <v>136539</v>
      </c>
      <c r="CM53" s="29">
        <f t="shared" ref="CM53" si="156">CI53-CK53</f>
        <v>136539</v>
      </c>
    </row>
    <row r="54" spans="3:91" s="43" customFormat="1">
      <c r="C54" s="152"/>
      <c r="D54" s="143">
        <v>42522</v>
      </c>
      <c r="E54" s="44">
        <v>42375</v>
      </c>
      <c r="F54" s="20">
        <f>203640*(6/32)</f>
        <v>38182.5</v>
      </c>
      <c r="G54" s="20">
        <f>F54</f>
        <v>38182.5</v>
      </c>
      <c r="H54" s="20">
        <f>2304*(6/32)</f>
        <v>432</v>
      </c>
      <c r="I54" s="42">
        <f>H54</f>
        <v>432</v>
      </c>
      <c r="J54" s="20">
        <f t="shared" si="15"/>
        <v>37750.5</v>
      </c>
      <c r="K54" s="29">
        <f t="shared" si="16"/>
        <v>37750.5</v>
      </c>
      <c r="M54" s="152"/>
      <c r="N54" s="143">
        <v>42370</v>
      </c>
      <c r="O54" s="44">
        <v>42374</v>
      </c>
      <c r="P54" s="20">
        <f>160560*(5/26)</f>
        <v>30876.923076923078</v>
      </c>
      <c r="Q54" s="20">
        <f>P54</f>
        <v>30876.923076923078</v>
      </c>
      <c r="R54" s="20">
        <f>1920*(5/26)</f>
        <v>369.23076923076923</v>
      </c>
      <c r="S54" s="42">
        <f>R54</f>
        <v>369.23076923076923</v>
      </c>
      <c r="T54" s="20">
        <f t="shared" si="138"/>
        <v>30507.692307692309</v>
      </c>
      <c r="U54" s="29">
        <f t="shared" si="19"/>
        <v>30507.692307692309</v>
      </c>
      <c r="W54" s="152"/>
      <c r="X54" s="44">
        <v>42370</v>
      </c>
      <c r="Y54" s="44">
        <v>42375</v>
      </c>
      <c r="Z54" s="20">
        <f>192192*(6/32)</f>
        <v>36036</v>
      </c>
      <c r="AA54" s="20">
        <f>Z54</f>
        <v>36036</v>
      </c>
      <c r="AB54" s="20">
        <f>2328*(6/32)</f>
        <v>436.5</v>
      </c>
      <c r="AC54" s="42">
        <f>AB54</f>
        <v>436.5</v>
      </c>
      <c r="AD54" s="20">
        <f t="shared" si="100"/>
        <v>35599.5</v>
      </c>
      <c r="AE54" s="29">
        <f t="shared" si="21"/>
        <v>35599.5</v>
      </c>
      <c r="AG54" s="152"/>
      <c r="AH54" s="44">
        <v>42370</v>
      </c>
      <c r="AI54" s="44">
        <v>42374</v>
      </c>
      <c r="AJ54" s="20">
        <f>26280*(5/31)</f>
        <v>4238.7096774193551</v>
      </c>
      <c r="AK54" s="42">
        <f>AJ54</f>
        <v>4238.7096774193551</v>
      </c>
      <c r="AL54" s="20">
        <f>2700*(5/31)</f>
        <v>435.48387096774195</v>
      </c>
      <c r="AM54" s="42">
        <f>AL54</f>
        <v>435.48387096774195</v>
      </c>
      <c r="AN54" s="20">
        <f t="shared" si="139"/>
        <v>3803.2258064516132</v>
      </c>
      <c r="AO54" s="29">
        <f t="shared" si="23"/>
        <v>3803.2258064516132</v>
      </c>
      <c r="AQ54" s="152"/>
      <c r="AR54" s="44">
        <v>42370</v>
      </c>
      <c r="AS54" s="44">
        <v>42374</v>
      </c>
      <c r="AT54" s="20">
        <f>119208*(5/26)</f>
        <v>22924.615384615387</v>
      </c>
      <c r="AU54" s="42">
        <f>AT54</f>
        <v>22924.615384615387</v>
      </c>
      <c r="AV54" s="20">
        <f>2112*(5/26)</f>
        <v>406.15384615384619</v>
      </c>
      <c r="AW54" s="42">
        <f>AV54</f>
        <v>406.15384615384619</v>
      </c>
      <c r="AX54" s="20">
        <f t="shared" si="101"/>
        <v>22518.461538461539</v>
      </c>
      <c r="AY54" s="29">
        <f t="shared" si="25"/>
        <v>22518.461538461539</v>
      </c>
      <c r="BA54" s="152"/>
      <c r="BB54" s="44">
        <v>42370</v>
      </c>
      <c r="BC54" s="44">
        <v>42374</v>
      </c>
      <c r="BD54" s="20">
        <f>31080*(5/31)</f>
        <v>5012.9032258064517</v>
      </c>
      <c r="BE54" s="42">
        <f>BD54</f>
        <v>5012.9032258064517</v>
      </c>
      <c r="BF54" s="20">
        <f>2730*(5/31)</f>
        <v>440.32258064516128</v>
      </c>
      <c r="BG54" s="42">
        <f>BF54</f>
        <v>440.32258064516128</v>
      </c>
      <c r="BH54" s="20">
        <f t="shared" si="102"/>
        <v>4572.5806451612907</v>
      </c>
      <c r="BI54" s="29">
        <f t="shared" si="27"/>
        <v>4572.5806451612907</v>
      </c>
      <c r="BK54" s="152"/>
      <c r="BL54" s="44">
        <v>42370</v>
      </c>
      <c r="BM54" s="44">
        <v>42374</v>
      </c>
      <c r="BN54" s="20">
        <f>27030*(5/31)</f>
        <v>4359.677419354839</v>
      </c>
      <c r="BO54" s="42">
        <f>BN54</f>
        <v>4359.677419354839</v>
      </c>
      <c r="BP54" s="20">
        <f>2730*(5/31)</f>
        <v>440.32258064516128</v>
      </c>
      <c r="BQ54" s="42">
        <f>BP54</f>
        <v>440.32258064516128</v>
      </c>
      <c r="BR54" s="20">
        <f t="shared" si="103"/>
        <v>3919.3548387096776</v>
      </c>
      <c r="BS54" s="29">
        <f t="shared" si="29"/>
        <v>3919.3548387096776</v>
      </c>
      <c r="BU54" s="152"/>
      <c r="BV54" s="44">
        <v>42370</v>
      </c>
      <c r="BW54" s="44">
        <v>42374</v>
      </c>
      <c r="BX54" s="20">
        <f>171600*(5/31)</f>
        <v>27677.419354838708</v>
      </c>
      <c r="BY54" s="42">
        <f>BX54</f>
        <v>27677.419354838708</v>
      </c>
      <c r="BZ54" s="20">
        <f>2088*(5/31)</f>
        <v>336.77419354838707</v>
      </c>
      <c r="CA54" s="42">
        <f>BZ54</f>
        <v>336.77419354838707</v>
      </c>
      <c r="CB54" s="20">
        <f t="shared" si="31"/>
        <v>27340.645161290322</v>
      </c>
      <c r="CC54" s="29">
        <f t="shared" si="32"/>
        <v>27340.645161290322</v>
      </c>
      <c r="CE54" s="152"/>
      <c r="CF54" s="44">
        <v>42370</v>
      </c>
      <c r="CG54" s="44">
        <v>42375</v>
      </c>
      <c r="CH54" s="20">
        <f>170448*(6/32)</f>
        <v>31959</v>
      </c>
      <c r="CI54" s="42">
        <f>CH54</f>
        <v>31959</v>
      </c>
      <c r="CJ54" s="20">
        <f>2400*(6/32)</f>
        <v>450</v>
      </c>
      <c r="CK54" s="42">
        <f>CJ54</f>
        <v>450</v>
      </c>
      <c r="CL54" s="20">
        <f t="shared" si="34"/>
        <v>31509</v>
      </c>
      <c r="CM54" s="29">
        <f t="shared" si="35"/>
        <v>31509</v>
      </c>
    </row>
    <row r="55" spans="3:91" s="43" customFormat="1">
      <c r="C55" s="18">
        <v>42401</v>
      </c>
      <c r="D55" s="16">
        <v>42375</v>
      </c>
      <c r="E55" s="16">
        <v>42409</v>
      </c>
      <c r="F55" s="19">
        <v>196080</v>
      </c>
      <c r="G55" s="63">
        <f t="shared" ref="G55:G82" si="157">F55*(1-0.2%)</f>
        <v>195687.84</v>
      </c>
      <c r="H55" s="19">
        <v>2448</v>
      </c>
      <c r="I55" s="63">
        <f t="shared" ref="I55:I82" si="158">H55*(1+0.2%)</f>
        <v>2452.8960000000002</v>
      </c>
      <c r="J55" s="19">
        <f t="shared" si="15"/>
        <v>193632</v>
      </c>
      <c r="K55" s="29">
        <f t="shared" si="16"/>
        <v>193234.94399999999</v>
      </c>
      <c r="M55" s="18">
        <v>42401</v>
      </c>
      <c r="N55" s="16">
        <v>42374</v>
      </c>
      <c r="O55" s="16">
        <v>42405</v>
      </c>
      <c r="P55" s="19">
        <v>180408</v>
      </c>
      <c r="Q55" s="63">
        <f t="shared" ref="Q55:Q82" si="159">P55*(1-0.2%)</f>
        <v>180047.18400000001</v>
      </c>
      <c r="R55" s="19">
        <v>1920</v>
      </c>
      <c r="S55" s="63">
        <f t="shared" ref="S55:S82" si="160">R55*(1+0.2%)</f>
        <v>1923.84</v>
      </c>
      <c r="T55" s="19">
        <f t="shared" si="138"/>
        <v>178488</v>
      </c>
      <c r="U55" s="29">
        <f t="shared" si="19"/>
        <v>178123.34400000001</v>
      </c>
      <c r="W55" s="18">
        <v>42401</v>
      </c>
      <c r="X55" s="60">
        <v>42375</v>
      </c>
      <c r="Y55" s="60">
        <v>42409</v>
      </c>
      <c r="Z55" s="19">
        <v>181320</v>
      </c>
      <c r="AA55" s="63">
        <f t="shared" ref="AA55:AA82" si="161">Z55*(1-0.2%)</f>
        <v>180957.36</v>
      </c>
      <c r="AB55" s="19">
        <v>2304</v>
      </c>
      <c r="AC55" s="63">
        <f t="shared" ref="AC55:AC82" si="162">AB55*(1+0.2%)</f>
        <v>2308.6080000000002</v>
      </c>
      <c r="AD55" s="19">
        <f t="shared" si="100"/>
        <v>179016</v>
      </c>
      <c r="AE55" s="29">
        <f t="shared" si="21"/>
        <v>178648.75199999998</v>
      </c>
      <c r="AG55" s="18">
        <v>42401</v>
      </c>
      <c r="AH55" s="16">
        <v>42374</v>
      </c>
      <c r="AI55" s="16">
        <v>42405</v>
      </c>
      <c r="AJ55" s="19">
        <v>8610</v>
      </c>
      <c r="AK55" s="63">
        <f t="shared" ref="AK55:AK82" si="163">AJ55*(1-0.2%)</f>
        <v>8592.7800000000007</v>
      </c>
      <c r="AL55" s="19">
        <v>2940</v>
      </c>
      <c r="AM55" s="63">
        <f t="shared" ref="AM55:AM82" si="164">AL55*(1+0.2%)</f>
        <v>2945.88</v>
      </c>
      <c r="AN55" s="19">
        <f t="shared" si="139"/>
        <v>5670</v>
      </c>
      <c r="AO55" s="71">
        <f t="shared" si="23"/>
        <v>5646.9000000000005</v>
      </c>
      <c r="AQ55" s="18">
        <v>42401</v>
      </c>
      <c r="AR55" s="16">
        <v>42374</v>
      </c>
      <c r="AS55" s="16">
        <v>42405</v>
      </c>
      <c r="AT55" s="19">
        <v>134688</v>
      </c>
      <c r="AU55" s="63">
        <f t="shared" ref="AU55:AU82" si="165">AT55*(1-0.2%)</f>
        <v>134418.62400000001</v>
      </c>
      <c r="AV55" s="19">
        <v>2304</v>
      </c>
      <c r="AW55" s="63">
        <f t="shared" ref="AW55:AW82" si="166">AV55*(1+0.2%)</f>
        <v>2308.6080000000002</v>
      </c>
      <c r="AX55" s="19">
        <f t="shared" si="101"/>
        <v>132384</v>
      </c>
      <c r="AY55" s="71">
        <f t="shared" si="25"/>
        <v>132110.016</v>
      </c>
      <c r="BA55" s="18">
        <v>42401</v>
      </c>
      <c r="BB55" s="16">
        <v>42374</v>
      </c>
      <c r="BC55" s="16">
        <v>42405</v>
      </c>
      <c r="BD55" s="19">
        <v>10380</v>
      </c>
      <c r="BE55" s="63">
        <f t="shared" ref="BE55:BE82" si="167">BD55*(1-0.2%)</f>
        <v>10359.24</v>
      </c>
      <c r="BF55" s="19">
        <v>3030</v>
      </c>
      <c r="BG55" s="63">
        <f t="shared" ref="BG55:BG82" si="168">BF55*(1+0.2%)</f>
        <v>3036.06</v>
      </c>
      <c r="BH55" s="19">
        <f t="shared" si="102"/>
        <v>7350</v>
      </c>
      <c r="BI55" s="71">
        <f t="shared" si="27"/>
        <v>7323.18</v>
      </c>
      <c r="BK55" s="27">
        <v>42401</v>
      </c>
      <c r="BL55" s="44">
        <v>42374</v>
      </c>
      <c r="BM55" s="44">
        <v>42405</v>
      </c>
      <c r="BN55" s="20">
        <v>8970</v>
      </c>
      <c r="BO55" s="63">
        <f t="shared" ref="BO55:BO82" si="169">BN55*(1-0.2%)</f>
        <v>8952.06</v>
      </c>
      <c r="BP55" s="20">
        <v>2850</v>
      </c>
      <c r="BQ55" s="63">
        <f t="shared" ref="BQ55:BQ82" si="170">BP55*(1+0.2%)</f>
        <v>2855.7</v>
      </c>
      <c r="BR55" s="20">
        <f t="shared" si="103"/>
        <v>6120</v>
      </c>
      <c r="BS55" s="71">
        <f t="shared" si="29"/>
        <v>6096.36</v>
      </c>
      <c r="BU55" s="27">
        <v>42401</v>
      </c>
      <c r="BV55" s="44">
        <v>42374</v>
      </c>
      <c r="BW55" s="44">
        <v>42405</v>
      </c>
      <c r="BX55" s="20">
        <v>200592</v>
      </c>
      <c r="BY55" s="63">
        <f t="shared" ref="BY55:BY82" si="171">BX55*(1-0.2%)</f>
        <v>200190.81599999999</v>
      </c>
      <c r="BZ55" s="20">
        <v>4104</v>
      </c>
      <c r="CA55" s="63">
        <f t="shared" ref="CA55:CA82" si="172">BZ55*(1+0.2%)</f>
        <v>4112.2079999999996</v>
      </c>
      <c r="CB55" s="20">
        <f t="shared" si="31"/>
        <v>196488</v>
      </c>
      <c r="CC55" s="71">
        <f t="shared" si="32"/>
        <v>196078.60799999998</v>
      </c>
      <c r="CE55" s="27">
        <v>42401</v>
      </c>
      <c r="CF55" s="44">
        <v>42375</v>
      </c>
      <c r="CG55" s="44">
        <v>42409</v>
      </c>
      <c r="CH55" s="20">
        <v>177480</v>
      </c>
      <c r="CI55" s="63">
        <f t="shared" ref="CI55:CI82" si="173">CH55*(1-0.2%)</f>
        <v>177125.04</v>
      </c>
      <c r="CJ55" s="19">
        <v>2208</v>
      </c>
      <c r="CK55" s="63">
        <f t="shared" ref="CK55:CK82" si="174">CJ55*(1+0.2%)</f>
        <v>2212.4160000000002</v>
      </c>
      <c r="CL55" s="19">
        <f t="shared" si="34"/>
        <v>175272</v>
      </c>
      <c r="CM55" s="71">
        <f t="shared" si="35"/>
        <v>174912.62400000001</v>
      </c>
    </row>
    <row r="56" spans="3:91" s="43" customFormat="1">
      <c r="C56" s="18">
        <v>42430</v>
      </c>
      <c r="D56" s="16">
        <v>42409</v>
      </c>
      <c r="E56" s="16">
        <v>42435</v>
      </c>
      <c r="F56" s="19">
        <v>142632</v>
      </c>
      <c r="G56" s="63">
        <f t="shared" si="157"/>
        <v>142346.736</v>
      </c>
      <c r="H56" s="19">
        <v>1848</v>
      </c>
      <c r="I56" s="63">
        <f t="shared" si="158"/>
        <v>1851.6959999999999</v>
      </c>
      <c r="J56" s="19">
        <f t="shared" si="15"/>
        <v>140784</v>
      </c>
      <c r="K56" s="29">
        <f t="shared" si="16"/>
        <v>140495.04000000001</v>
      </c>
      <c r="M56" s="27">
        <v>42430</v>
      </c>
      <c r="N56" s="44">
        <v>42405</v>
      </c>
      <c r="O56" s="44">
        <v>42434</v>
      </c>
      <c r="P56" s="20">
        <v>164256</v>
      </c>
      <c r="Q56" s="63">
        <f t="shared" si="159"/>
        <v>163927.48800000001</v>
      </c>
      <c r="R56" s="20">
        <v>1968</v>
      </c>
      <c r="S56" s="63">
        <f t="shared" si="160"/>
        <v>1971.9359999999999</v>
      </c>
      <c r="T56" s="20">
        <f t="shared" si="138"/>
        <v>162288</v>
      </c>
      <c r="U56" s="29">
        <f t="shared" si="19"/>
        <v>161955.55200000003</v>
      </c>
      <c r="W56" s="18">
        <v>42430</v>
      </c>
      <c r="X56" s="60">
        <v>42409</v>
      </c>
      <c r="Y56" s="60">
        <v>42435</v>
      </c>
      <c r="Z56" s="19">
        <v>155256</v>
      </c>
      <c r="AA56" s="63">
        <f t="shared" si="161"/>
        <v>154945.48800000001</v>
      </c>
      <c r="AB56" s="19">
        <v>1848</v>
      </c>
      <c r="AC56" s="63">
        <f t="shared" si="162"/>
        <v>1851.6959999999999</v>
      </c>
      <c r="AD56" s="19">
        <f t="shared" si="100"/>
        <v>153408</v>
      </c>
      <c r="AE56" s="29">
        <f t="shared" si="21"/>
        <v>153093.79200000002</v>
      </c>
      <c r="AG56" s="18">
        <v>42430</v>
      </c>
      <c r="AH56" s="16">
        <v>42405</v>
      </c>
      <c r="AI56" s="16">
        <v>42434</v>
      </c>
      <c r="AJ56" s="19">
        <v>35430</v>
      </c>
      <c r="AK56" s="63">
        <f t="shared" si="163"/>
        <v>35359.14</v>
      </c>
      <c r="AL56" s="19">
        <v>3720</v>
      </c>
      <c r="AM56" s="63">
        <f t="shared" si="164"/>
        <v>3727.44</v>
      </c>
      <c r="AN56" s="19">
        <f t="shared" si="139"/>
        <v>31710</v>
      </c>
      <c r="AO56" s="71">
        <f t="shared" si="23"/>
        <v>31631.7</v>
      </c>
      <c r="AQ56" s="18">
        <v>42430</v>
      </c>
      <c r="AR56" s="16">
        <v>42405</v>
      </c>
      <c r="AS56" s="16">
        <v>42434</v>
      </c>
      <c r="AT56" s="19">
        <v>131880</v>
      </c>
      <c r="AU56" s="63">
        <f t="shared" si="165"/>
        <v>131616.24</v>
      </c>
      <c r="AV56" s="19">
        <v>2448</v>
      </c>
      <c r="AW56" s="63">
        <f t="shared" si="166"/>
        <v>2452.8960000000002</v>
      </c>
      <c r="AX56" s="19">
        <f t="shared" si="101"/>
        <v>129432</v>
      </c>
      <c r="AY56" s="71">
        <f t="shared" si="25"/>
        <v>129163.344</v>
      </c>
      <c r="BA56" s="27">
        <v>42430</v>
      </c>
      <c r="BB56" s="44">
        <v>42405</v>
      </c>
      <c r="BC56" s="44">
        <v>42434</v>
      </c>
      <c r="BD56" s="20">
        <v>42720</v>
      </c>
      <c r="BE56" s="63">
        <f t="shared" si="167"/>
        <v>42634.559999999998</v>
      </c>
      <c r="BF56" s="20">
        <v>3720</v>
      </c>
      <c r="BG56" s="63">
        <f t="shared" si="168"/>
        <v>3727.44</v>
      </c>
      <c r="BH56" s="20">
        <f t="shared" si="102"/>
        <v>39000</v>
      </c>
      <c r="BI56" s="71">
        <f t="shared" si="27"/>
        <v>38907.119999999995</v>
      </c>
      <c r="BK56" s="27">
        <v>42430</v>
      </c>
      <c r="BL56" s="44">
        <v>42405</v>
      </c>
      <c r="BM56" s="44">
        <v>42434</v>
      </c>
      <c r="BN56" s="20">
        <v>43950</v>
      </c>
      <c r="BO56" s="63">
        <f t="shared" si="169"/>
        <v>43862.1</v>
      </c>
      <c r="BP56" s="20">
        <v>3750</v>
      </c>
      <c r="BQ56" s="63">
        <f t="shared" si="170"/>
        <v>3757.5</v>
      </c>
      <c r="BR56" s="20">
        <f t="shared" si="103"/>
        <v>40200</v>
      </c>
      <c r="BS56" s="71">
        <f t="shared" si="29"/>
        <v>40104.6</v>
      </c>
      <c r="BU56" s="27">
        <v>42430</v>
      </c>
      <c r="BV56" s="44">
        <v>42405</v>
      </c>
      <c r="BW56" s="44">
        <v>42434</v>
      </c>
      <c r="BX56" s="20">
        <v>202728</v>
      </c>
      <c r="BY56" s="63">
        <f t="shared" si="171"/>
        <v>202322.54399999999</v>
      </c>
      <c r="BZ56" s="20">
        <v>1536</v>
      </c>
      <c r="CA56" s="63">
        <f t="shared" si="172"/>
        <v>1539.0720000000001</v>
      </c>
      <c r="CB56" s="20">
        <f t="shared" si="31"/>
        <v>201192</v>
      </c>
      <c r="CC56" s="71">
        <f t="shared" si="32"/>
        <v>200783.47200000001</v>
      </c>
      <c r="CE56" s="27">
        <v>42430</v>
      </c>
      <c r="CF56" s="44">
        <v>42409</v>
      </c>
      <c r="CG56" s="44">
        <v>42435</v>
      </c>
      <c r="CH56" s="20">
        <v>133416</v>
      </c>
      <c r="CI56" s="63">
        <f t="shared" si="173"/>
        <v>133149.16800000001</v>
      </c>
      <c r="CJ56" s="19">
        <v>1968</v>
      </c>
      <c r="CK56" s="63">
        <f t="shared" si="174"/>
        <v>1971.9359999999999</v>
      </c>
      <c r="CL56" s="19">
        <f t="shared" si="34"/>
        <v>131448</v>
      </c>
      <c r="CM56" s="71">
        <f t="shared" si="35"/>
        <v>131177.23200000002</v>
      </c>
    </row>
    <row r="57" spans="3:91" s="43" customFormat="1">
      <c r="C57" s="18">
        <v>42461</v>
      </c>
      <c r="D57" s="16">
        <v>42435</v>
      </c>
      <c r="E57" s="16">
        <v>42466</v>
      </c>
      <c r="F57" s="19">
        <v>75648</v>
      </c>
      <c r="G57" s="63">
        <f t="shared" si="157"/>
        <v>75496.703999999998</v>
      </c>
      <c r="H57" s="19">
        <v>3336</v>
      </c>
      <c r="I57" s="63">
        <f t="shared" si="158"/>
        <v>3342.672</v>
      </c>
      <c r="J57" s="19">
        <f t="shared" si="15"/>
        <v>72312</v>
      </c>
      <c r="K57" s="29">
        <f t="shared" si="16"/>
        <v>72154.031999999992</v>
      </c>
      <c r="M57" s="18">
        <v>42461</v>
      </c>
      <c r="N57" s="16">
        <v>42434</v>
      </c>
      <c r="O57" s="16">
        <v>42465</v>
      </c>
      <c r="P57" s="19">
        <v>86448</v>
      </c>
      <c r="Q57" s="63">
        <f t="shared" si="159"/>
        <v>86275.104000000007</v>
      </c>
      <c r="R57" s="19">
        <v>3192</v>
      </c>
      <c r="S57" s="63">
        <f t="shared" si="160"/>
        <v>3198.384</v>
      </c>
      <c r="T57" s="19">
        <f t="shared" si="138"/>
        <v>83256</v>
      </c>
      <c r="U57" s="29">
        <f t="shared" si="19"/>
        <v>83076.72</v>
      </c>
      <c r="W57" s="18">
        <v>42461</v>
      </c>
      <c r="X57" s="60">
        <v>42435</v>
      </c>
      <c r="Y57" s="60">
        <v>42466</v>
      </c>
      <c r="Z57" s="19">
        <v>90528</v>
      </c>
      <c r="AA57" s="63">
        <f t="shared" si="161"/>
        <v>90346.944000000003</v>
      </c>
      <c r="AB57" s="19">
        <v>3456</v>
      </c>
      <c r="AC57" s="63">
        <f t="shared" si="162"/>
        <v>3462.9119999999998</v>
      </c>
      <c r="AD57" s="19">
        <f t="shared" si="100"/>
        <v>87072</v>
      </c>
      <c r="AE57" s="29">
        <f t="shared" si="21"/>
        <v>86884.032000000007</v>
      </c>
      <c r="AG57" s="18">
        <v>42461</v>
      </c>
      <c r="AH57" s="16">
        <v>42434</v>
      </c>
      <c r="AI57" s="16">
        <v>42465</v>
      </c>
      <c r="AJ57" s="19">
        <v>35250</v>
      </c>
      <c r="AK57" s="63">
        <f t="shared" si="163"/>
        <v>35179.5</v>
      </c>
      <c r="AL57" s="19">
        <v>4710</v>
      </c>
      <c r="AM57" s="63">
        <f t="shared" si="164"/>
        <v>4719.42</v>
      </c>
      <c r="AN57" s="19">
        <f t="shared" si="139"/>
        <v>30540</v>
      </c>
      <c r="AO57" s="71">
        <f t="shared" si="23"/>
        <v>30460.080000000002</v>
      </c>
      <c r="AQ57" s="18">
        <v>42461</v>
      </c>
      <c r="AR57" s="16">
        <v>42434</v>
      </c>
      <c r="AS57" s="16">
        <v>42466</v>
      </c>
      <c r="AT57" s="19">
        <v>60192</v>
      </c>
      <c r="AU57" s="63">
        <f t="shared" si="165"/>
        <v>60071.616000000002</v>
      </c>
      <c r="AV57" s="19">
        <v>3936</v>
      </c>
      <c r="AW57" s="63">
        <f t="shared" si="166"/>
        <v>3943.8719999999998</v>
      </c>
      <c r="AX57" s="19">
        <f t="shared" si="101"/>
        <v>56256</v>
      </c>
      <c r="AY57" s="71">
        <f t="shared" si="25"/>
        <v>56127.743999999999</v>
      </c>
      <c r="BA57" s="27">
        <v>42461</v>
      </c>
      <c r="BB57" s="44">
        <v>42434</v>
      </c>
      <c r="BC57" s="44">
        <v>42465</v>
      </c>
      <c r="BD57" s="20">
        <v>36630</v>
      </c>
      <c r="BE57" s="63">
        <f t="shared" si="167"/>
        <v>36556.74</v>
      </c>
      <c r="BF57" s="20">
        <v>5040</v>
      </c>
      <c r="BG57" s="63">
        <f t="shared" si="168"/>
        <v>5050.08</v>
      </c>
      <c r="BH57" s="20">
        <f t="shared" si="102"/>
        <v>31590</v>
      </c>
      <c r="BI57" s="71">
        <f t="shared" si="27"/>
        <v>31506.659999999996</v>
      </c>
      <c r="BK57" s="27">
        <v>42461</v>
      </c>
      <c r="BL57" s="44">
        <v>42434</v>
      </c>
      <c r="BM57" s="44">
        <v>42465</v>
      </c>
      <c r="BN57" s="20">
        <v>36420</v>
      </c>
      <c r="BO57" s="63">
        <f t="shared" si="169"/>
        <v>36347.160000000003</v>
      </c>
      <c r="BP57" s="20">
        <v>4620</v>
      </c>
      <c r="BQ57" s="63">
        <f t="shared" si="170"/>
        <v>4629.24</v>
      </c>
      <c r="BR57" s="20">
        <f t="shared" si="103"/>
        <v>31800</v>
      </c>
      <c r="BS57" s="71">
        <f t="shared" si="29"/>
        <v>31717.920000000006</v>
      </c>
      <c r="BU57" s="27">
        <v>42461</v>
      </c>
      <c r="BV57" s="16">
        <v>42434</v>
      </c>
      <c r="BW57" s="16">
        <v>42465</v>
      </c>
      <c r="BX57" s="19">
        <v>118128</v>
      </c>
      <c r="BY57" s="63">
        <f t="shared" si="171"/>
        <v>117891.74400000001</v>
      </c>
      <c r="BZ57" s="19">
        <v>-48</v>
      </c>
      <c r="CA57" s="63">
        <f t="shared" si="172"/>
        <v>-48.096000000000004</v>
      </c>
      <c r="CB57" s="19">
        <f t="shared" si="31"/>
        <v>118176</v>
      </c>
      <c r="CC57" s="71">
        <f t="shared" si="32"/>
        <v>117939.84000000001</v>
      </c>
      <c r="CE57" s="27">
        <v>42461</v>
      </c>
      <c r="CF57" s="44">
        <v>42435</v>
      </c>
      <c r="CG57" s="44">
        <v>42466</v>
      </c>
      <c r="CH57" s="20">
        <v>91992</v>
      </c>
      <c r="CI57" s="63">
        <f t="shared" si="173"/>
        <v>91808.016000000003</v>
      </c>
      <c r="CJ57" s="19">
        <v>3240</v>
      </c>
      <c r="CK57" s="63">
        <f t="shared" si="174"/>
        <v>3246.48</v>
      </c>
      <c r="CL57" s="19">
        <f t="shared" si="34"/>
        <v>88752</v>
      </c>
      <c r="CM57" s="71">
        <f t="shared" si="35"/>
        <v>88561.536000000007</v>
      </c>
    </row>
    <row r="58" spans="3:91" s="43" customFormat="1">
      <c r="C58" s="18">
        <v>42491</v>
      </c>
      <c r="D58" s="16">
        <v>42466</v>
      </c>
      <c r="E58" s="16">
        <v>42497</v>
      </c>
      <c r="F58" s="19">
        <f>5328+119040</f>
        <v>124368</v>
      </c>
      <c r="G58" s="63">
        <f t="shared" si="157"/>
        <v>124119.264</v>
      </c>
      <c r="H58" s="19">
        <f>240+2520</f>
        <v>2760</v>
      </c>
      <c r="I58" s="63">
        <f t="shared" si="158"/>
        <v>2765.52</v>
      </c>
      <c r="J58" s="19">
        <f t="shared" si="15"/>
        <v>121608</v>
      </c>
      <c r="K58" s="29">
        <f t="shared" si="16"/>
        <v>121353.74399999999</v>
      </c>
      <c r="M58" s="18">
        <v>42491</v>
      </c>
      <c r="N58" s="16">
        <v>42465</v>
      </c>
      <c r="O58" s="16">
        <v>42496</v>
      </c>
      <c r="P58" s="19">
        <f>16056+110496</f>
        <v>126552</v>
      </c>
      <c r="Q58" s="63">
        <f t="shared" si="159"/>
        <v>126298.89599999999</v>
      </c>
      <c r="R58" s="19">
        <f>528+15912</f>
        <v>16440</v>
      </c>
      <c r="S58" s="63">
        <f t="shared" si="160"/>
        <v>16472.88</v>
      </c>
      <c r="T58" s="19">
        <f t="shared" si="138"/>
        <v>110112</v>
      </c>
      <c r="U58" s="29">
        <f t="shared" si="19"/>
        <v>109826.01599999999</v>
      </c>
      <c r="W58" s="18">
        <v>42491</v>
      </c>
      <c r="X58" s="60">
        <v>42466</v>
      </c>
      <c r="Y58" s="60">
        <v>42494</v>
      </c>
      <c r="Z58" s="19">
        <f>6120+115368</f>
        <v>121488</v>
      </c>
      <c r="AA58" s="63">
        <f t="shared" si="161"/>
        <v>121245.024</v>
      </c>
      <c r="AB58" s="19">
        <f>240+2256</f>
        <v>2496</v>
      </c>
      <c r="AC58" s="63">
        <f t="shared" si="162"/>
        <v>2500.9920000000002</v>
      </c>
      <c r="AD58" s="19">
        <f t="shared" si="100"/>
        <v>118992</v>
      </c>
      <c r="AE58" s="29">
        <f t="shared" si="21"/>
        <v>118744.03200000001</v>
      </c>
      <c r="AG58" s="18">
        <v>42491</v>
      </c>
      <c r="AH58" s="16">
        <v>42465</v>
      </c>
      <c r="AI58" s="16">
        <v>42495</v>
      </c>
      <c r="AJ58" s="19">
        <f>6930+154620</f>
        <v>161550</v>
      </c>
      <c r="AK58" s="63">
        <f t="shared" si="163"/>
        <v>161226.9</v>
      </c>
      <c r="AL58" s="19">
        <f>540+2850</f>
        <v>3390</v>
      </c>
      <c r="AM58" s="63">
        <f t="shared" si="164"/>
        <v>3396.78</v>
      </c>
      <c r="AN58" s="19">
        <f t="shared" si="139"/>
        <v>158160</v>
      </c>
      <c r="AO58" s="71">
        <f t="shared" si="23"/>
        <v>157830.12</v>
      </c>
      <c r="AQ58" s="18">
        <v>42491</v>
      </c>
      <c r="AR58" s="16">
        <v>42466</v>
      </c>
      <c r="AS58" s="16">
        <v>42495</v>
      </c>
      <c r="AT58" s="19">
        <f>7392+75216</f>
        <v>82608</v>
      </c>
      <c r="AU58" s="63">
        <f t="shared" si="165"/>
        <v>82442.784</v>
      </c>
      <c r="AV58" s="19">
        <f>576+2664</f>
        <v>3240</v>
      </c>
      <c r="AW58" s="63">
        <f t="shared" si="166"/>
        <v>3246.48</v>
      </c>
      <c r="AX58" s="19">
        <f t="shared" si="101"/>
        <v>79368</v>
      </c>
      <c r="AY58" s="71">
        <f t="shared" si="25"/>
        <v>79196.304000000004</v>
      </c>
      <c r="BA58" s="27">
        <v>42491</v>
      </c>
      <c r="BB58" s="44">
        <v>42465</v>
      </c>
      <c r="BC58" s="44">
        <v>42495</v>
      </c>
      <c r="BD58" s="20">
        <f>7140+154680</f>
        <v>161820</v>
      </c>
      <c r="BE58" s="63">
        <f t="shared" si="167"/>
        <v>161496.35999999999</v>
      </c>
      <c r="BF58" s="20">
        <f>600+2970</f>
        <v>3570</v>
      </c>
      <c r="BG58" s="63">
        <f t="shared" si="168"/>
        <v>3577.14</v>
      </c>
      <c r="BH58" s="20">
        <f t="shared" si="102"/>
        <v>158250</v>
      </c>
      <c r="BI58" s="71">
        <f t="shared" si="27"/>
        <v>157919.21999999997</v>
      </c>
      <c r="BK58" s="27">
        <v>42491</v>
      </c>
      <c r="BL58" s="44">
        <v>42465</v>
      </c>
      <c r="BM58" s="44">
        <v>42495</v>
      </c>
      <c r="BN58" s="20">
        <f>6480+150000</f>
        <v>156480</v>
      </c>
      <c r="BO58" s="63">
        <f t="shared" si="169"/>
        <v>156167.04000000001</v>
      </c>
      <c r="BP58" s="20">
        <f>510+3030</f>
        <v>3540</v>
      </c>
      <c r="BQ58" s="63">
        <f t="shared" si="170"/>
        <v>3547.08</v>
      </c>
      <c r="BR58" s="20">
        <f t="shared" si="103"/>
        <v>152940</v>
      </c>
      <c r="BS58" s="71">
        <f t="shared" si="29"/>
        <v>152619.96000000002</v>
      </c>
      <c r="BU58" s="27">
        <v>42491</v>
      </c>
      <c r="BV58" s="16">
        <v>42465</v>
      </c>
      <c r="BW58" s="16">
        <v>42494</v>
      </c>
      <c r="BX58" s="19">
        <f>12768+133608</f>
        <v>146376</v>
      </c>
      <c r="BY58" s="63">
        <f t="shared" si="171"/>
        <v>146083.24799999999</v>
      </c>
      <c r="BZ58" s="19">
        <f>264+1584</f>
        <v>1848</v>
      </c>
      <c r="CA58" s="63">
        <f t="shared" si="172"/>
        <v>1851.6959999999999</v>
      </c>
      <c r="CB58" s="19">
        <f t="shared" si="31"/>
        <v>144528</v>
      </c>
      <c r="CC58" s="71">
        <f t="shared" si="32"/>
        <v>144231.552</v>
      </c>
      <c r="CE58" s="27">
        <v>42491</v>
      </c>
      <c r="CF58" s="44">
        <v>42466</v>
      </c>
      <c r="CG58" s="44">
        <v>42494</v>
      </c>
      <c r="CH58" s="20">
        <f>6336+106992</f>
        <v>113328</v>
      </c>
      <c r="CI58" s="63">
        <f t="shared" si="173"/>
        <v>113101.344</v>
      </c>
      <c r="CJ58" s="19">
        <f>264+2136</f>
        <v>2400</v>
      </c>
      <c r="CK58" s="63">
        <f t="shared" si="174"/>
        <v>2404.8000000000002</v>
      </c>
      <c r="CL58" s="19">
        <f t="shared" si="34"/>
        <v>110928</v>
      </c>
      <c r="CM58" s="71">
        <f t="shared" si="35"/>
        <v>110696.54399999999</v>
      </c>
    </row>
    <row r="59" spans="3:91" s="43" customFormat="1">
      <c r="C59" s="18">
        <v>42522</v>
      </c>
      <c r="D59" s="16">
        <v>42497</v>
      </c>
      <c r="E59" s="16">
        <v>42531</v>
      </c>
      <c r="F59" s="19">
        <v>267888</v>
      </c>
      <c r="G59" s="63">
        <f t="shared" si="157"/>
        <v>267352.22399999999</v>
      </c>
      <c r="H59" s="19">
        <v>2160</v>
      </c>
      <c r="I59" s="63">
        <f t="shared" si="158"/>
        <v>2164.3200000000002</v>
      </c>
      <c r="J59" s="19">
        <f t="shared" si="15"/>
        <v>265728</v>
      </c>
      <c r="K59" s="29">
        <f t="shared" si="16"/>
        <v>265187.90399999998</v>
      </c>
      <c r="M59" s="18">
        <v>42522</v>
      </c>
      <c r="N59" s="16">
        <v>42496</v>
      </c>
      <c r="O59" s="16">
        <v>42528</v>
      </c>
      <c r="P59" s="19">
        <v>256512</v>
      </c>
      <c r="Q59" s="63">
        <f t="shared" si="159"/>
        <v>255998.976</v>
      </c>
      <c r="R59" s="19">
        <v>2184</v>
      </c>
      <c r="S59" s="63">
        <f t="shared" si="160"/>
        <v>2188.3679999999999</v>
      </c>
      <c r="T59" s="19">
        <f t="shared" si="138"/>
        <v>254328</v>
      </c>
      <c r="U59" s="29">
        <f t="shared" si="19"/>
        <v>253810.60800000001</v>
      </c>
      <c r="W59" s="18">
        <v>42522</v>
      </c>
      <c r="X59" s="60">
        <v>42494</v>
      </c>
      <c r="Y59" s="60">
        <v>42527</v>
      </c>
      <c r="Z59" s="19">
        <v>334896</v>
      </c>
      <c r="AA59" s="63">
        <f t="shared" si="161"/>
        <v>334226.20799999998</v>
      </c>
      <c r="AB59" s="19">
        <v>2448</v>
      </c>
      <c r="AC59" s="63">
        <f t="shared" si="162"/>
        <v>2452.8960000000002</v>
      </c>
      <c r="AD59" s="19">
        <f t="shared" si="100"/>
        <v>332448</v>
      </c>
      <c r="AE59" s="29">
        <f t="shared" si="21"/>
        <v>331773.31199999998</v>
      </c>
      <c r="AG59" s="18">
        <v>42522</v>
      </c>
      <c r="AH59" s="16">
        <v>42495</v>
      </c>
      <c r="AI59" s="16">
        <v>42526</v>
      </c>
      <c r="AJ59" s="19">
        <v>434670</v>
      </c>
      <c r="AK59" s="63">
        <f t="shared" si="163"/>
        <v>433800.66</v>
      </c>
      <c r="AL59" s="19">
        <v>1560</v>
      </c>
      <c r="AM59" s="63">
        <f t="shared" si="164"/>
        <v>1563.12</v>
      </c>
      <c r="AN59" s="19">
        <f t="shared" si="139"/>
        <v>433110</v>
      </c>
      <c r="AO59" s="71">
        <f t="shared" si="23"/>
        <v>432237.54</v>
      </c>
      <c r="AQ59" s="18">
        <v>42522</v>
      </c>
      <c r="AR59" s="16">
        <v>42495</v>
      </c>
      <c r="AS59" s="16">
        <v>42528</v>
      </c>
      <c r="AT59" s="19">
        <v>264912</v>
      </c>
      <c r="AU59" s="63">
        <f t="shared" si="165"/>
        <v>264382.17599999998</v>
      </c>
      <c r="AV59" s="19">
        <v>2616</v>
      </c>
      <c r="AW59" s="63">
        <f t="shared" si="166"/>
        <v>2621.232</v>
      </c>
      <c r="AX59" s="19">
        <f t="shared" si="101"/>
        <v>262296</v>
      </c>
      <c r="AY59" s="71">
        <f t="shared" si="25"/>
        <v>261760.94399999999</v>
      </c>
      <c r="BA59" s="27">
        <v>42522</v>
      </c>
      <c r="BB59" s="44">
        <v>42495</v>
      </c>
      <c r="BC59" s="44">
        <v>42526</v>
      </c>
      <c r="BD59" s="20">
        <v>400860</v>
      </c>
      <c r="BE59" s="63">
        <f t="shared" si="167"/>
        <v>400058.28</v>
      </c>
      <c r="BF59" s="20">
        <v>1500</v>
      </c>
      <c r="BG59" s="63">
        <f t="shared" si="168"/>
        <v>1503</v>
      </c>
      <c r="BH59" s="20">
        <f t="shared" si="102"/>
        <v>399360</v>
      </c>
      <c r="BI59" s="71">
        <f t="shared" si="27"/>
        <v>398555.28</v>
      </c>
      <c r="BK59" s="27">
        <v>42522</v>
      </c>
      <c r="BL59" s="44">
        <v>42495</v>
      </c>
      <c r="BM59" s="44">
        <v>42526</v>
      </c>
      <c r="BN59" s="20">
        <v>438810</v>
      </c>
      <c r="BO59" s="63">
        <f t="shared" si="169"/>
        <v>437932.38</v>
      </c>
      <c r="BP59" s="20">
        <v>1530</v>
      </c>
      <c r="BQ59" s="63">
        <f t="shared" si="170"/>
        <v>1533.06</v>
      </c>
      <c r="BR59" s="20">
        <f t="shared" si="103"/>
        <v>437280</v>
      </c>
      <c r="BS59" s="71">
        <f t="shared" si="29"/>
        <v>436399.32</v>
      </c>
      <c r="BU59" s="27">
        <v>42522</v>
      </c>
      <c r="BV59" s="16">
        <v>42494</v>
      </c>
      <c r="BW59" s="16">
        <v>42528</v>
      </c>
      <c r="BX59" s="19">
        <v>377520</v>
      </c>
      <c r="BY59" s="63">
        <f t="shared" si="171"/>
        <v>376764.96</v>
      </c>
      <c r="BZ59" s="19">
        <v>1848</v>
      </c>
      <c r="CA59" s="63">
        <f t="shared" si="172"/>
        <v>1851.6959999999999</v>
      </c>
      <c r="CB59" s="19">
        <f t="shared" si="31"/>
        <v>375672</v>
      </c>
      <c r="CC59" s="71">
        <f t="shared" si="32"/>
        <v>374913.26400000002</v>
      </c>
      <c r="CE59" s="27">
        <v>42522</v>
      </c>
      <c r="CF59" s="44">
        <v>42494</v>
      </c>
      <c r="CG59" s="44">
        <v>42531</v>
      </c>
      <c r="CH59" s="20">
        <v>259848</v>
      </c>
      <c r="CI59" s="63">
        <f t="shared" si="173"/>
        <v>259328.304</v>
      </c>
      <c r="CJ59" s="19">
        <v>2736</v>
      </c>
      <c r="CK59" s="63">
        <f t="shared" si="174"/>
        <v>2741.4720000000002</v>
      </c>
      <c r="CL59" s="19">
        <f t="shared" si="34"/>
        <v>257112</v>
      </c>
      <c r="CM59" s="71">
        <f t="shared" si="35"/>
        <v>256586.83199999999</v>
      </c>
    </row>
    <row r="60" spans="3:91" s="43" customFormat="1">
      <c r="C60" s="18">
        <v>42552</v>
      </c>
      <c r="D60" s="16">
        <v>42531</v>
      </c>
      <c r="E60" s="16">
        <v>42561</v>
      </c>
      <c r="F60" s="19">
        <v>523320</v>
      </c>
      <c r="G60" s="63">
        <f t="shared" si="157"/>
        <v>522273.36</v>
      </c>
      <c r="H60" s="19">
        <v>1680</v>
      </c>
      <c r="I60" s="63">
        <f t="shared" si="158"/>
        <v>1683.36</v>
      </c>
      <c r="J60" s="19">
        <f t="shared" si="15"/>
        <v>521640</v>
      </c>
      <c r="K60" s="29">
        <f t="shared" si="16"/>
        <v>520590</v>
      </c>
      <c r="M60" s="18">
        <v>42552</v>
      </c>
      <c r="N60" s="16">
        <v>42528</v>
      </c>
      <c r="O60" s="16">
        <v>42560</v>
      </c>
      <c r="P60" s="19">
        <v>354624</v>
      </c>
      <c r="Q60" s="63">
        <f t="shared" si="159"/>
        <v>353914.75199999998</v>
      </c>
      <c r="R60" s="19">
        <v>1752</v>
      </c>
      <c r="S60" s="63">
        <f t="shared" si="160"/>
        <v>1755.5039999999999</v>
      </c>
      <c r="T60" s="19">
        <f t="shared" si="138"/>
        <v>352872</v>
      </c>
      <c r="U60" s="29">
        <f t="shared" si="19"/>
        <v>352159.24799999996</v>
      </c>
      <c r="W60" s="18">
        <v>42552</v>
      </c>
      <c r="X60" s="60">
        <v>42527</v>
      </c>
      <c r="Y60" s="60">
        <v>42558</v>
      </c>
      <c r="Z60" s="19">
        <v>476208</v>
      </c>
      <c r="AA60" s="63">
        <f t="shared" si="161"/>
        <v>475255.58399999997</v>
      </c>
      <c r="AB60" s="19">
        <v>1440</v>
      </c>
      <c r="AC60" s="63">
        <f t="shared" si="162"/>
        <v>1442.88</v>
      </c>
      <c r="AD60" s="19">
        <f t="shared" si="100"/>
        <v>474768</v>
      </c>
      <c r="AE60" s="29">
        <f t="shared" si="21"/>
        <v>473812.70399999997</v>
      </c>
      <c r="AG60" s="18">
        <v>42552</v>
      </c>
      <c r="AH60" s="16">
        <v>42526</v>
      </c>
      <c r="AI60" s="16">
        <v>42556</v>
      </c>
      <c r="AJ60" s="19">
        <v>643140</v>
      </c>
      <c r="AK60" s="63">
        <f t="shared" si="163"/>
        <v>641853.72</v>
      </c>
      <c r="AL60" s="19">
        <v>240</v>
      </c>
      <c r="AM60" s="63">
        <f t="shared" si="164"/>
        <v>240.48</v>
      </c>
      <c r="AN60" s="19">
        <f t="shared" si="139"/>
        <v>642900</v>
      </c>
      <c r="AO60" s="71">
        <f t="shared" si="23"/>
        <v>641613.24</v>
      </c>
      <c r="AQ60" s="18">
        <v>42552</v>
      </c>
      <c r="AR60" s="16">
        <v>42528</v>
      </c>
      <c r="AS60" s="16">
        <v>42561</v>
      </c>
      <c r="AT60" s="19">
        <v>412728</v>
      </c>
      <c r="AU60" s="63">
        <f t="shared" si="165"/>
        <v>411902.54399999999</v>
      </c>
      <c r="AV60" s="19">
        <v>1824</v>
      </c>
      <c r="AW60" s="63">
        <f t="shared" si="166"/>
        <v>1827.6479999999999</v>
      </c>
      <c r="AX60" s="19">
        <f t="shared" si="101"/>
        <v>410904</v>
      </c>
      <c r="AY60" s="71">
        <f t="shared" si="25"/>
        <v>410074.89600000001</v>
      </c>
      <c r="BA60" s="27">
        <v>42552</v>
      </c>
      <c r="BB60" s="44">
        <v>42526</v>
      </c>
      <c r="BC60" s="44">
        <v>42556</v>
      </c>
      <c r="BD60" s="20">
        <v>647130</v>
      </c>
      <c r="BE60" s="63">
        <f t="shared" si="167"/>
        <v>645835.74</v>
      </c>
      <c r="BF60" s="20">
        <v>270</v>
      </c>
      <c r="BG60" s="63">
        <f t="shared" si="168"/>
        <v>270.54000000000002</v>
      </c>
      <c r="BH60" s="20">
        <f t="shared" si="102"/>
        <v>646860</v>
      </c>
      <c r="BI60" s="71">
        <f t="shared" si="27"/>
        <v>645565.19999999995</v>
      </c>
      <c r="BK60" s="27">
        <v>42552</v>
      </c>
      <c r="BL60" s="44">
        <v>42526</v>
      </c>
      <c r="BM60" s="44">
        <v>42556</v>
      </c>
      <c r="BN60" s="20">
        <v>630660</v>
      </c>
      <c r="BO60" s="63">
        <f t="shared" si="169"/>
        <v>629398.68000000005</v>
      </c>
      <c r="BP60" s="20">
        <v>240</v>
      </c>
      <c r="BQ60" s="63">
        <f t="shared" si="170"/>
        <v>240.48</v>
      </c>
      <c r="BR60" s="20">
        <f t="shared" si="103"/>
        <v>630420</v>
      </c>
      <c r="BS60" s="71">
        <f t="shared" si="29"/>
        <v>629158.20000000007</v>
      </c>
      <c r="BU60" s="27">
        <v>42552</v>
      </c>
      <c r="BV60" s="16">
        <v>42528</v>
      </c>
      <c r="BW60" s="16">
        <v>42555</v>
      </c>
      <c r="BX60" s="19">
        <v>487728</v>
      </c>
      <c r="BY60" s="63">
        <f t="shared" si="171"/>
        <v>486752.54399999999</v>
      </c>
      <c r="BZ60" s="19">
        <v>1152</v>
      </c>
      <c r="CA60" s="63">
        <f t="shared" si="172"/>
        <v>1154.3040000000001</v>
      </c>
      <c r="CB60" s="19">
        <f t="shared" si="31"/>
        <v>486576</v>
      </c>
      <c r="CC60" s="71">
        <f t="shared" si="32"/>
        <v>485598.24</v>
      </c>
      <c r="CE60" s="27">
        <v>42552</v>
      </c>
      <c r="CF60" s="44">
        <v>42531</v>
      </c>
      <c r="CG60" s="44">
        <v>42561</v>
      </c>
      <c r="CH60" s="20">
        <v>445272</v>
      </c>
      <c r="CI60" s="63">
        <f t="shared" si="173"/>
        <v>444381.45600000001</v>
      </c>
      <c r="CJ60" s="19">
        <v>1584</v>
      </c>
      <c r="CK60" s="63">
        <f t="shared" si="174"/>
        <v>1587.1679999999999</v>
      </c>
      <c r="CL60" s="19">
        <f t="shared" si="34"/>
        <v>443688</v>
      </c>
      <c r="CM60" s="71">
        <f t="shared" si="35"/>
        <v>442794.288</v>
      </c>
    </row>
    <row r="61" spans="3:91" s="43" customFormat="1">
      <c r="C61" s="18">
        <v>42583</v>
      </c>
      <c r="D61" s="16">
        <v>42561</v>
      </c>
      <c r="E61" s="16">
        <v>42592</v>
      </c>
      <c r="F61" s="19">
        <v>336744</v>
      </c>
      <c r="G61" s="63">
        <f t="shared" si="157"/>
        <v>336070.51199999999</v>
      </c>
      <c r="H61" s="19">
        <v>1752</v>
      </c>
      <c r="I61" s="63">
        <f t="shared" si="158"/>
        <v>1755.5039999999999</v>
      </c>
      <c r="J61" s="19">
        <f t="shared" si="15"/>
        <v>334992</v>
      </c>
      <c r="K61" s="29">
        <f t="shared" si="16"/>
        <v>334315.00799999997</v>
      </c>
      <c r="M61" s="18">
        <v>42583</v>
      </c>
      <c r="N61" s="16">
        <v>42560</v>
      </c>
      <c r="O61" s="16">
        <v>42587</v>
      </c>
      <c r="P61" s="19">
        <v>260496</v>
      </c>
      <c r="Q61" s="63">
        <f t="shared" si="159"/>
        <v>259975.008</v>
      </c>
      <c r="R61" s="19">
        <v>1848</v>
      </c>
      <c r="S61" s="63">
        <f t="shared" si="160"/>
        <v>1851.6959999999999</v>
      </c>
      <c r="T61" s="19">
        <f t="shared" si="138"/>
        <v>258648</v>
      </c>
      <c r="U61" s="29">
        <f t="shared" si="19"/>
        <v>258123.31200000001</v>
      </c>
      <c r="W61" s="18">
        <v>42583</v>
      </c>
      <c r="X61" s="60">
        <v>42558</v>
      </c>
      <c r="Y61" s="60">
        <v>42586</v>
      </c>
      <c r="Z61" s="19">
        <v>323112</v>
      </c>
      <c r="AA61" s="63">
        <f t="shared" si="161"/>
        <v>322465.77600000001</v>
      </c>
      <c r="AB61" s="19">
        <v>1800</v>
      </c>
      <c r="AC61" s="63">
        <f t="shared" si="162"/>
        <v>1803.6</v>
      </c>
      <c r="AD61" s="19">
        <f t="shared" si="100"/>
        <v>321312</v>
      </c>
      <c r="AE61" s="29">
        <f t="shared" si="21"/>
        <v>320662.17600000004</v>
      </c>
      <c r="AG61" s="18">
        <v>42583</v>
      </c>
      <c r="AH61" s="16">
        <v>42556</v>
      </c>
      <c r="AI61" s="16">
        <v>42587</v>
      </c>
      <c r="AJ61" s="19">
        <v>728100</v>
      </c>
      <c r="AK61" s="63">
        <f t="shared" si="163"/>
        <v>726643.8</v>
      </c>
      <c r="AL61" s="19">
        <v>390</v>
      </c>
      <c r="AM61" s="63">
        <f t="shared" si="164"/>
        <v>390.78</v>
      </c>
      <c r="AN61" s="19">
        <f t="shared" si="139"/>
        <v>727710</v>
      </c>
      <c r="AO61" s="71">
        <f t="shared" si="23"/>
        <v>726253.02</v>
      </c>
      <c r="AQ61" s="18">
        <v>42583</v>
      </c>
      <c r="AR61" s="16">
        <v>42561</v>
      </c>
      <c r="AS61" s="16">
        <v>42587</v>
      </c>
      <c r="AT61" s="19">
        <v>258072</v>
      </c>
      <c r="AU61" s="63">
        <f t="shared" si="165"/>
        <v>257555.856</v>
      </c>
      <c r="AV61" s="19">
        <v>2160</v>
      </c>
      <c r="AW61" s="63">
        <f t="shared" si="166"/>
        <v>2164.3200000000002</v>
      </c>
      <c r="AX61" s="19">
        <f t="shared" si="101"/>
        <v>255912</v>
      </c>
      <c r="AY61" s="71">
        <f t="shared" si="25"/>
        <v>255391.53599999999</v>
      </c>
      <c r="BA61" s="18">
        <v>42583</v>
      </c>
      <c r="BB61" s="16">
        <v>42556</v>
      </c>
      <c r="BC61" s="16">
        <v>42587</v>
      </c>
      <c r="BD61" s="19">
        <v>716130</v>
      </c>
      <c r="BE61" s="63">
        <f t="shared" si="167"/>
        <v>714697.74</v>
      </c>
      <c r="BF61" s="19">
        <v>510</v>
      </c>
      <c r="BG61" s="63">
        <f t="shared" si="168"/>
        <v>511.02</v>
      </c>
      <c r="BH61" s="19">
        <f t="shared" si="102"/>
        <v>715620</v>
      </c>
      <c r="BI61" s="71">
        <f t="shared" si="27"/>
        <v>714186.72</v>
      </c>
      <c r="BK61" s="27">
        <v>42583</v>
      </c>
      <c r="BL61" s="44">
        <v>42556</v>
      </c>
      <c r="BM61" s="44">
        <v>42587</v>
      </c>
      <c r="BN61" s="20">
        <v>701220</v>
      </c>
      <c r="BO61" s="63">
        <f t="shared" si="169"/>
        <v>699817.56</v>
      </c>
      <c r="BP61" s="20">
        <v>510</v>
      </c>
      <c r="BQ61" s="63">
        <f t="shared" si="170"/>
        <v>511.02</v>
      </c>
      <c r="BR61" s="20">
        <f t="shared" si="103"/>
        <v>700710</v>
      </c>
      <c r="BS61" s="71">
        <f t="shared" si="29"/>
        <v>699306.54</v>
      </c>
      <c r="BU61" s="27">
        <v>42583</v>
      </c>
      <c r="BV61" s="16">
        <v>42555</v>
      </c>
      <c r="BW61" s="16">
        <v>42586</v>
      </c>
      <c r="BX61" s="19">
        <v>332112</v>
      </c>
      <c r="BY61" s="63">
        <f t="shared" si="171"/>
        <v>331447.77600000001</v>
      </c>
      <c r="BZ61" s="19">
        <v>1584</v>
      </c>
      <c r="CA61" s="63">
        <f t="shared" si="172"/>
        <v>1587.1679999999999</v>
      </c>
      <c r="CB61" s="19">
        <f t="shared" si="31"/>
        <v>330528</v>
      </c>
      <c r="CC61" s="71">
        <f t="shared" si="32"/>
        <v>329860.60800000001</v>
      </c>
      <c r="CE61" s="27">
        <v>42583</v>
      </c>
      <c r="CF61" s="16">
        <v>42561</v>
      </c>
      <c r="CG61" s="16">
        <v>42592</v>
      </c>
      <c r="CH61" s="19">
        <v>370368</v>
      </c>
      <c r="CI61" s="63">
        <f t="shared" si="173"/>
        <v>369627.26400000002</v>
      </c>
      <c r="CJ61" s="19">
        <v>1632</v>
      </c>
      <c r="CK61" s="63">
        <f t="shared" si="174"/>
        <v>1635.2639999999999</v>
      </c>
      <c r="CL61" s="19">
        <f t="shared" si="34"/>
        <v>368736</v>
      </c>
      <c r="CM61" s="71">
        <f t="shared" si="35"/>
        <v>367992</v>
      </c>
    </row>
    <row r="62" spans="3:91" s="43" customFormat="1">
      <c r="C62" s="18">
        <v>42614</v>
      </c>
      <c r="D62" s="16">
        <v>42592</v>
      </c>
      <c r="E62" s="16">
        <v>42623</v>
      </c>
      <c r="F62" s="19">
        <v>504072</v>
      </c>
      <c r="G62" s="63">
        <f t="shared" si="157"/>
        <v>503063.85599999997</v>
      </c>
      <c r="H62" s="19">
        <v>1896</v>
      </c>
      <c r="I62" s="63">
        <f t="shared" si="158"/>
        <v>1899.7919999999999</v>
      </c>
      <c r="J62" s="19">
        <f t="shared" si="15"/>
        <v>502176</v>
      </c>
      <c r="K62" s="29">
        <f t="shared" si="16"/>
        <v>501164.06399999995</v>
      </c>
      <c r="M62" s="18">
        <v>42614</v>
      </c>
      <c r="N62" s="16">
        <v>42587</v>
      </c>
      <c r="O62" s="16">
        <v>42621</v>
      </c>
      <c r="P62" s="19">
        <v>345360</v>
      </c>
      <c r="Q62" s="63">
        <f t="shared" si="159"/>
        <v>344669.28</v>
      </c>
      <c r="R62" s="19">
        <v>1824</v>
      </c>
      <c r="S62" s="63">
        <f t="shared" si="160"/>
        <v>1827.6479999999999</v>
      </c>
      <c r="T62" s="19">
        <f t="shared" si="138"/>
        <v>343536</v>
      </c>
      <c r="U62" s="29">
        <f t="shared" si="19"/>
        <v>342841.63200000004</v>
      </c>
      <c r="W62" s="18">
        <v>42614</v>
      </c>
      <c r="X62" s="60">
        <v>42586</v>
      </c>
      <c r="Y62" s="60">
        <v>42621</v>
      </c>
      <c r="Z62" s="19">
        <v>467472</v>
      </c>
      <c r="AA62" s="63">
        <f t="shared" si="161"/>
        <v>466537.05599999998</v>
      </c>
      <c r="AB62" s="19">
        <v>2016</v>
      </c>
      <c r="AC62" s="63">
        <f t="shared" si="162"/>
        <v>2020.0319999999999</v>
      </c>
      <c r="AD62" s="19">
        <f t="shared" si="100"/>
        <v>465456</v>
      </c>
      <c r="AE62" s="29">
        <f t="shared" si="21"/>
        <v>464517.02399999998</v>
      </c>
      <c r="AG62" s="18">
        <v>42614</v>
      </c>
      <c r="AH62" s="16">
        <v>42587</v>
      </c>
      <c r="AI62" s="16">
        <v>42618</v>
      </c>
      <c r="AJ62" s="19">
        <v>925800</v>
      </c>
      <c r="AK62" s="63">
        <f t="shared" si="163"/>
        <v>923948.4</v>
      </c>
      <c r="AL62" s="19">
        <v>60</v>
      </c>
      <c r="AM62" s="63">
        <f t="shared" si="164"/>
        <v>60.12</v>
      </c>
      <c r="AN62" s="19">
        <f t="shared" si="139"/>
        <v>925740</v>
      </c>
      <c r="AO62" s="71">
        <f t="shared" si="23"/>
        <v>923888.28</v>
      </c>
      <c r="AQ62" s="18">
        <v>42614</v>
      </c>
      <c r="AR62" s="16">
        <v>42587</v>
      </c>
      <c r="AS62" s="16">
        <v>42621</v>
      </c>
      <c r="AT62" s="19">
        <v>357528</v>
      </c>
      <c r="AU62" s="63">
        <f t="shared" si="165"/>
        <v>356812.94400000002</v>
      </c>
      <c r="AV62" s="19">
        <v>2664</v>
      </c>
      <c r="AW62" s="63">
        <f t="shared" si="166"/>
        <v>2669.328</v>
      </c>
      <c r="AX62" s="20">
        <f t="shared" si="101"/>
        <v>354864</v>
      </c>
      <c r="AY62" s="71">
        <f t="shared" si="25"/>
        <v>354143.61600000004</v>
      </c>
      <c r="BA62" s="27">
        <v>42614</v>
      </c>
      <c r="BB62" s="44">
        <v>42587</v>
      </c>
      <c r="BC62" s="44">
        <v>42618</v>
      </c>
      <c r="BD62" s="20">
        <v>929160</v>
      </c>
      <c r="BE62" s="63">
        <f t="shared" si="167"/>
        <v>927301.68</v>
      </c>
      <c r="BF62" s="20">
        <v>60</v>
      </c>
      <c r="BG62" s="63">
        <f t="shared" si="168"/>
        <v>60.12</v>
      </c>
      <c r="BH62" s="20">
        <f t="shared" si="102"/>
        <v>929100</v>
      </c>
      <c r="BI62" s="71">
        <f t="shared" si="27"/>
        <v>927241.56</v>
      </c>
      <c r="BK62" s="27">
        <v>42614</v>
      </c>
      <c r="BL62" s="44">
        <v>42587</v>
      </c>
      <c r="BM62" s="44">
        <v>42618</v>
      </c>
      <c r="BN62" s="20">
        <v>876150</v>
      </c>
      <c r="BO62" s="63">
        <f t="shared" si="169"/>
        <v>874397.7</v>
      </c>
      <c r="BP62" s="20">
        <v>120</v>
      </c>
      <c r="BQ62" s="63">
        <f t="shared" si="170"/>
        <v>120.24</v>
      </c>
      <c r="BR62" s="20">
        <f t="shared" si="103"/>
        <v>876030</v>
      </c>
      <c r="BS62" s="71">
        <f t="shared" si="29"/>
        <v>874277.46</v>
      </c>
      <c r="BU62" s="27">
        <v>42614</v>
      </c>
      <c r="BV62" s="16">
        <v>42586</v>
      </c>
      <c r="BW62" s="16">
        <v>42622</v>
      </c>
      <c r="BX62" s="19">
        <v>518664</v>
      </c>
      <c r="BY62" s="63">
        <f t="shared" si="171"/>
        <v>517626.67200000002</v>
      </c>
      <c r="BZ62" s="19">
        <v>1608</v>
      </c>
      <c r="CA62" s="63">
        <f t="shared" si="172"/>
        <v>1611.2159999999999</v>
      </c>
      <c r="CB62" s="19">
        <f t="shared" si="31"/>
        <v>517056</v>
      </c>
      <c r="CC62" s="71">
        <f t="shared" si="32"/>
        <v>516015.45600000001</v>
      </c>
      <c r="CE62" s="27">
        <v>42614</v>
      </c>
      <c r="CF62" s="16">
        <v>42592</v>
      </c>
      <c r="CG62" s="16">
        <v>42623</v>
      </c>
      <c r="CH62" s="19">
        <v>457272</v>
      </c>
      <c r="CI62" s="63">
        <f t="shared" si="173"/>
        <v>456357.45600000001</v>
      </c>
      <c r="CJ62" s="19">
        <v>1896</v>
      </c>
      <c r="CK62" s="63">
        <f t="shared" si="174"/>
        <v>1899.7919999999999</v>
      </c>
      <c r="CL62" s="19">
        <f t="shared" si="34"/>
        <v>455376</v>
      </c>
      <c r="CM62" s="71">
        <f t="shared" si="35"/>
        <v>454457.66399999999</v>
      </c>
    </row>
    <row r="63" spans="3:91" s="43" customFormat="1">
      <c r="C63" s="18">
        <v>42644</v>
      </c>
      <c r="D63" s="16">
        <v>42623</v>
      </c>
      <c r="E63" s="16">
        <v>42660</v>
      </c>
      <c r="F63" s="19">
        <v>410136</v>
      </c>
      <c r="G63" s="63">
        <f t="shared" si="157"/>
        <v>409315.728</v>
      </c>
      <c r="H63" s="19">
        <v>2808</v>
      </c>
      <c r="I63" s="63">
        <f t="shared" si="158"/>
        <v>2813.616</v>
      </c>
      <c r="J63" s="19">
        <f t="shared" si="15"/>
        <v>407328</v>
      </c>
      <c r="K63" s="29">
        <f t="shared" si="16"/>
        <v>406502.11200000002</v>
      </c>
      <c r="M63" s="18">
        <v>42644</v>
      </c>
      <c r="N63" s="16">
        <v>42621</v>
      </c>
      <c r="O63" s="16">
        <v>42650</v>
      </c>
      <c r="P63" s="19">
        <v>269592</v>
      </c>
      <c r="Q63" s="63">
        <f t="shared" si="159"/>
        <v>269052.81599999999</v>
      </c>
      <c r="R63" s="19">
        <v>1176</v>
      </c>
      <c r="S63" s="63">
        <f t="shared" si="160"/>
        <v>1178.3520000000001</v>
      </c>
      <c r="T63" s="19">
        <f t="shared" si="138"/>
        <v>268416</v>
      </c>
      <c r="U63" s="29">
        <f t="shared" si="19"/>
        <v>267874.46399999998</v>
      </c>
      <c r="W63" s="18">
        <v>42644</v>
      </c>
      <c r="X63" s="60">
        <v>42621</v>
      </c>
      <c r="Y63" s="60">
        <v>42649</v>
      </c>
      <c r="Z63" s="19">
        <v>344160</v>
      </c>
      <c r="AA63" s="63">
        <f t="shared" si="161"/>
        <v>343471.68</v>
      </c>
      <c r="AB63" s="19">
        <v>1704</v>
      </c>
      <c r="AC63" s="63">
        <f t="shared" si="162"/>
        <v>1707.4079999999999</v>
      </c>
      <c r="AD63" s="19">
        <f t="shared" si="100"/>
        <v>342456</v>
      </c>
      <c r="AE63" s="29">
        <f t="shared" si="21"/>
        <v>341764.272</v>
      </c>
      <c r="AG63" s="18">
        <v>42644</v>
      </c>
      <c r="AH63" s="16">
        <v>42618</v>
      </c>
      <c r="AI63" s="16">
        <v>42648</v>
      </c>
      <c r="AJ63" s="19">
        <v>857100</v>
      </c>
      <c r="AK63" s="63">
        <f t="shared" si="163"/>
        <v>855385.8</v>
      </c>
      <c r="AL63" s="19">
        <v>120</v>
      </c>
      <c r="AM63" s="63">
        <f t="shared" si="164"/>
        <v>120.24</v>
      </c>
      <c r="AN63" s="19">
        <f t="shared" si="139"/>
        <v>856980</v>
      </c>
      <c r="AO63" s="71">
        <f t="shared" si="23"/>
        <v>855265.56</v>
      </c>
      <c r="AQ63" s="18">
        <v>42644</v>
      </c>
      <c r="AR63" s="16">
        <v>42621</v>
      </c>
      <c r="AS63" s="16">
        <v>42649</v>
      </c>
      <c r="AT63" s="19">
        <v>243480</v>
      </c>
      <c r="AU63" s="63">
        <f t="shared" si="165"/>
        <v>242993.04</v>
      </c>
      <c r="AV63" s="19">
        <v>2376</v>
      </c>
      <c r="AW63" s="63">
        <f t="shared" si="166"/>
        <v>2380.752</v>
      </c>
      <c r="AX63" s="19">
        <f t="shared" si="101"/>
        <v>241104</v>
      </c>
      <c r="AY63" s="71">
        <f t="shared" si="25"/>
        <v>240612.288</v>
      </c>
      <c r="BA63" s="27">
        <v>42644</v>
      </c>
      <c r="BB63" s="44">
        <v>42618</v>
      </c>
      <c r="BC63" s="44">
        <v>42648</v>
      </c>
      <c r="BD63" s="20">
        <v>844830</v>
      </c>
      <c r="BE63" s="63">
        <f t="shared" si="167"/>
        <v>843140.34</v>
      </c>
      <c r="BF63" s="20">
        <v>90</v>
      </c>
      <c r="BG63" s="63">
        <f t="shared" si="168"/>
        <v>90.18</v>
      </c>
      <c r="BH63" s="20">
        <f t="shared" si="102"/>
        <v>844740</v>
      </c>
      <c r="BI63" s="71">
        <f t="shared" si="27"/>
        <v>843050.15999999992</v>
      </c>
      <c r="BK63" s="27">
        <v>42644</v>
      </c>
      <c r="BL63" s="44">
        <v>42618</v>
      </c>
      <c r="BM63" s="44">
        <v>42648</v>
      </c>
      <c r="BN63" s="20">
        <v>801330</v>
      </c>
      <c r="BO63" s="63">
        <f t="shared" si="169"/>
        <v>799727.34</v>
      </c>
      <c r="BP63" s="20">
        <v>90</v>
      </c>
      <c r="BQ63" s="63">
        <f t="shared" si="170"/>
        <v>90.18</v>
      </c>
      <c r="BR63" s="20">
        <f t="shared" si="103"/>
        <v>801240</v>
      </c>
      <c r="BS63" s="71">
        <f t="shared" si="29"/>
        <v>799637.15999999992</v>
      </c>
      <c r="BU63" s="27">
        <v>42644</v>
      </c>
      <c r="BV63" s="16">
        <v>42622</v>
      </c>
      <c r="BW63" s="16">
        <v>42649</v>
      </c>
      <c r="BX63" s="19">
        <v>368808</v>
      </c>
      <c r="BY63" s="63">
        <f t="shared" si="171"/>
        <v>368070.38400000002</v>
      </c>
      <c r="BZ63" s="19">
        <v>1272</v>
      </c>
      <c r="CA63" s="63">
        <f t="shared" si="172"/>
        <v>1274.5440000000001</v>
      </c>
      <c r="CB63" s="19">
        <f t="shared" si="31"/>
        <v>367536</v>
      </c>
      <c r="CC63" s="71">
        <f t="shared" si="32"/>
        <v>366795.84</v>
      </c>
      <c r="CE63" s="27">
        <v>42644</v>
      </c>
      <c r="CF63" s="16">
        <v>42623</v>
      </c>
      <c r="CG63" s="16">
        <v>42649</v>
      </c>
      <c r="CH63" s="19">
        <v>471360</v>
      </c>
      <c r="CI63" s="63">
        <f t="shared" si="173"/>
        <v>470417.28</v>
      </c>
      <c r="CJ63" s="19">
        <v>1512</v>
      </c>
      <c r="CK63" s="63">
        <f t="shared" si="174"/>
        <v>1515.0240000000001</v>
      </c>
      <c r="CL63" s="19">
        <f t="shared" si="34"/>
        <v>469848</v>
      </c>
      <c r="CM63" s="71">
        <f t="shared" si="35"/>
        <v>468902.25600000005</v>
      </c>
    </row>
    <row r="64" spans="3:91" s="43" customFormat="1">
      <c r="C64" s="18">
        <v>42675</v>
      </c>
      <c r="D64" s="16">
        <v>42660</v>
      </c>
      <c r="E64" s="16">
        <v>42681</v>
      </c>
      <c r="F64" s="19">
        <v>83064</v>
      </c>
      <c r="G64" s="63">
        <f t="shared" si="157"/>
        <v>82897.872000000003</v>
      </c>
      <c r="H64" s="19">
        <v>2016</v>
      </c>
      <c r="I64" s="63">
        <f t="shared" si="158"/>
        <v>2020.0319999999999</v>
      </c>
      <c r="J64" s="19">
        <f t="shared" si="15"/>
        <v>81048</v>
      </c>
      <c r="K64" s="29">
        <f t="shared" si="16"/>
        <v>80877.84</v>
      </c>
      <c r="M64" s="18">
        <v>42675</v>
      </c>
      <c r="N64" s="16">
        <v>42650</v>
      </c>
      <c r="O64" s="16">
        <v>42681</v>
      </c>
      <c r="P64" s="19">
        <v>109752</v>
      </c>
      <c r="Q64" s="63">
        <f t="shared" si="159"/>
        <v>109532.496</v>
      </c>
      <c r="R64" s="19">
        <v>3504</v>
      </c>
      <c r="S64" s="63">
        <f t="shared" si="160"/>
        <v>3511.0079999999998</v>
      </c>
      <c r="T64" s="19">
        <f t="shared" si="138"/>
        <v>106248</v>
      </c>
      <c r="U64" s="29">
        <f t="shared" si="19"/>
        <v>106021.488</v>
      </c>
      <c r="W64" s="27">
        <v>42675</v>
      </c>
      <c r="X64" s="28">
        <v>42649</v>
      </c>
      <c r="Y64" s="28">
        <v>42681</v>
      </c>
      <c r="Z64" s="20">
        <v>177360</v>
      </c>
      <c r="AA64" s="63">
        <f t="shared" si="161"/>
        <v>177005.28</v>
      </c>
      <c r="AB64" s="20">
        <v>3216</v>
      </c>
      <c r="AC64" s="63">
        <f t="shared" si="162"/>
        <v>3222.4319999999998</v>
      </c>
      <c r="AD64" s="20">
        <f t="shared" si="100"/>
        <v>174144</v>
      </c>
      <c r="AE64" s="29">
        <f t="shared" si="21"/>
        <v>173782.848</v>
      </c>
      <c r="AG64" s="18">
        <v>42675</v>
      </c>
      <c r="AH64" s="16">
        <v>42648</v>
      </c>
      <c r="AI64" s="16">
        <v>42679</v>
      </c>
      <c r="AJ64" s="19">
        <v>371550</v>
      </c>
      <c r="AK64" s="63">
        <f t="shared" si="163"/>
        <v>370806.9</v>
      </c>
      <c r="AL64" s="19">
        <v>2550</v>
      </c>
      <c r="AM64" s="63">
        <f t="shared" si="164"/>
        <v>2555.1</v>
      </c>
      <c r="AN64" s="19">
        <f t="shared" si="139"/>
        <v>369000</v>
      </c>
      <c r="AO64" s="71">
        <f t="shared" si="23"/>
        <v>368251.80000000005</v>
      </c>
      <c r="AQ64" s="18">
        <v>42675</v>
      </c>
      <c r="AR64" s="16">
        <v>42649</v>
      </c>
      <c r="AS64" s="16">
        <v>42681</v>
      </c>
      <c r="AT64" s="19">
        <v>92760</v>
      </c>
      <c r="AU64" s="63">
        <f t="shared" si="165"/>
        <v>92574.48</v>
      </c>
      <c r="AV64" s="19">
        <v>4104</v>
      </c>
      <c r="AW64" s="63">
        <f t="shared" si="166"/>
        <v>4112.2079999999996</v>
      </c>
      <c r="AX64" s="19">
        <f t="shared" si="101"/>
        <v>88656</v>
      </c>
      <c r="AY64" s="71">
        <f t="shared" si="25"/>
        <v>88462.271999999997</v>
      </c>
      <c r="BA64" s="27">
        <v>42675</v>
      </c>
      <c r="BB64" s="44">
        <v>42648</v>
      </c>
      <c r="BC64" s="44">
        <v>42679</v>
      </c>
      <c r="BD64" s="20">
        <v>368100</v>
      </c>
      <c r="BE64" s="63">
        <f t="shared" si="167"/>
        <v>367363.8</v>
      </c>
      <c r="BF64" s="20">
        <v>2760</v>
      </c>
      <c r="BG64" s="63">
        <f t="shared" si="168"/>
        <v>2765.52</v>
      </c>
      <c r="BH64" s="20">
        <f t="shared" si="102"/>
        <v>365340</v>
      </c>
      <c r="BI64" s="71">
        <f t="shared" si="27"/>
        <v>364598.27999999997</v>
      </c>
      <c r="BK64" s="27">
        <v>42675</v>
      </c>
      <c r="BL64" s="44">
        <v>42648</v>
      </c>
      <c r="BM64" s="44">
        <v>42679</v>
      </c>
      <c r="BN64" s="20">
        <v>343290</v>
      </c>
      <c r="BO64" s="63">
        <f t="shared" si="169"/>
        <v>342603.42</v>
      </c>
      <c r="BP64" s="20">
        <v>2850</v>
      </c>
      <c r="BQ64" s="63">
        <f t="shared" si="170"/>
        <v>2855.7</v>
      </c>
      <c r="BR64" s="20">
        <f t="shared" si="103"/>
        <v>340440</v>
      </c>
      <c r="BS64" s="71">
        <f t="shared" si="29"/>
        <v>339747.72</v>
      </c>
      <c r="BU64" s="27">
        <v>42675</v>
      </c>
      <c r="BV64" s="44">
        <v>42649</v>
      </c>
      <c r="BW64" s="44">
        <v>42681</v>
      </c>
      <c r="BX64" s="20">
        <v>186192</v>
      </c>
      <c r="BY64" s="63">
        <f t="shared" si="171"/>
        <v>185819.61600000001</v>
      </c>
      <c r="BZ64" s="19">
        <v>2280</v>
      </c>
      <c r="CA64" s="63">
        <f t="shared" si="172"/>
        <v>2284.56</v>
      </c>
      <c r="CB64" s="20">
        <f t="shared" si="31"/>
        <v>183912</v>
      </c>
      <c r="CC64" s="71">
        <f t="shared" si="32"/>
        <v>183535.05600000001</v>
      </c>
      <c r="CE64" s="27">
        <v>42675</v>
      </c>
      <c r="CF64" s="44">
        <v>42649</v>
      </c>
      <c r="CG64" s="44">
        <v>42681</v>
      </c>
      <c r="CH64" s="20">
        <v>52272</v>
      </c>
      <c r="CI64" s="63">
        <f t="shared" si="173"/>
        <v>52167.455999999998</v>
      </c>
      <c r="CJ64" s="20">
        <v>3048</v>
      </c>
      <c r="CK64" s="63">
        <f t="shared" si="174"/>
        <v>3054.096</v>
      </c>
      <c r="CL64" s="20">
        <f t="shared" si="34"/>
        <v>49224</v>
      </c>
      <c r="CM64" s="71">
        <f t="shared" si="35"/>
        <v>49113.36</v>
      </c>
    </row>
    <row r="65" spans="3:91" s="43" customFormat="1">
      <c r="C65" s="18">
        <v>42705</v>
      </c>
      <c r="D65" s="16">
        <v>42681</v>
      </c>
      <c r="E65" s="16">
        <v>42711</v>
      </c>
      <c r="F65" s="19">
        <v>121320</v>
      </c>
      <c r="G65" s="63">
        <f t="shared" si="157"/>
        <v>121077.36</v>
      </c>
      <c r="H65" s="19">
        <v>3000</v>
      </c>
      <c r="I65" s="63">
        <f t="shared" si="158"/>
        <v>3006</v>
      </c>
      <c r="J65" s="19">
        <f t="shared" si="15"/>
        <v>118320</v>
      </c>
      <c r="K65" s="29">
        <f t="shared" si="16"/>
        <v>118071.36</v>
      </c>
      <c r="M65" s="18">
        <v>42705</v>
      </c>
      <c r="N65" s="16">
        <v>42681</v>
      </c>
      <c r="O65" s="16">
        <v>42711</v>
      </c>
      <c r="P65" s="19">
        <v>127560</v>
      </c>
      <c r="Q65" s="63">
        <f t="shared" si="159"/>
        <v>127304.88</v>
      </c>
      <c r="R65" s="19">
        <v>3480</v>
      </c>
      <c r="S65" s="63">
        <f t="shared" si="160"/>
        <v>3486.96</v>
      </c>
      <c r="T65" s="19">
        <f t="shared" si="138"/>
        <v>124080</v>
      </c>
      <c r="U65" s="29">
        <f t="shared" si="19"/>
        <v>123817.92</v>
      </c>
      <c r="W65" s="27">
        <v>42705</v>
      </c>
      <c r="X65" s="28">
        <v>42681</v>
      </c>
      <c r="Y65" s="28">
        <v>42711</v>
      </c>
      <c r="Z65" s="20">
        <v>129792</v>
      </c>
      <c r="AA65" s="63">
        <f t="shared" si="161"/>
        <v>129532.416</v>
      </c>
      <c r="AB65" s="20">
        <v>2616</v>
      </c>
      <c r="AC65" s="63">
        <f t="shared" si="162"/>
        <v>2621.232</v>
      </c>
      <c r="AD65" s="20">
        <f t="shared" si="100"/>
        <v>127176</v>
      </c>
      <c r="AE65" s="29">
        <f t="shared" si="21"/>
        <v>126911.18399999999</v>
      </c>
      <c r="AG65" s="18">
        <v>42705</v>
      </c>
      <c r="AH65" s="16">
        <v>42679</v>
      </c>
      <c r="AI65" s="16">
        <v>42709</v>
      </c>
      <c r="AJ65" s="19">
        <v>34860</v>
      </c>
      <c r="AK65" s="63">
        <f t="shared" si="163"/>
        <v>34790.28</v>
      </c>
      <c r="AL65" s="19">
        <v>5640</v>
      </c>
      <c r="AM65" s="63">
        <f t="shared" si="164"/>
        <v>5651.28</v>
      </c>
      <c r="AN65" s="19">
        <f t="shared" si="139"/>
        <v>29220</v>
      </c>
      <c r="AO65" s="71">
        <f t="shared" si="23"/>
        <v>29139</v>
      </c>
      <c r="AQ65" s="18">
        <v>42705</v>
      </c>
      <c r="AR65" s="16">
        <v>42681</v>
      </c>
      <c r="AS65" s="16">
        <v>42711</v>
      </c>
      <c r="AT65" s="19">
        <v>90792</v>
      </c>
      <c r="AU65" s="63">
        <f t="shared" si="165"/>
        <v>90610.415999999997</v>
      </c>
      <c r="AV65" s="19">
        <v>3144</v>
      </c>
      <c r="AW65" s="63">
        <f t="shared" si="166"/>
        <v>3150.288</v>
      </c>
      <c r="AX65" s="19">
        <f t="shared" si="101"/>
        <v>87648</v>
      </c>
      <c r="AY65" s="71">
        <f t="shared" si="25"/>
        <v>87460.127999999997</v>
      </c>
      <c r="BA65" s="27">
        <v>42705</v>
      </c>
      <c r="BB65" s="44">
        <v>42679</v>
      </c>
      <c r="BC65" s="44">
        <v>42709</v>
      </c>
      <c r="BD65" s="20">
        <v>35160</v>
      </c>
      <c r="BE65" s="63">
        <f t="shared" si="167"/>
        <v>35089.68</v>
      </c>
      <c r="BF65" s="20">
        <v>5820</v>
      </c>
      <c r="BG65" s="63">
        <f t="shared" si="168"/>
        <v>5831.64</v>
      </c>
      <c r="BH65" s="20">
        <f t="shared" si="102"/>
        <v>29340</v>
      </c>
      <c r="BI65" s="71">
        <f t="shared" si="27"/>
        <v>29258.04</v>
      </c>
      <c r="BK65" s="27">
        <v>42705</v>
      </c>
      <c r="BL65" s="44">
        <v>42679</v>
      </c>
      <c r="BM65" s="44">
        <v>42709</v>
      </c>
      <c r="BN65" s="20">
        <v>33570</v>
      </c>
      <c r="BO65" s="63">
        <f t="shared" si="169"/>
        <v>33502.86</v>
      </c>
      <c r="BP65" s="20">
        <v>5310</v>
      </c>
      <c r="BQ65" s="63">
        <f t="shared" si="170"/>
        <v>5320.62</v>
      </c>
      <c r="BR65" s="20">
        <f t="shared" si="103"/>
        <v>28260</v>
      </c>
      <c r="BS65" s="71">
        <f t="shared" si="29"/>
        <v>28182.240000000002</v>
      </c>
      <c r="BU65" s="27">
        <v>42705</v>
      </c>
      <c r="BV65" s="44">
        <v>42681</v>
      </c>
      <c r="BW65" s="44">
        <v>42711</v>
      </c>
      <c r="BX65" s="20">
        <v>124416</v>
      </c>
      <c r="BY65" s="63">
        <f t="shared" si="171"/>
        <v>124167.16800000001</v>
      </c>
      <c r="BZ65" s="20">
        <v>2592</v>
      </c>
      <c r="CA65" s="63">
        <f t="shared" si="172"/>
        <v>2597.1840000000002</v>
      </c>
      <c r="CB65" s="20">
        <f t="shared" si="31"/>
        <v>121824</v>
      </c>
      <c r="CC65" s="71">
        <f t="shared" si="32"/>
        <v>121569.98400000001</v>
      </c>
      <c r="CE65" s="27">
        <v>42705</v>
      </c>
      <c r="CF65" s="44">
        <v>42681</v>
      </c>
      <c r="CG65" s="44">
        <v>42711</v>
      </c>
      <c r="CH65" s="20">
        <v>86856</v>
      </c>
      <c r="CI65" s="63">
        <f t="shared" si="173"/>
        <v>86682.288</v>
      </c>
      <c r="CJ65" s="20">
        <v>2568</v>
      </c>
      <c r="CK65" s="63">
        <f t="shared" si="174"/>
        <v>2573.136</v>
      </c>
      <c r="CL65" s="20">
        <f t="shared" si="34"/>
        <v>84288</v>
      </c>
      <c r="CM65" s="71">
        <f t="shared" si="35"/>
        <v>84109.152000000002</v>
      </c>
    </row>
    <row r="66" spans="3:91" s="43" customFormat="1">
      <c r="C66" s="151">
        <v>42736</v>
      </c>
      <c r="D66" s="44">
        <v>42711</v>
      </c>
      <c r="E66" s="44">
        <v>42735</v>
      </c>
      <c r="F66" s="20">
        <f>161328*(24/31)</f>
        <v>124899.09677419355</v>
      </c>
      <c r="G66" s="63">
        <f t="shared" si="157"/>
        <v>124649.29858064516</v>
      </c>
      <c r="H66" s="19">
        <f>2808*(24/31)</f>
        <v>2173.9354838709678</v>
      </c>
      <c r="I66" s="63">
        <f t="shared" ref="I66" si="175">H66*(1+0.2%)</f>
        <v>2178.2833548387098</v>
      </c>
      <c r="J66" s="20">
        <f>F66-H66</f>
        <v>122725.16129032258</v>
      </c>
      <c r="K66" s="29">
        <f>G66-I66</f>
        <v>122471.01522580645</v>
      </c>
      <c r="M66" s="151">
        <v>42736</v>
      </c>
      <c r="N66" s="44">
        <v>42711</v>
      </c>
      <c r="O66" s="44">
        <v>42735</v>
      </c>
      <c r="P66" s="20">
        <f>180816*(24/31)</f>
        <v>139986.58064516127</v>
      </c>
      <c r="Q66" s="63">
        <f t="shared" ref="Q66" si="176">P66*(1-0.2%)</f>
        <v>139706.60748387096</v>
      </c>
      <c r="R66" s="19">
        <f>1776*(24/31)</f>
        <v>1374.9677419354839</v>
      </c>
      <c r="S66" s="63">
        <f t="shared" ref="S66" si="177">R66*(1+0.2%)</f>
        <v>1377.7176774193549</v>
      </c>
      <c r="T66" s="20">
        <f t="shared" ref="T66" si="178">P66-R66</f>
        <v>138611.61290322579</v>
      </c>
      <c r="U66" s="29">
        <f t="shared" ref="U66" si="179">Q66-S66</f>
        <v>138328.8898064516</v>
      </c>
      <c r="W66" s="151">
        <v>42736</v>
      </c>
      <c r="X66" s="44">
        <v>42711</v>
      </c>
      <c r="Y66" s="44">
        <v>42735</v>
      </c>
      <c r="Z66" s="20">
        <f>198000*(24/31)</f>
        <v>153290.32258064515</v>
      </c>
      <c r="AA66" s="63">
        <f t="shared" ref="AA66" si="180">Z66*(1-0.2%)</f>
        <v>152983.74193548385</v>
      </c>
      <c r="AB66" s="19">
        <f>2184*(24/31)</f>
        <v>1690.8387096774193</v>
      </c>
      <c r="AC66" s="63">
        <f t="shared" ref="AC66" si="181">AB66*(1+0.2%)</f>
        <v>1694.2203870967742</v>
      </c>
      <c r="AD66" s="20">
        <f t="shared" ref="AD66" si="182">Z66-AB66</f>
        <v>151599.48387096773</v>
      </c>
      <c r="AE66" s="29">
        <f t="shared" ref="AE66" si="183">AA66-AC66</f>
        <v>151289.52154838707</v>
      </c>
      <c r="AG66" s="151">
        <v>42736</v>
      </c>
      <c r="AH66" s="44">
        <v>42709</v>
      </c>
      <c r="AI66" s="44">
        <v>42735</v>
      </c>
      <c r="AJ66" s="20">
        <f>56070*(26/31)</f>
        <v>47026.451612903227</v>
      </c>
      <c r="AK66" s="63">
        <f t="shared" ref="AK66" si="184">AJ66*(1-0.2%)</f>
        <v>46932.398709677422</v>
      </c>
      <c r="AL66" s="19">
        <f>4860*(26/31)</f>
        <v>4076.1290322580649</v>
      </c>
      <c r="AM66" s="63">
        <f t="shared" ref="AM66" si="185">AL66*(1+0.2%)</f>
        <v>4084.2812903225808</v>
      </c>
      <c r="AN66" s="20">
        <f t="shared" ref="AN66" si="186">AJ66-AL66</f>
        <v>42950.322580645159</v>
      </c>
      <c r="AO66" s="29">
        <f t="shared" ref="AO66" si="187">AK66-AM66</f>
        <v>42848.117419354843</v>
      </c>
      <c r="AQ66" s="151">
        <v>42736</v>
      </c>
      <c r="AR66" s="44">
        <v>42711</v>
      </c>
      <c r="AS66" s="44">
        <v>42735</v>
      </c>
      <c r="AT66" s="20">
        <f>150336*(24/31)</f>
        <v>116389.16129032258</v>
      </c>
      <c r="AU66" s="63">
        <f t="shared" ref="AU66" si="188">AT66*(1-0.2%)</f>
        <v>116156.38296774193</v>
      </c>
      <c r="AV66" s="19">
        <f>2904*(24/31)</f>
        <v>2248.2580645161288</v>
      </c>
      <c r="AW66" s="63">
        <f t="shared" ref="AW66" si="189">AV66*(1+0.2%)</f>
        <v>2252.7545806451612</v>
      </c>
      <c r="AX66" s="20">
        <f t="shared" ref="AX66" si="190">AT66-AV66</f>
        <v>114140.90322580645</v>
      </c>
      <c r="AY66" s="29">
        <f t="shared" ref="AY66" si="191">AU66-AW66</f>
        <v>113903.62838709676</v>
      </c>
      <c r="BA66" s="151">
        <v>42736</v>
      </c>
      <c r="BB66" s="44">
        <v>42709</v>
      </c>
      <c r="BC66" s="44">
        <v>42735</v>
      </c>
      <c r="BD66" s="20">
        <f>61140*(26/31)</f>
        <v>51278.709677419356</v>
      </c>
      <c r="BE66" s="63">
        <f t="shared" ref="BE66" si="192">BD66*(1-0.2%)</f>
        <v>51176.152258064518</v>
      </c>
      <c r="BF66" s="20">
        <f>4860*(26/31)</f>
        <v>4076.1290322580649</v>
      </c>
      <c r="BG66" s="63">
        <f t="shared" ref="BG66" si="193">BF66*(1+0.2%)</f>
        <v>4084.2812903225808</v>
      </c>
      <c r="BH66" s="20">
        <f t="shared" ref="BH66" si="194">BD66-BF66</f>
        <v>47202.580645161288</v>
      </c>
      <c r="BI66" s="29">
        <f t="shared" ref="BI66" si="195">BE66-BG66</f>
        <v>47091.870967741939</v>
      </c>
      <c r="BK66" s="151">
        <v>42736</v>
      </c>
      <c r="BL66" s="44">
        <v>42709</v>
      </c>
      <c r="BM66" s="44">
        <v>42735</v>
      </c>
      <c r="BN66" s="20">
        <f>51600*(26/31)</f>
        <v>43277.419354838712</v>
      </c>
      <c r="BO66" s="63">
        <f t="shared" ref="BO66" si="196">BN66*(1-0.2%)</f>
        <v>43190.864516129033</v>
      </c>
      <c r="BP66" s="20">
        <f>4620*(26/31)</f>
        <v>3874.8387096774195</v>
      </c>
      <c r="BQ66" s="63">
        <f t="shared" ref="BQ66" si="197">BP66*(1+0.2%)</f>
        <v>3882.5883870967746</v>
      </c>
      <c r="BR66" s="20">
        <f t="shared" ref="BR66" si="198">BN66-BP66</f>
        <v>39402.580645161295</v>
      </c>
      <c r="BS66" s="29">
        <f t="shared" ref="BS66" si="199">BO66-BQ66</f>
        <v>39308.27612903226</v>
      </c>
      <c r="BU66" s="151">
        <v>42736</v>
      </c>
      <c r="BV66" s="44">
        <v>42711</v>
      </c>
      <c r="BW66" s="44">
        <v>42735</v>
      </c>
      <c r="BX66" s="20">
        <f>175584*(24/31)</f>
        <v>135936</v>
      </c>
      <c r="BY66" s="63">
        <f t="shared" ref="BY66" si="200">BX66*(1-0.2%)</f>
        <v>135664.128</v>
      </c>
      <c r="BZ66" s="20">
        <f>2640*(24/31)</f>
        <v>2043.8709677419354</v>
      </c>
      <c r="CA66" s="63">
        <f t="shared" ref="CA66" si="201">BZ66*(1+0.2%)</f>
        <v>2047.9587096774192</v>
      </c>
      <c r="CB66" s="20">
        <f t="shared" ref="CB66" si="202">BX66-BZ66</f>
        <v>133892.12903225806</v>
      </c>
      <c r="CC66" s="29">
        <f t="shared" ref="CC66" si="203">BY66-CA66</f>
        <v>133616.16929032258</v>
      </c>
      <c r="CE66" s="151">
        <v>42736</v>
      </c>
      <c r="CF66" s="44">
        <v>42711</v>
      </c>
      <c r="CG66" s="44">
        <v>42735</v>
      </c>
      <c r="CH66" s="20">
        <f>169992*(24/31)</f>
        <v>131606.70967741936</v>
      </c>
      <c r="CI66" s="63">
        <f t="shared" ref="CI66" si="204">CH66*(1-0.2%)</f>
        <v>131343.49625806452</v>
      </c>
      <c r="CJ66" s="20">
        <f>2424*(24/31)</f>
        <v>1876.6451612903224</v>
      </c>
      <c r="CK66" s="63">
        <f t="shared" ref="CK66" si="205">CJ66*(1+0.2%)</f>
        <v>1880.398451612903</v>
      </c>
      <c r="CL66" s="20">
        <f t="shared" ref="CL66" si="206">CH66-CJ66</f>
        <v>129730.06451612904</v>
      </c>
      <c r="CM66" s="29">
        <f t="shared" ref="CM66" si="207">CI66-CK66</f>
        <v>129463.09780645162</v>
      </c>
    </row>
    <row r="67" spans="3:91" s="43" customFormat="1">
      <c r="C67" s="152"/>
      <c r="D67" s="143">
        <v>42736</v>
      </c>
      <c r="E67" s="44">
        <v>42742</v>
      </c>
      <c r="F67" s="20">
        <f>161328*(7/31)</f>
        <v>36428.903225806447</v>
      </c>
      <c r="G67" s="63">
        <f t="shared" si="157"/>
        <v>36356.045419354836</v>
      </c>
      <c r="H67" s="19">
        <f>2808*(7/31)</f>
        <v>634.0645161290322</v>
      </c>
      <c r="I67" s="63">
        <f t="shared" si="158"/>
        <v>635.33264516129032</v>
      </c>
      <c r="J67" s="20">
        <f t="shared" si="15"/>
        <v>35794.838709677417</v>
      </c>
      <c r="K67" s="29">
        <f>G67-I67</f>
        <v>35720.712774193547</v>
      </c>
      <c r="M67" s="152"/>
      <c r="N67" s="44">
        <v>42736</v>
      </c>
      <c r="O67" s="44">
        <v>42742</v>
      </c>
      <c r="P67" s="20">
        <f>180816*(7/31)</f>
        <v>40829.419354838712</v>
      </c>
      <c r="Q67" s="63">
        <f t="shared" si="159"/>
        <v>40747.760516129034</v>
      </c>
      <c r="R67" s="19">
        <f>1776*(7/31)</f>
        <v>401.0322580645161</v>
      </c>
      <c r="S67" s="63">
        <f t="shared" si="160"/>
        <v>401.83432258064511</v>
      </c>
      <c r="T67" s="20">
        <f t="shared" si="138"/>
        <v>40428.387096774197</v>
      </c>
      <c r="U67" s="29">
        <f t="shared" si="19"/>
        <v>40345.926193548388</v>
      </c>
      <c r="W67" s="152"/>
      <c r="X67" s="44">
        <v>42736</v>
      </c>
      <c r="Y67" s="44">
        <v>42742</v>
      </c>
      <c r="Z67" s="20">
        <f>198000*(7/31)</f>
        <v>44709.677419354841</v>
      </c>
      <c r="AA67" s="63">
        <f t="shared" si="161"/>
        <v>44620.258064516129</v>
      </c>
      <c r="AB67" s="19">
        <f>2184*(7/31)</f>
        <v>493.16129032258061</v>
      </c>
      <c r="AC67" s="63">
        <f t="shared" si="162"/>
        <v>494.14761290322576</v>
      </c>
      <c r="AD67" s="20">
        <f t="shared" si="100"/>
        <v>44216.516129032258</v>
      </c>
      <c r="AE67" s="29">
        <f t="shared" si="21"/>
        <v>44126.110451612905</v>
      </c>
      <c r="AG67" s="152"/>
      <c r="AH67" s="44">
        <v>42736</v>
      </c>
      <c r="AI67" s="44">
        <v>42740</v>
      </c>
      <c r="AJ67" s="20">
        <f>56070*(5/31)</f>
        <v>9043.5483870967746</v>
      </c>
      <c r="AK67" s="63">
        <f t="shared" si="163"/>
        <v>9025.4612903225807</v>
      </c>
      <c r="AL67" s="19">
        <f>4860*(5/31)</f>
        <v>783.87096774193549</v>
      </c>
      <c r="AM67" s="63">
        <f t="shared" si="164"/>
        <v>785.43870967741941</v>
      </c>
      <c r="AN67" s="20">
        <f t="shared" si="139"/>
        <v>8259.677419354839</v>
      </c>
      <c r="AO67" s="29">
        <f t="shared" si="23"/>
        <v>8240.0225806451617</v>
      </c>
      <c r="AQ67" s="152"/>
      <c r="AR67" s="44">
        <v>42736</v>
      </c>
      <c r="AS67" s="44">
        <v>42742</v>
      </c>
      <c r="AT67" s="20">
        <f>150336*(7/31)</f>
        <v>33946.838709677417</v>
      </c>
      <c r="AU67" s="63">
        <f t="shared" si="165"/>
        <v>33878.94503225806</v>
      </c>
      <c r="AV67" s="19">
        <f>2904*(7/31)</f>
        <v>655.74193548387098</v>
      </c>
      <c r="AW67" s="63">
        <f t="shared" si="166"/>
        <v>657.05341935483875</v>
      </c>
      <c r="AX67" s="20">
        <f t="shared" si="101"/>
        <v>33291.096774193546</v>
      </c>
      <c r="AY67" s="29">
        <f t="shared" si="25"/>
        <v>33221.891612903222</v>
      </c>
      <c r="BA67" s="152"/>
      <c r="BB67" s="44">
        <v>42736</v>
      </c>
      <c r="BC67" s="44">
        <v>42740</v>
      </c>
      <c r="BD67" s="20">
        <f>61140*(5/31)</f>
        <v>9861.290322580644</v>
      </c>
      <c r="BE67" s="63">
        <f t="shared" si="167"/>
        <v>9841.5677419354834</v>
      </c>
      <c r="BF67" s="20">
        <f>4860*(5/31)</f>
        <v>783.87096774193549</v>
      </c>
      <c r="BG67" s="63">
        <f t="shared" si="168"/>
        <v>785.43870967741941</v>
      </c>
      <c r="BH67" s="20">
        <f t="shared" si="102"/>
        <v>9077.4193548387084</v>
      </c>
      <c r="BI67" s="29">
        <f t="shared" si="27"/>
        <v>9056.1290322580644</v>
      </c>
      <c r="BK67" s="152"/>
      <c r="BL67" s="44">
        <v>42736</v>
      </c>
      <c r="BM67" s="44">
        <v>42740</v>
      </c>
      <c r="BN67" s="20">
        <f>51600*(5/31)</f>
        <v>8322.5806451612898</v>
      </c>
      <c r="BO67" s="63">
        <f t="shared" si="169"/>
        <v>8305.9354838709678</v>
      </c>
      <c r="BP67" s="20">
        <f>4620*(5/31)</f>
        <v>745.16129032258061</v>
      </c>
      <c r="BQ67" s="63">
        <f t="shared" si="170"/>
        <v>746.65161290322578</v>
      </c>
      <c r="BR67" s="20">
        <f t="shared" si="103"/>
        <v>7577.4193548387093</v>
      </c>
      <c r="BS67" s="29">
        <f t="shared" si="29"/>
        <v>7559.2838709677417</v>
      </c>
      <c r="BU67" s="152"/>
      <c r="BV67" s="44">
        <v>42736</v>
      </c>
      <c r="BW67" s="44">
        <v>42742</v>
      </c>
      <c r="BX67" s="20">
        <f>175584*(7/31)</f>
        <v>39648</v>
      </c>
      <c r="BY67" s="63">
        <f t="shared" si="171"/>
        <v>39568.703999999998</v>
      </c>
      <c r="BZ67" s="20">
        <f>2640*(7/31)</f>
        <v>596.12903225806451</v>
      </c>
      <c r="CA67" s="63">
        <f t="shared" si="172"/>
        <v>597.32129032258069</v>
      </c>
      <c r="CB67" s="20">
        <f t="shared" si="31"/>
        <v>39051.870967741932</v>
      </c>
      <c r="CC67" s="29">
        <f t="shared" si="32"/>
        <v>38971.382709677418</v>
      </c>
      <c r="CE67" s="152"/>
      <c r="CF67" s="44">
        <v>42736</v>
      </c>
      <c r="CG67" s="44">
        <v>42742</v>
      </c>
      <c r="CH67" s="20">
        <f>169992*(7/31)</f>
        <v>38385.290322580644</v>
      </c>
      <c r="CI67" s="63">
        <f t="shared" si="173"/>
        <v>38308.519741935481</v>
      </c>
      <c r="CJ67" s="20">
        <f>2424*(7/31)</f>
        <v>547.35483870967744</v>
      </c>
      <c r="CK67" s="63">
        <f t="shared" si="174"/>
        <v>548.4495483870968</v>
      </c>
      <c r="CL67" s="20">
        <f t="shared" si="34"/>
        <v>37837.93548387097</v>
      </c>
      <c r="CM67" s="29">
        <f t="shared" si="35"/>
        <v>37760.070193548381</v>
      </c>
    </row>
    <row r="68" spans="3:91" s="43" customFormat="1">
      <c r="C68" s="18">
        <v>42767</v>
      </c>
      <c r="D68" s="16">
        <v>42742</v>
      </c>
      <c r="E68" s="16">
        <v>42772</v>
      </c>
      <c r="F68" s="19">
        <v>185160</v>
      </c>
      <c r="G68" s="63">
        <f t="shared" si="157"/>
        <v>184789.68</v>
      </c>
      <c r="H68" s="19">
        <v>1656</v>
      </c>
      <c r="I68" s="63">
        <f t="shared" si="158"/>
        <v>1659.3119999999999</v>
      </c>
      <c r="J68" s="19">
        <f t="shared" si="15"/>
        <v>183504</v>
      </c>
      <c r="K68" s="29">
        <f t="shared" si="16"/>
        <v>183130.36799999999</v>
      </c>
      <c r="M68" s="18">
        <v>42767</v>
      </c>
      <c r="N68" s="16">
        <v>42742</v>
      </c>
      <c r="O68" s="16">
        <v>42772</v>
      </c>
      <c r="P68" s="19">
        <v>192696</v>
      </c>
      <c r="Q68" s="63">
        <f t="shared" si="159"/>
        <v>192310.60800000001</v>
      </c>
      <c r="R68" s="19">
        <v>1128</v>
      </c>
      <c r="S68" s="63">
        <f t="shared" si="160"/>
        <v>1130.2560000000001</v>
      </c>
      <c r="T68" s="19">
        <f t="shared" si="138"/>
        <v>191568</v>
      </c>
      <c r="U68" s="29">
        <f t="shared" si="19"/>
        <v>191180.35200000001</v>
      </c>
      <c r="W68" s="18">
        <v>42767</v>
      </c>
      <c r="X68" s="60">
        <v>42742</v>
      </c>
      <c r="Y68" s="60">
        <v>42772</v>
      </c>
      <c r="Z68" s="19">
        <v>211128</v>
      </c>
      <c r="AA68" s="63">
        <f t="shared" si="161"/>
        <v>210705.74400000001</v>
      </c>
      <c r="AB68" s="19">
        <v>1560</v>
      </c>
      <c r="AC68" s="63">
        <f t="shared" si="162"/>
        <v>1563.12</v>
      </c>
      <c r="AD68" s="19">
        <f t="shared" si="100"/>
        <v>209568</v>
      </c>
      <c r="AE68" s="29">
        <f t="shared" si="21"/>
        <v>209142.62400000001</v>
      </c>
      <c r="AG68" s="18">
        <v>42767</v>
      </c>
      <c r="AH68" s="16">
        <v>42740</v>
      </c>
      <c r="AI68" s="16">
        <v>42771</v>
      </c>
      <c r="AJ68" s="19">
        <v>52470</v>
      </c>
      <c r="AK68" s="63">
        <f t="shared" si="163"/>
        <v>52365.06</v>
      </c>
      <c r="AL68" s="19">
        <v>4830</v>
      </c>
      <c r="AM68" s="63">
        <f t="shared" si="164"/>
        <v>4839.66</v>
      </c>
      <c r="AN68" s="19">
        <f t="shared" si="139"/>
        <v>47640</v>
      </c>
      <c r="AO68" s="71">
        <f t="shared" si="23"/>
        <v>47525.399999999994</v>
      </c>
      <c r="AQ68" s="18">
        <v>42767</v>
      </c>
      <c r="AR68" s="16">
        <v>42742</v>
      </c>
      <c r="AS68" s="16">
        <v>42772</v>
      </c>
      <c r="AT68" s="19">
        <v>142776</v>
      </c>
      <c r="AU68" s="63">
        <f t="shared" si="165"/>
        <v>142490.448</v>
      </c>
      <c r="AV68" s="19">
        <v>1920</v>
      </c>
      <c r="AW68" s="63">
        <f t="shared" si="166"/>
        <v>1923.84</v>
      </c>
      <c r="AX68" s="19">
        <f t="shared" si="101"/>
        <v>140856</v>
      </c>
      <c r="AY68" s="71">
        <f t="shared" si="25"/>
        <v>140566.60800000001</v>
      </c>
      <c r="BA68" s="18">
        <v>42767</v>
      </c>
      <c r="BB68" s="16">
        <v>42740</v>
      </c>
      <c r="BC68" s="16">
        <v>42771</v>
      </c>
      <c r="BD68" s="19">
        <v>58980</v>
      </c>
      <c r="BE68" s="63">
        <f t="shared" si="167"/>
        <v>58862.04</v>
      </c>
      <c r="BF68" s="20">
        <v>4770</v>
      </c>
      <c r="BG68" s="63">
        <f t="shared" si="168"/>
        <v>4779.54</v>
      </c>
      <c r="BH68" s="19">
        <f t="shared" si="102"/>
        <v>54210</v>
      </c>
      <c r="BI68" s="71">
        <f t="shared" si="27"/>
        <v>54082.5</v>
      </c>
      <c r="BK68" s="18">
        <v>42767</v>
      </c>
      <c r="BL68" s="16">
        <v>42740</v>
      </c>
      <c r="BM68" s="16">
        <v>42771</v>
      </c>
      <c r="BN68" s="19">
        <v>58470</v>
      </c>
      <c r="BO68" s="63">
        <f t="shared" si="169"/>
        <v>58353.06</v>
      </c>
      <c r="BP68" s="20">
        <v>4230</v>
      </c>
      <c r="BQ68" s="63">
        <f t="shared" si="170"/>
        <v>4238.46</v>
      </c>
      <c r="BR68" s="19">
        <f t="shared" si="103"/>
        <v>54240</v>
      </c>
      <c r="BS68" s="71">
        <f t="shared" si="29"/>
        <v>54114.6</v>
      </c>
      <c r="BU68" s="18">
        <v>42767</v>
      </c>
      <c r="BV68" s="44">
        <v>42742</v>
      </c>
      <c r="BW68" s="44">
        <v>42772</v>
      </c>
      <c r="BX68" s="20">
        <v>199512</v>
      </c>
      <c r="BY68" s="63">
        <f t="shared" si="171"/>
        <v>199112.976</v>
      </c>
      <c r="BZ68" s="20">
        <v>1488</v>
      </c>
      <c r="CA68" s="63">
        <f t="shared" si="172"/>
        <v>1490.9760000000001</v>
      </c>
      <c r="CB68" s="20">
        <f t="shared" si="31"/>
        <v>198024</v>
      </c>
      <c r="CC68" s="71">
        <f t="shared" si="32"/>
        <v>197622</v>
      </c>
      <c r="CE68" s="18">
        <v>42767</v>
      </c>
      <c r="CF68" s="44">
        <v>42742</v>
      </c>
      <c r="CG68" s="44">
        <v>42772</v>
      </c>
      <c r="CH68" s="20">
        <v>164832</v>
      </c>
      <c r="CI68" s="63">
        <f t="shared" si="173"/>
        <v>164502.33600000001</v>
      </c>
      <c r="CJ68" s="20">
        <v>1728</v>
      </c>
      <c r="CK68" s="63">
        <f t="shared" si="174"/>
        <v>1731.4559999999999</v>
      </c>
      <c r="CL68" s="20">
        <f t="shared" si="34"/>
        <v>163104</v>
      </c>
      <c r="CM68" s="71">
        <f t="shared" si="35"/>
        <v>162770.88</v>
      </c>
    </row>
    <row r="69" spans="3:91" s="43" customFormat="1">
      <c r="C69" s="18">
        <v>42795</v>
      </c>
      <c r="D69" s="16">
        <v>42772</v>
      </c>
      <c r="E69" s="16">
        <v>42801</v>
      </c>
      <c r="F69" s="19">
        <v>224592</v>
      </c>
      <c r="G69" s="63">
        <f t="shared" si="157"/>
        <v>224142.81599999999</v>
      </c>
      <c r="H69" s="19">
        <v>912</v>
      </c>
      <c r="I69" s="63">
        <f t="shared" si="158"/>
        <v>913.82399999999996</v>
      </c>
      <c r="J69" s="19">
        <f t="shared" si="15"/>
        <v>223680</v>
      </c>
      <c r="K69" s="29">
        <f t="shared" si="16"/>
        <v>223228.992</v>
      </c>
      <c r="M69" s="18">
        <v>42795</v>
      </c>
      <c r="N69" s="16">
        <v>42772</v>
      </c>
      <c r="O69" s="16">
        <v>42801</v>
      </c>
      <c r="P69" s="19">
        <v>138912</v>
      </c>
      <c r="Q69" s="63">
        <f t="shared" si="159"/>
        <v>138634.17600000001</v>
      </c>
      <c r="R69" s="19">
        <v>936</v>
      </c>
      <c r="S69" s="63">
        <f t="shared" si="160"/>
        <v>937.87199999999996</v>
      </c>
      <c r="T69" s="19">
        <f t="shared" si="138"/>
        <v>137976</v>
      </c>
      <c r="U69" s="29">
        <f t="shared" si="19"/>
        <v>137696.304</v>
      </c>
      <c r="W69" s="27">
        <v>42795</v>
      </c>
      <c r="X69" s="28">
        <v>42772</v>
      </c>
      <c r="Y69" s="28">
        <v>42801</v>
      </c>
      <c r="Z69" s="20">
        <v>218784</v>
      </c>
      <c r="AA69" s="63">
        <f t="shared" si="161"/>
        <v>218346.432</v>
      </c>
      <c r="AB69" s="20">
        <v>912</v>
      </c>
      <c r="AC69" s="63">
        <f t="shared" si="162"/>
        <v>913.82399999999996</v>
      </c>
      <c r="AD69" s="20">
        <f t="shared" si="100"/>
        <v>217872</v>
      </c>
      <c r="AE69" s="29">
        <f t="shared" si="21"/>
        <v>217432.60800000001</v>
      </c>
      <c r="AG69" s="18">
        <v>42795</v>
      </c>
      <c r="AH69" s="16">
        <v>42771</v>
      </c>
      <c r="AI69" s="16">
        <v>42799</v>
      </c>
      <c r="AJ69" s="19">
        <v>78360</v>
      </c>
      <c r="AK69" s="63">
        <f t="shared" si="163"/>
        <v>78203.28</v>
      </c>
      <c r="AL69" s="19">
        <v>4050</v>
      </c>
      <c r="AM69" s="63">
        <f t="shared" si="164"/>
        <v>4058.1</v>
      </c>
      <c r="AN69" s="19">
        <f t="shared" si="139"/>
        <v>74310</v>
      </c>
      <c r="AO69" s="71">
        <f t="shared" si="23"/>
        <v>74145.179999999993</v>
      </c>
      <c r="AQ69" s="27">
        <v>42795</v>
      </c>
      <c r="AR69" s="44">
        <v>42772</v>
      </c>
      <c r="AS69" s="44">
        <v>42801</v>
      </c>
      <c r="AT69" s="20">
        <v>189360</v>
      </c>
      <c r="AU69" s="63">
        <f t="shared" si="165"/>
        <v>188981.28</v>
      </c>
      <c r="AV69" s="19">
        <v>1032</v>
      </c>
      <c r="AW69" s="63">
        <f t="shared" si="166"/>
        <v>1034.0640000000001</v>
      </c>
      <c r="AX69" s="20">
        <f t="shared" si="101"/>
        <v>188328</v>
      </c>
      <c r="AY69" s="71">
        <f t="shared" si="25"/>
        <v>187947.21599999999</v>
      </c>
      <c r="BA69" s="27">
        <v>42795</v>
      </c>
      <c r="BB69" s="16">
        <v>42771</v>
      </c>
      <c r="BC69" s="16">
        <v>42799</v>
      </c>
      <c r="BD69" s="19">
        <v>84720</v>
      </c>
      <c r="BE69" s="63">
        <f t="shared" si="167"/>
        <v>84550.56</v>
      </c>
      <c r="BF69" s="20">
        <v>4050</v>
      </c>
      <c r="BG69" s="63">
        <f t="shared" si="168"/>
        <v>4058.1</v>
      </c>
      <c r="BH69" s="19">
        <f t="shared" si="102"/>
        <v>80670</v>
      </c>
      <c r="BI69" s="71">
        <f t="shared" si="27"/>
        <v>80492.459999999992</v>
      </c>
      <c r="BK69" s="27">
        <v>42795</v>
      </c>
      <c r="BL69" s="44">
        <v>42771</v>
      </c>
      <c r="BM69" s="44">
        <v>42799</v>
      </c>
      <c r="BN69" s="20">
        <v>79770</v>
      </c>
      <c r="BO69" s="63">
        <f t="shared" si="169"/>
        <v>79610.460000000006</v>
      </c>
      <c r="BP69" s="20">
        <v>3780</v>
      </c>
      <c r="BQ69" s="63">
        <f t="shared" si="170"/>
        <v>3787.56</v>
      </c>
      <c r="BR69" s="20">
        <f t="shared" si="103"/>
        <v>75990</v>
      </c>
      <c r="BS69" s="71">
        <f t="shared" si="29"/>
        <v>75822.900000000009</v>
      </c>
      <c r="BU69" s="27">
        <v>42795</v>
      </c>
      <c r="BV69" s="16">
        <v>42772</v>
      </c>
      <c r="BW69" s="16">
        <v>42801</v>
      </c>
      <c r="BX69" s="19">
        <v>225696</v>
      </c>
      <c r="BY69" s="63">
        <f t="shared" si="171"/>
        <v>225244.60800000001</v>
      </c>
      <c r="BZ69" s="20">
        <v>816</v>
      </c>
      <c r="CA69" s="63">
        <f t="shared" si="172"/>
        <v>817.63199999999995</v>
      </c>
      <c r="CB69" s="19">
        <f t="shared" si="31"/>
        <v>224880</v>
      </c>
      <c r="CC69" s="71">
        <f t="shared" si="32"/>
        <v>224426.976</v>
      </c>
      <c r="CE69" s="27">
        <v>42795</v>
      </c>
      <c r="CF69" s="44">
        <v>42772</v>
      </c>
      <c r="CG69" s="44">
        <v>42801</v>
      </c>
      <c r="CH69" s="20">
        <v>196776</v>
      </c>
      <c r="CI69" s="63">
        <f t="shared" si="173"/>
        <v>196382.448</v>
      </c>
      <c r="CJ69" s="20">
        <v>960</v>
      </c>
      <c r="CK69" s="63">
        <f t="shared" si="174"/>
        <v>961.92</v>
      </c>
      <c r="CL69" s="20">
        <f t="shared" si="34"/>
        <v>195816</v>
      </c>
      <c r="CM69" s="71">
        <f t="shared" si="35"/>
        <v>195420.52799999999</v>
      </c>
    </row>
    <row r="70" spans="3:91" s="43" customFormat="1">
      <c r="C70" s="18">
        <v>42826</v>
      </c>
      <c r="D70" s="16">
        <v>42801</v>
      </c>
      <c r="E70" s="16">
        <v>42832</v>
      </c>
      <c r="F70" s="19">
        <v>142248</v>
      </c>
      <c r="G70" s="63">
        <f t="shared" si="157"/>
        <v>141963.50399999999</v>
      </c>
      <c r="H70" s="19">
        <v>3504</v>
      </c>
      <c r="I70" s="63">
        <f t="shared" si="158"/>
        <v>3511.0079999999998</v>
      </c>
      <c r="J70" s="19">
        <f t="shared" si="15"/>
        <v>138744</v>
      </c>
      <c r="K70" s="29">
        <f t="shared" si="16"/>
        <v>138452.49599999998</v>
      </c>
      <c r="M70" s="18">
        <v>42826</v>
      </c>
      <c r="N70" s="16">
        <v>42801</v>
      </c>
      <c r="O70" s="16">
        <v>42832</v>
      </c>
      <c r="P70" s="19">
        <v>165336</v>
      </c>
      <c r="Q70" s="63">
        <f t="shared" si="159"/>
        <v>165005.32800000001</v>
      </c>
      <c r="R70" s="19">
        <v>2544</v>
      </c>
      <c r="S70" s="63">
        <f t="shared" si="160"/>
        <v>2549.0880000000002</v>
      </c>
      <c r="T70" s="19">
        <f t="shared" si="138"/>
        <v>162792</v>
      </c>
      <c r="U70" s="29">
        <f t="shared" si="19"/>
        <v>162456.24000000002</v>
      </c>
      <c r="W70" s="18">
        <v>42826</v>
      </c>
      <c r="X70" s="60">
        <v>42801</v>
      </c>
      <c r="Y70" s="60">
        <v>42832</v>
      </c>
      <c r="Z70" s="19">
        <v>162720</v>
      </c>
      <c r="AA70" s="63">
        <f t="shared" si="161"/>
        <v>162394.56</v>
      </c>
      <c r="AB70" s="19">
        <v>3336</v>
      </c>
      <c r="AC70" s="63">
        <f t="shared" si="162"/>
        <v>3342.672</v>
      </c>
      <c r="AD70" s="19">
        <f t="shared" si="100"/>
        <v>159384</v>
      </c>
      <c r="AE70" s="29">
        <f t="shared" si="21"/>
        <v>159051.88800000001</v>
      </c>
      <c r="AG70" s="18">
        <v>42826</v>
      </c>
      <c r="AH70" s="16">
        <v>42799</v>
      </c>
      <c r="AI70" s="16">
        <v>42830</v>
      </c>
      <c r="AJ70" s="19">
        <v>82200</v>
      </c>
      <c r="AK70" s="63">
        <f t="shared" si="163"/>
        <v>82035.600000000006</v>
      </c>
      <c r="AL70" s="19">
        <v>5370</v>
      </c>
      <c r="AM70" s="63">
        <f t="shared" si="164"/>
        <v>5380.74</v>
      </c>
      <c r="AN70" s="19">
        <f t="shared" si="139"/>
        <v>76830</v>
      </c>
      <c r="AO70" s="71">
        <f t="shared" si="23"/>
        <v>76654.86</v>
      </c>
      <c r="AQ70" s="18">
        <v>42826</v>
      </c>
      <c r="AR70" s="16">
        <v>42801</v>
      </c>
      <c r="AS70" s="16">
        <v>42832</v>
      </c>
      <c r="AT70" s="19">
        <v>121560</v>
      </c>
      <c r="AU70" s="63">
        <f t="shared" si="165"/>
        <v>121316.88</v>
      </c>
      <c r="AV70" s="19">
        <v>3456</v>
      </c>
      <c r="AW70" s="63">
        <f t="shared" si="166"/>
        <v>3462.9119999999998</v>
      </c>
      <c r="AX70" s="19">
        <f t="shared" si="101"/>
        <v>118104</v>
      </c>
      <c r="AY70" s="71">
        <f t="shared" si="25"/>
        <v>117853.96800000001</v>
      </c>
      <c r="BA70" s="18">
        <v>42826</v>
      </c>
      <c r="BB70" s="16">
        <v>42799</v>
      </c>
      <c r="BC70" s="16">
        <v>42830</v>
      </c>
      <c r="BD70" s="19">
        <v>80370</v>
      </c>
      <c r="BE70" s="63">
        <f t="shared" si="167"/>
        <v>80209.259999999995</v>
      </c>
      <c r="BF70" s="19">
        <v>5610</v>
      </c>
      <c r="BG70" s="63">
        <f t="shared" si="168"/>
        <v>5621.22</v>
      </c>
      <c r="BH70" s="19">
        <f t="shared" si="102"/>
        <v>74760</v>
      </c>
      <c r="BI70" s="71">
        <f t="shared" si="27"/>
        <v>74588.039999999994</v>
      </c>
      <c r="BK70" s="18">
        <v>42826</v>
      </c>
      <c r="BL70" s="44">
        <v>42799</v>
      </c>
      <c r="BM70" s="44">
        <v>42830</v>
      </c>
      <c r="BN70" s="20">
        <v>78990</v>
      </c>
      <c r="BO70" s="63">
        <f t="shared" si="169"/>
        <v>78832.02</v>
      </c>
      <c r="BP70" s="20">
        <v>5070</v>
      </c>
      <c r="BQ70" s="63">
        <f t="shared" si="170"/>
        <v>5080.1400000000003</v>
      </c>
      <c r="BR70" s="20">
        <f t="shared" si="103"/>
        <v>73920</v>
      </c>
      <c r="BS70" s="71">
        <f t="shared" si="29"/>
        <v>73751.88</v>
      </c>
      <c r="BU70" s="18">
        <v>42826</v>
      </c>
      <c r="BV70" s="16">
        <v>42801</v>
      </c>
      <c r="BW70" s="16">
        <v>42832</v>
      </c>
      <c r="BX70" s="19">
        <v>173112</v>
      </c>
      <c r="BY70" s="63">
        <f t="shared" si="171"/>
        <v>172765.77600000001</v>
      </c>
      <c r="BZ70" s="19">
        <v>2568</v>
      </c>
      <c r="CA70" s="63">
        <f t="shared" si="172"/>
        <v>2573.136</v>
      </c>
      <c r="CB70" s="19">
        <f t="shared" si="31"/>
        <v>170544</v>
      </c>
      <c r="CC70" s="71">
        <f t="shared" si="32"/>
        <v>170192.64000000001</v>
      </c>
      <c r="CE70" s="18">
        <v>42826</v>
      </c>
      <c r="CF70" s="44">
        <v>42801</v>
      </c>
      <c r="CG70" s="44">
        <v>42832</v>
      </c>
      <c r="CH70" s="20">
        <v>127944</v>
      </c>
      <c r="CI70" s="63">
        <f t="shared" si="173"/>
        <v>127688.11199999999</v>
      </c>
      <c r="CJ70" s="20">
        <v>3264</v>
      </c>
      <c r="CK70" s="63">
        <f t="shared" si="174"/>
        <v>3270.5279999999998</v>
      </c>
      <c r="CL70" s="20">
        <f t="shared" si="34"/>
        <v>124680</v>
      </c>
      <c r="CM70" s="71">
        <f t="shared" si="35"/>
        <v>124417.58399999999</v>
      </c>
    </row>
    <row r="71" spans="3:91">
      <c r="C71" s="18">
        <v>42856</v>
      </c>
      <c r="D71" s="16">
        <v>42832</v>
      </c>
      <c r="E71" s="16">
        <v>42864</v>
      </c>
      <c r="F71" s="19">
        <v>223080</v>
      </c>
      <c r="G71" s="63">
        <f t="shared" si="157"/>
        <v>222633.84</v>
      </c>
      <c r="H71" s="19">
        <v>4872</v>
      </c>
      <c r="I71" s="63">
        <f t="shared" si="158"/>
        <v>4881.7439999999997</v>
      </c>
      <c r="J71" s="19">
        <f t="shared" si="15"/>
        <v>218208</v>
      </c>
      <c r="K71" s="29">
        <f t="shared" si="16"/>
        <v>217752.09599999999</v>
      </c>
      <c r="M71" s="18">
        <v>42856</v>
      </c>
      <c r="N71" s="16">
        <v>42832</v>
      </c>
      <c r="O71" s="16">
        <v>42860</v>
      </c>
      <c r="P71" s="19">
        <v>167544</v>
      </c>
      <c r="Q71" s="63">
        <f t="shared" si="159"/>
        <v>167208.91200000001</v>
      </c>
      <c r="R71" s="19">
        <v>3864</v>
      </c>
      <c r="S71" s="63">
        <f t="shared" si="160"/>
        <v>3871.7280000000001</v>
      </c>
      <c r="T71" s="19">
        <f t="shared" si="138"/>
        <v>163680</v>
      </c>
      <c r="U71" s="29">
        <f t="shared" si="19"/>
        <v>163337.18400000001</v>
      </c>
      <c r="W71" s="18">
        <v>42856</v>
      </c>
      <c r="X71" s="28">
        <v>42832</v>
      </c>
      <c r="Y71" s="28">
        <v>42864</v>
      </c>
      <c r="Z71" s="19">
        <v>239952</v>
      </c>
      <c r="AA71" s="63">
        <f t="shared" si="161"/>
        <v>239472.09599999999</v>
      </c>
      <c r="AB71" s="19">
        <v>5160</v>
      </c>
      <c r="AC71" s="63">
        <f t="shared" si="162"/>
        <v>5170.32</v>
      </c>
      <c r="AD71" s="19">
        <f t="shared" si="100"/>
        <v>234792</v>
      </c>
      <c r="AE71" s="29">
        <f t="shared" si="21"/>
        <v>234301.77599999998</v>
      </c>
      <c r="AG71" s="18">
        <v>42856</v>
      </c>
      <c r="AH71" s="16">
        <v>42830</v>
      </c>
      <c r="AI71" s="16">
        <v>42860</v>
      </c>
      <c r="AJ71" s="19">
        <v>390660</v>
      </c>
      <c r="AK71" s="63">
        <f t="shared" si="163"/>
        <v>389878.68</v>
      </c>
      <c r="AL71" s="19">
        <v>2160</v>
      </c>
      <c r="AM71" s="63">
        <f t="shared" si="164"/>
        <v>2164.3200000000002</v>
      </c>
      <c r="AN71" s="19">
        <f t="shared" si="139"/>
        <v>388500</v>
      </c>
      <c r="AO71" s="71">
        <f t="shared" si="23"/>
        <v>387714.36</v>
      </c>
      <c r="AQ71" s="18">
        <v>42856</v>
      </c>
      <c r="AR71" s="16">
        <v>42832</v>
      </c>
      <c r="AS71" s="16">
        <v>42860</v>
      </c>
      <c r="AT71" s="19">
        <v>147336</v>
      </c>
      <c r="AU71" s="63">
        <f t="shared" si="165"/>
        <v>147041.32800000001</v>
      </c>
      <c r="AV71" s="19">
        <v>5232</v>
      </c>
      <c r="AW71" s="63">
        <f t="shared" si="166"/>
        <v>5242.4639999999999</v>
      </c>
      <c r="AX71" s="19">
        <f t="shared" si="101"/>
        <v>142104</v>
      </c>
      <c r="AY71" s="71">
        <f t="shared" si="25"/>
        <v>141798.864</v>
      </c>
      <c r="BA71" s="18">
        <v>42856</v>
      </c>
      <c r="BB71" s="16">
        <v>42830</v>
      </c>
      <c r="BC71" s="16">
        <v>42860</v>
      </c>
      <c r="BD71" s="19">
        <v>393930</v>
      </c>
      <c r="BE71" s="63">
        <f t="shared" si="167"/>
        <v>393142.14</v>
      </c>
      <c r="BF71" s="19">
        <v>2220</v>
      </c>
      <c r="BG71" s="63">
        <f t="shared" si="168"/>
        <v>2224.44</v>
      </c>
      <c r="BH71" s="19">
        <f t="shared" si="102"/>
        <v>391710</v>
      </c>
      <c r="BI71" s="71">
        <f t="shared" si="27"/>
        <v>390917.7</v>
      </c>
      <c r="BK71" s="18">
        <v>42856</v>
      </c>
      <c r="BL71" s="16">
        <v>42830</v>
      </c>
      <c r="BM71" s="16">
        <v>42860</v>
      </c>
      <c r="BN71" s="19">
        <v>386490</v>
      </c>
      <c r="BO71" s="63">
        <f t="shared" si="169"/>
        <v>385717.02</v>
      </c>
      <c r="BP71" s="19">
        <v>2070</v>
      </c>
      <c r="BQ71" s="63">
        <f t="shared" si="170"/>
        <v>2074.14</v>
      </c>
      <c r="BR71" s="19">
        <f t="shared" si="103"/>
        <v>384420</v>
      </c>
      <c r="BS71" s="71">
        <f t="shared" si="29"/>
        <v>383642.88</v>
      </c>
      <c r="BU71" s="18">
        <v>42856</v>
      </c>
      <c r="BV71" s="16">
        <v>42832</v>
      </c>
      <c r="BW71" s="16">
        <v>42864</v>
      </c>
      <c r="BX71" s="19">
        <v>238536</v>
      </c>
      <c r="BY71" s="63">
        <f t="shared" si="171"/>
        <v>238058.92799999999</v>
      </c>
      <c r="BZ71" s="19">
        <v>3816</v>
      </c>
      <c r="CA71" s="63">
        <f t="shared" si="172"/>
        <v>3823.6320000000001</v>
      </c>
      <c r="CB71" s="19">
        <f t="shared" si="31"/>
        <v>234720</v>
      </c>
      <c r="CC71" s="71">
        <f t="shared" si="32"/>
        <v>234235.29599999997</v>
      </c>
      <c r="CE71" s="18">
        <v>42856</v>
      </c>
      <c r="CF71" s="16">
        <v>42832</v>
      </c>
      <c r="CG71" s="16">
        <v>42864</v>
      </c>
      <c r="CH71" s="19">
        <v>210384</v>
      </c>
      <c r="CI71" s="63">
        <f t="shared" si="173"/>
        <v>209963.23199999999</v>
      </c>
      <c r="CJ71" s="19">
        <v>4728</v>
      </c>
      <c r="CK71" s="63">
        <f t="shared" si="174"/>
        <v>4737.4560000000001</v>
      </c>
      <c r="CL71" s="19">
        <f t="shared" si="34"/>
        <v>205656</v>
      </c>
      <c r="CM71" s="71">
        <f t="shared" si="35"/>
        <v>205225.77599999998</v>
      </c>
    </row>
    <row r="72" spans="3:91">
      <c r="C72" s="18">
        <v>42887</v>
      </c>
      <c r="D72" s="16">
        <v>42864</v>
      </c>
      <c r="E72" s="16">
        <v>42893</v>
      </c>
      <c r="F72" s="19">
        <v>469824</v>
      </c>
      <c r="G72" s="63">
        <f t="shared" si="157"/>
        <v>468884.35200000001</v>
      </c>
      <c r="H72" s="19">
        <v>1512</v>
      </c>
      <c r="I72" s="63">
        <f t="shared" si="158"/>
        <v>1515.0240000000001</v>
      </c>
      <c r="J72" s="19">
        <f t="shared" si="15"/>
        <v>468312</v>
      </c>
      <c r="K72" s="29">
        <f t="shared" si="16"/>
        <v>467369.32800000004</v>
      </c>
      <c r="M72" s="18">
        <v>42887</v>
      </c>
      <c r="N72" s="16">
        <v>42860</v>
      </c>
      <c r="O72" s="16">
        <v>42893</v>
      </c>
      <c r="P72" s="19">
        <v>444480</v>
      </c>
      <c r="Q72" s="63">
        <f t="shared" si="159"/>
        <v>443591.04</v>
      </c>
      <c r="R72" s="19">
        <v>1680</v>
      </c>
      <c r="S72" s="63">
        <f t="shared" si="160"/>
        <v>1683.36</v>
      </c>
      <c r="T72" s="19">
        <f t="shared" si="138"/>
        <v>442800</v>
      </c>
      <c r="U72" s="29">
        <f t="shared" si="19"/>
        <v>441907.68</v>
      </c>
      <c r="W72" s="18">
        <v>42887</v>
      </c>
      <c r="X72" s="60">
        <v>42864</v>
      </c>
      <c r="Y72" s="60">
        <v>42893</v>
      </c>
      <c r="Z72" s="19">
        <v>484728</v>
      </c>
      <c r="AA72" s="63">
        <f t="shared" si="161"/>
        <v>483758.54399999999</v>
      </c>
      <c r="AB72" s="19">
        <v>1440</v>
      </c>
      <c r="AC72" s="63">
        <f t="shared" si="162"/>
        <v>1442.88</v>
      </c>
      <c r="AD72" s="19">
        <f t="shared" si="100"/>
        <v>483288</v>
      </c>
      <c r="AE72" s="29">
        <f t="shared" si="21"/>
        <v>482315.66399999999</v>
      </c>
      <c r="AG72" s="18">
        <v>42887</v>
      </c>
      <c r="AH72" s="16">
        <v>42860</v>
      </c>
      <c r="AI72" s="16">
        <v>42891</v>
      </c>
      <c r="AJ72" s="19">
        <v>699540</v>
      </c>
      <c r="AK72" s="63">
        <f t="shared" si="163"/>
        <v>698140.92</v>
      </c>
      <c r="AL72" s="19">
        <v>1230</v>
      </c>
      <c r="AM72" s="63">
        <f t="shared" si="164"/>
        <v>1232.46</v>
      </c>
      <c r="AN72" s="19">
        <f t="shared" si="139"/>
        <v>698310</v>
      </c>
      <c r="AO72" s="71">
        <f t="shared" si="23"/>
        <v>696908.46000000008</v>
      </c>
      <c r="AQ72" s="18">
        <v>42887</v>
      </c>
      <c r="AR72" s="16">
        <v>42860</v>
      </c>
      <c r="AS72" s="16">
        <v>42893</v>
      </c>
      <c r="AT72" s="19">
        <v>431880</v>
      </c>
      <c r="AU72" s="63">
        <f t="shared" si="165"/>
        <v>431016.24</v>
      </c>
      <c r="AV72" s="19">
        <v>2160</v>
      </c>
      <c r="AW72" s="63">
        <f t="shared" si="166"/>
        <v>2164.3200000000002</v>
      </c>
      <c r="AX72" s="19">
        <f t="shared" si="101"/>
        <v>429720</v>
      </c>
      <c r="AY72" s="71">
        <f t="shared" si="25"/>
        <v>428851.92</v>
      </c>
      <c r="BA72" s="18">
        <v>42887</v>
      </c>
      <c r="BB72" s="16">
        <v>42860</v>
      </c>
      <c r="BC72" s="16">
        <v>42891</v>
      </c>
      <c r="BD72" s="19">
        <v>686610</v>
      </c>
      <c r="BE72" s="63">
        <f t="shared" si="167"/>
        <v>685236.78</v>
      </c>
      <c r="BF72" s="19">
        <v>1230</v>
      </c>
      <c r="BG72" s="63">
        <f t="shared" si="168"/>
        <v>1232.46</v>
      </c>
      <c r="BH72" s="19">
        <f t="shared" si="102"/>
        <v>685380</v>
      </c>
      <c r="BI72" s="71">
        <f t="shared" si="27"/>
        <v>684004.32000000007</v>
      </c>
      <c r="BK72" s="18">
        <v>42887</v>
      </c>
      <c r="BL72" s="16">
        <v>42860</v>
      </c>
      <c r="BM72" s="16">
        <v>42891</v>
      </c>
      <c r="BN72" s="19">
        <v>662730</v>
      </c>
      <c r="BO72" s="63">
        <f t="shared" si="169"/>
        <v>661404.54</v>
      </c>
      <c r="BP72" s="19">
        <v>1230</v>
      </c>
      <c r="BQ72" s="63">
        <f t="shared" si="170"/>
        <v>1232.46</v>
      </c>
      <c r="BR72" s="19">
        <f t="shared" si="103"/>
        <v>661500</v>
      </c>
      <c r="BS72" s="71">
        <f t="shared" si="29"/>
        <v>660172.08000000007</v>
      </c>
      <c r="BU72" s="18">
        <v>42887</v>
      </c>
      <c r="BV72" s="16">
        <v>42864</v>
      </c>
      <c r="BW72" s="16">
        <v>42893</v>
      </c>
      <c r="BX72" s="19">
        <v>505032</v>
      </c>
      <c r="BY72" s="63">
        <f t="shared" si="171"/>
        <v>504021.93599999999</v>
      </c>
      <c r="BZ72" s="19">
        <v>1224</v>
      </c>
      <c r="CA72" s="63">
        <f t="shared" si="172"/>
        <v>1226.4480000000001</v>
      </c>
      <c r="CB72" s="19">
        <f t="shared" si="31"/>
        <v>503808</v>
      </c>
      <c r="CC72" s="71">
        <f t="shared" si="32"/>
        <v>502795.48800000001</v>
      </c>
      <c r="CE72" s="18">
        <v>42887</v>
      </c>
      <c r="CF72" s="16">
        <v>42864</v>
      </c>
      <c r="CG72" s="16">
        <v>42893</v>
      </c>
      <c r="CH72" s="19">
        <v>479160</v>
      </c>
      <c r="CI72" s="63">
        <f t="shared" si="173"/>
        <v>478201.68</v>
      </c>
      <c r="CJ72" s="19">
        <v>1416</v>
      </c>
      <c r="CK72" s="63">
        <f t="shared" si="174"/>
        <v>1418.8320000000001</v>
      </c>
      <c r="CL72" s="19">
        <f t="shared" si="34"/>
        <v>477744</v>
      </c>
      <c r="CM72" s="71">
        <f t="shared" si="35"/>
        <v>476782.848</v>
      </c>
    </row>
    <row r="73" spans="3:91">
      <c r="C73" s="18">
        <v>42917</v>
      </c>
      <c r="D73" s="16">
        <v>42893</v>
      </c>
      <c r="E73" s="16">
        <v>42924</v>
      </c>
      <c r="F73" s="19">
        <f>251376+264240</f>
        <v>515616</v>
      </c>
      <c r="G73" s="63">
        <f t="shared" si="157"/>
        <v>514584.76799999998</v>
      </c>
      <c r="H73" s="19">
        <f>600+528</f>
        <v>1128</v>
      </c>
      <c r="I73" s="63">
        <f t="shared" si="158"/>
        <v>1130.2560000000001</v>
      </c>
      <c r="J73" s="19">
        <f t="shared" si="15"/>
        <v>514488</v>
      </c>
      <c r="K73" s="29">
        <f t="shared" si="16"/>
        <v>513454.51199999999</v>
      </c>
      <c r="M73" s="18">
        <v>42917</v>
      </c>
      <c r="N73" s="16">
        <v>42893</v>
      </c>
      <c r="O73" s="16">
        <v>42924</v>
      </c>
      <c r="P73" s="19">
        <f>217752+225936</f>
        <v>443688</v>
      </c>
      <c r="Q73" s="63">
        <f t="shared" si="159"/>
        <v>442800.62400000001</v>
      </c>
      <c r="R73" s="19">
        <f>672+744</f>
        <v>1416</v>
      </c>
      <c r="S73" s="63">
        <f t="shared" si="160"/>
        <v>1418.8320000000001</v>
      </c>
      <c r="T73" s="19">
        <f t="shared" si="138"/>
        <v>442272</v>
      </c>
      <c r="U73" s="29">
        <f t="shared" si="19"/>
        <v>441381.79200000002</v>
      </c>
      <c r="W73" s="18">
        <v>42917</v>
      </c>
      <c r="X73" s="60">
        <v>42893</v>
      </c>
      <c r="Y73" s="60">
        <v>42916</v>
      </c>
      <c r="Z73" s="19">
        <f>238560+45432</f>
        <v>283992</v>
      </c>
      <c r="AA73" s="63">
        <f t="shared" si="161"/>
        <v>283424.016</v>
      </c>
      <c r="AB73" s="19">
        <f>648+48</f>
        <v>696</v>
      </c>
      <c r="AC73" s="63">
        <f t="shared" si="162"/>
        <v>697.39200000000005</v>
      </c>
      <c r="AD73" s="19">
        <f t="shared" si="100"/>
        <v>283296</v>
      </c>
      <c r="AE73" s="29">
        <f t="shared" si="21"/>
        <v>282726.62400000001</v>
      </c>
      <c r="AG73" s="18">
        <v>42917</v>
      </c>
      <c r="AH73" s="16">
        <v>42891</v>
      </c>
      <c r="AI73" s="16">
        <v>42921</v>
      </c>
      <c r="AJ73" s="19">
        <v>870420</v>
      </c>
      <c r="AK73" s="63">
        <f t="shared" si="163"/>
        <v>868679.16</v>
      </c>
      <c r="AL73" s="19">
        <v>120</v>
      </c>
      <c r="AM73" s="63">
        <f t="shared" si="164"/>
        <v>120.24</v>
      </c>
      <c r="AN73" s="19">
        <f t="shared" si="139"/>
        <v>870300</v>
      </c>
      <c r="AO73" s="71">
        <f t="shared" si="23"/>
        <v>868558.92</v>
      </c>
      <c r="AQ73" s="18">
        <v>42917</v>
      </c>
      <c r="AR73" s="16">
        <v>42893</v>
      </c>
      <c r="AS73" s="16">
        <v>42924</v>
      </c>
      <c r="AT73" s="19">
        <f>215088+225864</f>
        <v>440952</v>
      </c>
      <c r="AU73" s="63">
        <f t="shared" si="165"/>
        <v>440070.09600000002</v>
      </c>
      <c r="AV73" s="19">
        <f>696+864</f>
        <v>1560</v>
      </c>
      <c r="AW73" s="63">
        <f t="shared" si="166"/>
        <v>1563.12</v>
      </c>
      <c r="AX73" s="19">
        <f t="shared" si="101"/>
        <v>439392</v>
      </c>
      <c r="AY73" s="71">
        <f t="shared" si="25"/>
        <v>438506.97600000002</v>
      </c>
      <c r="BA73" s="18">
        <v>42917</v>
      </c>
      <c r="BB73" s="16">
        <v>42891</v>
      </c>
      <c r="BC73" s="16">
        <v>42921</v>
      </c>
      <c r="BD73" s="19">
        <v>802620</v>
      </c>
      <c r="BE73" s="63">
        <f t="shared" si="167"/>
        <v>801014.76</v>
      </c>
      <c r="BF73" s="19">
        <v>150</v>
      </c>
      <c r="BG73" s="63">
        <f t="shared" si="168"/>
        <v>150.30000000000001</v>
      </c>
      <c r="BH73" s="19">
        <f t="shared" si="102"/>
        <v>802470</v>
      </c>
      <c r="BI73" s="71">
        <f t="shared" si="27"/>
        <v>800864.46</v>
      </c>
      <c r="BK73" s="18">
        <v>42917</v>
      </c>
      <c r="BL73" s="16">
        <v>42891</v>
      </c>
      <c r="BM73" s="16">
        <v>42921</v>
      </c>
      <c r="BN73" s="19">
        <v>796080</v>
      </c>
      <c r="BO73" s="63">
        <f t="shared" si="169"/>
        <v>794487.84</v>
      </c>
      <c r="BP73" s="19">
        <v>300</v>
      </c>
      <c r="BQ73" s="63">
        <f t="shared" si="170"/>
        <v>300.60000000000002</v>
      </c>
      <c r="BR73" s="19">
        <f t="shared" si="103"/>
        <v>795780</v>
      </c>
      <c r="BS73" s="71">
        <f t="shared" si="29"/>
        <v>794187.24</v>
      </c>
      <c r="BU73" s="18">
        <v>42917</v>
      </c>
      <c r="BV73" s="16">
        <v>42893</v>
      </c>
      <c r="BW73" s="16">
        <v>42924</v>
      </c>
      <c r="BX73" s="19">
        <f>239904+281640</f>
        <v>521544</v>
      </c>
      <c r="BY73" s="63">
        <f t="shared" si="171"/>
        <v>520500.91200000001</v>
      </c>
      <c r="BZ73" s="19">
        <f>624+384</f>
        <v>1008</v>
      </c>
      <c r="CA73" s="63">
        <f t="shared" si="172"/>
        <v>1010.016</v>
      </c>
      <c r="CB73" s="19">
        <f t="shared" si="31"/>
        <v>520536</v>
      </c>
      <c r="CC73" s="71">
        <f t="shared" si="32"/>
        <v>519490.89600000001</v>
      </c>
      <c r="CE73" s="18">
        <v>42917</v>
      </c>
      <c r="CF73" s="16">
        <v>42893</v>
      </c>
      <c r="CG73" s="16">
        <v>42924</v>
      </c>
      <c r="CH73" s="19">
        <f>248592+243528</f>
        <v>492120</v>
      </c>
      <c r="CI73" s="63">
        <f t="shared" si="173"/>
        <v>491135.76</v>
      </c>
      <c r="CJ73" s="19">
        <f>648+600</f>
        <v>1248</v>
      </c>
      <c r="CK73" s="63">
        <f t="shared" si="174"/>
        <v>1250.4960000000001</v>
      </c>
      <c r="CL73" s="19">
        <f t="shared" si="34"/>
        <v>490872</v>
      </c>
      <c r="CM73" s="71">
        <f t="shared" si="35"/>
        <v>489885.26400000002</v>
      </c>
    </row>
    <row r="74" spans="3:91">
      <c r="C74" s="18">
        <v>42948</v>
      </c>
      <c r="D74" s="16">
        <v>42924</v>
      </c>
      <c r="E74" s="16">
        <v>42955</v>
      </c>
      <c r="F74" s="19">
        <v>398592</v>
      </c>
      <c r="G74" s="63">
        <f t="shared" si="157"/>
        <v>397794.81599999999</v>
      </c>
      <c r="H74" s="19">
        <v>1920</v>
      </c>
      <c r="I74" s="63">
        <f t="shared" si="158"/>
        <v>1923.84</v>
      </c>
      <c r="J74" s="19">
        <f t="shared" si="15"/>
        <v>396672</v>
      </c>
      <c r="K74" s="29">
        <f t="shared" si="16"/>
        <v>395870.97599999997</v>
      </c>
      <c r="M74" s="18">
        <v>42948</v>
      </c>
      <c r="N74" s="16">
        <v>42924</v>
      </c>
      <c r="O74" s="16">
        <v>42955</v>
      </c>
      <c r="P74" s="19">
        <v>338232</v>
      </c>
      <c r="Q74" s="63">
        <f t="shared" si="159"/>
        <v>337555.53600000002</v>
      </c>
      <c r="R74" s="19">
        <v>2208</v>
      </c>
      <c r="S74" s="63">
        <f t="shared" si="160"/>
        <v>2212.4160000000002</v>
      </c>
      <c r="T74" s="19">
        <f t="shared" si="138"/>
        <v>336024</v>
      </c>
      <c r="U74" s="29">
        <f t="shared" si="19"/>
        <v>335343.12</v>
      </c>
      <c r="W74" s="18">
        <v>42948</v>
      </c>
      <c r="X74" s="60">
        <v>42916</v>
      </c>
      <c r="Y74" s="60">
        <v>42955</v>
      </c>
      <c r="Z74" s="19">
        <v>458856</v>
      </c>
      <c r="AA74" s="63">
        <f t="shared" si="161"/>
        <v>457938.288</v>
      </c>
      <c r="AB74" s="19">
        <v>2640</v>
      </c>
      <c r="AC74" s="63">
        <f t="shared" si="162"/>
        <v>2645.28</v>
      </c>
      <c r="AD74" s="19">
        <f t="shared" ref="AD74:AD82" si="208">Z74-AB74</f>
        <v>456216</v>
      </c>
      <c r="AE74" s="29">
        <f t="shared" si="21"/>
        <v>455293.00799999997</v>
      </c>
      <c r="AG74" s="18">
        <v>42948</v>
      </c>
      <c r="AH74" s="16">
        <v>42921</v>
      </c>
      <c r="AI74" s="16">
        <v>42952</v>
      </c>
      <c r="AJ74" s="19">
        <f>152760+671250</f>
        <v>824010</v>
      </c>
      <c r="AK74" s="63">
        <f t="shared" si="163"/>
        <v>822361.98</v>
      </c>
      <c r="AL74" s="19">
        <f>240+60</f>
        <v>300</v>
      </c>
      <c r="AM74" s="63">
        <f t="shared" si="164"/>
        <v>300.60000000000002</v>
      </c>
      <c r="AN74" s="19">
        <f t="shared" si="139"/>
        <v>823710</v>
      </c>
      <c r="AO74" s="71">
        <f t="shared" si="23"/>
        <v>822061.38</v>
      </c>
      <c r="AQ74" s="18">
        <v>42948</v>
      </c>
      <c r="AR74" s="16">
        <v>42924</v>
      </c>
      <c r="AS74" s="16">
        <v>42955</v>
      </c>
      <c r="AT74" s="19">
        <v>344664</v>
      </c>
      <c r="AU74" s="63">
        <f t="shared" si="165"/>
        <v>343974.67200000002</v>
      </c>
      <c r="AV74" s="19">
        <v>2352</v>
      </c>
      <c r="AW74" s="63">
        <f t="shared" si="166"/>
        <v>2356.7040000000002</v>
      </c>
      <c r="AX74" s="19">
        <f t="shared" ref="AX74:AX82" si="209">AT74-AV74</f>
        <v>342312</v>
      </c>
      <c r="AY74" s="71">
        <f t="shared" si="25"/>
        <v>341617.96799999999</v>
      </c>
      <c r="BA74" s="18">
        <v>42948</v>
      </c>
      <c r="BB74" s="16">
        <v>42921</v>
      </c>
      <c r="BC74" s="16">
        <v>42952</v>
      </c>
      <c r="BD74" s="19">
        <f>146850+629580</f>
        <v>776430</v>
      </c>
      <c r="BE74" s="63">
        <f t="shared" si="167"/>
        <v>774877.14</v>
      </c>
      <c r="BF74" s="19">
        <f>150+270</f>
        <v>420</v>
      </c>
      <c r="BG74" s="63">
        <f t="shared" si="168"/>
        <v>420.84</v>
      </c>
      <c r="BH74" s="19">
        <f t="shared" ref="BH74:BH82" si="210">BD74-BF74</f>
        <v>776010</v>
      </c>
      <c r="BI74" s="71">
        <f t="shared" si="27"/>
        <v>774456.3</v>
      </c>
      <c r="BK74" s="18">
        <v>42948</v>
      </c>
      <c r="BL74" s="16">
        <v>42921</v>
      </c>
      <c r="BM74" s="16">
        <v>42952</v>
      </c>
      <c r="BN74" s="19">
        <f>144990+612570</f>
        <v>757560</v>
      </c>
      <c r="BO74" s="63">
        <f t="shared" si="169"/>
        <v>756044.88</v>
      </c>
      <c r="BP74" s="19">
        <f>90+360</f>
        <v>450</v>
      </c>
      <c r="BQ74" s="63">
        <f t="shared" si="170"/>
        <v>450.9</v>
      </c>
      <c r="BR74" s="19">
        <f t="shared" ref="BR74:BR82" si="211">BN74-BP74</f>
        <v>757110</v>
      </c>
      <c r="BS74" s="71">
        <f t="shared" si="29"/>
        <v>755593.98</v>
      </c>
      <c r="BU74" s="18">
        <v>42948</v>
      </c>
      <c r="BV74" s="16">
        <v>42924</v>
      </c>
      <c r="BW74" s="16">
        <v>42955</v>
      </c>
      <c r="BX74" s="19">
        <v>374232</v>
      </c>
      <c r="BY74" s="63">
        <f t="shared" si="171"/>
        <v>373483.53600000002</v>
      </c>
      <c r="BZ74" s="19">
        <v>1488</v>
      </c>
      <c r="CA74" s="63">
        <f t="shared" si="172"/>
        <v>1490.9760000000001</v>
      </c>
      <c r="CB74" s="19">
        <f t="shared" si="31"/>
        <v>372744</v>
      </c>
      <c r="CC74" s="71">
        <f t="shared" si="32"/>
        <v>371992.56</v>
      </c>
      <c r="CE74" s="18">
        <v>42948</v>
      </c>
      <c r="CF74" s="16">
        <v>42924</v>
      </c>
      <c r="CG74" s="16">
        <v>42955</v>
      </c>
      <c r="CH74" s="19">
        <v>383328</v>
      </c>
      <c r="CI74" s="63">
        <f t="shared" si="173"/>
        <v>382561.34399999998</v>
      </c>
      <c r="CJ74" s="19">
        <v>1968</v>
      </c>
      <c r="CK74" s="63">
        <f t="shared" si="174"/>
        <v>1971.9359999999999</v>
      </c>
      <c r="CL74" s="19">
        <f t="shared" si="34"/>
        <v>381360</v>
      </c>
      <c r="CM74" s="71">
        <f t="shared" si="35"/>
        <v>380589.408</v>
      </c>
    </row>
    <row r="75" spans="3:91">
      <c r="C75" s="18">
        <v>42979</v>
      </c>
      <c r="D75" s="16">
        <v>42955</v>
      </c>
      <c r="E75" s="16">
        <v>42986</v>
      </c>
      <c r="F75" s="19">
        <v>315888</v>
      </c>
      <c r="G75" s="63">
        <f t="shared" si="157"/>
        <v>315256.22399999999</v>
      </c>
      <c r="H75" s="19">
        <v>2928</v>
      </c>
      <c r="I75" s="63">
        <f t="shared" si="158"/>
        <v>2933.8560000000002</v>
      </c>
      <c r="J75" s="19">
        <f t="shared" ref="J75:J82" si="212">F75-H75</f>
        <v>312960</v>
      </c>
      <c r="K75" s="29">
        <f t="shared" ref="K75:K82" si="213">G75-I75</f>
        <v>312322.36799999996</v>
      </c>
      <c r="M75" s="18">
        <v>42979</v>
      </c>
      <c r="N75" s="16">
        <v>42955</v>
      </c>
      <c r="O75" s="16">
        <v>42986</v>
      </c>
      <c r="P75" s="19">
        <v>299280</v>
      </c>
      <c r="Q75" s="63">
        <f t="shared" si="159"/>
        <v>298681.44</v>
      </c>
      <c r="R75" s="19">
        <v>2808</v>
      </c>
      <c r="S75" s="63">
        <f t="shared" si="160"/>
        <v>2813.616</v>
      </c>
      <c r="T75" s="19">
        <f t="shared" ref="T75:T82" si="214">P75-R75</f>
        <v>296472</v>
      </c>
      <c r="U75" s="29">
        <f t="shared" ref="U75:U82" si="215">Q75-S75</f>
        <v>295867.82400000002</v>
      </c>
      <c r="W75" s="18">
        <v>42979</v>
      </c>
      <c r="X75" s="60">
        <v>42955</v>
      </c>
      <c r="Y75" s="60">
        <v>42986</v>
      </c>
      <c r="Z75" s="19">
        <v>300792</v>
      </c>
      <c r="AA75" s="63">
        <f t="shared" si="161"/>
        <v>300190.41600000003</v>
      </c>
      <c r="AB75" s="19">
        <v>2760</v>
      </c>
      <c r="AC75" s="63">
        <f t="shared" si="162"/>
        <v>2765.52</v>
      </c>
      <c r="AD75" s="19">
        <f t="shared" si="208"/>
        <v>298032</v>
      </c>
      <c r="AE75" s="29">
        <f t="shared" ref="AE75:AE82" si="216">AA75-AC75</f>
        <v>297424.89600000001</v>
      </c>
      <c r="AG75" s="18">
        <v>42979</v>
      </c>
      <c r="AH75" s="16">
        <v>42952</v>
      </c>
      <c r="AI75" s="16">
        <v>42983</v>
      </c>
      <c r="AJ75" s="19">
        <v>609120</v>
      </c>
      <c r="AK75" s="63">
        <f t="shared" si="163"/>
        <v>607901.76</v>
      </c>
      <c r="AL75" s="19">
        <v>1380</v>
      </c>
      <c r="AM75" s="63">
        <f t="shared" si="164"/>
        <v>1382.76</v>
      </c>
      <c r="AN75" s="19">
        <f t="shared" si="139"/>
        <v>607740</v>
      </c>
      <c r="AO75" s="71">
        <f t="shared" ref="AO75:AO82" si="217">AK75-AM75</f>
        <v>606519</v>
      </c>
      <c r="AQ75" s="18">
        <v>42979</v>
      </c>
      <c r="AR75" s="16">
        <v>42955</v>
      </c>
      <c r="AS75" s="16">
        <v>42986</v>
      </c>
      <c r="AT75" s="19">
        <v>280584</v>
      </c>
      <c r="AU75" s="63">
        <f t="shared" si="165"/>
        <v>280022.83199999999</v>
      </c>
      <c r="AV75" s="19">
        <v>3048</v>
      </c>
      <c r="AW75" s="63">
        <f t="shared" si="166"/>
        <v>3054.096</v>
      </c>
      <c r="AX75" s="19">
        <f t="shared" si="209"/>
        <v>277536</v>
      </c>
      <c r="AY75" s="71">
        <f t="shared" ref="AY75:AY82" si="218">AU75-AW75</f>
        <v>276968.73599999998</v>
      </c>
      <c r="BA75" s="18">
        <v>42979</v>
      </c>
      <c r="BB75" s="16">
        <v>42952</v>
      </c>
      <c r="BC75" s="16">
        <v>42983</v>
      </c>
      <c r="BD75" s="19">
        <v>591600</v>
      </c>
      <c r="BE75" s="63">
        <f t="shared" si="167"/>
        <v>590416.80000000005</v>
      </c>
      <c r="BF75" s="19">
        <v>1470</v>
      </c>
      <c r="BG75" s="63">
        <f t="shared" si="168"/>
        <v>1472.94</v>
      </c>
      <c r="BH75" s="19">
        <f t="shared" si="210"/>
        <v>590130</v>
      </c>
      <c r="BI75" s="71">
        <f t="shared" ref="BI75:BI82" si="219">BE75-BG75</f>
        <v>588943.8600000001</v>
      </c>
      <c r="BK75" s="18">
        <v>42979</v>
      </c>
      <c r="BL75" s="16">
        <v>42952</v>
      </c>
      <c r="BM75" s="16">
        <v>42983</v>
      </c>
      <c r="BN75" s="19">
        <v>567150</v>
      </c>
      <c r="BO75" s="63">
        <f t="shared" si="169"/>
        <v>566015.69999999995</v>
      </c>
      <c r="BP75" s="19">
        <v>1500</v>
      </c>
      <c r="BQ75" s="63">
        <f t="shared" si="170"/>
        <v>1503</v>
      </c>
      <c r="BR75" s="19">
        <f t="shared" si="211"/>
        <v>565650</v>
      </c>
      <c r="BS75" s="71">
        <f t="shared" ref="BS75:BS82" si="220">BO75-BQ75</f>
        <v>564512.69999999995</v>
      </c>
      <c r="BU75" s="18">
        <v>42979</v>
      </c>
      <c r="BV75" s="16">
        <v>42955</v>
      </c>
      <c r="BW75" s="16">
        <v>42986</v>
      </c>
      <c r="BX75" s="19">
        <v>405600</v>
      </c>
      <c r="BY75" s="63">
        <f t="shared" si="171"/>
        <v>404788.8</v>
      </c>
      <c r="BZ75" s="19">
        <v>2640</v>
      </c>
      <c r="CA75" s="63">
        <f t="shared" si="172"/>
        <v>2645.28</v>
      </c>
      <c r="CB75" s="19">
        <f t="shared" ref="CB75:CB82" si="221">BX75-BZ75</f>
        <v>402960</v>
      </c>
      <c r="CC75" s="71">
        <f t="shared" ref="CC75:CC82" si="222">BY75-CA75</f>
        <v>402143.51999999996</v>
      </c>
      <c r="CE75" s="18">
        <v>42979</v>
      </c>
      <c r="CF75" s="16">
        <v>42955</v>
      </c>
      <c r="CG75" s="16">
        <v>42986</v>
      </c>
      <c r="CH75" s="19">
        <v>302808</v>
      </c>
      <c r="CI75" s="63">
        <f t="shared" si="173"/>
        <v>302202.38400000002</v>
      </c>
      <c r="CJ75" s="19">
        <v>2808</v>
      </c>
      <c r="CK75" s="63">
        <f t="shared" si="174"/>
        <v>2813.616</v>
      </c>
      <c r="CL75" s="19">
        <f t="shared" ref="CL75:CL82" si="223">CH75-CJ75</f>
        <v>300000</v>
      </c>
      <c r="CM75" s="71">
        <f t="shared" ref="CM75:CM82" si="224">CI75-CK75</f>
        <v>299388.76800000004</v>
      </c>
    </row>
    <row r="76" spans="3:91">
      <c r="C76" s="18">
        <v>43009</v>
      </c>
      <c r="D76" s="44">
        <v>42986</v>
      </c>
      <c r="E76" s="44">
        <v>43017</v>
      </c>
      <c r="F76" s="19">
        <v>354432</v>
      </c>
      <c r="G76" s="63">
        <f t="shared" si="157"/>
        <v>353723.136</v>
      </c>
      <c r="H76" s="19">
        <v>1464</v>
      </c>
      <c r="I76" s="63">
        <f t="shared" si="158"/>
        <v>1466.9280000000001</v>
      </c>
      <c r="J76" s="19">
        <f t="shared" si="212"/>
        <v>352968</v>
      </c>
      <c r="K76" s="29">
        <f t="shared" si="213"/>
        <v>352256.20799999998</v>
      </c>
      <c r="M76" s="18">
        <v>43009</v>
      </c>
      <c r="N76" s="16">
        <v>42986</v>
      </c>
      <c r="O76" s="16">
        <v>43017</v>
      </c>
      <c r="P76" s="19">
        <v>336600</v>
      </c>
      <c r="Q76" s="63">
        <f t="shared" si="159"/>
        <v>335926.8</v>
      </c>
      <c r="R76" s="19">
        <v>1440</v>
      </c>
      <c r="S76" s="63">
        <f t="shared" si="160"/>
        <v>1442.88</v>
      </c>
      <c r="T76" s="19">
        <f t="shared" si="214"/>
        <v>335160</v>
      </c>
      <c r="U76" s="29">
        <f t="shared" si="215"/>
        <v>334483.92</v>
      </c>
      <c r="W76" s="18">
        <v>43009</v>
      </c>
      <c r="X76" s="60">
        <v>42986</v>
      </c>
      <c r="Y76" s="60">
        <v>43017</v>
      </c>
      <c r="Z76" s="19">
        <v>362280</v>
      </c>
      <c r="AA76" s="63">
        <f t="shared" si="161"/>
        <v>361555.44</v>
      </c>
      <c r="AB76" s="19">
        <v>1464</v>
      </c>
      <c r="AC76" s="63">
        <f t="shared" si="162"/>
        <v>1466.9280000000001</v>
      </c>
      <c r="AD76" s="19">
        <f t="shared" si="208"/>
        <v>360816</v>
      </c>
      <c r="AE76" s="29">
        <f t="shared" si="216"/>
        <v>360088.51199999999</v>
      </c>
      <c r="AG76" s="18">
        <v>43009</v>
      </c>
      <c r="AH76" s="16">
        <v>42983</v>
      </c>
      <c r="AI76" s="16">
        <v>43013</v>
      </c>
      <c r="AJ76" s="19">
        <v>506730</v>
      </c>
      <c r="AK76" s="63">
        <f t="shared" si="163"/>
        <v>505716.54</v>
      </c>
      <c r="AL76" s="19">
        <v>1290</v>
      </c>
      <c r="AM76" s="63">
        <f t="shared" si="164"/>
        <v>1292.58</v>
      </c>
      <c r="AN76" s="19">
        <f t="shared" si="139"/>
        <v>505440</v>
      </c>
      <c r="AO76" s="71">
        <f t="shared" si="217"/>
        <v>504423.95999999996</v>
      </c>
      <c r="AQ76" s="18">
        <v>43009</v>
      </c>
      <c r="AR76" s="16">
        <v>42986</v>
      </c>
      <c r="AS76" s="16">
        <v>43017</v>
      </c>
      <c r="AT76" s="19">
        <v>329184</v>
      </c>
      <c r="AU76" s="63">
        <f t="shared" si="165"/>
        <v>328525.63199999998</v>
      </c>
      <c r="AV76" s="19">
        <v>1632</v>
      </c>
      <c r="AW76" s="63">
        <f t="shared" si="166"/>
        <v>1635.2639999999999</v>
      </c>
      <c r="AX76" s="19">
        <f t="shared" si="209"/>
        <v>327552</v>
      </c>
      <c r="AY76" s="71">
        <f t="shared" si="218"/>
        <v>326890.36799999996</v>
      </c>
      <c r="BA76" s="18">
        <v>43009</v>
      </c>
      <c r="BB76" s="16">
        <v>42983</v>
      </c>
      <c r="BC76" s="16">
        <v>43013</v>
      </c>
      <c r="BD76" s="19">
        <v>484980</v>
      </c>
      <c r="BE76" s="63">
        <f t="shared" si="167"/>
        <v>484010.04</v>
      </c>
      <c r="BF76" s="19">
        <v>1440</v>
      </c>
      <c r="BG76" s="63">
        <f t="shared" si="168"/>
        <v>1442.88</v>
      </c>
      <c r="BH76" s="19">
        <f t="shared" si="210"/>
        <v>483540</v>
      </c>
      <c r="BI76" s="71">
        <f t="shared" si="219"/>
        <v>482567.16</v>
      </c>
      <c r="BK76" s="18">
        <v>43009</v>
      </c>
      <c r="BL76" s="16">
        <v>42983</v>
      </c>
      <c r="BM76" s="16">
        <v>43013</v>
      </c>
      <c r="BN76" s="19">
        <v>495180</v>
      </c>
      <c r="BO76" s="63">
        <f t="shared" si="169"/>
        <v>494189.64</v>
      </c>
      <c r="BP76" s="19">
        <v>1290</v>
      </c>
      <c r="BQ76" s="63">
        <f t="shared" si="170"/>
        <v>1292.58</v>
      </c>
      <c r="BR76" s="19">
        <f t="shared" si="211"/>
        <v>493890</v>
      </c>
      <c r="BS76" s="71">
        <f t="shared" si="220"/>
        <v>492897.06</v>
      </c>
      <c r="BU76" s="18">
        <v>43009</v>
      </c>
      <c r="BV76" s="16">
        <v>42986</v>
      </c>
      <c r="BW76" s="16">
        <v>43017</v>
      </c>
      <c r="BX76" s="19">
        <v>392544</v>
      </c>
      <c r="BY76" s="63">
        <f t="shared" si="171"/>
        <v>391758.91200000001</v>
      </c>
      <c r="BZ76" s="19">
        <v>1104</v>
      </c>
      <c r="CA76" s="63">
        <f t="shared" si="172"/>
        <v>1106.2080000000001</v>
      </c>
      <c r="CB76" s="19">
        <f t="shared" si="221"/>
        <v>391440</v>
      </c>
      <c r="CC76" s="71">
        <f t="shared" si="222"/>
        <v>390652.70400000003</v>
      </c>
      <c r="CE76" s="18">
        <v>43009</v>
      </c>
      <c r="CF76" s="16">
        <v>42986</v>
      </c>
      <c r="CG76" s="16">
        <v>43017</v>
      </c>
      <c r="CH76" s="19">
        <v>359664</v>
      </c>
      <c r="CI76" s="63">
        <f t="shared" si="173"/>
        <v>358944.67200000002</v>
      </c>
      <c r="CJ76" s="19">
        <v>1488</v>
      </c>
      <c r="CK76" s="63">
        <f t="shared" si="174"/>
        <v>1490.9760000000001</v>
      </c>
      <c r="CL76" s="19">
        <f t="shared" si="223"/>
        <v>358176</v>
      </c>
      <c r="CM76" s="71">
        <f t="shared" si="224"/>
        <v>357453.696</v>
      </c>
    </row>
    <row r="77" spans="3:91">
      <c r="C77" s="18">
        <v>43040</v>
      </c>
      <c r="D77" s="16">
        <v>43017</v>
      </c>
      <c r="E77" s="16">
        <v>43045</v>
      </c>
      <c r="F77" s="19">
        <v>196536</v>
      </c>
      <c r="G77" s="63">
        <f t="shared" si="157"/>
        <v>196142.92799999999</v>
      </c>
      <c r="H77" s="19">
        <v>2208</v>
      </c>
      <c r="I77" s="63">
        <f t="shared" si="158"/>
        <v>2212.4160000000002</v>
      </c>
      <c r="J77" s="19">
        <f>F77-H77</f>
        <v>194328</v>
      </c>
      <c r="K77" s="29">
        <f t="shared" si="213"/>
        <v>193930.51199999999</v>
      </c>
      <c r="M77" s="18">
        <v>43040</v>
      </c>
      <c r="N77" s="16">
        <v>43017</v>
      </c>
      <c r="O77" s="16">
        <v>43045</v>
      </c>
      <c r="P77" s="19">
        <v>155736</v>
      </c>
      <c r="Q77" s="63">
        <f t="shared" si="159"/>
        <v>155424.52799999999</v>
      </c>
      <c r="R77" s="19">
        <v>1896</v>
      </c>
      <c r="S77" s="63">
        <f t="shared" si="160"/>
        <v>1899.7919999999999</v>
      </c>
      <c r="T77" s="19">
        <f t="shared" si="214"/>
        <v>153840</v>
      </c>
      <c r="U77" s="29">
        <f t="shared" si="215"/>
        <v>153524.736</v>
      </c>
      <c r="W77" s="18">
        <v>43040</v>
      </c>
      <c r="X77" s="60">
        <v>43017</v>
      </c>
      <c r="Y77" s="60">
        <v>43045</v>
      </c>
      <c r="Z77" s="19">
        <v>197016</v>
      </c>
      <c r="AA77" s="63">
        <f t="shared" si="161"/>
        <v>196621.96799999999</v>
      </c>
      <c r="AB77" s="19">
        <v>2208</v>
      </c>
      <c r="AC77" s="63">
        <f t="shared" si="162"/>
        <v>2212.4160000000002</v>
      </c>
      <c r="AD77" s="19">
        <f t="shared" si="208"/>
        <v>194808</v>
      </c>
      <c r="AE77" s="29">
        <f t="shared" si="216"/>
        <v>194409.552</v>
      </c>
      <c r="AG77" s="18">
        <v>43040</v>
      </c>
      <c r="AH77" s="16">
        <v>43013</v>
      </c>
      <c r="AI77" s="16">
        <v>43044</v>
      </c>
      <c r="AJ77" s="19">
        <v>437130</v>
      </c>
      <c r="AK77" s="63">
        <f t="shared" si="163"/>
        <v>436255.74</v>
      </c>
      <c r="AL77" s="19">
        <v>2970</v>
      </c>
      <c r="AM77" s="63">
        <f t="shared" si="164"/>
        <v>2975.94</v>
      </c>
      <c r="AN77" s="19">
        <f t="shared" si="139"/>
        <v>434160</v>
      </c>
      <c r="AO77" s="71">
        <f t="shared" si="217"/>
        <v>433279.8</v>
      </c>
      <c r="AQ77" s="18">
        <v>43040</v>
      </c>
      <c r="AR77" s="16">
        <v>43017</v>
      </c>
      <c r="AS77" s="16">
        <v>43045</v>
      </c>
      <c r="AT77" s="19">
        <v>162624</v>
      </c>
      <c r="AU77" s="63">
        <f t="shared" si="165"/>
        <v>162298.75200000001</v>
      </c>
      <c r="AV77" s="19">
        <v>2136</v>
      </c>
      <c r="AW77" s="63">
        <f t="shared" si="166"/>
        <v>2140.2719999999999</v>
      </c>
      <c r="AX77" s="19">
        <f t="shared" si="209"/>
        <v>160488</v>
      </c>
      <c r="AY77" s="71">
        <f t="shared" si="218"/>
        <v>160158.48000000001</v>
      </c>
      <c r="BA77" s="18">
        <v>43040</v>
      </c>
      <c r="BB77" s="16">
        <v>43013</v>
      </c>
      <c r="BC77" s="16">
        <v>43044</v>
      </c>
      <c r="BD77" s="19">
        <v>351660</v>
      </c>
      <c r="BE77" s="63">
        <f t="shared" si="167"/>
        <v>350956.68</v>
      </c>
      <c r="BF77" s="19">
        <v>2970</v>
      </c>
      <c r="BG77" s="63">
        <f t="shared" si="168"/>
        <v>2975.94</v>
      </c>
      <c r="BH77" s="19">
        <f t="shared" si="210"/>
        <v>348690</v>
      </c>
      <c r="BI77" s="71">
        <f t="shared" si="219"/>
        <v>347980.74</v>
      </c>
      <c r="BK77" s="18">
        <v>43040</v>
      </c>
      <c r="BL77" s="16">
        <v>43013</v>
      </c>
      <c r="BM77" s="16">
        <v>43044</v>
      </c>
      <c r="BN77" s="19">
        <v>357780</v>
      </c>
      <c r="BO77" s="63">
        <f t="shared" si="169"/>
        <v>357064.44</v>
      </c>
      <c r="BP77" s="19">
        <v>2670</v>
      </c>
      <c r="BQ77" s="63">
        <f t="shared" si="170"/>
        <v>2675.34</v>
      </c>
      <c r="BR77" s="19">
        <f t="shared" si="211"/>
        <v>355110</v>
      </c>
      <c r="BS77" s="71">
        <f t="shared" si="220"/>
        <v>354389.1</v>
      </c>
      <c r="BU77" s="18">
        <v>43040</v>
      </c>
      <c r="BV77" s="16">
        <v>43017</v>
      </c>
      <c r="BW77" s="16">
        <v>43045</v>
      </c>
      <c r="BX77" s="19">
        <v>191904</v>
      </c>
      <c r="BY77" s="63">
        <f t="shared" si="171"/>
        <v>191520.19200000001</v>
      </c>
      <c r="BZ77" s="19">
        <v>1680</v>
      </c>
      <c r="CA77" s="63">
        <f t="shared" si="172"/>
        <v>1683.36</v>
      </c>
      <c r="CB77" s="19">
        <f t="shared" si="221"/>
        <v>190224</v>
      </c>
      <c r="CC77" s="71">
        <f t="shared" si="222"/>
        <v>189836.83200000002</v>
      </c>
      <c r="CE77" s="18">
        <v>43040</v>
      </c>
      <c r="CF77" s="16">
        <v>43017</v>
      </c>
      <c r="CG77" s="16">
        <v>43045</v>
      </c>
      <c r="CH77" s="19">
        <v>197904</v>
      </c>
      <c r="CI77" s="63">
        <f t="shared" si="173"/>
        <v>197508.19200000001</v>
      </c>
      <c r="CJ77" s="19">
        <v>2016</v>
      </c>
      <c r="CK77" s="63">
        <f t="shared" si="174"/>
        <v>2020.0319999999999</v>
      </c>
      <c r="CL77" s="19">
        <f t="shared" si="223"/>
        <v>195888</v>
      </c>
      <c r="CM77" s="71">
        <f t="shared" si="224"/>
        <v>195488.16</v>
      </c>
    </row>
    <row r="78" spans="3:91">
      <c r="C78" s="18">
        <v>43070</v>
      </c>
      <c r="D78" s="16">
        <v>43045</v>
      </c>
      <c r="E78" s="16">
        <v>43076</v>
      </c>
      <c r="F78" s="19">
        <v>82392</v>
      </c>
      <c r="G78" s="63">
        <f t="shared" si="157"/>
        <v>82227.216</v>
      </c>
      <c r="H78" s="19">
        <v>2832</v>
      </c>
      <c r="I78" s="63">
        <f t="shared" si="158"/>
        <v>2837.6640000000002</v>
      </c>
      <c r="J78" s="19">
        <f t="shared" si="212"/>
        <v>79560</v>
      </c>
      <c r="K78" s="29">
        <f t="shared" si="213"/>
        <v>79389.551999999996</v>
      </c>
      <c r="M78" s="18">
        <v>43070</v>
      </c>
      <c r="N78" s="16">
        <v>43045</v>
      </c>
      <c r="O78" s="16">
        <v>43076</v>
      </c>
      <c r="P78" s="19">
        <v>83256</v>
      </c>
      <c r="Q78" s="63">
        <f t="shared" si="159"/>
        <v>83089.487999999998</v>
      </c>
      <c r="R78" s="19">
        <v>2664</v>
      </c>
      <c r="S78" s="63">
        <f t="shared" si="160"/>
        <v>2669.328</v>
      </c>
      <c r="T78" s="19">
        <f t="shared" si="214"/>
        <v>80592</v>
      </c>
      <c r="U78" s="29">
        <f t="shared" si="215"/>
        <v>80420.160000000003</v>
      </c>
      <c r="W78" s="18">
        <v>43070</v>
      </c>
      <c r="X78" s="60">
        <v>43045</v>
      </c>
      <c r="Y78" s="60">
        <v>43076</v>
      </c>
      <c r="Z78" s="19">
        <v>48168</v>
      </c>
      <c r="AA78" s="63">
        <f t="shared" si="161"/>
        <v>48071.663999999997</v>
      </c>
      <c r="AB78" s="19">
        <v>3144</v>
      </c>
      <c r="AC78" s="63">
        <f t="shared" si="162"/>
        <v>3150.288</v>
      </c>
      <c r="AD78" s="19">
        <f t="shared" si="208"/>
        <v>45024</v>
      </c>
      <c r="AE78" s="29">
        <f t="shared" si="216"/>
        <v>44921.375999999997</v>
      </c>
      <c r="AG78" s="18">
        <v>43070</v>
      </c>
      <c r="AH78" s="16">
        <v>43044</v>
      </c>
      <c r="AI78" s="16">
        <v>43074</v>
      </c>
      <c r="AJ78" s="19">
        <v>69480</v>
      </c>
      <c r="AK78" s="63">
        <f t="shared" si="163"/>
        <v>69341.039999999994</v>
      </c>
      <c r="AL78" s="19">
        <v>5040</v>
      </c>
      <c r="AM78" s="63">
        <f t="shared" si="164"/>
        <v>5050.08</v>
      </c>
      <c r="AN78" s="19">
        <f t="shared" si="139"/>
        <v>64440</v>
      </c>
      <c r="AO78" s="71">
        <f t="shared" si="217"/>
        <v>64290.959999999992</v>
      </c>
      <c r="AQ78" s="18">
        <v>43070</v>
      </c>
      <c r="AR78" s="16">
        <v>43045</v>
      </c>
      <c r="AS78" s="16">
        <v>43076</v>
      </c>
      <c r="AT78" s="19">
        <v>71472</v>
      </c>
      <c r="AU78" s="63">
        <f t="shared" si="165"/>
        <v>71329.055999999997</v>
      </c>
      <c r="AV78" s="19">
        <v>3048</v>
      </c>
      <c r="AW78" s="63">
        <f t="shared" si="166"/>
        <v>3054.096</v>
      </c>
      <c r="AX78" s="19">
        <f t="shared" si="209"/>
        <v>68424</v>
      </c>
      <c r="AY78" s="71">
        <f t="shared" si="218"/>
        <v>68274.959999999992</v>
      </c>
      <c r="BA78" s="18">
        <v>43070</v>
      </c>
      <c r="BB78" s="16">
        <v>43044</v>
      </c>
      <c r="BC78" s="16">
        <v>43074</v>
      </c>
      <c r="BD78" s="19">
        <v>63900</v>
      </c>
      <c r="BE78" s="63">
        <f t="shared" si="167"/>
        <v>63772.2</v>
      </c>
      <c r="BF78" s="19">
        <v>5100</v>
      </c>
      <c r="BG78" s="63">
        <f t="shared" si="168"/>
        <v>5110.2</v>
      </c>
      <c r="BH78" s="19">
        <f t="shared" si="210"/>
        <v>58800</v>
      </c>
      <c r="BI78" s="71">
        <f t="shared" si="219"/>
        <v>58662</v>
      </c>
      <c r="BK78" s="18">
        <v>43070</v>
      </c>
      <c r="BL78" s="16">
        <v>43044</v>
      </c>
      <c r="BM78" s="16">
        <v>43074</v>
      </c>
      <c r="BN78" s="19">
        <v>63060</v>
      </c>
      <c r="BO78" s="63">
        <f t="shared" si="169"/>
        <v>62933.88</v>
      </c>
      <c r="BP78" s="19">
        <v>4710</v>
      </c>
      <c r="BQ78" s="63">
        <f t="shared" si="170"/>
        <v>4719.42</v>
      </c>
      <c r="BR78" s="19">
        <f t="shared" si="211"/>
        <v>58350</v>
      </c>
      <c r="BS78" s="71">
        <f t="shared" si="220"/>
        <v>58214.46</v>
      </c>
      <c r="BU78" s="18">
        <v>43070</v>
      </c>
      <c r="BV78" s="16">
        <v>43045</v>
      </c>
      <c r="BW78" s="16">
        <v>43076</v>
      </c>
      <c r="BX78" s="19">
        <v>81672</v>
      </c>
      <c r="BY78" s="63">
        <f t="shared" si="171"/>
        <v>81508.656000000003</v>
      </c>
      <c r="BZ78" s="19">
        <v>2304</v>
      </c>
      <c r="CA78" s="63">
        <f t="shared" si="172"/>
        <v>2308.6080000000002</v>
      </c>
      <c r="CB78" s="19">
        <f t="shared" si="221"/>
        <v>79368</v>
      </c>
      <c r="CC78" s="71">
        <f t="shared" si="222"/>
        <v>79200.04800000001</v>
      </c>
      <c r="CE78" s="18">
        <v>43070</v>
      </c>
      <c r="CF78" s="16">
        <v>43045</v>
      </c>
      <c r="CG78" s="16">
        <v>43076</v>
      </c>
      <c r="CH78" s="19">
        <v>75624</v>
      </c>
      <c r="CI78" s="63">
        <f t="shared" si="173"/>
        <v>75472.751999999993</v>
      </c>
      <c r="CJ78" s="19">
        <v>2760</v>
      </c>
      <c r="CK78" s="63">
        <f t="shared" si="174"/>
        <v>2765.52</v>
      </c>
      <c r="CL78" s="19">
        <f t="shared" si="223"/>
        <v>72864</v>
      </c>
      <c r="CM78" s="71">
        <f t="shared" si="224"/>
        <v>72707.231999999989</v>
      </c>
    </row>
    <row r="79" spans="3:91" s="43" customFormat="1">
      <c r="C79" s="151">
        <v>43101</v>
      </c>
      <c r="D79" s="44">
        <v>43076</v>
      </c>
      <c r="E79" s="44">
        <v>43100</v>
      </c>
      <c r="F79" s="20">
        <f>253824*(24/29)</f>
        <v>210061.24137931035</v>
      </c>
      <c r="G79" s="63">
        <f t="shared" ref="G79" si="225">F79*(1-0.2%)</f>
        <v>209641.11889655172</v>
      </c>
      <c r="H79" s="19">
        <f>1872*(24/29)</f>
        <v>1549.2413793103449</v>
      </c>
      <c r="I79" s="63">
        <f t="shared" ref="I79" si="226">H79*(1+0.2%)</f>
        <v>1552.3398620689657</v>
      </c>
      <c r="J79" s="20">
        <f>F79-H79</f>
        <v>208512</v>
      </c>
      <c r="K79" s="29">
        <f>G79-I79</f>
        <v>208088.77903448275</v>
      </c>
      <c r="M79" s="151">
        <v>43101</v>
      </c>
      <c r="N79" s="44">
        <v>43076</v>
      </c>
      <c r="O79" s="44">
        <v>43100</v>
      </c>
      <c r="P79" s="20">
        <f>238416*(24/29)</f>
        <v>197309.79310344826</v>
      </c>
      <c r="Q79" s="63">
        <f t="shared" ref="Q79" si="227">P79*(1-0.2%)</f>
        <v>196915.17351724138</v>
      </c>
      <c r="R79" s="19">
        <f>1584*(24/29)</f>
        <v>1310.8965517241379</v>
      </c>
      <c r="S79" s="63">
        <f t="shared" ref="S79" si="228">R79*(1+0.2%)</f>
        <v>1313.5183448275861</v>
      </c>
      <c r="T79" s="20">
        <f t="shared" ref="T79" si="229">P79-R79</f>
        <v>195998.89655172412</v>
      </c>
      <c r="U79" s="29">
        <f t="shared" ref="U79" si="230">Q79-S79</f>
        <v>195601.6551724138</v>
      </c>
      <c r="W79" s="151">
        <v>43101</v>
      </c>
      <c r="X79" s="44">
        <v>43076</v>
      </c>
      <c r="Y79" s="44">
        <v>43100</v>
      </c>
      <c r="Z79" s="20">
        <f>235824*(24/29)</f>
        <v>195164.68965517241</v>
      </c>
      <c r="AA79" s="63">
        <f t="shared" ref="AA79" si="231">Z79*(1-0.2%)</f>
        <v>194774.36027586207</v>
      </c>
      <c r="AB79" s="19">
        <f>2040*(24/29)</f>
        <v>1688.2758620689656</v>
      </c>
      <c r="AC79" s="63">
        <f t="shared" ref="AC79" si="232">AB79*(1+0.2%)</f>
        <v>1691.6524137931035</v>
      </c>
      <c r="AD79" s="20">
        <f t="shared" ref="AD79" si="233">Z79-AB79</f>
        <v>193476.41379310345</v>
      </c>
      <c r="AE79" s="29">
        <f t="shared" ref="AE79" si="234">AA79-AC79</f>
        <v>193082.70786206896</v>
      </c>
      <c r="AG79" s="151">
        <v>43101</v>
      </c>
      <c r="AH79" s="44">
        <v>43074</v>
      </c>
      <c r="AI79" s="44">
        <v>43100</v>
      </c>
      <c r="AJ79" s="20">
        <f>41400*(26/31)</f>
        <v>34722.580645161295</v>
      </c>
      <c r="AK79" s="63">
        <f t="shared" ref="AK79" si="235">AJ79*(1-0.2%)</f>
        <v>34653.135483870974</v>
      </c>
      <c r="AL79" s="19">
        <f>5250*(26/31)</f>
        <v>4403.2258064516127</v>
      </c>
      <c r="AM79" s="63">
        <f t="shared" ref="AM79" si="236">AL79*(1+0.2%)</f>
        <v>4412.0322580645161</v>
      </c>
      <c r="AN79" s="20">
        <f t="shared" ref="AN79" si="237">AJ79-AL79</f>
        <v>30319.354838709682</v>
      </c>
      <c r="AO79" s="29">
        <f t="shared" ref="AO79" si="238">AK79-AM79</f>
        <v>30241.103225806459</v>
      </c>
      <c r="AQ79" s="151">
        <v>43101</v>
      </c>
      <c r="AR79" s="44">
        <v>43076</v>
      </c>
      <c r="AS79" s="44">
        <v>43100</v>
      </c>
      <c r="AT79" s="20">
        <f>206088*(24/29)</f>
        <v>170555.58620689655</v>
      </c>
      <c r="AU79" s="63">
        <f t="shared" ref="AU79" si="239">AT79*(1-0.2%)</f>
        <v>170214.47503448275</v>
      </c>
      <c r="AV79" s="19">
        <f>1896*(24/29)</f>
        <v>1569.1034482758621</v>
      </c>
      <c r="AW79" s="63">
        <f t="shared" ref="AW79" si="240">AV79*(1+0.2%)</f>
        <v>1572.2416551724139</v>
      </c>
      <c r="AX79" s="20">
        <f t="shared" ref="AX79" si="241">AT79-AV79</f>
        <v>168986.4827586207</v>
      </c>
      <c r="AY79" s="29">
        <f t="shared" ref="AY79" si="242">AU79-AW79</f>
        <v>168642.23337931035</v>
      </c>
      <c r="BA79" s="151">
        <v>43101</v>
      </c>
      <c r="BB79" s="44">
        <v>43074</v>
      </c>
      <c r="BC79" s="44">
        <v>43100</v>
      </c>
      <c r="BD79" s="20">
        <f>42360*(26/31)</f>
        <v>35527.741935483871</v>
      </c>
      <c r="BE79" s="63">
        <f t="shared" ref="BE79" si="243">BD79*(1-0.2%)</f>
        <v>35456.686451612906</v>
      </c>
      <c r="BF79" s="19">
        <f>5400*(26/31)</f>
        <v>4529.0322580645161</v>
      </c>
      <c r="BG79" s="63">
        <f t="shared" ref="BG79" si="244">BF79*(1+0.2%)</f>
        <v>4538.0903225806451</v>
      </c>
      <c r="BH79" s="20">
        <f t="shared" ref="BH79" si="245">BD79-BF79</f>
        <v>30998.709677419356</v>
      </c>
      <c r="BI79" s="29">
        <f t="shared" ref="BI79" si="246">BE79-BG79</f>
        <v>30918.596129032259</v>
      </c>
      <c r="BK79" s="151">
        <v>43101</v>
      </c>
      <c r="BL79" s="44">
        <v>43074</v>
      </c>
      <c r="BM79" s="44">
        <v>43100</v>
      </c>
      <c r="BN79" s="20">
        <f>43200*(26/31)</f>
        <v>36232.258064516129</v>
      </c>
      <c r="BO79" s="63">
        <f t="shared" ref="BO79" si="247">BN79*(1-0.2%)</f>
        <v>36159.793548387097</v>
      </c>
      <c r="BP79" s="19">
        <f>4980*(26/31)</f>
        <v>4176.7741935483873</v>
      </c>
      <c r="BQ79" s="63">
        <f t="shared" ref="BQ79" si="248">BP79*(1+0.2%)</f>
        <v>4185.1277419354838</v>
      </c>
      <c r="BR79" s="20">
        <f t="shared" ref="BR79" si="249">BN79-BP79</f>
        <v>32055.483870967742</v>
      </c>
      <c r="BS79" s="29">
        <f t="shared" ref="BS79" si="250">BO79-BQ79</f>
        <v>31974.665806451612</v>
      </c>
      <c r="BU79" s="151">
        <v>43101</v>
      </c>
      <c r="BV79" s="44">
        <v>43076</v>
      </c>
      <c r="BW79" s="44">
        <v>43100</v>
      </c>
      <c r="BX79" s="20">
        <f>236880*(24/29)</f>
        <v>196038.62068965516</v>
      </c>
      <c r="BY79" s="63">
        <f t="shared" ref="BY79" si="251">BX79*(1-0.2%)</f>
        <v>195646.54344827586</v>
      </c>
      <c r="BZ79" s="19">
        <f>1680*(24/29)</f>
        <v>1390.344827586207</v>
      </c>
      <c r="CA79" s="63">
        <f t="shared" ref="CA79" si="252">BZ79*(1+0.2%)</f>
        <v>1393.1255172413794</v>
      </c>
      <c r="CB79" s="20">
        <f t="shared" ref="CB79" si="253">BX79-BZ79</f>
        <v>194648.27586206896</v>
      </c>
      <c r="CC79" s="29">
        <f t="shared" ref="CC79" si="254">BY79-CA79</f>
        <v>194253.41793103449</v>
      </c>
      <c r="CE79" s="151">
        <v>43101</v>
      </c>
      <c r="CF79" s="44">
        <v>43076</v>
      </c>
      <c r="CG79" s="44">
        <v>43100</v>
      </c>
      <c r="CH79" s="20">
        <f>172608*(24/29)</f>
        <v>142848</v>
      </c>
      <c r="CI79" s="63">
        <f t="shared" ref="CI79" si="255">CH79*(1-0.2%)</f>
        <v>142562.304</v>
      </c>
      <c r="CJ79" s="19">
        <f>1632*(24/29)</f>
        <v>1350.6206896551723</v>
      </c>
      <c r="CK79" s="63">
        <f t="shared" ref="CK79" si="256">CJ79*(1+0.2%)</f>
        <v>1353.3219310344828</v>
      </c>
      <c r="CL79" s="20">
        <f t="shared" ref="CL79" si="257">CH79-CJ79</f>
        <v>141497.37931034484</v>
      </c>
      <c r="CM79" s="29">
        <f t="shared" ref="CM79" si="258">CI79-CK79</f>
        <v>141208.98206896553</v>
      </c>
    </row>
    <row r="80" spans="3:91" s="43" customFormat="1">
      <c r="C80" s="152"/>
      <c r="D80" s="143">
        <v>43101</v>
      </c>
      <c r="E80" s="44">
        <v>43105</v>
      </c>
      <c r="F80" s="20">
        <f>253824*(5/29)</f>
        <v>43762.758620689659</v>
      </c>
      <c r="G80" s="63">
        <f t="shared" si="157"/>
        <v>43675.233103448278</v>
      </c>
      <c r="H80" s="19">
        <f>1872*(5/29)</f>
        <v>322.75862068965517</v>
      </c>
      <c r="I80" s="63">
        <f t="shared" si="158"/>
        <v>323.40413793103448</v>
      </c>
      <c r="J80" s="20">
        <f>F80-H80</f>
        <v>43440.000000000007</v>
      </c>
      <c r="K80" s="29">
        <f>G80-I80</f>
        <v>43351.828965517241</v>
      </c>
      <c r="M80" s="152"/>
      <c r="N80" s="143">
        <v>43101</v>
      </c>
      <c r="O80" s="44">
        <v>43105</v>
      </c>
      <c r="P80" s="20">
        <f>238416*(5/29)</f>
        <v>41106.206896551725</v>
      </c>
      <c r="Q80" s="63">
        <f t="shared" si="159"/>
        <v>41023.994482758622</v>
      </c>
      <c r="R80" s="19">
        <f>1584*(5/29)</f>
        <v>273.10344827586209</v>
      </c>
      <c r="S80" s="63">
        <f t="shared" si="160"/>
        <v>273.64965517241382</v>
      </c>
      <c r="T80" s="20">
        <f t="shared" si="214"/>
        <v>40833.103448275862</v>
      </c>
      <c r="U80" s="29">
        <f t="shared" si="215"/>
        <v>40750.34482758621</v>
      </c>
      <c r="W80" s="152"/>
      <c r="X80" s="44">
        <v>43101</v>
      </c>
      <c r="Y80" s="44">
        <v>43105</v>
      </c>
      <c r="Z80" s="20">
        <f>235824*(5/29)</f>
        <v>40659.310344827587</v>
      </c>
      <c r="AA80" s="63">
        <f t="shared" si="161"/>
        <v>40577.99172413793</v>
      </c>
      <c r="AB80" s="19">
        <f>2040*(5/29)</f>
        <v>351.72413793103453</v>
      </c>
      <c r="AC80" s="63">
        <f t="shared" si="162"/>
        <v>352.42758620689659</v>
      </c>
      <c r="AD80" s="20">
        <f t="shared" si="208"/>
        <v>40307.586206896551</v>
      </c>
      <c r="AE80" s="29">
        <f t="shared" si="216"/>
        <v>40225.564137931033</v>
      </c>
      <c r="AG80" s="152"/>
      <c r="AH80" s="44">
        <v>43101</v>
      </c>
      <c r="AI80" s="44">
        <v>43105</v>
      </c>
      <c r="AJ80" s="20">
        <f>41400*(5/31)</f>
        <v>6677.4193548387093</v>
      </c>
      <c r="AK80" s="63">
        <f t="shared" si="163"/>
        <v>6664.0645161290322</v>
      </c>
      <c r="AL80" s="19">
        <f>5250*(5/31)</f>
        <v>846.77419354838707</v>
      </c>
      <c r="AM80" s="63">
        <f t="shared" si="164"/>
        <v>848.4677419354839</v>
      </c>
      <c r="AN80" s="20">
        <f t="shared" si="139"/>
        <v>5830.645161290322</v>
      </c>
      <c r="AO80" s="29">
        <f t="shared" si="217"/>
        <v>5815.5967741935483</v>
      </c>
      <c r="AQ80" s="152"/>
      <c r="AR80" s="44">
        <v>43101</v>
      </c>
      <c r="AS80" s="44">
        <v>43105</v>
      </c>
      <c r="AT80" s="20">
        <f>206088*(5/29)</f>
        <v>35532.413793103449</v>
      </c>
      <c r="AU80" s="63">
        <f t="shared" si="165"/>
        <v>35461.348965517245</v>
      </c>
      <c r="AV80" s="19">
        <f>1896*(5/29)</f>
        <v>326.89655172413796</v>
      </c>
      <c r="AW80" s="63">
        <f t="shared" si="166"/>
        <v>327.55034482758623</v>
      </c>
      <c r="AX80" s="20">
        <f t="shared" si="209"/>
        <v>35205.517241379312</v>
      </c>
      <c r="AY80" s="29">
        <f t="shared" si="218"/>
        <v>35133.79862068966</v>
      </c>
      <c r="BA80" s="152"/>
      <c r="BB80" s="44">
        <v>43101</v>
      </c>
      <c r="BC80" s="44">
        <v>43105</v>
      </c>
      <c r="BD80" s="20">
        <f>42360*(5/31)</f>
        <v>6832.2580645161288</v>
      </c>
      <c r="BE80" s="63">
        <f t="shared" si="167"/>
        <v>6818.5935483870962</v>
      </c>
      <c r="BF80" s="19">
        <f>5400*(5/31)</f>
        <v>870.9677419354839</v>
      </c>
      <c r="BG80" s="63">
        <f t="shared" si="168"/>
        <v>872.70967741935488</v>
      </c>
      <c r="BH80" s="20">
        <f t="shared" si="210"/>
        <v>5961.2903225806449</v>
      </c>
      <c r="BI80" s="29">
        <f t="shared" si="219"/>
        <v>5945.8838709677411</v>
      </c>
      <c r="BK80" s="152"/>
      <c r="BL80" s="44">
        <v>43101</v>
      </c>
      <c r="BM80" s="44">
        <v>43105</v>
      </c>
      <c r="BN80" s="20">
        <f>43200*(5/31)</f>
        <v>6967.7419354838712</v>
      </c>
      <c r="BO80" s="63">
        <f t="shared" si="169"/>
        <v>6953.8064516129034</v>
      </c>
      <c r="BP80" s="19">
        <f>4980*(5/31)</f>
        <v>803.22580645161293</v>
      </c>
      <c r="BQ80" s="63">
        <f t="shared" si="170"/>
        <v>804.83225806451617</v>
      </c>
      <c r="BR80" s="20">
        <f t="shared" si="211"/>
        <v>6164.5161290322585</v>
      </c>
      <c r="BS80" s="29">
        <f t="shared" si="220"/>
        <v>6148.9741935483871</v>
      </c>
      <c r="BU80" s="152"/>
      <c r="BV80" s="44">
        <v>43101</v>
      </c>
      <c r="BW80" s="44">
        <v>43105</v>
      </c>
      <c r="BX80" s="20">
        <f>236880*(5/29)</f>
        <v>40841.379310344833</v>
      </c>
      <c r="BY80" s="63">
        <f t="shared" si="171"/>
        <v>40759.696551724141</v>
      </c>
      <c r="BZ80" s="19">
        <f>1680*(5/29)</f>
        <v>289.65517241379314</v>
      </c>
      <c r="CA80" s="63">
        <f t="shared" si="172"/>
        <v>290.23448275862074</v>
      </c>
      <c r="CB80" s="20">
        <f t="shared" si="221"/>
        <v>40551.724137931044</v>
      </c>
      <c r="CC80" s="29">
        <f t="shared" si="222"/>
        <v>40469.46206896552</v>
      </c>
      <c r="CE80" s="152"/>
      <c r="CF80" s="44">
        <v>43101</v>
      </c>
      <c r="CG80" s="44">
        <v>43105</v>
      </c>
      <c r="CH80" s="20">
        <f>172608*(5/29)</f>
        <v>29760.000000000004</v>
      </c>
      <c r="CI80" s="63">
        <f t="shared" si="173"/>
        <v>29700.480000000003</v>
      </c>
      <c r="CJ80" s="19">
        <f>1632*(5/29)</f>
        <v>281.37931034482762</v>
      </c>
      <c r="CK80" s="63">
        <f t="shared" si="174"/>
        <v>281.94206896551725</v>
      </c>
      <c r="CL80" s="20">
        <f t="shared" si="223"/>
        <v>29478.620689655178</v>
      </c>
      <c r="CM80" s="29">
        <f t="shared" si="224"/>
        <v>29418.537931034487</v>
      </c>
    </row>
    <row r="81" spans="3:91">
      <c r="C81" s="18">
        <v>43132</v>
      </c>
      <c r="D81" s="16">
        <v>43105</v>
      </c>
      <c r="E81" s="16">
        <v>43136</v>
      </c>
      <c r="F81" s="19">
        <v>267744</v>
      </c>
      <c r="G81" s="63">
        <f t="shared" si="157"/>
        <v>267208.51199999999</v>
      </c>
      <c r="H81" s="19">
        <v>1680</v>
      </c>
      <c r="I81" s="63">
        <f t="shared" si="158"/>
        <v>1683.36</v>
      </c>
      <c r="J81" s="19">
        <f t="shared" si="212"/>
        <v>266064</v>
      </c>
      <c r="K81" s="29">
        <f t="shared" si="213"/>
        <v>265525.152</v>
      </c>
      <c r="M81" s="18">
        <v>43132</v>
      </c>
      <c r="N81" s="16">
        <v>43105</v>
      </c>
      <c r="O81" s="16">
        <v>43136</v>
      </c>
      <c r="P81" s="19">
        <v>266352</v>
      </c>
      <c r="Q81" s="63">
        <f t="shared" si="159"/>
        <v>265819.29599999997</v>
      </c>
      <c r="R81" s="19">
        <v>1296</v>
      </c>
      <c r="S81" s="63">
        <f t="shared" si="160"/>
        <v>1298.5920000000001</v>
      </c>
      <c r="T81" s="19">
        <f t="shared" si="214"/>
        <v>265056</v>
      </c>
      <c r="U81" s="29">
        <f t="shared" si="215"/>
        <v>264520.70399999997</v>
      </c>
      <c r="W81" s="18">
        <v>43132</v>
      </c>
      <c r="X81" s="60">
        <v>43105</v>
      </c>
      <c r="Y81" s="60">
        <v>43136</v>
      </c>
      <c r="Z81" s="19">
        <v>262632</v>
      </c>
      <c r="AA81" s="63">
        <f t="shared" si="161"/>
        <v>262106.736</v>
      </c>
      <c r="AB81" s="19">
        <v>1776</v>
      </c>
      <c r="AC81" s="63">
        <f t="shared" si="162"/>
        <v>1779.5519999999999</v>
      </c>
      <c r="AD81" s="19">
        <f t="shared" si="208"/>
        <v>260856</v>
      </c>
      <c r="AE81" s="29">
        <f t="shared" si="216"/>
        <v>260327.18400000001</v>
      </c>
      <c r="AG81" s="18">
        <v>43132</v>
      </c>
      <c r="AH81" s="16">
        <v>43105</v>
      </c>
      <c r="AI81" s="16">
        <v>43136</v>
      </c>
      <c r="AJ81" s="19">
        <v>19200</v>
      </c>
      <c r="AK81" s="63">
        <f t="shared" si="163"/>
        <v>19161.599999999999</v>
      </c>
      <c r="AL81" s="19">
        <v>6120</v>
      </c>
      <c r="AM81" s="63">
        <f t="shared" si="164"/>
        <v>6132.24</v>
      </c>
      <c r="AN81" s="19">
        <f t="shared" si="139"/>
        <v>13080</v>
      </c>
      <c r="AO81" s="71">
        <f t="shared" si="217"/>
        <v>13029.359999999999</v>
      </c>
      <c r="AQ81" s="18">
        <v>43132</v>
      </c>
      <c r="AR81" s="16">
        <v>43105</v>
      </c>
      <c r="AS81" s="16">
        <v>43136</v>
      </c>
      <c r="AT81" s="19">
        <v>230256</v>
      </c>
      <c r="AU81" s="63">
        <f t="shared" si="165"/>
        <v>229795.48800000001</v>
      </c>
      <c r="AV81" s="19">
        <v>1848</v>
      </c>
      <c r="AW81" s="63">
        <f t="shared" si="166"/>
        <v>1851.6959999999999</v>
      </c>
      <c r="AX81" s="19">
        <f t="shared" si="209"/>
        <v>228408</v>
      </c>
      <c r="AY81" s="71">
        <f t="shared" si="218"/>
        <v>227943.79200000002</v>
      </c>
      <c r="BA81" s="18">
        <v>43132</v>
      </c>
      <c r="BB81" s="16">
        <v>43105</v>
      </c>
      <c r="BC81" s="16">
        <v>43136</v>
      </c>
      <c r="BD81" s="19">
        <v>17190</v>
      </c>
      <c r="BE81" s="63">
        <f t="shared" si="167"/>
        <v>17155.62</v>
      </c>
      <c r="BF81" s="19">
        <v>6360</v>
      </c>
      <c r="BG81" s="63">
        <f t="shared" si="168"/>
        <v>6372.72</v>
      </c>
      <c r="BH81" s="19">
        <f t="shared" si="210"/>
        <v>10830</v>
      </c>
      <c r="BI81" s="71">
        <f t="shared" si="219"/>
        <v>10782.899999999998</v>
      </c>
      <c r="BK81" s="18">
        <v>43132</v>
      </c>
      <c r="BL81" s="16">
        <v>43105</v>
      </c>
      <c r="BM81" s="16">
        <v>43136</v>
      </c>
      <c r="BN81" s="19">
        <v>23010</v>
      </c>
      <c r="BO81" s="63">
        <f t="shared" si="169"/>
        <v>22963.98</v>
      </c>
      <c r="BP81" s="19">
        <v>5370</v>
      </c>
      <c r="BQ81" s="63">
        <f t="shared" si="170"/>
        <v>5380.74</v>
      </c>
      <c r="BR81" s="19">
        <f t="shared" si="211"/>
        <v>17640</v>
      </c>
      <c r="BS81" s="71">
        <f t="shared" si="220"/>
        <v>17583.239999999998</v>
      </c>
      <c r="BU81" s="18">
        <v>43132</v>
      </c>
      <c r="BV81" s="16">
        <v>43105</v>
      </c>
      <c r="BW81" s="16">
        <v>43136</v>
      </c>
      <c r="BX81" s="19">
        <v>290592</v>
      </c>
      <c r="BY81" s="63">
        <f t="shared" si="171"/>
        <v>290010.81599999999</v>
      </c>
      <c r="BZ81" s="19">
        <v>1464</v>
      </c>
      <c r="CA81" s="63">
        <f t="shared" si="172"/>
        <v>1466.9280000000001</v>
      </c>
      <c r="CB81" s="19">
        <f t="shared" si="221"/>
        <v>289128</v>
      </c>
      <c r="CC81" s="71">
        <f t="shared" si="222"/>
        <v>288543.88799999998</v>
      </c>
      <c r="CE81" s="18">
        <v>43132</v>
      </c>
      <c r="CF81" s="16">
        <v>43105</v>
      </c>
      <c r="CG81" s="16">
        <v>43136</v>
      </c>
      <c r="CH81" s="19">
        <v>245736</v>
      </c>
      <c r="CI81" s="63">
        <f t="shared" si="173"/>
        <v>245244.52799999999</v>
      </c>
      <c r="CJ81" s="19">
        <v>1824</v>
      </c>
      <c r="CK81" s="63">
        <f t="shared" si="174"/>
        <v>1827.6479999999999</v>
      </c>
      <c r="CL81" s="19">
        <f t="shared" si="223"/>
        <v>243912</v>
      </c>
      <c r="CM81" s="71">
        <f t="shared" si="224"/>
        <v>243416.88</v>
      </c>
    </row>
    <row r="82" spans="3:91" ht="15" thickBot="1">
      <c r="C82" s="22">
        <v>43160</v>
      </c>
      <c r="D82" s="77">
        <v>43136</v>
      </c>
      <c r="E82" s="110">
        <v>43159</v>
      </c>
      <c r="F82" s="78">
        <f>232176*'DGR February-2018'!C37</f>
        <v>210311.85713862648</v>
      </c>
      <c r="G82" s="72">
        <f t="shared" si="157"/>
        <v>209891.23342434922</v>
      </c>
      <c r="H82" s="73">
        <v>1224</v>
      </c>
      <c r="I82" s="63">
        <f t="shared" si="158"/>
        <v>1226.4480000000001</v>
      </c>
      <c r="J82" s="73">
        <f t="shared" si="212"/>
        <v>209087.85713862648</v>
      </c>
      <c r="K82" s="29">
        <f t="shared" si="213"/>
        <v>208664.78542434922</v>
      </c>
      <c r="M82" s="22">
        <v>43160</v>
      </c>
      <c r="N82" s="74">
        <v>43136</v>
      </c>
      <c r="O82" s="110">
        <v>43159</v>
      </c>
      <c r="P82" s="78">
        <f>209760*'DGR February-2018'!F37</f>
        <v>187285.54487686846</v>
      </c>
      <c r="Q82" s="72">
        <f t="shared" si="159"/>
        <v>186910.97378711472</v>
      </c>
      <c r="R82" s="73">
        <v>1224</v>
      </c>
      <c r="S82" s="72">
        <f t="shared" si="160"/>
        <v>1226.4480000000001</v>
      </c>
      <c r="T82" s="73">
        <f t="shared" si="214"/>
        <v>186061.54487686846</v>
      </c>
      <c r="U82" s="29">
        <f t="shared" si="215"/>
        <v>185684.52578711472</v>
      </c>
      <c r="W82" s="22">
        <v>43160</v>
      </c>
      <c r="X82" s="118">
        <v>43136</v>
      </c>
      <c r="Y82" s="110">
        <v>43159</v>
      </c>
      <c r="Z82" s="78">
        <f>220704*'DGR February-2018'!I37</f>
        <v>196292.53883556294</v>
      </c>
      <c r="AA82" s="72">
        <f t="shared" si="161"/>
        <v>195899.95375789181</v>
      </c>
      <c r="AB82" s="73">
        <v>1440</v>
      </c>
      <c r="AC82" s="72">
        <f t="shared" si="162"/>
        <v>1442.88</v>
      </c>
      <c r="AD82" s="73">
        <f t="shared" si="208"/>
        <v>194852.53883556294</v>
      </c>
      <c r="AE82" s="119">
        <f t="shared" si="216"/>
        <v>194457.07375789181</v>
      </c>
      <c r="AG82" s="132">
        <v>43160</v>
      </c>
      <c r="AH82" s="133">
        <v>43136</v>
      </c>
      <c r="AI82" s="134">
        <v>43159</v>
      </c>
      <c r="AJ82" s="135">
        <f>38100*'DGR February-2018'!L37</f>
        <v>34517.112024665985</v>
      </c>
      <c r="AK82" s="63">
        <f t="shared" si="163"/>
        <v>34448.077800616651</v>
      </c>
      <c r="AL82" s="136">
        <v>4920</v>
      </c>
      <c r="AM82" s="63">
        <f t="shared" si="164"/>
        <v>4929.84</v>
      </c>
      <c r="AN82" s="136">
        <f t="shared" si="139"/>
        <v>29597.112024665985</v>
      </c>
      <c r="AO82" s="137">
        <f t="shared" si="217"/>
        <v>29518.237800616651</v>
      </c>
      <c r="AQ82" s="132">
        <v>43160</v>
      </c>
      <c r="AR82" s="133">
        <v>43136</v>
      </c>
      <c r="AS82" s="134">
        <v>43159</v>
      </c>
      <c r="AT82" s="135">
        <f>186984*'DGR February-2018'!O37</f>
        <v>170502.64375523891</v>
      </c>
      <c r="AU82" s="63">
        <f t="shared" si="165"/>
        <v>170161.63846772842</v>
      </c>
      <c r="AV82" s="136">
        <v>1704</v>
      </c>
      <c r="AW82" s="63">
        <f t="shared" si="166"/>
        <v>1707.4079999999999</v>
      </c>
      <c r="AX82" s="136">
        <f t="shared" si="209"/>
        <v>168798.64375523891</v>
      </c>
      <c r="AY82" s="137">
        <f t="shared" si="218"/>
        <v>168454.23046772843</v>
      </c>
      <c r="BA82" s="132">
        <v>43160</v>
      </c>
      <c r="BB82" s="138">
        <v>43136</v>
      </c>
      <c r="BC82" s="134">
        <v>43159</v>
      </c>
      <c r="BD82" s="135">
        <f>43800*'DGR February-2018'!R37</f>
        <v>36264.516129032258</v>
      </c>
      <c r="BE82" s="63">
        <f t="shared" si="167"/>
        <v>36191.987096774195</v>
      </c>
      <c r="BF82" s="136">
        <v>4950</v>
      </c>
      <c r="BG82" s="63">
        <f t="shared" si="168"/>
        <v>4959.8999999999996</v>
      </c>
      <c r="BH82" s="136">
        <f t="shared" si="210"/>
        <v>31314.516129032258</v>
      </c>
      <c r="BI82" s="137">
        <f t="shared" si="219"/>
        <v>31232.087096774194</v>
      </c>
      <c r="BK82" s="132">
        <v>43160</v>
      </c>
      <c r="BL82" s="138">
        <v>43136</v>
      </c>
      <c r="BM82" s="134">
        <v>43159</v>
      </c>
      <c r="BN82" s="135">
        <f>44730*'DGR February-2018'!U37</f>
        <v>36530.479632063078</v>
      </c>
      <c r="BO82" s="63">
        <f t="shared" si="169"/>
        <v>36457.418672798951</v>
      </c>
      <c r="BP82" s="136">
        <v>4590</v>
      </c>
      <c r="BQ82" s="63">
        <f t="shared" si="170"/>
        <v>4599.18</v>
      </c>
      <c r="BR82" s="136">
        <f t="shared" si="211"/>
        <v>31940.479632063078</v>
      </c>
      <c r="BS82" s="137">
        <f t="shared" si="220"/>
        <v>31858.238672798951</v>
      </c>
      <c r="BU82" s="132">
        <v>43160</v>
      </c>
      <c r="BV82" s="138">
        <v>43136</v>
      </c>
      <c r="BW82" s="134">
        <v>43159</v>
      </c>
      <c r="BX82" s="135">
        <f>276216*'DGR February-2018'!X37</f>
        <v>244560.47873723679</v>
      </c>
      <c r="BY82" s="63">
        <f t="shared" si="171"/>
        <v>244071.3577797623</v>
      </c>
      <c r="BZ82" s="136">
        <v>1056</v>
      </c>
      <c r="CA82" s="63">
        <f t="shared" si="172"/>
        <v>1058.1120000000001</v>
      </c>
      <c r="CB82" s="136">
        <f t="shared" si="221"/>
        <v>243504.47873723679</v>
      </c>
      <c r="CC82" s="137">
        <f t="shared" si="222"/>
        <v>243013.24577976231</v>
      </c>
      <c r="CE82" s="132">
        <v>43160</v>
      </c>
      <c r="CF82" s="133">
        <v>43136</v>
      </c>
      <c r="CG82" s="134">
        <v>43159</v>
      </c>
      <c r="CH82" s="135">
        <f>195960*'DGR February-2018'!AA37</f>
        <v>179724.77179909725</v>
      </c>
      <c r="CI82" s="63">
        <f t="shared" si="173"/>
        <v>179365.32225549905</v>
      </c>
      <c r="CJ82" s="136">
        <v>1584</v>
      </c>
      <c r="CK82" s="63">
        <f t="shared" si="174"/>
        <v>1587.1679999999999</v>
      </c>
      <c r="CL82" s="136">
        <f t="shared" si="223"/>
        <v>178140.77179909725</v>
      </c>
      <c r="CM82" s="137">
        <f t="shared" si="224"/>
        <v>177778.15425549904</v>
      </c>
    </row>
    <row r="83" spans="3:91" ht="28.75" customHeight="1" thickBot="1">
      <c r="C83" s="156" t="s">
        <v>15</v>
      </c>
      <c r="D83" s="157"/>
      <c r="E83" s="157"/>
      <c r="F83" s="157"/>
      <c r="G83" s="157"/>
      <c r="H83" s="157"/>
      <c r="I83" s="158"/>
      <c r="J83" s="76">
        <f>SUM(J5:J82)</f>
        <v>17957408.354099337</v>
      </c>
      <c r="K83" s="21">
        <f>SUM(K5:K82)</f>
        <v>17943718.226385057</v>
      </c>
      <c r="M83" s="156" t="s">
        <v>15</v>
      </c>
      <c r="N83" s="157"/>
      <c r="O83" s="157"/>
      <c r="P83" s="157"/>
      <c r="Q83" s="157"/>
      <c r="R83" s="157"/>
      <c r="S83" s="158"/>
      <c r="T83" s="76">
        <f>SUM(T5:T82)</f>
        <v>15753951.530925795</v>
      </c>
      <c r="U83" s="21">
        <f>SUM(U5:U82)</f>
        <v>15741975.647836041</v>
      </c>
      <c r="W83" s="156" t="s">
        <v>15</v>
      </c>
      <c r="X83" s="157"/>
      <c r="Y83" s="157"/>
      <c r="Z83" s="157"/>
      <c r="AA83" s="157"/>
      <c r="AB83" s="157"/>
      <c r="AC83" s="158"/>
      <c r="AD83" s="120">
        <f>SUM(AD5:AD82)</f>
        <v>17534106.191328514</v>
      </c>
      <c r="AE83" s="21">
        <f>SUM(AE5:AE82)</f>
        <v>17520664.470250841</v>
      </c>
      <c r="AG83" s="156" t="s">
        <v>15</v>
      </c>
      <c r="AH83" s="157"/>
      <c r="AI83" s="157"/>
      <c r="AJ83" s="157"/>
      <c r="AK83" s="157"/>
      <c r="AL83" s="157"/>
      <c r="AM83" s="158"/>
      <c r="AN83" s="124">
        <f>SUM(AN5:AN82)</f>
        <v>21734319.557604358</v>
      </c>
      <c r="AO83" s="21">
        <f>SUM(AO5:AO82)</f>
        <v>21716154.403380308</v>
      </c>
      <c r="AQ83" s="156" t="s">
        <v>15</v>
      </c>
      <c r="AR83" s="157"/>
      <c r="AS83" s="157"/>
      <c r="AT83" s="157"/>
      <c r="AU83" s="157"/>
      <c r="AV83" s="157"/>
      <c r="AW83" s="158"/>
      <c r="AX83" s="124">
        <f>SUM(AX5:AX82)</f>
        <v>13755092.525169149</v>
      </c>
      <c r="AY83" s="124">
        <f>SUM(AY5:AY82)</f>
        <v>13743860.607881647</v>
      </c>
      <c r="BA83" s="156" t="s">
        <v>15</v>
      </c>
      <c r="BB83" s="157"/>
      <c r="BC83" s="157"/>
      <c r="BD83" s="157"/>
      <c r="BE83" s="157"/>
      <c r="BF83" s="157"/>
      <c r="BG83" s="158"/>
      <c r="BH83" s="124">
        <f>SUM(BH5:BH82)</f>
        <v>20801161.313863341</v>
      </c>
      <c r="BI83" s="124">
        <f>SUM(BI5:BI82)</f>
        <v>20783555.224831078</v>
      </c>
      <c r="BK83" s="156" t="s">
        <v>15</v>
      </c>
      <c r="BL83" s="157"/>
      <c r="BM83" s="157"/>
      <c r="BN83" s="157"/>
      <c r="BO83" s="157"/>
      <c r="BP83" s="157"/>
      <c r="BQ83" s="158"/>
      <c r="BR83" s="124">
        <f>SUM(BR5:BR82)</f>
        <v>19277531.974304885</v>
      </c>
      <c r="BS83" s="124">
        <f>SUM(BS5:BS82)</f>
        <v>19260330.533345621</v>
      </c>
      <c r="BU83" s="156" t="s">
        <v>15</v>
      </c>
      <c r="BV83" s="157"/>
      <c r="BW83" s="157"/>
      <c r="BX83" s="157"/>
      <c r="BY83" s="157"/>
      <c r="BZ83" s="157"/>
      <c r="CA83" s="158"/>
      <c r="CB83" s="124">
        <f>SUM(CB5:CB82)</f>
        <v>19210658.192011572</v>
      </c>
      <c r="CC83" s="124">
        <f>SUM(CC5:CC82)</f>
        <v>19195924.159054097</v>
      </c>
      <c r="CE83" s="156" t="s">
        <v>15</v>
      </c>
      <c r="CF83" s="157"/>
      <c r="CG83" s="157"/>
      <c r="CH83" s="157"/>
      <c r="CI83" s="157"/>
      <c r="CJ83" s="157"/>
      <c r="CK83" s="158"/>
      <c r="CL83" s="124">
        <f>SUM(CL5:CL82)</f>
        <v>16798336.104850881</v>
      </c>
      <c r="CM83" s="124">
        <f>SUM(CM5:CM82)</f>
        <v>16785386.687307287</v>
      </c>
    </row>
    <row r="85" spans="3:91" ht="15" thickBot="1">
      <c r="D85" s="70"/>
    </row>
    <row r="86" spans="3:91" ht="15" thickBot="1">
      <c r="C86" s="163" t="s">
        <v>66</v>
      </c>
      <c r="D86" s="164"/>
      <c r="E86" s="164"/>
      <c r="F86" s="164"/>
      <c r="G86" s="165"/>
    </row>
    <row r="87" spans="3:91" ht="15" thickBot="1"/>
    <row r="88" spans="3:91" ht="15" thickBot="1">
      <c r="C88" s="166" t="s">
        <v>67</v>
      </c>
      <c r="D88" s="167"/>
      <c r="E88" s="167"/>
      <c r="F88" s="167"/>
      <c r="G88" s="168"/>
    </row>
    <row r="89" spans="3:91">
      <c r="D89" s="70"/>
    </row>
    <row r="90" spans="3:91">
      <c r="D90" s="70"/>
    </row>
  </sheetData>
  <mergeCells count="92">
    <mergeCell ref="BU79:BU80"/>
    <mergeCell ref="CE79:CE80"/>
    <mergeCell ref="CE27:CE28"/>
    <mergeCell ref="BU40:BU41"/>
    <mergeCell ref="CE40:CE41"/>
    <mergeCell ref="CE53:CE54"/>
    <mergeCell ref="CE66:CE67"/>
    <mergeCell ref="BU27:BU28"/>
    <mergeCell ref="BU53:BU54"/>
    <mergeCell ref="BU66:BU67"/>
    <mergeCell ref="C27:C28"/>
    <mergeCell ref="C40:C41"/>
    <mergeCell ref="C66:C67"/>
    <mergeCell ref="C79:C80"/>
    <mergeCell ref="M27:M28"/>
    <mergeCell ref="M40:M41"/>
    <mergeCell ref="M53:M54"/>
    <mergeCell ref="M66:M67"/>
    <mergeCell ref="C53:C54"/>
    <mergeCell ref="C14:C15"/>
    <mergeCell ref="C86:G86"/>
    <mergeCell ref="C88:G88"/>
    <mergeCell ref="F3:K3"/>
    <mergeCell ref="BV3:BW3"/>
    <mergeCell ref="Z3:AE3"/>
    <mergeCell ref="M3:M4"/>
    <mergeCell ref="N3:O3"/>
    <mergeCell ref="C3:C4"/>
    <mergeCell ref="D3:E3"/>
    <mergeCell ref="P3:U3"/>
    <mergeCell ref="AG83:AM83"/>
    <mergeCell ref="AQ83:AW83"/>
    <mergeCell ref="BA83:BG83"/>
    <mergeCell ref="BK83:BQ83"/>
    <mergeCell ref="M14:M15"/>
    <mergeCell ref="W83:AC83"/>
    <mergeCell ref="CE3:CE4"/>
    <mergeCell ref="BK3:BK4"/>
    <mergeCell ref="BL3:BM3"/>
    <mergeCell ref="BU3:BU4"/>
    <mergeCell ref="BA3:BA4"/>
    <mergeCell ref="BB3:BC3"/>
    <mergeCell ref="BN3:BS3"/>
    <mergeCell ref="BX3:CC3"/>
    <mergeCell ref="W14:W15"/>
    <mergeCell ref="W27:W28"/>
    <mergeCell ref="W40:W41"/>
    <mergeCell ref="W53:W54"/>
    <mergeCell ref="W66:W67"/>
    <mergeCell ref="W79:W80"/>
    <mergeCell ref="AG14:AG15"/>
    <mergeCell ref="CH3:CM3"/>
    <mergeCell ref="C83:I83"/>
    <mergeCell ref="M83:S83"/>
    <mergeCell ref="AH3:AI3"/>
    <mergeCell ref="AQ3:AQ4"/>
    <mergeCell ref="AR3:AS3"/>
    <mergeCell ref="AT3:AY3"/>
    <mergeCell ref="AJ3:AO3"/>
    <mergeCell ref="BD3:BI3"/>
    <mergeCell ref="W3:W4"/>
    <mergeCell ref="X3:Y3"/>
    <mergeCell ref="AG3:AG4"/>
    <mergeCell ref="CF3:CG3"/>
    <mergeCell ref="BU83:CA83"/>
    <mergeCell ref="CE83:CK83"/>
    <mergeCell ref="M79:M80"/>
    <mergeCell ref="AQ14:AQ15"/>
    <mergeCell ref="BA14:BA15"/>
    <mergeCell ref="BK14:BK15"/>
    <mergeCell ref="BU14:BU15"/>
    <mergeCell ref="CE14:CE15"/>
    <mergeCell ref="AG79:AG80"/>
    <mergeCell ref="AQ27:AQ28"/>
    <mergeCell ref="AQ53:AQ54"/>
    <mergeCell ref="AQ66:AQ67"/>
    <mergeCell ref="AQ79:AQ80"/>
    <mergeCell ref="AG27:AG28"/>
    <mergeCell ref="AG40:AG41"/>
    <mergeCell ref="AQ40:AQ41"/>
    <mergeCell ref="AG53:AG54"/>
    <mergeCell ref="AG66:AG67"/>
    <mergeCell ref="BA79:BA80"/>
    <mergeCell ref="BK79:BK80"/>
    <mergeCell ref="BK27:BK28"/>
    <mergeCell ref="BA27:BA28"/>
    <mergeCell ref="BA40:BA41"/>
    <mergeCell ref="BA53:BA54"/>
    <mergeCell ref="BK53:BK54"/>
    <mergeCell ref="BK40:BK41"/>
    <mergeCell ref="BA66:BA67"/>
    <mergeCell ref="BK66:BK67"/>
  </mergeCells>
  <phoneticPr fontId="18" type="noConversion"/>
  <pageMargins left="0.7" right="0.7" top="0.75" bottom="0.75" header="0.3" footer="0.3"/>
  <pageSetup orientation="portrait" r:id="rId1"/>
  <ignoredErrors>
    <ignoredError sqref="H27:H28 H14:H15 H40:H41 R14:R15 R27:R28 R40:R41 AB14:AB15 AB27:AB28 AB40:AB41 AL14:AL15 H53:H54 AL27:AL28 AL40:AL41 R53:R54 AB53:AB54 AL53:AL54 AV14:AV15 AV27:AV28 AV40:AV41 AV53:AV54 BF14:BF15 BF27:BF28 BF40:BF41 BF53:BF54 BP14:BP15 BP27:BP28 BP40:BP41 BP53:BP54 BZ14:BZ15 BZ27:BZ28 BZ40:BZ41 BZ53:BZ54 CJ14:CJ15 CJ27:CJ28 CJ40:CJ41 CJ53:CJ5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9C34C-2047-4CF5-8DD5-0B83CD90C920}">
  <dimension ref="C3:L78"/>
  <sheetViews>
    <sheetView showGridLines="0" topLeftCell="A67" zoomScale="85" zoomScaleNormal="85" workbookViewId="0">
      <selection activeCell="H84" sqref="H84"/>
    </sheetView>
  </sheetViews>
  <sheetFormatPr defaultRowHeight="14.5"/>
  <cols>
    <col min="3" max="3" width="10.08984375" style="17" customWidth="1"/>
    <col min="4" max="4" width="14.08984375" customWidth="1"/>
    <col min="5" max="5" width="35.90625" style="17" customWidth="1"/>
    <col min="7" max="7" width="10.08984375" style="17" customWidth="1"/>
    <col min="8" max="8" width="17.36328125" customWidth="1"/>
    <col min="9" max="9" width="18.90625" customWidth="1"/>
    <col min="10" max="10" width="14.08984375" customWidth="1"/>
    <col min="11" max="11" width="15.36328125" customWidth="1"/>
    <col min="12" max="12" width="13.90625" style="17" customWidth="1"/>
  </cols>
  <sheetData>
    <row r="3" spans="3:12" ht="15" thickBot="1"/>
    <row r="4" spans="3:12" ht="31.25" customHeight="1" thickBot="1">
      <c r="C4" s="170" t="s">
        <v>0</v>
      </c>
      <c r="D4" s="64" t="s">
        <v>61</v>
      </c>
      <c r="E4" s="65" t="s">
        <v>62</v>
      </c>
    </row>
    <row r="5" spans="3:12" ht="78.650000000000006" customHeight="1" thickBot="1">
      <c r="C5" s="171"/>
      <c r="D5" s="66" t="s">
        <v>63</v>
      </c>
      <c r="E5" s="67" t="s">
        <v>71</v>
      </c>
      <c r="G5" s="106" t="s">
        <v>0</v>
      </c>
      <c r="H5" s="107" t="s">
        <v>60</v>
      </c>
      <c r="I5" s="107" t="s">
        <v>29</v>
      </c>
      <c r="J5" s="107" t="s">
        <v>6</v>
      </c>
      <c r="K5" s="107" t="s">
        <v>69</v>
      </c>
      <c r="L5" s="108" t="s">
        <v>16</v>
      </c>
    </row>
    <row r="6" spans="3:12">
      <c r="C6" s="68">
        <v>41000</v>
      </c>
      <c r="D6" s="111">
        <f>'Generation Data '!J5+'Generation Data '!T5+'Generation Data '!AD5+'Generation Data '!AN5+'Generation Data '!AX5+'Generation Data '!BH5+'Generation Data '!BR5+'Generation Data '!CB5+'Generation Data '!CL5</f>
        <v>670415.80122944224</v>
      </c>
      <c r="E6" s="82">
        <v>672414</v>
      </c>
      <c r="G6" s="102">
        <v>41000</v>
      </c>
      <c r="H6" s="49">
        <f>'Generation Data '!K5+'Generation Data '!U5+'Generation Data '!AE5+'Generation Data '!AO5+'Generation Data '!AY5+'Generation Data '!BI5+'Generation Data '!BS5+'Generation Data '!CC5+'Generation Data '!CM5</f>
        <v>670415.80122944224</v>
      </c>
      <c r="I6" s="103">
        <f>H6/1000</f>
        <v>670.4158012294422</v>
      </c>
      <c r="J6" s="104">
        <v>0.92930999999999997</v>
      </c>
      <c r="K6" s="105">
        <f>I6*J6</f>
        <v>623.02410824053288</v>
      </c>
      <c r="L6" s="174">
        <f>ROUNDDOWN(SUM(K6:K14),0)</f>
        <v>29874</v>
      </c>
    </row>
    <row r="7" spans="3:12">
      <c r="C7" s="18">
        <v>41030</v>
      </c>
      <c r="D7" s="2">
        <f>'Generation Data '!J6+'Generation Data '!T6+'Generation Data '!AD6+'Generation Data '!AN6+'Generation Data '!AX6+'Generation Data '!BH6+'Generation Data '!BR6+'Generation Data '!CB6+'Generation Data '!CL6</f>
        <v>2515014</v>
      </c>
      <c r="E7" s="83">
        <v>2515014</v>
      </c>
      <c r="G7" s="18">
        <v>41030</v>
      </c>
      <c r="H7" s="49">
        <f>'Generation Data '!K6+'Generation Data '!U6+'Generation Data '!AE6+'Generation Data '!AO6+'Generation Data '!AY6+'Generation Data '!BI6+'Generation Data '!BS6+'Generation Data '!CC6+'Generation Data '!CM6</f>
        <v>2515014</v>
      </c>
      <c r="I7" s="103">
        <f t="shared" ref="I7:I70" si="0">H7/1000</f>
        <v>2515.0140000000001</v>
      </c>
      <c r="J7" s="2">
        <v>0.92930999999999997</v>
      </c>
      <c r="K7" s="31">
        <f t="shared" ref="K7:K68" si="1">I7*J7</f>
        <v>2337.2276603400001</v>
      </c>
      <c r="L7" s="174"/>
    </row>
    <row r="8" spans="3:12">
      <c r="C8" s="18">
        <v>41061</v>
      </c>
      <c r="D8" s="2">
        <f>'Generation Data '!J7+'Generation Data '!T7+'Generation Data '!AD7+'Generation Data '!AN7+'Generation Data '!AX7+'Generation Data '!BH7+'Generation Data '!BR7+'Generation Data '!CB7+'Generation Data '!CL7</f>
        <v>5496612</v>
      </c>
      <c r="E8" s="83">
        <v>5496612</v>
      </c>
      <c r="G8" s="18">
        <v>41061</v>
      </c>
      <c r="H8" s="49">
        <f>'Generation Data '!K7+'Generation Data '!U7+'Generation Data '!AE7+'Generation Data '!AO7+'Generation Data '!AY7+'Generation Data '!BI7+'Generation Data '!BS7+'Generation Data '!CC7+'Generation Data '!CM7</f>
        <v>5496612</v>
      </c>
      <c r="I8" s="103">
        <f t="shared" si="0"/>
        <v>5496.6120000000001</v>
      </c>
      <c r="J8" s="2">
        <v>0.92930999999999997</v>
      </c>
      <c r="K8" s="31">
        <f t="shared" si="1"/>
        <v>5108.0564977200002</v>
      </c>
      <c r="L8" s="174"/>
    </row>
    <row r="9" spans="3:12">
      <c r="C9" s="18">
        <v>41091</v>
      </c>
      <c r="D9" s="2">
        <f>'Generation Data '!J8+'Generation Data '!T8+'Generation Data '!AD8+'Generation Data '!AN8+'Generation Data '!AX8+'Generation Data '!BH8+'Generation Data '!BR8+'Generation Data '!CB8+'Generation Data '!CL8</f>
        <v>5560512</v>
      </c>
      <c r="E9" s="83">
        <v>5560512</v>
      </c>
      <c r="G9" s="18">
        <v>41091</v>
      </c>
      <c r="H9" s="49">
        <f>'Generation Data '!K8+'Generation Data '!U8+'Generation Data '!AE8+'Generation Data '!AO8+'Generation Data '!AY8+'Generation Data '!BI8+'Generation Data '!BS8+'Generation Data '!CC8+'Generation Data '!CM8</f>
        <v>5560512</v>
      </c>
      <c r="I9" s="103">
        <f t="shared" si="0"/>
        <v>5560.5119999999997</v>
      </c>
      <c r="J9" s="2">
        <v>0.92930999999999997</v>
      </c>
      <c r="K9" s="31">
        <f t="shared" si="1"/>
        <v>5167.4394067199992</v>
      </c>
      <c r="L9" s="174"/>
    </row>
    <row r="10" spans="3:12">
      <c r="C10" s="18">
        <v>41122</v>
      </c>
      <c r="D10" s="2">
        <f>'Generation Data '!J9+'Generation Data '!T9+'Generation Data '!AD9+'Generation Data '!AN9+'Generation Data '!AX9+'Generation Data '!BH9+'Generation Data '!BR9+'Generation Data '!CB9+'Generation Data '!CL9</f>
        <v>5073942</v>
      </c>
      <c r="E10" s="83">
        <v>5073942</v>
      </c>
      <c r="G10" s="18">
        <v>41122</v>
      </c>
      <c r="H10" s="49">
        <f>'Generation Data '!K9+'Generation Data '!U9+'Generation Data '!AE9+'Generation Data '!AO9+'Generation Data '!AY9+'Generation Data '!BI9+'Generation Data '!BS9+'Generation Data '!CC9+'Generation Data '!CM9</f>
        <v>5073942</v>
      </c>
      <c r="I10" s="103">
        <f t="shared" si="0"/>
        <v>5073.942</v>
      </c>
      <c r="J10" s="2">
        <v>0.92930999999999997</v>
      </c>
      <c r="K10" s="31">
        <f t="shared" si="1"/>
        <v>4715.26504002</v>
      </c>
      <c r="L10" s="174"/>
    </row>
    <row r="11" spans="3:12">
      <c r="C11" s="18">
        <v>41153</v>
      </c>
      <c r="D11" s="2">
        <f>'Generation Data '!J10+'Generation Data '!T10+'Generation Data '!AD10+'Generation Data '!AN10+'Generation Data '!AX10+'Generation Data '!BH10+'Generation Data '!BR10+'Generation Data '!CB10+'Generation Data '!CL10</f>
        <v>5492484</v>
      </c>
      <c r="E11" s="83">
        <v>5492484</v>
      </c>
      <c r="G11" s="18">
        <v>41153</v>
      </c>
      <c r="H11" s="49">
        <f>'Generation Data '!K10+'Generation Data '!U10+'Generation Data '!AE10+'Generation Data '!AO10+'Generation Data '!AY10+'Generation Data '!BI10+'Generation Data '!BS10+'Generation Data '!CC10+'Generation Data '!CM10</f>
        <v>5492484</v>
      </c>
      <c r="I11" s="103">
        <f t="shared" si="0"/>
        <v>5492.4840000000004</v>
      </c>
      <c r="J11" s="2">
        <v>0.92930999999999997</v>
      </c>
      <c r="K11" s="31">
        <f t="shared" si="1"/>
        <v>5104.2203060399997</v>
      </c>
      <c r="L11" s="174"/>
    </row>
    <row r="12" spans="3:12">
      <c r="C12" s="18">
        <v>41183</v>
      </c>
      <c r="D12" s="2">
        <f>'Generation Data '!J11+'Generation Data '!T11+'Generation Data '!AD11+'Generation Data '!AN11+'Generation Data '!AX11+'Generation Data '!BH11+'Generation Data '!BR11+'Generation Data '!CB11+'Generation Data '!CL11</f>
        <v>4133448</v>
      </c>
      <c r="E12" s="83">
        <v>4133448</v>
      </c>
      <c r="G12" s="18">
        <v>41183</v>
      </c>
      <c r="H12" s="49">
        <f>'Generation Data '!K11+'Generation Data '!U11+'Generation Data '!AE11+'Generation Data '!AO11+'Generation Data '!AY11+'Generation Data '!BI11+'Generation Data '!BS11+'Generation Data '!CC11+'Generation Data '!CM11</f>
        <v>4133448</v>
      </c>
      <c r="I12" s="103">
        <f t="shared" si="0"/>
        <v>4133.4480000000003</v>
      </c>
      <c r="J12" s="2">
        <v>0.92930999999999997</v>
      </c>
      <c r="K12" s="31">
        <f t="shared" si="1"/>
        <v>3841.2545608800001</v>
      </c>
      <c r="L12" s="174"/>
    </row>
    <row r="13" spans="3:12">
      <c r="C13" s="18">
        <v>41214</v>
      </c>
      <c r="D13" s="2">
        <f>'Generation Data '!J12+'Generation Data '!T12+'Generation Data '!AD12+'Generation Data '!AN12+'Generation Data '!AX12+'Generation Data '!BH12+'Generation Data '!BR12+'Generation Data '!CB12+'Generation Data '!CL12</f>
        <v>795222</v>
      </c>
      <c r="E13" s="83">
        <v>795222</v>
      </c>
      <c r="G13" s="18">
        <v>41214</v>
      </c>
      <c r="H13" s="49">
        <f>'Generation Data '!K12+'Generation Data '!U12+'Generation Data '!AE12+'Generation Data '!AO12+'Generation Data '!AY12+'Generation Data '!BI12+'Generation Data '!BS12+'Generation Data '!CC12+'Generation Data '!CM12</f>
        <v>795222</v>
      </c>
      <c r="I13" s="103">
        <f t="shared" si="0"/>
        <v>795.22199999999998</v>
      </c>
      <c r="J13" s="2">
        <v>0.92930999999999997</v>
      </c>
      <c r="K13" s="32">
        <f t="shared" si="1"/>
        <v>739.00775681999994</v>
      </c>
      <c r="L13" s="174"/>
    </row>
    <row r="14" spans="3:12">
      <c r="C14" s="18">
        <v>41244</v>
      </c>
      <c r="D14" s="2">
        <f>'Generation Data '!J13+'Generation Data '!T13+'Generation Data '!AD13+'Generation Data '!AN13+'Generation Data '!AX13+'Generation Data '!BH13+'Generation Data '!BR13+'Generation Data '!CB13+'Generation Data '!CL13</f>
        <v>960888</v>
      </c>
      <c r="E14" s="83">
        <v>960888</v>
      </c>
      <c r="G14" s="18">
        <v>41244</v>
      </c>
      <c r="H14" s="49">
        <f>'Generation Data '!K13+'Generation Data '!U13+'Generation Data '!AE13+'Generation Data '!AO13+'Generation Data '!AY13+'Generation Data '!BI13+'Generation Data '!BS13+'Generation Data '!CC13+'Generation Data '!CM13+'Generation Data '!K14+'Generation Data '!U14+'Generation Data '!AE14+'Generation Data '!AO14+'Generation Data '!AY14+'Generation Data '!BI14+'Generation Data '!BS14+'Generation Data '!CC14+'Generation Data '!CM14</f>
        <v>2409660.2736373749</v>
      </c>
      <c r="I14" s="103">
        <f t="shared" si="0"/>
        <v>2409.6602736373748</v>
      </c>
      <c r="J14" s="2">
        <v>0.92930999999999997</v>
      </c>
      <c r="K14" s="31">
        <f t="shared" si="1"/>
        <v>2239.3213888939486</v>
      </c>
      <c r="L14" s="175"/>
    </row>
    <row r="15" spans="3:12">
      <c r="C15" s="18">
        <v>41275</v>
      </c>
      <c r="D15" s="2">
        <f>'Generation Data '!J15+'Generation Data '!T15+'Generation Data '!AD15+'Generation Data '!AN15+'Generation Data '!AX15+'Generation Data '!BH15+'Generation Data '!BR15+'Generation Data '!CB15+'Generation Data '!CL15</f>
        <v>694013.72636262514</v>
      </c>
      <c r="E15" s="83">
        <v>2142786</v>
      </c>
      <c r="G15" s="18">
        <v>41275</v>
      </c>
      <c r="H15" s="49">
        <f>'Generation Data '!K15+'Generation Data '!U15+'Generation Data '!AE15+'Generation Data '!AO15+'Generation Data '!AY15+'Generation Data '!BI15+'Generation Data '!BS15+'Generation Data '!CC15+'Generation Data '!CM15</f>
        <v>694013.72636262514</v>
      </c>
      <c r="I15" s="103">
        <f t="shared" si="0"/>
        <v>694.01372636262511</v>
      </c>
      <c r="J15" s="2">
        <v>0.92930999999999997</v>
      </c>
      <c r="K15" s="31">
        <f t="shared" si="1"/>
        <v>644.95389604605111</v>
      </c>
      <c r="L15" s="172">
        <f>ROUNDDOWN(SUM(K15:K26),0)</f>
        <v>23330</v>
      </c>
    </row>
    <row r="16" spans="3:12">
      <c r="C16" s="18">
        <v>41306</v>
      </c>
      <c r="D16" s="2">
        <f>'Generation Data '!J16+'Generation Data '!T16+'Generation Data '!AD16+'Generation Data '!AN16+'Generation Data '!AX16+'Generation Data '!BH16+'Generation Data '!BR16+'Generation Data '!CB16+'Generation Data '!CL16</f>
        <v>2012322</v>
      </c>
      <c r="E16" s="83">
        <v>2012322</v>
      </c>
      <c r="G16" s="18">
        <v>41306</v>
      </c>
      <c r="H16" s="49">
        <f>'Generation Data '!K16+'Generation Data '!U16+'Generation Data '!AE16+'Generation Data '!AO16+'Generation Data '!AY16+'Generation Data '!BI16+'Generation Data '!BS16+'Generation Data '!CC16+'Generation Data '!CM16</f>
        <v>2012322</v>
      </c>
      <c r="I16" s="103">
        <f t="shared" si="0"/>
        <v>2012.3219999999999</v>
      </c>
      <c r="J16" s="2">
        <v>0.92930999999999997</v>
      </c>
      <c r="K16" s="31">
        <f t="shared" si="1"/>
        <v>1870.0709578199999</v>
      </c>
      <c r="L16" s="172"/>
    </row>
    <row r="17" spans="3:12">
      <c r="C17" s="18">
        <v>41334</v>
      </c>
      <c r="D17" s="2">
        <f>'Generation Data '!J17+'Generation Data '!T17+'Generation Data '!AD17+'Generation Data '!AN17+'Generation Data '!AX17+'Generation Data '!BH17+'Generation Data '!BR17+'Generation Data '!CB17+'Generation Data '!CL17</f>
        <v>1621962</v>
      </c>
      <c r="E17" s="83">
        <v>1622052</v>
      </c>
      <c r="G17" s="18">
        <v>41334</v>
      </c>
      <c r="H17" s="49">
        <f>'Generation Data '!K17+'Generation Data '!U17+'Generation Data '!AE17+'Generation Data '!AO17+'Generation Data '!AY17+'Generation Data '!BI17+'Generation Data '!BS17+'Generation Data '!CC17+'Generation Data '!CM17</f>
        <v>1621962</v>
      </c>
      <c r="I17" s="103">
        <f t="shared" si="0"/>
        <v>1621.962</v>
      </c>
      <c r="J17" s="2">
        <v>0.92930999999999997</v>
      </c>
      <c r="K17" s="31">
        <f t="shared" si="1"/>
        <v>1507.3055062199999</v>
      </c>
      <c r="L17" s="172"/>
    </row>
    <row r="18" spans="3:12">
      <c r="C18" s="18">
        <v>41365</v>
      </c>
      <c r="D18" s="2">
        <f>'Generation Data '!J18+'Generation Data '!T18+'Generation Data '!AD18+'Generation Data '!AN18+'Generation Data '!AX18+'Generation Data '!BH18+'Generation Data '!BR18+'Generation Data '!CB18+'Generation Data '!CL18</f>
        <v>764694</v>
      </c>
      <c r="E18" s="83" t="s">
        <v>40</v>
      </c>
      <c r="G18" s="18">
        <v>41365</v>
      </c>
      <c r="H18" s="49">
        <f>'Generation Data '!K18+'Generation Data '!U18+'Generation Data '!AE18+'Generation Data '!AO18+'Generation Data '!AY18+'Generation Data '!BI18+'Generation Data '!BS18+'Generation Data '!CC18+'Generation Data '!CM18</f>
        <v>764694</v>
      </c>
      <c r="I18" s="103">
        <f t="shared" si="0"/>
        <v>764.69399999999996</v>
      </c>
      <c r="J18" s="2">
        <v>0.92930999999999997</v>
      </c>
      <c r="K18" s="31">
        <f t="shared" si="1"/>
        <v>710.6377811399999</v>
      </c>
      <c r="L18" s="172"/>
    </row>
    <row r="19" spans="3:12">
      <c r="C19" s="18">
        <v>41395</v>
      </c>
      <c r="D19" s="2">
        <f>'Generation Data '!J19+'Generation Data '!T19+'Generation Data '!AD19+'Generation Data '!AN19+'Generation Data '!AX19+'Generation Data '!BH19+'Generation Data '!BR19+'Generation Data '!CB19+'Generation Data '!CL19</f>
        <v>1551936</v>
      </c>
      <c r="E19" s="83">
        <v>1551936</v>
      </c>
      <c r="G19" s="18">
        <v>41395</v>
      </c>
      <c r="H19" s="49">
        <f>'Generation Data '!K19+'Generation Data '!U19+'Generation Data '!AE19+'Generation Data '!AO19+'Generation Data '!AY19+'Generation Data '!BI19+'Generation Data '!BS19+'Generation Data '!CC19+'Generation Data '!CM19</f>
        <v>1551936</v>
      </c>
      <c r="I19" s="103">
        <f t="shared" si="0"/>
        <v>1551.9359999999999</v>
      </c>
      <c r="J19" s="2">
        <v>0.92930999999999997</v>
      </c>
      <c r="K19" s="31">
        <f t="shared" si="1"/>
        <v>1442.2296441599999</v>
      </c>
      <c r="L19" s="172"/>
    </row>
    <row r="20" spans="3:12">
      <c r="C20" s="18">
        <v>41426</v>
      </c>
      <c r="D20" s="2">
        <f>'Generation Data '!J20+'Generation Data '!T20+'Generation Data '!AD20+'Generation Data '!AN20+'Generation Data '!AX20+'Generation Data '!BH20+'Generation Data '!BR20+'Generation Data '!CB20+'Generation Data '!CL20</f>
        <v>4825668</v>
      </c>
      <c r="E20" s="83">
        <v>4825668</v>
      </c>
      <c r="G20" s="18">
        <v>41426</v>
      </c>
      <c r="H20" s="49">
        <f>'Generation Data '!K20+'Generation Data '!U20+'Generation Data '!AE20+'Generation Data '!AO20+'Generation Data '!AY20+'Generation Data '!BI20+'Generation Data '!BS20+'Generation Data '!CC20+'Generation Data '!CM20</f>
        <v>4825668</v>
      </c>
      <c r="I20" s="103">
        <f t="shared" si="0"/>
        <v>4825.6679999999997</v>
      </c>
      <c r="J20" s="2">
        <v>0.92930999999999997</v>
      </c>
      <c r="K20" s="31">
        <f t="shared" si="1"/>
        <v>4484.5415290799992</v>
      </c>
      <c r="L20" s="172"/>
    </row>
    <row r="21" spans="3:12">
      <c r="C21" s="18">
        <v>41456</v>
      </c>
      <c r="D21" s="2">
        <f>'Generation Data '!J21+'Generation Data '!T21+'Generation Data '!AD21+'Generation Data '!AN21+'Generation Data '!AX21+'Generation Data '!BH21+'Generation Data '!BR21+'Generation Data '!CB21+'Generation Data '!CL21</f>
        <v>3772854</v>
      </c>
      <c r="E21" s="83">
        <v>3774486</v>
      </c>
      <c r="G21" s="18">
        <v>41456</v>
      </c>
      <c r="H21" s="49">
        <f>'Generation Data '!K21+'Generation Data '!U21+'Generation Data '!AE21+'Generation Data '!AO21+'Generation Data '!AY21+'Generation Data '!BI21+'Generation Data '!BS21+'Generation Data '!CC21+'Generation Data '!CM21</f>
        <v>3772854</v>
      </c>
      <c r="I21" s="103">
        <f t="shared" si="0"/>
        <v>3772.8539999999998</v>
      </c>
      <c r="J21" s="2">
        <v>0.92930999999999997</v>
      </c>
      <c r="K21" s="31">
        <f t="shared" si="1"/>
        <v>3506.1509507399996</v>
      </c>
      <c r="L21" s="172"/>
    </row>
    <row r="22" spans="3:12">
      <c r="C22" s="18">
        <v>41487</v>
      </c>
      <c r="D22" s="2">
        <f>'Generation Data '!J22+'Generation Data '!T22+'Generation Data '!AD22+'Generation Data '!AN22+'Generation Data '!AX22+'Generation Data '!BH22+'Generation Data '!BR22+'Generation Data '!CB22+'Generation Data '!CL22</f>
        <v>2482878</v>
      </c>
      <c r="E22" s="83">
        <v>2484174</v>
      </c>
      <c r="G22" s="18">
        <v>41487</v>
      </c>
      <c r="H22" s="49">
        <f>'Generation Data '!K22+'Generation Data '!U22+'Generation Data '!AE22+'Generation Data '!AO22+'Generation Data '!AY22+'Generation Data '!BI22+'Generation Data '!BS22+'Generation Data '!CC22+'Generation Data '!CM22</f>
        <v>2482878</v>
      </c>
      <c r="I22" s="103">
        <f t="shared" si="0"/>
        <v>2482.8780000000002</v>
      </c>
      <c r="J22" s="2">
        <v>0.92930999999999997</v>
      </c>
      <c r="K22" s="31">
        <f t="shared" si="1"/>
        <v>2307.36335418</v>
      </c>
      <c r="L22" s="172"/>
    </row>
    <row r="23" spans="3:12">
      <c r="C23" s="18">
        <v>41518</v>
      </c>
      <c r="D23" s="2">
        <f>'Generation Data '!J23+'Generation Data '!T23+'Generation Data '!AD23+'Generation Data '!AN23+'Generation Data '!AX23+'Generation Data '!BH23+'Generation Data '!BR23+'Generation Data '!CB23+'Generation Data '!CL23</f>
        <v>2284746</v>
      </c>
      <c r="E23" s="83">
        <v>2284746</v>
      </c>
      <c r="G23" s="18">
        <v>41518</v>
      </c>
      <c r="H23" s="49">
        <f>'Generation Data '!K23+'Generation Data '!U23+'Generation Data '!AE23+'Generation Data '!AO23+'Generation Data '!AY23+'Generation Data '!BI23+'Generation Data '!BS23+'Generation Data '!CC23+'Generation Data '!CM23</f>
        <v>2284746</v>
      </c>
      <c r="I23" s="103">
        <f t="shared" si="0"/>
        <v>2284.7460000000001</v>
      </c>
      <c r="J23" s="2">
        <v>0.92930999999999997</v>
      </c>
      <c r="K23" s="31">
        <f t="shared" si="1"/>
        <v>2123.2373052600001</v>
      </c>
      <c r="L23" s="172"/>
    </row>
    <row r="24" spans="3:12">
      <c r="C24" s="18">
        <v>41548</v>
      </c>
      <c r="D24" s="2">
        <f>'Generation Data '!J24+'Generation Data '!T24+'Generation Data '!AD24+'Generation Data '!AN24+'Generation Data '!AX24+'Generation Data '!BH24+'Generation Data '!BR24+'Generation Data '!CB24+'Generation Data '!CL24</f>
        <v>2224296</v>
      </c>
      <c r="E24" s="83">
        <v>2224296</v>
      </c>
      <c r="G24" s="18">
        <v>41548</v>
      </c>
      <c r="H24" s="49">
        <f>'Generation Data '!K24+'Generation Data '!U24+'Generation Data '!AE24+'Generation Data '!AO24+'Generation Data '!AY24+'Generation Data '!BI24+'Generation Data '!BS24+'Generation Data '!CC24+'Generation Data '!CM24</f>
        <v>2224296</v>
      </c>
      <c r="I24" s="103">
        <f t="shared" si="0"/>
        <v>2224.2959999999998</v>
      </c>
      <c r="J24" s="2">
        <v>0.92930999999999997</v>
      </c>
      <c r="K24" s="31">
        <f t="shared" si="1"/>
        <v>2067.0605157599998</v>
      </c>
      <c r="L24" s="172"/>
    </row>
    <row r="25" spans="3:12">
      <c r="C25" s="18">
        <v>41579</v>
      </c>
      <c r="D25" s="2">
        <f>'Generation Data '!J25+'Generation Data '!T25+'Generation Data '!AD25+'Generation Data '!AN25+'Generation Data '!AX25+'Generation Data '!BH25+'Generation Data '!BR25+'Generation Data '!CB25+'Generation Data '!CL25</f>
        <v>1277946</v>
      </c>
      <c r="E25" s="83">
        <v>1277946</v>
      </c>
      <c r="G25" s="18">
        <v>41579</v>
      </c>
      <c r="H25" s="49">
        <f>'Generation Data '!K25+'Generation Data '!U25+'Generation Data '!AE25+'Generation Data '!AO25+'Generation Data '!AY25+'Generation Data '!BI25+'Generation Data '!BS25+'Generation Data '!CC25+'Generation Data '!CM25</f>
        <v>1277946</v>
      </c>
      <c r="I25" s="103">
        <f t="shared" si="0"/>
        <v>1277.9459999999999</v>
      </c>
      <c r="J25" s="2">
        <v>0.92930999999999997</v>
      </c>
      <c r="K25" s="31">
        <f t="shared" si="1"/>
        <v>1187.6079972599998</v>
      </c>
      <c r="L25" s="172"/>
    </row>
    <row r="26" spans="3:12">
      <c r="C26" s="18">
        <v>41609</v>
      </c>
      <c r="D26" s="2">
        <f>'Generation Data '!J26+'Generation Data '!T26+'Generation Data '!AD26+'Generation Data '!AN26+'Generation Data '!AX26+'Generation Data '!BH26+'Generation Data '!BR26+'Generation Data '!CB26+'Generation Data '!CL26</f>
        <v>670458</v>
      </c>
      <c r="E26" s="83">
        <v>670458</v>
      </c>
      <c r="G26" s="18">
        <v>41609</v>
      </c>
      <c r="H26" s="49">
        <f>'Generation Data '!K26+'Generation Data '!U26+'Generation Data '!AE26+'Generation Data '!AO26+'Generation Data '!AY26+'Generation Data '!BI26+'Generation Data '!BS26+'Generation Data '!CC26+'Generation Data '!CM26+'Generation Data '!K27+'Generation Data '!U27+'Generation Data '!AE27+'Generation Data '!AO27+'Generation Data '!AY27+'Generation Data '!BI27+'Generation Data '!BS27+'Generation Data '!CC27+'Generation Data '!CM27</f>
        <v>1592131.3548387098</v>
      </c>
      <c r="I26" s="103">
        <f t="shared" si="0"/>
        <v>1592.1313548387097</v>
      </c>
      <c r="J26" s="2">
        <v>0.92930999999999997</v>
      </c>
      <c r="K26" s="31">
        <f t="shared" si="1"/>
        <v>1479.5835893651613</v>
      </c>
      <c r="L26" s="172"/>
    </row>
    <row r="27" spans="3:12">
      <c r="C27" s="18">
        <v>41640</v>
      </c>
      <c r="D27" s="2">
        <f>'Generation Data '!J28+'Generation Data '!T28+'Generation Data '!AD28+'Generation Data '!AN28+'Generation Data '!AX28+'Generation Data '!BH28+'Generation Data '!BR28+'Generation Data '!CB28+'Generation Data '!CL28</f>
        <v>428950.64516129036</v>
      </c>
      <c r="E27" s="83">
        <v>1350624</v>
      </c>
      <c r="G27" s="18">
        <v>41640</v>
      </c>
      <c r="H27" s="49">
        <f>'Generation Data '!K28+'Generation Data '!U28+'Generation Data '!AE28+'Generation Data '!AO28+'Generation Data '!AY28+'Generation Data '!BI28+'Generation Data '!BS28+'Generation Data '!CC28+'Generation Data '!CM28</f>
        <v>428950.64516129036</v>
      </c>
      <c r="I27" s="103">
        <f t="shared" si="0"/>
        <v>428.95064516129037</v>
      </c>
      <c r="J27" s="2">
        <v>0.92930999999999997</v>
      </c>
      <c r="K27" s="31">
        <f t="shared" si="1"/>
        <v>398.62812405483874</v>
      </c>
      <c r="L27" s="172">
        <f>ROUNDDOWN(SUM(K27:K38),0)</f>
        <v>23946</v>
      </c>
    </row>
    <row r="28" spans="3:12">
      <c r="C28" s="18">
        <v>41671</v>
      </c>
      <c r="D28" s="2">
        <f>'Generation Data '!J29+'Generation Data '!T29+'Generation Data '!AD29+'Generation Data '!AN29+'Generation Data '!AX29+'Generation Data '!BH29+'Generation Data '!BR29+'Generation Data '!CB29+'Generation Data '!CL29</f>
        <v>1595496</v>
      </c>
      <c r="E28" s="83">
        <v>1595496</v>
      </c>
      <c r="G28" s="18">
        <v>41671</v>
      </c>
      <c r="H28" s="49">
        <f>'Generation Data '!K29+'Generation Data '!U29+'Generation Data '!AE29+'Generation Data '!AO29+'Generation Data '!AY29+'Generation Data '!BI29+'Generation Data '!BS29+'Generation Data '!CC29+'Generation Data '!CM29</f>
        <v>1595496</v>
      </c>
      <c r="I28" s="103">
        <f t="shared" si="0"/>
        <v>1595.4960000000001</v>
      </c>
      <c r="J28" s="2">
        <v>0.92930999999999997</v>
      </c>
      <c r="K28" s="31">
        <f t="shared" si="1"/>
        <v>1482.71038776</v>
      </c>
      <c r="L28" s="172"/>
    </row>
    <row r="29" spans="3:12">
      <c r="C29" s="18">
        <v>41699</v>
      </c>
      <c r="D29" s="2">
        <v>1135470</v>
      </c>
      <c r="E29" s="83">
        <v>1135470</v>
      </c>
      <c r="G29" s="18">
        <v>41699</v>
      </c>
      <c r="H29" s="49">
        <f>D29</f>
        <v>1135470</v>
      </c>
      <c r="I29" s="103">
        <f t="shared" si="0"/>
        <v>1135.47</v>
      </c>
      <c r="J29" s="2">
        <v>0.92930999999999997</v>
      </c>
      <c r="K29" s="31">
        <f t="shared" si="1"/>
        <v>1055.2036257</v>
      </c>
      <c r="L29" s="172"/>
    </row>
    <row r="30" spans="3:12">
      <c r="C30" s="18">
        <v>41730</v>
      </c>
      <c r="D30" s="2">
        <f>'Generation Data '!J31+'Generation Data '!T31+'Generation Data '!AD31+'Generation Data '!AN31+'Generation Data '!AX31+'Generation Data '!BH31+'Generation Data '!BR31+'Generation Data '!CB31+'Generation Data '!CL31</f>
        <v>1405842</v>
      </c>
      <c r="E30" s="83">
        <v>1405842</v>
      </c>
      <c r="G30" s="18">
        <v>41730</v>
      </c>
      <c r="H30" s="49">
        <f>'Generation Data '!K31+'Generation Data '!U31+'Generation Data '!AE31+'Generation Data '!AO31+'Generation Data '!AY31+'Generation Data '!BI31+'Generation Data '!BS31+'Generation Data '!CC31+'Generation Data '!CM31</f>
        <v>1405842</v>
      </c>
      <c r="I30" s="103">
        <f t="shared" si="0"/>
        <v>1405.8420000000001</v>
      </c>
      <c r="J30" s="2">
        <v>0.92930999999999997</v>
      </c>
      <c r="K30" s="31">
        <f t="shared" si="1"/>
        <v>1306.46302902</v>
      </c>
      <c r="L30" s="172"/>
    </row>
    <row r="31" spans="3:12">
      <c r="C31" s="18">
        <v>41760</v>
      </c>
      <c r="D31" s="2">
        <f>'Generation Data '!J32+'Generation Data '!T32+'Generation Data '!AD32+'Generation Data '!AN32+'Generation Data '!AX32+'Generation Data '!BH32+'Generation Data '!BR32+'Generation Data '!CB32+'Generation Data '!CL32</f>
        <v>775284</v>
      </c>
      <c r="E31" s="83">
        <v>775284</v>
      </c>
      <c r="G31" s="18">
        <v>41760</v>
      </c>
      <c r="H31" s="49">
        <f>'Generation Data '!K32+'Generation Data '!U32+'Generation Data '!AE32+'Generation Data '!AO32+'Generation Data '!AY32+'Generation Data '!BI32+'Generation Data '!BS32+'Generation Data '!CC32+'Generation Data '!CM32</f>
        <v>775284</v>
      </c>
      <c r="I31" s="103">
        <f t="shared" si="0"/>
        <v>775.28399999999999</v>
      </c>
      <c r="J31" s="2">
        <v>0.92930999999999997</v>
      </c>
      <c r="K31" s="31">
        <f t="shared" si="1"/>
        <v>720.47917403999998</v>
      </c>
      <c r="L31" s="172"/>
    </row>
    <row r="32" spans="3:12">
      <c r="C32" s="18">
        <v>41791</v>
      </c>
      <c r="D32" s="2">
        <f>'Generation Data '!J33+'Generation Data '!T33+'Generation Data '!AD33+'Generation Data '!AN33+'Generation Data '!AX33+'Generation Data '!BH33+'Generation Data '!BR33+'Generation Data '!CB33+'Generation Data '!CL33</f>
        <v>3043320</v>
      </c>
      <c r="E32" s="83">
        <v>3043320</v>
      </c>
      <c r="G32" s="18">
        <v>41791</v>
      </c>
      <c r="H32" s="49">
        <f>'Generation Data '!K33+'Generation Data '!U33+'Generation Data '!AE33+'Generation Data '!AO33+'Generation Data '!AY33+'Generation Data '!BI33+'Generation Data '!BS33+'Generation Data '!CC33+'Generation Data '!CM33</f>
        <v>3043320</v>
      </c>
      <c r="I32" s="103">
        <f t="shared" si="0"/>
        <v>3043.32</v>
      </c>
      <c r="J32" s="2">
        <v>0.92930999999999997</v>
      </c>
      <c r="K32" s="31">
        <f t="shared" si="1"/>
        <v>2828.1877092</v>
      </c>
      <c r="L32" s="172"/>
    </row>
    <row r="33" spans="3:12">
      <c r="C33" s="18">
        <v>41821</v>
      </c>
      <c r="D33" s="2">
        <f>'Generation Data '!J34+'Generation Data '!T34+'Generation Data '!AD34+'Generation Data '!AN34+'Generation Data '!AX34+'Generation Data '!BH34+'Generation Data '!BR34+'Generation Data '!CB34+'Generation Data '!CL34</f>
        <v>5378226</v>
      </c>
      <c r="E33" s="83">
        <v>5368226</v>
      </c>
      <c r="G33" s="18">
        <v>41821</v>
      </c>
      <c r="H33" s="49">
        <f>'Generation Data '!K34+'Generation Data '!U34+'Generation Data '!AE34+'Generation Data '!AO34+'Generation Data '!AY34+'Generation Data '!BI34+'Generation Data '!BS34+'Generation Data '!CC34+'Generation Data '!CM34</f>
        <v>5378226</v>
      </c>
      <c r="I33" s="103">
        <f t="shared" si="0"/>
        <v>5378.2259999999997</v>
      </c>
      <c r="J33" s="2">
        <v>0.92930999999999997</v>
      </c>
      <c r="K33" s="31">
        <f t="shared" si="1"/>
        <v>4998.0392040599991</v>
      </c>
      <c r="L33" s="172"/>
    </row>
    <row r="34" spans="3:12">
      <c r="C34" s="18">
        <v>41852</v>
      </c>
      <c r="D34" s="2">
        <f>'Generation Data '!J35+'Generation Data '!T35+'Generation Data '!AD35+'Generation Data '!AN35+'Generation Data '!AX35+'Generation Data '!BH35+'Generation Data '!BR35+'Generation Data '!CB35+'Generation Data '!CL35</f>
        <v>5401680</v>
      </c>
      <c r="E34" s="83">
        <v>5401680</v>
      </c>
      <c r="G34" s="18">
        <v>41852</v>
      </c>
      <c r="H34" s="49">
        <f>'Generation Data '!K35+'Generation Data '!U35+'Generation Data '!AE35+'Generation Data '!AO35+'Generation Data '!AY35+'Generation Data '!BI35+'Generation Data '!BS35+'Generation Data '!CC35+'Generation Data '!CM35</f>
        <v>5401680</v>
      </c>
      <c r="I34" s="103">
        <f t="shared" si="0"/>
        <v>5401.68</v>
      </c>
      <c r="J34" s="2">
        <v>0.92930999999999997</v>
      </c>
      <c r="K34" s="31">
        <f t="shared" si="1"/>
        <v>5019.8352408000001</v>
      </c>
      <c r="L34" s="172"/>
    </row>
    <row r="35" spans="3:12">
      <c r="C35" s="18">
        <v>41883</v>
      </c>
      <c r="D35" s="2">
        <f>'Generation Data '!J36+'Generation Data '!T36+'Generation Data '!AD36+'Generation Data '!AN36+'Generation Data '!AX36+'Generation Data '!BH36+'Generation Data '!BR36+'Generation Data '!CB36+'Generation Data '!CL36</f>
        <v>2501994</v>
      </c>
      <c r="E35" s="83">
        <v>2501994</v>
      </c>
      <c r="G35" s="18">
        <v>41883</v>
      </c>
      <c r="H35" s="49">
        <f>'Generation Data '!K36+'Generation Data '!U36+'Generation Data '!AE36+'Generation Data '!AO36+'Generation Data '!AY36+'Generation Data '!BI36+'Generation Data '!BS36+'Generation Data '!CC36+'Generation Data '!CM36</f>
        <v>2501994</v>
      </c>
      <c r="I35" s="103">
        <f t="shared" si="0"/>
        <v>2501.9940000000001</v>
      </c>
      <c r="J35" s="2">
        <v>0.92930999999999997</v>
      </c>
      <c r="K35" s="31">
        <f t="shared" si="1"/>
        <v>2325.1280441399999</v>
      </c>
      <c r="L35" s="172"/>
    </row>
    <row r="36" spans="3:12">
      <c r="C36" s="18">
        <v>41913</v>
      </c>
      <c r="D36" s="2">
        <f>'Generation Data '!J37+'Generation Data '!T37+'Generation Data '!AD37+'Generation Data '!AN37+'Generation Data '!AX37+'Generation Data '!BH37+'Generation Data '!BR37+'Generation Data '!CB37+'Generation Data '!CL37</f>
        <v>1796700</v>
      </c>
      <c r="E36" s="83">
        <v>1796700</v>
      </c>
      <c r="G36" s="18">
        <v>41913</v>
      </c>
      <c r="H36" s="49">
        <f>'Generation Data '!K37+'Generation Data '!U37+'Generation Data '!AE37+'Generation Data '!AO37+'Generation Data '!AY37+'Generation Data '!BI37+'Generation Data '!BS37+'Generation Data '!CC37+'Generation Data '!CM37</f>
        <v>1796700</v>
      </c>
      <c r="I36" s="103">
        <f t="shared" si="0"/>
        <v>1796.7</v>
      </c>
      <c r="J36" s="2">
        <v>0.92930999999999997</v>
      </c>
      <c r="K36" s="31">
        <f t="shared" si="1"/>
        <v>1669.6912769999999</v>
      </c>
      <c r="L36" s="172"/>
    </row>
    <row r="37" spans="3:12">
      <c r="C37" s="18">
        <v>41944</v>
      </c>
      <c r="D37" s="2">
        <f>'Generation Data '!J38+'Generation Data '!T38+'Generation Data '!AD38+'Generation Data '!AN38+'Generation Data '!AX38+'Generation Data '!BH38+'Generation Data '!BR38+'Generation Data '!CB38+'Generation Data '!CL38</f>
        <v>779442</v>
      </c>
      <c r="E37" s="83">
        <v>779442</v>
      </c>
      <c r="G37" s="18">
        <v>41944</v>
      </c>
      <c r="H37" s="49">
        <f>'Generation Data '!K38+'Generation Data '!U38+'Generation Data '!AE38+'Generation Data '!AO38+'Generation Data '!AY38+'Generation Data '!BI38+'Generation Data '!BS38+'Generation Data '!CC38+'Generation Data '!CM38</f>
        <v>779442</v>
      </c>
      <c r="I37" s="103">
        <f t="shared" si="0"/>
        <v>779.44200000000001</v>
      </c>
      <c r="J37" s="2">
        <v>0.92930999999999997</v>
      </c>
      <c r="K37" s="31">
        <f t="shared" si="1"/>
        <v>724.34324501999993</v>
      </c>
      <c r="L37" s="172"/>
    </row>
    <row r="38" spans="3:12">
      <c r="C38" s="18">
        <v>41974</v>
      </c>
      <c r="D38" s="2">
        <f>'Generation Data '!J39+'Generation Data '!T39+'Generation Data '!AD39+'Generation Data '!AN39+'Generation Data '!AX39+'Generation Data '!BH39+'Generation Data '!BR39+'Generation Data '!CB39+'Generation Data '!CL39</f>
        <v>845760</v>
      </c>
      <c r="E38" s="83">
        <v>845790</v>
      </c>
      <c r="G38" s="18">
        <v>41974</v>
      </c>
      <c r="H38" s="49">
        <f>'Generation Data '!K39+'Generation Data '!U39+'Generation Data '!AE39+'Generation Data '!AO39+'Generation Data '!AY39+'Generation Data '!BI39+'Generation Data '!BS39+'Generation Data '!CC39+'Generation Data '!CM39+'Generation Data '!K40+'Generation Data '!U40+'Generation Data '!AE40+'Generation Data '!AO40+'Generation Data '!AY40+'Generation Data '!BI40+'Generation Data '!BS40+'Generation Data '!CC40+'Generation Data '!CM40</f>
        <v>1525575.8709677421</v>
      </c>
      <c r="I38" s="103">
        <f t="shared" si="0"/>
        <v>1525.575870967742</v>
      </c>
      <c r="J38" s="2">
        <v>0.92930999999999997</v>
      </c>
      <c r="K38" s="31">
        <f t="shared" si="1"/>
        <v>1417.7329126490324</v>
      </c>
      <c r="L38" s="172"/>
    </row>
    <row r="39" spans="3:12">
      <c r="C39" s="18">
        <v>42005</v>
      </c>
      <c r="D39" s="2">
        <f>'Generation Data '!J41+'Generation Data '!T41+'Generation Data '!AD41+'Generation Data '!AN41+'Generation Data '!AX41+'Generation Data '!BH41+'Generation Data '!BR41+'Generation Data '!CB41+'Generation Data '!CL41</f>
        <v>262922.12903225806</v>
      </c>
      <c r="E39" s="83">
        <v>942738</v>
      </c>
      <c r="G39" s="18">
        <v>42005</v>
      </c>
      <c r="H39" s="49">
        <f>'Generation Data '!K41+'Generation Data '!U41+'Generation Data '!AE41+'Generation Data '!AO41+'Generation Data '!AY41+'Generation Data '!BI41+'Generation Data '!BS41+'Generation Data '!CC41+'Generation Data '!CM41</f>
        <v>262922.12903225806</v>
      </c>
      <c r="I39" s="103">
        <f t="shared" si="0"/>
        <v>262.92212903225806</v>
      </c>
      <c r="J39" s="2">
        <v>0.92930999999999997</v>
      </c>
      <c r="K39" s="31">
        <f t="shared" si="1"/>
        <v>244.33616373096771</v>
      </c>
      <c r="L39" s="172">
        <f>ROUNDDOWN(SUM(K39:K50),0)</f>
        <v>17755</v>
      </c>
    </row>
    <row r="40" spans="3:12">
      <c r="C40" s="18">
        <v>42036</v>
      </c>
      <c r="D40" s="2">
        <f>'Generation Data '!J42+'Generation Data '!T42+'Generation Data '!AD42+'Generation Data '!AN42+'Generation Data '!AX42+'Generation Data '!BH42+'Generation Data '!BR42+'Generation Data '!CB42+'Generation Data '!CL42</f>
        <v>1120368</v>
      </c>
      <c r="E40" s="83">
        <v>1120368</v>
      </c>
      <c r="G40" s="18">
        <v>42036</v>
      </c>
      <c r="H40" s="49">
        <f>'Generation Data '!K42+'Generation Data '!U42+'Generation Data '!AE42+'Generation Data '!AO42+'Generation Data '!AY42+'Generation Data '!BI42+'Generation Data '!BS42+'Generation Data '!CC42+'Generation Data '!CM42</f>
        <v>1120368</v>
      </c>
      <c r="I40" s="103">
        <f t="shared" si="0"/>
        <v>1120.3679999999999</v>
      </c>
      <c r="J40" s="2">
        <v>0.92930999999999997</v>
      </c>
      <c r="K40" s="31">
        <f t="shared" si="1"/>
        <v>1041.1691860799999</v>
      </c>
      <c r="L40" s="172"/>
    </row>
    <row r="41" spans="3:12">
      <c r="C41" s="18">
        <v>42064</v>
      </c>
      <c r="D41" s="2">
        <f>'Generation Data '!J43+'Generation Data '!T43+'Generation Data '!AD43+'Generation Data '!AN43+'Generation Data '!AX43+'Generation Data '!BH43+'Generation Data '!BR43+'Generation Data '!CB43+'Generation Data '!CL43</f>
        <v>798522</v>
      </c>
      <c r="E41" s="83">
        <v>798522</v>
      </c>
      <c r="G41" s="18">
        <v>42064</v>
      </c>
      <c r="H41" s="49">
        <f>'Generation Data '!K43+'Generation Data '!U43+'Generation Data '!AE43+'Generation Data '!AO43+'Generation Data '!AY43+'Generation Data '!BI43+'Generation Data '!BS43+'Generation Data '!CC43+'Generation Data '!CM43</f>
        <v>798522</v>
      </c>
      <c r="I41" s="103">
        <f t="shared" si="0"/>
        <v>798.52200000000005</v>
      </c>
      <c r="J41" s="2">
        <v>0.92930999999999997</v>
      </c>
      <c r="K41" s="31">
        <f t="shared" si="1"/>
        <v>742.07447981999997</v>
      </c>
      <c r="L41" s="172"/>
    </row>
    <row r="42" spans="3:12">
      <c r="C42" s="18">
        <v>42095</v>
      </c>
      <c r="D42" s="2">
        <f>'Generation Data '!J44+'Generation Data '!T44+'Generation Data '!AD44+'Generation Data '!AN44+'Generation Data '!AX44+'Generation Data '!BH44+'Generation Data '!BR44+'Generation Data '!CB44+'Generation Data '!CL44</f>
        <v>793362</v>
      </c>
      <c r="E42" s="83">
        <v>793362</v>
      </c>
      <c r="G42" s="18">
        <v>42095</v>
      </c>
      <c r="H42" s="49">
        <f>'Generation Data '!K44+'Generation Data '!U44+'Generation Data '!AE44+'Generation Data '!AO44+'Generation Data '!AY44+'Generation Data '!BI44+'Generation Data '!BS44+'Generation Data '!CC44+'Generation Data '!CM44</f>
        <v>793362</v>
      </c>
      <c r="I42" s="103">
        <f t="shared" si="0"/>
        <v>793.36199999999997</v>
      </c>
      <c r="J42" s="2">
        <v>0.92930999999999997</v>
      </c>
      <c r="K42" s="31">
        <f t="shared" si="1"/>
        <v>737.27924021999991</v>
      </c>
      <c r="L42" s="172"/>
    </row>
    <row r="43" spans="3:12">
      <c r="C43" s="18">
        <v>42125</v>
      </c>
      <c r="D43" s="2">
        <f>'Generation Data '!J45+'Generation Data '!T45+'Generation Data '!AD45+'Generation Data '!AN45+'Generation Data '!AX45+'Generation Data '!BH45+'Generation Data '!BR45+'Generation Data '!CB45+'Generation Data '!CL45</f>
        <v>316740</v>
      </c>
      <c r="E43" s="83">
        <v>316740</v>
      </c>
      <c r="G43" s="18">
        <v>42125</v>
      </c>
      <c r="H43" s="49">
        <f>'Generation Data '!K45+'Generation Data '!U45+'Generation Data '!AE45+'Generation Data '!AO45+'Generation Data '!AY45+'Generation Data '!BI45+'Generation Data '!BS45+'Generation Data '!CC45+'Generation Data '!CM45</f>
        <v>316740</v>
      </c>
      <c r="I43" s="103">
        <f t="shared" si="0"/>
        <v>316.74</v>
      </c>
      <c r="J43" s="2">
        <v>0.92930999999999997</v>
      </c>
      <c r="K43" s="31">
        <f t="shared" si="1"/>
        <v>294.34964939999998</v>
      </c>
      <c r="L43" s="172"/>
    </row>
    <row r="44" spans="3:12">
      <c r="C44" s="18">
        <v>42156</v>
      </c>
      <c r="D44" s="2">
        <f>'Generation Data '!J46+'Generation Data '!T46+'Generation Data '!AD46+'Generation Data '!AN46+'Generation Data '!AX46+'Generation Data '!BH46+'Generation Data '!BR46+'Generation Data '!CB46+'Generation Data '!CL46</f>
        <v>1434960</v>
      </c>
      <c r="E44" s="83">
        <v>1434960</v>
      </c>
      <c r="G44" s="18">
        <v>42156</v>
      </c>
      <c r="H44" s="49">
        <f>'Generation Data '!K46+'Generation Data '!U46+'Generation Data '!AE46+'Generation Data '!AO46+'Generation Data '!AY46+'Generation Data '!BI46+'Generation Data '!BS46+'Generation Data '!CC46+'Generation Data '!CM46</f>
        <v>1434960</v>
      </c>
      <c r="I44" s="103">
        <f t="shared" si="0"/>
        <v>1434.96</v>
      </c>
      <c r="J44" s="2">
        <v>0.92930999999999997</v>
      </c>
      <c r="K44" s="31">
        <f t="shared" si="1"/>
        <v>1333.5226776</v>
      </c>
      <c r="L44" s="172"/>
    </row>
    <row r="45" spans="3:12">
      <c r="C45" s="18">
        <v>42186</v>
      </c>
      <c r="D45" s="2">
        <f>'Generation Data '!J47+'Generation Data '!T47+'Generation Data '!AD47+'Generation Data '!AN47+'Generation Data '!AX47+'Generation Data '!BH47+'Generation Data '!BR47+'Generation Data '!CB47+'Generation Data '!CL47</f>
        <v>3562848</v>
      </c>
      <c r="E45" s="83">
        <v>3562848</v>
      </c>
      <c r="G45" s="18">
        <v>42186</v>
      </c>
      <c r="H45" s="49">
        <f>'Generation Data '!K47+'Generation Data '!U47+'Generation Data '!AE47+'Generation Data '!AO47+'Generation Data '!AY47+'Generation Data '!BI47+'Generation Data '!BS47+'Generation Data '!CC47+'Generation Data '!CM47</f>
        <v>3562848</v>
      </c>
      <c r="I45" s="103">
        <f t="shared" si="0"/>
        <v>3562.848</v>
      </c>
      <c r="J45" s="2">
        <v>0.92930999999999997</v>
      </c>
      <c r="K45" s="31">
        <f t="shared" si="1"/>
        <v>3310.99027488</v>
      </c>
      <c r="L45" s="172"/>
    </row>
    <row r="46" spans="3:12">
      <c r="C46" s="18">
        <v>42217</v>
      </c>
      <c r="D46" s="2">
        <f>'Generation Data '!J48+'Generation Data '!T48+'Generation Data '!AD48+'Generation Data '!AN48+'Generation Data '!AX48+'Generation Data '!BH48+'Generation Data '!BR48+'Generation Data '!CB48+'Generation Data '!CL48</f>
        <v>4417776</v>
      </c>
      <c r="E46" s="83">
        <v>4417776</v>
      </c>
      <c r="G46" s="18">
        <v>42217</v>
      </c>
      <c r="H46" s="49">
        <f>'Generation Data '!K48+'Generation Data '!U48+'Generation Data '!AE48+'Generation Data '!AO48+'Generation Data '!AY48+'Generation Data '!BI48+'Generation Data '!BS48+'Generation Data '!CC48+'Generation Data '!CM48</f>
        <v>4417776</v>
      </c>
      <c r="I46" s="103">
        <f t="shared" si="0"/>
        <v>4417.7759999999998</v>
      </c>
      <c r="J46" s="2">
        <v>0.92930999999999997</v>
      </c>
      <c r="K46" s="31">
        <f t="shared" si="1"/>
        <v>4105.4834145599998</v>
      </c>
      <c r="L46" s="172"/>
    </row>
    <row r="47" spans="3:12">
      <c r="C47" s="18">
        <v>42248</v>
      </c>
      <c r="D47" s="2">
        <v>2706240</v>
      </c>
      <c r="E47" s="83">
        <v>2706240</v>
      </c>
      <c r="G47" s="18">
        <v>42248</v>
      </c>
      <c r="H47" s="49">
        <f>D47</f>
        <v>2706240</v>
      </c>
      <c r="I47" s="103">
        <f t="shared" si="0"/>
        <v>2706.24</v>
      </c>
      <c r="J47" s="2">
        <v>0.92930999999999997</v>
      </c>
      <c r="K47" s="31">
        <f t="shared" si="1"/>
        <v>2514.9358943999996</v>
      </c>
      <c r="L47" s="172"/>
    </row>
    <row r="48" spans="3:12">
      <c r="C48" s="18">
        <v>42278</v>
      </c>
      <c r="D48" s="2">
        <f>'Generation Data '!J50+'Generation Data '!T50+'Generation Data '!AD50+'Generation Data '!AN50+'Generation Data '!AX50+'Generation Data '!BH50+'Generation Data '!BR50+'Generation Data '!CB50+'Generation Data '!CL50</f>
        <v>2135862</v>
      </c>
      <c r="E48" s="83">
        <v>2135862</v>
      </c>
      <c r="G48" s="18">
        <v>42278</v>
      </c>
      <c r="H48" s="49">
        <f>'Generation Data '!K50+'Generation Data '!U50+'Generation Data '!AE50+'Generation Data '!AO50+'Generation Data '!AY50+'Generation Data '!BI50+'Generation Data '!BS50+'Generation Data '!CC50+'Generation Data '!CM50</f>
        <v>2135862</v>
      </c>
      <c r="I48" s="103">
        <f t="shared" si="0"/>
        <v>2135.8620000000001</v>
      </c>
      <c r="J48" s="2">
        <v>0.92930999999999997</v>
      </c>
      <c r="K48" s="31">
        <f t="shared" si="1"/>
        <v>1984.87791522</v>
      </c>
      <c r="L48" s="172"/>
    </row>
    <row r="49" spans="3:12">
      <c r="C49" s="18">
        <v>42309</v>
      </c>
      <c r="D49" s="2">
        <f>'Generation Data '!J51+'Generation Data '!T51+'Generation Data '!AD51+'Generation Data '!AN51+'Generation Data '!AX51+'Generation Data '!BH51+'Generation Data '!BR51+'Generation Data '!CB51+'Generation Data '!CL51</f>
        <v>371184</v>
      </c>
      <c r="E49" s="83">
        <v>371184</v>
      </c>
      <c r="G49" s="18">
        <v>42309</v>
      </c>
      <c r="H49" s="49">
        <f>'Generation Data '!K51+'Generation Data '!U51+'Generation Data '!AE51+'Generation Data '!AO51+'Generation Data '!AY51+'Generation Data '!BI51+'Generation Data '!BS51+'Generation Data '!CC51+'Generation Data '!CM51</f>
        <v>371184</v>
      </c>
      <c r="I49" s="103">
        <f t="shared" si="0"/>
        <v>371.18400000000003</v>
      </c>
      <c r="J49" s="2">
        <v>0.92930999999999997</v>
      </c>
      <c r="K49" s="31">
        <f t="shared" si="1"/>
        <v>344.94500304000002</v>
      </c>
      <c r="L49" s="172"/>
    </row>
    <row r="50" spans="3:12">
      <c r="C50" s="18">
        <v>42339</v>
      </c>
      <c r="D50" s="2">
        <f>'Generation Data '!J52+'Generation Data '!T52+'Generation Data '!AD52+'Generation Data '!AN52+'Generation Data '!AX52+'Generation Data '!BH52+'Generation Data '!BR52+'Generation Data '!CB52+'Generation Data '!CL52</f>
        <v>302268</v>
      </c>
      <c r="E50" s="83">
        <v>302268</v>
      </c>
      <c r="G50" s="18">
        <v>42339</v>
      </c>
      <c r="H50" s="49">
        <f>'Generation Data '!K52+'Generation Data '!U52+'Generation Data '!AE52+'Generation Data '!AO52+'Generation Data '!AY52+'Generation Data '!BI52+'Generation Data '!BS52+'Generation Data '!CC52+'Generation Data '!CM52+'Generation Data '!K53+'Generation Data '!U53+'Generation Data '!AE53+'Generation Data '!AO53+'Generation Data '!AY53+'Generation Data '!BI53+'Generation Data '!BS53+'Generation Data '!CC53+'Generation Data '!CM53</f>
        <v>1185473.0397022334</v>
      </c>
      <c r="I50" s="103">
        <f t="shared" si="0"/>
        <v>1185.4730397022333</v>
      </c>
      <c r="J50" s="2">
        <v>0.92930999999999997</v>
      </c>
      <c r="K50" s="31">
        <f t="shared" si="1"/>
        <v>1101.6719505256824</v>
      </c>
      <c r="L50" s="172"/>
    </row>
    <row r="51" spans="3:12">
      <c r="C51" s="18">
        <v>42370</v>
      </c>
      <c r="D51" s="2">
        <f>'Generation Data '!J54+'Generation Data '!T54+'Generation Data '!AD54+'Generation Data '!AN54+'Generation Data '!AX54+'Generation Data '!BH54+'Generation Data '!BR54+'Generation Data '!CB54+'Generation Data '!CL54</f>
        <v>197520.96029776675</v>
      </c>
      <c r="E51" s="83">
        <v>1080726</v>
      </c>
      <c r="G51" s="18">
        <v>42370</v>
      </c>
      <c r="H51" s="49">
        <f>'Generation Data '!K54+'Generation Data '!U54+'Generation Data '!AE54+'Generation Data '!AO54+'Generation Data '!AY54+'Generation Data '!BI54+'Generation Data '!BS54+'Generation Data '!CC54+'Generation Data '!CM54</f>
        <v>197520.96029776675</v>
      </c>
      <c r="I51" s="103">
        <f t="shared" si="0"/>
        <v>197.52096029776675</v>
      </c>
      <c r="J51" s="2">
        <v>0.92930999999999997</v>
      </c>
      <c r="K51" s="31">
        <f t="shared" si="1"/>
        <v>183.55820361431762</v>
      </c>
      <c r="L51" s="172">
        <f>ROUNDDOWN(SUM(K51:K62),0)</f>
        <v>26984</v>
      </c>
    </row>
    <row r="52" spans="3:12">
      <c r="C52" s="18">
        <v>42401</v>
      </c>
      <c r="D52" s="2">
        <f>'Generation Data '!J55+'Generation Data '!T55+'Generation Data '!AD55+'Generation Data '!AN55+'Generation Data '!AX55+'Generation Data '!BH55+'Generation Data '!BR55+'Generation Data '!CB55+'Generation Data '!CL55</f>
        <v>1074420</v>
      </c>
      <c r="E52" s="83">
        <v>1074420</v>
      </c>
      <c r="G52" s="18">
        <v>42401</v>
      </c>
      <c r="H52" s="49">
        <f>'Generation Data '!K55+'Generation Data '!U55+'Generation Data '!AE55+'Generation Data '!AO55+'Generation Data '!AY55+'Generation Data '!BI55+'Generation Data '!BS55+'Generation Data '!CC55+'Generation Data '!CM55</f>
        <v>1072174.7280000001</v>
      </c>
      <c r="I52" s="103">
        <f t="shared" si="0"/>
        <v>1072.1747280000002</v>
      </c>
      <c r="J52" s="2">
        <v>0.92930999999999997</v>
      </c>
      <c r="K52" s="31">
        <f t="shared" si="1"/>
        <v>996.38269647768016</v>
      </c>
      <c r="L52" s="172"/>
    </row>
    <row r="53" spans="3:12">
      <c r="C53" s="18">
        <v>42430</v>
      </c>
      <c r="D53" s="2">
        <f>'Generation Data '!J56+'Generation Data '!T56+'Generation Data '!AD56+'Generation Data '!AN56+'Generation Data '!AX56+'Generation Data '!BH56+'Generation Data '!BR56+'Generation Data '!CB56+'Generation Data '!CL56</f>
        <v>1029462</v>
      </c>
      <c r="E53" s="83">
        <v>1029462</v>
      </c>
      <c r="G53" s="18">
        <v>42430</v>
      </c>
      <c r="H53" s="49">
        <f>'Generation Data '!K56+'Generation Data '!U56+'Generation Data '!AE56+'Generation Data '!AO56+'Generation Data '!AY56+'Generation Data '!BI56+'Generation Data '!BS56+'Generation Data '!CC56+'Generation Data '!CM56</f>
        <v>1027311.8520000002</v>
      </c>
      <c r="I53" s="103">
        <f t="shared" si="0"/>
        <v>1027.3118520000003</v>
      </c>
      <c r="J53" s="2">
        <v>0.92930999999999997</v>
      </c>
      <c r="K53" s="31">
        <f t="shared" si="1"/>
        <v>954.69117718212021</v>
      </c>
      <c r="L53" s="172"/>
    </row>
    <row r="54" spans="3:12">
      <c r="C54" s="18">
        <v>42461</v>
      </c>
      <c r="D54" s="2">
        <f>'Generation Data '!J57+'Generation Data '!T57+'Generation Data '!AD57+'Generation Data '!AN57+'Generation Data '!AX57+'Generation Data '!BH57+'Generation Data '!BR57+'Generation Data '!CB57+'Generation Data '!CL57</f>
        <v>599754</v>
      </c>
      <c r="E54" s="83">
        <v>599754</v>
      </c>
      <c r="G54" s="18">
        <v>42461</v>
      </c>
      <c r="H54" s="49">
        <f>'Generation Data '!K57+'Generation Data '!U57+'Generation Data '!AE57+'Generation Data '!AO57+'Generation Data '!AY57+'Generation Data '!BI57+'Generation Data '!BS57+'Generation Data '!CC57+'Generation Data '!CM57</f>
        <v>598428.56400000001</v>
      </c>
      <c r="I54" s="103">
        <f t="shared" si="0"/>
        <v>598.42856400000005</v>
      </c>
      <c r="J54" s="2">
        <v>0.92930999999999997</v>
      </c>
      <c r="K54" s="31">
        <f t="shared" si="1"/>
        <v>556.12564881084006</v>
      </c>
      <c r="L54" s="172"/>
    </row>
    <row r="55" spans="3:12">
      <c r="C55" s="18">
        <v>42491</v>
      </c>
      <c r="D55" s="2">
        <f>'Generation Data '!J58+'Generation Data '!T58+'Generation Data '!AD58+'Generation Data '!AN58+'Generation Data '!AX58+'Generation Data '!BH58+'Generation Data '!BR58+'Generation Data '!CB58+'Generation Data '!CL58</f>
        <v>1154886</v>
      </c>
      <c r="E55" s="83">
        <v>1154886</v>
      </c>
      <c r="G55" s="18">
        <v>42491</v>
      </c>
      <c r="H55" s="49">
        <f>'Generation Data '!K58+'Generation Data '!U58+'Generation Data '!AE58+'Generation Data '!AO58+'Generation Data '!AY58+'Generation Data '!BI58+'Generation Data '!BS58+'Generation Data '!CC58+'Generation Data '!CM58</f>
        <v>1152417.4920000001</v>
      </c>
      <c r="I55" s="103">
        <f t="shared" si="0"/>
        <v>1152.417492</v>
      </c>
      <c r="J55" s="2">
        <v>0.92930999999999997</v>
      </c>
      <c r="K55" s="31">
        <f t="shared" si="1"/>
        <v>1070.9530994905199</v>
      </c>
      <c r="L55" s="172"/>
    </row>
    <row r="56" spans="3:12">
      <c r="C56" s="18">
        <v>42522</v>
      </c>
      <c r="D56" s="2">
        <f>'Generation Data '!J59+'Generation Data '!T59+'Generation Data '!AD59+'Generation Data '!AN59+'Generation Data '!AX59+'Generation Data '!BH59+'Generation Data '!BR59+'Generation Data '!CB59+'Generation Data '!CL59</f>
        <v>3017334</v>
      </c>
      <c r="E56" s="83">
        <v>3017334</v>
      </c>
      <c r="G56" s="18">
        <v>42522</v>
      </c>
      <c r="H56" s="49">
        <f>'Generation Data '!K59+'Generation Data '!U59+'Generation Data '!AE59+'Generation Data '!AO59+'Generation Data '!AY59+'Generation Data '!BI59+'Generation Data '!BS59+'Generation Data '!CC59+'Generation Data '!CM59</f>
        <v>3011225.0039999997</v>
      </c>
      <c r="I56" s="103">
        <f t="shared" si="0"/>
        <v>3011.2250039999999</v>
      </c>
      <c r="J56" s="2">
        <v>0.92930999999999997</v>
      </c>
      <c r="K56" s="31">
        <f t="shared" si="1"/>
        <v>2798.3615084672397</v>
      </c>
      <c r="L56" s="172"/>
    </row>
    <row r="57" spans="3:12">
      <c r="C57" s="18">
        <v>42552</v>
      </c>
      <c r="D57" s="2">
        <f>'Generation Data '!J60+'Generation Data '!T60+'Generation Data '!AD60+'Generation Data '!AN60+'Generation Data '!AX60+'Generation Data '!BH60+'Generation Data '!BR60+'Generation Data '!CB60+'Generation Data '!CL60</f>
        <v>4610628</v>
      </c>
      <c r="E57" s="83">
        <v>4610628</v>
      </c>
      <c r="G57" s="18">
        <v>42552</v>
      </c>
      <c r="H57" s="49">
        <f>'Generation Data '!K60+'Generation Data '!U60+'Generation Data '!AE60+'Generation Data '!AO60+'Generation Data '!AY60+'Generation Data '!BI60+'Generation Data '!BS60+'Generation Data '!CC60+'Generation Data '!CM60</f>
        <v>4601366.0159999998</v>
      </c>
      <c r="I57" s="103">
        <f t="shared" si="0"/>
        <v>4601.3660159999999</v>
      </c>
      <c r="J57" s="2">
        <v>0.92930999999999997</v>
      </c>
      <c r="K57" s="31">
        <f t="shared" si="1"/>
        <v>4276.0954523289602</v>
      </c>
      <c r="L57" s="172"/>
    </row>
    <row r="58" spans="3:12">
      <c r="C58" s="18">
        <v>42583</v>
      </c>
      <c r="D58" s="2">
        <f>'Generation Data '!J61+'Generation Data '!T61+'Generation Data '!AD61+'Generation Data '!AN61+'Generation Data '!AX61+'Generation Data '!BH61+'Generation Data '!BR61+'Generation Data '!CB61+'Generation Data '!CL61</f>
        <v>4014168</v>
      </c>
      <c r="E58" s="83">
        <v>4014168</v>
      </c>
      <c r="G58" s="18">
        <v>42583</v>
      </c>
      <c r="H58" s="49">
        <f>'Generation Data '!K61+'Generation Data '!U61+'Generation Data '!AE61+'Generation Data '!AO61+'Generation Data '!AY61+'Generation Data '!BI61+'Generation Data '!BS61+'Generation Data '!CC61+'Generation Data '!CM61</f>
        <v>4006090.92</v>
      </c>
      <c r="I58" s="103">
        <f t="shared" si="0"/>
        <v>4006.0909200000001</v>
      </c>
      <c r="J58" s="2">
        <v>0.92930999999999997</v>
      </c>
      <c r="K58" s="31">
        <f t="shared" si="1"/>
        <v>3722.9003528652001</v>
      </c>
      <c r="L58" s="172"/>
    </row>
    <row r="59" spans="3:12">
      <c r="C59" s="18">
        <v>42614</v>
      </c>
      <c r="D59" s="2">
        <f>'Generation Data '!J62+'Generation Data '!T62+'Generation Data '!AD62+'Generation Data '!AN62+'Generation Data '!AX62+'Generation Data '!BH62+'Generation Data '!BR62+'Generation Data '!CB62+'Generation Data '!CL62</f>
        <v>5369334</v>
      </c>
      <c r="E59" s="83">
        <v>5369334</v>
      </c>
      <c r="G59" s="18">
        <v>42614</v>
      </c>
      <c r="H59" s="49">
        <f>'Generation Data '!K62+'Generation Data '!U62+'Generation Data '!AE62+'Generation Data '!AO62+'Generation Data '!AY62+'Generation Data '!BI62+'Generation Data '!BS62+'Generation Data '!CC62+'Generation Data '!CM62</f>
        <v>5358546.7560000001</v>
      </c>
      <c r="I59" s="103">
        <f t="shared" si="0"/>
        <v>5358.5467559999997</v>
      </c>
      <c r="J59" s="2">
        <v>0.92930999999999997</v>
      </c>
      <c r="K59" s="31">
        <f t="shared" si="1"/>
        <v>4979.7510858183596</v>
      </c>
      <c r="L59" s="172"/>
    </row>
    <row r="60" spans="3:12">
      <c r="C60" s="18">
        <v>42644</v>
      </c>
      <c r="D60" s="2">
        <f>'Generation Data '!J63+'Generation Data '!T63+'Generation Data '!AD63+'Generation Data '!AN63+'Generation Data '!AX63+'Generation Data '!BH63+'Generation Data '!BR63+'Generation Data '!CB63+'Generation Data '!CL63</f>
        <v>4599648</v>
      </c>
      <c r="E60" s="83">
        <v>4599648</v>
      </c>
      <c r="G60" s="18">
        <v>42644</v>
      </c>
      <c r="H60" s="49">
        <f>'Generation Data '!K63+'Generation Data '!U63+'Generation Data '!AE63+'Generation Data '!AO63+'Generation Data '!AY63+'Generation Data '!BI63+'Generation Data '!BS63+'Generation Data '!CC63+'Generation Data '!CM63</f>
        <v>4590404.1119999997</v>
      </c>
      <c r="I60" s="103">
        <f t="shared" si="0"/>
        <v>4590.4041120000002</v>
      </c>
      <c r="J60" s="2">
        <v>0.92930999999999997</v>
      </c>
      <c r="K60" s="31">
        <f t="shared" si="1"/>
        <v>4265.9084453227197</v>
      </c>
      <c r="L60" s="172"/>
    </row>
    <row r="61" spans="3:12">
      <c r="C61" s="18">
        <v>42675</v>
      </c>
      <c r="D61" s="2">
        <f>'Generation Data '!J64+'Generation Data '!T64+'Generation Data '!AD64+'Generation Data '!AN64+'Generation Data '!AX64+'Generation Data '!BH64+'Generation Data '!BR64+'Generation Data '!CB64+'Generation Data '!CL64</f>
        <v>1758012</v>
      </c>
      <c r="E61" s="83">
        <v>1758012</v>
      </c>
      <c r="G61" s="18">
        <v>42675</v>
      </c>
      <c r="H61" s="49">
        <f>'Generation Data '!K64+'Generation Data '!U64+'Generation Data '!AE64+'Generation Data '!AO64+'Generation Data '!AY64+'Generation Data '!BI64+'Generation Data '!BS64+'Generation Data '!CC64+'Generation Data '!CM64</f>
        <v>1754390.6640000001</v>
      </c>
      <c r="I61" s="103">
        <f t="shared" si="0"/>
        <v>1754.390664</v>
      </c>
      <c r="J61" s="2">
        <v>0.92930999999999997</v>
      </c>
      <c r="K61" s="31">
        <f t="shared" si="1"/>
        <v>1630.37278796184</v>
      </c>
      <c r="L61" s="172"/>
    </row>
    <row r="62" spans="3:12">
      <c r="C62" s="18">
        <v>42705</v>
      </c>
      <c r="D62" s="2">
        <f>'Generation Data '!J65+'Generation Data '!T65+'Generation Data '!AD65+'Generation Data '!AN65+'Generation Data '!AX65+'Generation Data '!BH65+'Generation Data '!BR65+'Generation Data '!CB65+'Generation Data '!CL65</f>
        <v>750156</v>
      </c>
      <c r="E62" s="83">
        <v>750156</v>
      </c>
      <c r="G62" s="18">
        <v>42705</v>
      </c>
      <c r="H62" s="49">
        <f>'Generation Data '!K65+'Generation Data '!U65+'Generation Data '!AE65+'Generation Data '!AO65+'Generation Data '!AY65+'Generation Data '!BI65+'Generation Data '!BS65+'Generation Data '!CC65+'Generation Data '!CM65+'Generation Data '!K66+'Generation Data '!U66+'Generation Data '!AE66+'Generation Data '!AO66+'Generation Data '!AY66+'Generation Data '!BI66+'Generation Data '!BS66+'Generation Data '!CC66+'Generation Data '!CM66</f>
        <v>1666839.594580645</v>
      </c>
      <c r="I62" s="103">
        <f t="shared" si="0"/>
        <v>1666.8395945806449</v>
      </c>
      <c r="J62" s="2">
        <v>0.92930999999999997</v>
      </c>
      <c r="K62" s="31">
        <f t="shared" si="1"/>
        <v>1549.0107036397389</v>
      </c>
      <c r="L62" s="172"/>
    </row>
    <row r="63" spans="3:12">
      <c r="C63" s="18">
        <v>42736</v>
      </c>
      <c r="D63" s="2">
        <f>'Generation Data '!J67+'Generation Data '!T67+'Generation Data '!AD67+'Generation Data '!AN67+'Generation Data '!AX67+'Generation Data '!BH67+'Generation Data '!BR67+'Generation Data '!CB67+'Generation Data '!CL67</f>
        <v>255535.16129032255</v>
      </c>
      <c r="E63" s="83">
        <v>1175790</v>
      </c>
      <c r="G63" s="18">
        <v>42736</v>
      </c>
      <c r="H63" s="49">
        <f>'Generation Data '!K67+'Generation Data '!U67+'Generation Data '!AE67+'Generation Data '!AO67+'Generation Data '!AY67+'Generation Data '!BI67+'Generation Data '!BS67+'Generation Data '!CC67+'Generation Data '!CM67</f>
        <v>255001.5294193548</v>
      </c>
      <c r="I63" s="103">
        <f t="shared" si="0"/>
        <v>255.0015294193548</v>
      </c>
      <c r="J63" s="2">
        <v>0.92930999999999997</v>
      </c>
      <c r="K63" s="31">
        <f t="shared" si="1"/>
        <v>236.97547130470059</v>
      </c>
      <c r="L63" s="172">
        <f>ROUNDDOWN(SUM(K63:K74),0)</f>
        <v>29979</v>
      </c>
    </row>
    <row r="64" spans="3:12">
      <c r="C64" s="18">
        <v>42767</v>
      </c>
      <c r="D64" s="2">
        <f>'Generation Data '!J68+'Generation Data '!T68+'Generation Data '!AD68+'Generation Data '!AN68+'Generation Data '!AX68+'Generation Data '!BH68+'Generation Data '!BR68+'Generation Data '!CB68+'Generation Data '!CL68</f>
        <v>1242714</v>
      </c>
      <c r="E64" s="83">
        <v>1242714</v>
      </c>
      <c r="G64" s="18">
        <v>42767</v>
      </c>
      <c r="H64" s="49">
        <f>'Generation Data '!K68+'Generation Data '!U68+'Generation Data '!AE68+'Generation Data '!AO68+'Generation Data '!AY68+'Generation Data '!BI68+'Generation Data '!BS68+'Generation Data '!CC68+'Generation Data '!CM68</f>
        <v>1240135.3319999999</v>
      </c>
      <c r="I64" s="103">
        <f t="shared" si="0"/>
        <v>1240.1353319999998</v>
      </c>
      <c r="J64" s="2">
        <v>0.92930999999999997</v>
      </c>
      <c r="K64" s="31">
        <f t="shared" si="1"/>
        <v>1152.4701653809198</v>
      </c>
      <c r="L64" s="172"/>
    </row>
    <row r="65" spans="3:12">
      <c r="C65" s="18">
        <v>42795</v>
      </c>
      <c r="D65" s="2">
        <f>'Generation Data '!J69+'Generation Data '!T69+'Generation Data '!AD69+'Generation Data '!AN69+'Generation Data '!AX69+'Generation Data '!BH69+'Generation Data '!BR69+'Generation Data '!CB69+'Generation Data '!CL69</f>
        <v>1419522</v>
      </c>
      <c r="E65" s="83">
        <v>1419522</v>
      </c>
      <c r="G65" s="18">
        <v>42795</v>
      </c>
      <c r="H65" s="49">
        <f>'Generation Data '!K69+'Generation Data '!U69+'Generation Data '!AE69+'Generation Data '!AO69+'Generation Data '!AY69+'Generation Data '!BI69+'Generation Data '!BS69+'Generation Data '!CC69+'Generation Data '!CM69</f>
        <v>1416613.1639999999</v>
      </c>
      <c r="I65" s="103">
        <f t="shared" si="0"/>
        <v>1416.6131639999999</v>
      </c>
      <c r="J65" s="2">
        <v>0.92930999999999997</v>
      </c>
      <c r="K65" s="31">
        <f t="shared" si="1"/>
        <v>1316.4727794368398</v>
      </c>
      <c r="L65" s="172"/>
    </row>
    <row r="66" spans="3:12">
      <c r="C66" s="18">
        <v>42826</v>
      </c>
      <c r="D66" s="2">
        <f>'Generation Data '!J70+'Generation Data '!T70+'Generation Data '!AD70+'Generation Data '!AN70+'Generation Data '!AX70+'Generation Data '!BH70+'Generation Data '!BR70+'Generation Data '!CB70+'Generation Data '!CL70</f>
        <v>1099758</v>
      </c>
      <c r="E66" s="83">
        <f>138744+162792+159384+76830+118104+74760+73920+170544+124680</f>
        <v>1099758</v>
      </c>
      <c r="G66" s="18">
        <v>42826</v>
      </c>
      <c r="H66" s="49">
        <f>'Generation Data '!K70+'Generation Data '!U70+'Generation Data '!AE70+'Generation Data '!AO70+'Generation Data '!AY70+'Generation Data '!BI70+'Generation Data '!BS70+'Generation Data '!CC70+'Generation Data '!CM70</f>
        <v>1097419.5960000001</v>
      </c>
      <c r="I66" s="103">
        <f t="shared" si="0"/>
        <v>1097.4195960000002</v>
      </c>
      <c r="J66" s="2">
        <v>0.92930999999999997</v>
      </c>
      <c r="K66" s="31">
        <f t="shared" si="1"/>
        <v>1019.8430047587601</v>
      </c>
      <c r="L66" s="172"/>
    </row>
    <row r="67" spans="3:12">
      <c r="C67" s="18">
        <v>42856</v>
      </c>
      <c r="D67" s="2">
        <f>'Generation Data '!J71+'Generation Data '!T71+'Generation Data '!AD71+'Generation Data '!AN71+'Generation Data '!AX71+'Generation Data '!BH71+'Generation Data '!BR71+'Generation Data '!CB71+'Generation Data '!CL71</f>
        <v>2363790</v>
      </c>
      <c r="E67" s="83">
        <v>2363790</v>
      </c>
      <c r="G67" s="18">
        <v>42856</v>
      </c>
      <c r="H67" s="49">
        <f>'Generation Data '!K71+'Generation Data '!U71+'Generation Data '!AE71+'Generation Data '!AO71+'Generation Data '!AY71+'Generation Data '!BI71+'Generation Data '!BS71+'Generation Data '!CC71+'Generation Data '!CM71</f>
        <v>2358925.932</v>
      </c>
      <c r="I67" s="103">
        <f t="shared" si="0"/>
        <v>2358.9259320000001</v>
      </c>
      <c r="J67" s="2">
        <v>0.92930999999999997</v>
      </c>
      <c r="K67" s="31">
        <f t="shared" si="1"/>
        <v>2192.1734578669202</v>
      </c>
      <c r="L67" s="172"/>
    </row>
    <row r="68" spans="3:12">
      <c r="C68" s="18">
        <v>42887</v>
      </c>
      <c r="D68" s="2">
        <f>'Generation Data '!J72+'Generation Data '!T72+'Generation Data '!AD72+'Generation Data '!AN72+'Generation Data '!AX72+'Generation Data '!BH72+'Generation Data '!BR72+'Generation Data '!CB72+'Generation Data '!CL72</f>
        <v>4850862</v>
      </c>
      <c r="E68" s="83">
        <v>4850862</v>
      </c>
      <c r="G68" s="18">
        <v>42887</v>
      </c>
      <c r="H68" s="49">
        <f>'Generation Data '!K72+'Generation Data '!U72+'Generation Data '!AE72+'Generation Data '!AO72+'Generation Data '!AY72+'Generation Data '!BI72+'Generation Data '!BS72+'Generation Data '!CC72+'Generation Data '!CM72</f>
        <v>4841107.7880000006</v>
      </c>
      <c r="I68" s="103">
        <f t="shared" si="0"/>
        <v>4841.1077880000003</v>
      </c>
      <c r="J68" s="2">
        <v>0.92930999999999997</v>
      </c>
      <c r="K68" s="31">
        <f t="shared" si="1"/>
        <v>4498.8898784662797</v>
      </c>
      <c r="L68" s="172"/>
    </row>
    <row r="69" spans="3:12">
      <c r="C69" s="18">
        <v>42917</v>
      </c>
      <c r="D69" s="2">
        <f>'Generation Data '!J73+'Generation Data '!T73+'Generation Data '!AD73+'Generation Data '!AN73+'Generation Data '!AX73+'Generation Data '!BH73+'Generation Data '!BR73+'Generation Data '!CB73+'Generation Data '!CL73</f>
        <v>5159406</v>
      </c>
      <c r="E69" s="83">
        <v>5159406</v>
      </c>
      <c r="G69" s="18">
        <v>42917</v>
      </c>
      <c r="H69" s="49">
        <f>'Generation Data '!K73+'Generation Data '!U73+'Generation Data '!AE73+'Generation Data '!AO73+'Generation Data '!AY73+'Generation Data '!BI73+'Generation Data '!BS73+'Generation Data '!CC73+'Generation Data '!CM73</f>
        <v>5149056.6840000004</v>
      </c>
      <c r="I69" s="103">
        <f t="shared" si="0"/>
        <v>5149.0566840000001</v>
      </c>
      <c r="J69" s="2">
        <v>0.92930999999999997</v>
      </c>
      <c r="K69" s="31">
        <f t="shared" ref="K69:K77" si="2">I69*J69</f>
        <v>4785.0698670080401</v>
      </c>
      <c r="L69" s="172"/>
    </row>
    <row r="70" spans="3:12">
      <c r="C70" s="18">
        <v>42948</v>
      </c>
      <c r="D70" s="2">
        <f>'Generation Data '!J74+'Generation Data '!T74+'Generation Data '!AD74+'Generation Data '!AN74+'Generation Data '!AX74+'Generation Data '!BH74+'Generation Data '!BR74+'Generation Data '!CB74+'Generation Data '!CL74</f>
        <v>4642158</v>
      </c>
      <c r="E70" s="83">
        <v>4642158</v>
      </c>
      <c r="G70" s="18">
        <v>42948</v>
      </c>
      <c r="H70" s="49">
        <f>'Generation Data '!K74+'Generation Data '!U74+'Generation Data '!AE74+'Generation Data '!AO74+'Generation Data '!AY74+'Generation Data '!BI74+'Generation Data '!BS74+'Generation Data '!CC74+'Generation Data '!CM74</f>
        <v>4632818.6999999993</v>
      </c>
      <c r="I70" s="103">
        <f t="shared" si="0"/>
        <v>4632.8186999999989</v>
      </c>
      <c r="J70" s="2">
        <v>0.92930999999999997</v>
      </c>
      <c r="K70" s="31">
        <f t="shared" si="2"/>
        <v>4305.3247460969988</v>
      </c>
      <c r="L70" s="172"/>
    </row>
    <row r="71" spans="3:12">
      <c r="C71" s="18">
        <v>42979</v>
      </c>
      <c r="D71" s="2">
        <f>'Generation Data '!J75+'Generation Data '!T75+'Generation Data '!AD75+'Generation Data '!AN75+'Generation Data '!AX75+'Generation Data '!BH75+'Generation Data '!BR75+'Generation Data '!CB75+'Generation Data '!CL75</f>
        <v>3651480</v>
      </c>
      <c r="E71" s="83">
        <v>3651480</v>
      </c>
      <c r="G71" s="18">
        <v>42979</v>
      </c>
      <c r="H71" s="49">
        <f>'Generation Data '!K75+'Generation Data '!U75+'Generation Data '!AE75+'Generation Data '!AO75+'Generation Data '!AY75+'Generation Data '!BI75+'Generation Data '!BS75+'Generation Data '!CC75+'Generation Data '!CM75</f>
        <v>3644091.6720000007</v>
      </c>
      <c r="I71" s="103">
        <f t="shared" ref="I71:I77" si="3">H71/1000</f>
        <v>3644.0916720000009</v>
      </c>
      <c r="J71" s="2">
        <v>0.92930999999999997</v>
      </c>
      <c r="K71" s="31">
        <f t="shared" si="2"/>
        <v>3386.4908317063209</v>
      </c>
      <c r="L71" s="172"/>
    </row>
    <row r="72" spans="3:12">
      <c r="C72" s="18">
        <v>43009</v>
      </c>
      <c r="D72" s="2">
        <f>'Generation Data '!J76+'Generation Data '!T76+'Generation Data '!AD76+'Generation Data '!AN76+'Generation Data '!AX76+'Generation Data '!BH76+'Generation Data '!BR76+'Generation Data '!CB76+'Generation Data '!CL76</f>
        <v>3608982</v>
      </c>
      <c r="E72" s="83">
        <v>3608982</v>
      </c>
      <c r="G72" s="18">
        <v>43009</v>
      </c>
      <c r="H72" s="49">
        <f>'Generation Data '!K76+'Generation Data '!U76+'Generation Data '!AE76+'Generation Data '!AO76+'Generation Data '!AY76+'Generation Data '!BI76+'Generation Data '!BS76+'Generation Data '!CC76+'Generation Data '!CM76</f>
        <v>3601713.588</v>
      </c>
      <c r="I72" s="103">
        <f t="shared" si="3"/>
        <v>3601.7135880000001</v>
      </c>
      <c r="J72" s="2">
        <v>0.92930999999999997</v>
      </c>
      <c r="K72" s="31">
        <f t="shared" si="2"/>
        <v>3347.1084544642799</v>
      </c>
      <c r="L72" s="172"/>
    </row>
    <row r="73" spans="3:12">
      <c r="C73" s="18">
        <v>43040</v>
      </c>
      <c r="D73" s="2">
        <f>'Generation Data '!J77+'Generation Data '!T77+'Generation Data '!AD77+'Generation Data '!AN77+'Generation Data '!AX77+'Generation Data '!BH77+'Generation Data '!BR77+'Generation Data '!CB77+'Generation Data '!CL77</f>
        <v>2227536</v>
      </c>
      <c r="E73" s="83">
        <v>2227536</v>
      </c>
      <c r="G73" s="18">
        <v>43040</v>
      </c>
      <c r="H73" s="49">
        <f>'Generation Data '!K77+'Generation Data '!U77+'Generation Data '!AE77+'Generation Data '!AO77+'Generation Data '!AY77+'Generation Data '!BI77+'Generation Data '!BS77+'Generation Data '!CC77+'Generation Data '!CM77</f>
        <v>2222997.912</v>
      </c>
      <c r="I73" s="103">
        <f t="shared" si="3"/>
        <v>2222.9979119999998</v>
      </c>
      <c r="J73" s="2">
        <v>0.92930999999999997</v>
      </c>
      <c r="K73" s="31">
        <f t="shared" si="2"/>
        <v>2065.8541896007196</v>
      </c>
      <c r="L73" s="172"/>
    </row>
    <row r="74" spans="3:12">
      <c r="C74" s="18">
        <v>43070</v>
      </c>
      <c r="D74" s="2">
        <f>'Generation Data '!J78+'Generation Data '!T78+'Generation Data '!AD78+'Generation Data '!AN78+'Generation Data '!AX78+'Generation Data '!BH78+'Generation Data '!BR78+'Generation Data '!CB78+'Generation Data '!CL78</f>
        <v>607422</v>
      </c>
      <c r="E74" s="83">
        <v>607422</v>
      </c>
      <c r="G74" s="18">
        <v>43070</v>
      </c>
      <c r="H74" s="49">
        <f>'Generation Data '!K78+'Generation Data '!U78+'Generation Data '!AE78+'Generation Data '!AO78+'Generation Data '!AY78+'Generation Data '!BI78+'Generation Data '!BS78+'Generation Data '!CC78+'Generation Data '!CM78+'Generation Data '!K79+'Generation Data '!U79+'Generation Data '!AE79+'Generation Data '!AO79+'Generation Data '!AY79+'Generation Data '!BI79+'Generation Data '!BS79+'Generation Data '!CC79+'Generation Data '!CM79</f>
        <v>1800092.888609566</v>
      </c>
      <c r="I74" s="103">
        <f t="shared" si="3"/>
        <v>1800.092888609566</v>
      </c>
      <c r="J74" s="2">
        <v>0.92930999999999997</v>
      </c>
      <c r="K74" s="31">
        <f t="shared" si="2"/>
        <v>1672.8443223137558</v>
      </c>
      <c r="L74" s="172"/>
    </row>
    <row r="75" spans="3:12">
      <c r="C75" s="18">
        <v>43101</v>
      </c>
      <c r="D75" s="2">
        <f>'Generation Data '!J80+'Generation Data '!T80+'Generation Data '!AD80+'Generation Data '!AN80+'Generation Data '!AX80+'Generation Data '!BH80+'Generation Data '!BR80+'Generation Data '!CB80+'Generation Data '!CL80</f>
        <v>247773.00333704118</v>
      </c>
      <c r="E75" s="83">
        <v>1444386</v>
      </c>
      <c r="G75" s="18">
        <v>43101</v>
      </c>
      <c r="H75" s="49">
        <f>'Generation Data '!K80+'Generation Data '!U80+'Generation Data '!AE80+'Generation Data '!AO80+'Generation Data '!AY80+'Generation Data '!BI80+'Generation Data '!BS80+'Generation Data '!CC80+'Generation Data '!CM80</f>
        <v>247259.99139043383</v>
      </c>
      <c r="I75" s="103">
        <f t="shared" si="3"/>
        <v>247.25999139043384</v>
      </c>
      <c r="J75" s="2">
        <v>0.92930999999999997</v>
      </c>
      <c r="K75" s="31">
        <f t="shared" si="2"/>
        <v>229.78118259904406</v>
      </c>
      <c r="L75" s="173">
        <f>ROUNDDOWN(SUM(K75:K77),0)</f>
        <v>2889</v>
      </c>
    </row>
    <row r="76" spans="3:12">
      <c r="C76" s="18">
        <v>43132</v>
      </c>
      <c r="D76" s="2">
        <f>'Generation Data '!J81+'Generation Data '!T81+'Generation Data '!AD81+'Generation Data '!AN81+'Generation Data '!AX81+'Generation Data '!BH81+'Generation Data '!BR81+'Generation Data '!CB81+'Generation Data '!CL81</f>
        <v>1594974</v>
      </c>
      <c r="E76" s="83">
        <v>1597434</v>
      </c>
      <c r="G76" s="18">
        <v>43132</v>
      </c>
      <c r="H76" s="49">
        <f>'Generation Data '!K81+'Generation Data '!U81+'Generation Data '!AE81+'Generation Data '!AO81+'Generation Data '!AY81+'Generation Data '!BI81+'Generation Data '!BS81+'Generation Data '!CC81+'Generation Data '!CM81</f>
        <v>1591673.1</v>
      </c>
      <c r="I76" s="103">
        <f t="shared" si="3"/>
        <v>1591.6731000000002</v>
      </c>
      <c r="J76" s="2">
        <v>0.92930999999999997</v>
      </c>
      <c r="K76" s="31">
        <f t="shared" si="2"/>
        <v>1479.1577285610001</v>
      </c>
      <c r="L76" s="174"/>
    </row>
    <row r="77" spans="3:12" ht="15" thickBot="1">
      <c r="C77" s="22">
        <v>43160</v>
      </c>
      <c r="D77" s="112">
        <f>'Generation Data '!J82+'Generation Data '!T82+'Generation Data '!AD82+'Generation Data '!AN82+'Generation Data '!AX82+'Generation Data '!BH82+'Generation Data '!BR82+'Generation Data '!CB82+'Generation Data '!CL82</f>
        <v>1273297.9429283922</v>
      </c>
      <c r="E77" s="75">
        <v>1425738</v>
      </c>
      <c r="G77" s="22">
        <v>43160</v>
      </c>
      <c r="H77" s="49">
        <f>'Generation Data '!K82+'Generation Data '!U82+'Generation Data '!AE82+'Generation Data '!AO82+'Generation Data '!AY82+'Generation Data '!BI82+'Generation Data '!BS82+'Generation Data '!CC82+'Generation Data '!CM82</f>
        <v>1270660.5790425355</v>
      </c>
      <c r="I77" s="103">
        <f t="shared" si="3"/>
        <v>1270.6605790425356</v>
      </c>
      <c r="J77" s="23">
        <v>0.92930999999999997</v>
      </c>
      <c r="K77" s="33">
        <f t="shared" si="2"/>
        <v>1180.8375827100188</v>
      </c>
      <c r="L77" s="174"/>
    </row>
    <row r="78" spans="3:12" s="17" customFormat="1" ht="20.399999999999999" customHeight="1" thickBot="1">
      <c r="C78" s="24" t="s">
        <v>15</v>
      </c>
      <c r="D78" s="26">
        <f>SUM(D6:D77)</f>
        <v>160614061.36963916</v>
      </c>
      <c r="E78" s="26">
        <f>SUM(E6:E77)</f>
        <v>166049648</v>
      </c>
      <c r="G78" s="24" t="s">
        <v>15</v>
      </c>
      <c r="H78" s="26">
        <f>SUM(H6:H77)</f>
        <v>166533279.96027195</v>
      </c>
      <c r="I78" s="26">
        <f>SUM(I6:I77)</f>
        <v>166533.27996027205</v>
      </c>
      <c r="J78" s="26" t="s">
        <v>40</v>
      </c>
      <c r="K78" s="34">
        <f>SUM(K6:K77)</f>
        <v>154761.04239988042</v>
      </c>
      <c r="L78" s="35">
        <f>SUM(L6:L77)</f>
        <v>154757</v>
      </c>
    </row>
  </sheetData>
  <mergeCells count="8">
    <mergeCell ref="C4:C5"/>
    <mergeCell ref="L63:L74"/>
    <mergeCell ref="L75:L77"/>
    <mergeCell ref="L6:L14"/>
    <mergeCell ref="L15:L26"/>
    <mergeCell ref="L27:L38"/>
    <mergeCell ref="L39:L50"/>
    <mergeCell ref="L51:L62"/>
  </mergeCells>
  <phoneticPr fontId="18" type="noConversion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6319-3594-46CE-B215-EA600F8333AD}">
  <dimension ref="B1:AC44"/>
  <sheetViews>
    <sheetView showGridLines="0" zoomScale="80" zoomScaleNormal="80" workbookViewId="0">
      <pane ySplit="2" topLeftCell="A24" activePane="bottomLeft" state="frozen"/>
      <selection pane="bottomLeft" activeCell="F34" sqref="F34"/>
    </sheetView>
  </sheetViews>
  <sheetFormatPr defaultColWidth="8.81640625" defaultRowHeight="14.5"/>
  <cols>
    <col min="1" max="1" width="4.6328125" style="61" customWidth="1"/>
    <col min="2" max="2" width="27.54296875" style="17" customWidth="1"/>
    <col min="3" max="3" width="16.81640625" style="84" customWidth="1"/>
    <col min="4" max="4" width="8.81640625" style="84" customWidth="1"/>
    <col min="5" max="5" width="27.54296875" style="17" customWidth="1"/>
    <col min="6" max="6" width="16.81640625" style="84" customWidth="1"/>
    <col min="7" max="7" width="8.81640625" style="84" customWidth="1"/>
    <col min="8" max="8" width="27.54296875" style="17" customWidth="1"/>
    <col min="9" max="9" width="16.81640625" style="84" customWidth="1"/>
    <col min="10" max="10" width="8.81640625" style="84" customWidth="1"/>
    <col min="11" max="11" width="27.54296875" style="17" customWidth="1"/>
    <col min="12" max="12" width="16.81640625" style="84" customWidth="1"/>
    <col min="13" max="13" width="8.81640625" style="84" customWidth="1"/>
    <col min="14" max="14" width="27.54296875" style="17" customWidth="1"/>
    <col min="15" max="15" width="16.81640625" style="84" customWidth="1"/>
    <col min="16" max="16" width="8.81640625" style="84" customWidth="1"/>
    <col min="17" max="17" width="27.54296875" style="17" customWidth="1"/>
    <col min="18" max="18" width="16.81640625" style="84" customWidth="1"/>
    <col min="19" max="19" width="8.81640625" style="84" customWidth="1"/>
    <col min="20" max="20" width="27.54296875" style="17" customWidth="1"/>
    <col min="21" max="21" width="16.81640625" style="84" customWidth="1"/>
    <col min="22" max="22" width="8.81640625" style="84" customWidth="1"/>
    <col min="23" max="23" width="27.54296875" style="17" customWidth="1"/>
    <col min="24" max="24" width="16.81640625" style="84" customWidth="1"/>
    <col min="25" max="25" width="8.81640625" style="84" customWidth="1"/>
    <col min="26" max="26" width="27.54296875" style="17" customWidth="1"/>
    <col min="27" max="27" width="16.81640625" style="84" customWidth="1"/>
    <col min="28" max="29" width="8.81640625" style="84" customWidth="1"/>
    <col min="30" max="16384" width="8.81640625" style="61"/>
  </cols>
  <sheetData>
    <row r="1" spans="2:29" ht="15" thickBot="1">
      <c r="D1" s="61"/>
      <c r="G1" s="61"/>
      <c r="J1" s="61"/>
      <c r="M1" s="61"/>
      <c r="P1" s="61"/>
      <c r="S1" s="61"/>
      <c r="V1" s="61"/>
      <c r="Y1" s="61"/>
      <c r="AB1" s="61"/>
      <c r="AC1" s="61"/>
    </row>
    <row r="2" spans="2:29" ht="23.4" customHeight="1" thickBot="1">
      <c r="B2" s="176" t="s">
        <v>45</v>
      </c>
      <c r="C2" s="177"/>
      <c r="D2" s="61"/>
      <c r="E2" s="176" t="s">
        <v>46</v>
      </c>
      <c r="F2" s="177"/>
      <c r="G2" s="61"/>
      <c r="H2" s="176" t="s">
        <v>47</v>
      </c>
      <c r="I2" s="177"/>
      <c r="J2" s="61"/>
      <c r="K2" s="176" t="s">
        <v>48</v>
      </c>
      <c r="L2" s="177"/>
      <c r="M2" s="61"/>
      <c r="N2" s="176" t="s">
        <v>49</v>
      </c>
      <c r="O2" s="177"/>
      <c r="P2" s="61"/>
      <c r="Q2" s="176" t="s">
        <v>50</v>
      </c>
      <c r="R2" s="177"/>
      <c r="S2" s="61"/>
      <c r="T2" s="176" t="s">
        <v>51</v>
      </c>
      <c r="U2" s="177"/>
      <c r="V2" s="61"/>
      <c r="W2" s="176" t="s">
        <v>52</v>
      </c>
      <c r="X2" s="177"/>
      <c r="Y2" s="61"/>
      <c r="Z2" s="176" t="s">
        <v>53</v>
      </c>
      <c r="AA2" s="177"/>
      <c r="AB2" s="61"/>
      <c r="AC2" s="61"/>
    </row>
    <row r="3" spans="2:29" ht="26.4" customHeight="1" thickBot="1">
      <c r="B3" s="100" t="s">
        <v>64</v>
      </c>
      <c r="C3" s="101" t="s">
        <v>65</v>
      </c>
      <c r="D3" s="61"/>
      <c r="E3" s="100" t="s">
        <v>64</v>
      </c>
      <c r="F3" s="101" t="s">
        <v>65</v>
      </c>
      <c r="G3" s="61"/>
      <c r="H3" s="100" t="s">
        <v>64</v>
      </c>
      <c r="I3" s="101" t="s">
        <v>65</v>
      </c>
      <c r="J3" s="61"/>
      <c r="K3" s="100" t="s">
        <v>64</v>
      </c>
      <c r="L3" s="101" t="s">
        <v>65</v>
      </c>
      <c r="M3" s="61"/>
      <c r="N3" s="100" t="s">
        <v>64</v>
      </c>
      <c r="O3" s="101" t="s">
        <v>65</v>
      </c>
      <c r="P3" s="61"/>
      <c r="Q3" s="100" t="s">
        <v>64</v>
      </c>
      <c r="R3" s="101" t="s">
        <v>65</v>
      </c>
      <c r="S3" s="61"/>
      <c r="T3" s="100" t="s">
        <v>64</v>
      </c>
      <c r="U3" s="101" t="s">
        <v>65</v>
      </c>
      <c r="V3" s="61"/>
      <c r="W3" s="100" t="s">
        <v>64</v>
      </c>
      <c r="X3" s="101" t="s">
        <v>65</v>
      </c>
      <c r="Y3" s="61"/>
      <c r="Z3" s="100" t="s">
        <v>64</v>
      </c>
      <c r="AA3" s="101" t="s">
        <v>65</v>
      </c>
      <c r="AB3" s="61"/>
      <c r="AC3" s="61"/>
    </row>
    <row r="4" spans="2:29">
      <c r="B4" s="98">
        <v>40983</v>
      </c>
      <c r="C4" s="99">
        <v>210</v>
      </c>
      <c r="D4" s="61"/>
      <c r="E4" s="98">
        <v>40983</v>
      </c>
      <c r="F4" s="99">
        <v>192</v>
      </c>
      <c r="G4" s="61"/>
      <c r="H4" s="98">
        <v>40983</v>
      </c>
      <c r="I4" s="99">
        <v>173</v>
      </c>
      <c r="J4" s="61"/>
      <c r="K4" s="98">
        <v>40983</v>
      </c>
      <c r="L4" s="99">
        <v>310</v>
      </c>
      <c r="M4" s="61"/>
      <c r="N4" s="98">
        <v>40983</v>
      </c>
      <c r="O4" s="99">
        <v>133</v>
      </c>
      <c r="P4" s="61"/>
      <c r="Q4" s="98">
        <v>40983</v>
      </c>
      <c r="R4" s="99">
        <v>265</v>
      </c>
      <c r="S4" s="61"/>
      <c r="T4" s="98">
        <v>40983</v>
      </c>
      <c r="U4" s="99">
        <v>280</v>
      </c>
      <c r="V4" s="61"/>
      <c r="W4" s="98">
        <v>40983</v>
      </c>
      <c r="X4" s="99">
        <v>264</v>
      </c>
      <c r="Y4" s="61"/>
      <c r="Z4" s="98">
        <v>40983</v>
      </c>
      <c r="AA4" s="99">
        <v>190</v>
      </c>
      <c r="AB4" s="61"/>
      <c r="AC4" s="61"/>
    </row>
    <row r="5" spans="2:29">
      <c r="B5" s="92">
        <v>40984</v>
      </c>
      <c r="C5" s="93">
        <v>488</v>
      </c>
      <c r="D5" s="61"/>
      <c r="E5" s="92">
        <v>40984</v>
      </c>
      <c r="F5" s="93">
        <v>476</v>
      </c>
      <c r="G5" s="61"/>
      <c r="H5" s="92">
        <v>40984</v>
      </c>
      <c r="I5" s="93">
        <v>331</v>
      </c>
      <c r="J5" s="61"/>
      <c r="K5" s="92">
        <v>40984</v>
      </c>
      <c r="L5" s="93">
        <v>3074</v>
      </c>
      <c r="M5" s="61"/>
      <c r="N5" s="92">
        <v>40984</v>
      </c>
      <c r="O5" s="93">
        <v>206</v>
      </c>
      <c r="P5" s="61"/>
      <c r="Q5" s="92">
        <v>40984</v>
      </c>
      <c r="R5" s="93">
        <v>1839</v>
      </c>
      <c r="S5" s="61"/>
      <c r="T5" s="92">
        <v>40984</v>
      </c>
      <c r="U5" s="93">
        <v>2276</v>
      </c>
      <c r="V5" s="61"/>
      <c r="W5" s="92">
        <v>40984</v>
      </c>
      <c r="X5" s="93">
        <v>440</v>
      </c>
      <c r="Y5" s="61"/>
      <c r="Z5" s="92">
        <v>40984</v>
      </c>
      <c r="AA5" s="93">
        <v>645</v>
      </c>
      <c r="AB5" s="61"/>
      <c r="AC5" s="61"/>
    </row>
    <row r="6" spans="2:29">
      <c r="B6" s="92">
        <v>40985</v>
      </c>
      <c r="C6" s="93">
        <v>1182</v>
      </c>
      <c r="D6" s="61"/>
      <c r="E6" s="92">
        <v>40985</v>
      </c>
      <c r="F6" s="93">
        <v>1484</v>
      </c>
      <c r="G6" s="61"/>
      <c r="H6" s="92">
        <v>40985</v>
      </c>
      <c r="I6" s="93">
        <v>1176</v>
      </c>
      <c r="J6" s="61"/>
      <c r="K6" s="92">
        <v>40985</v>
      </c>
      <c r="L6" s="93">
        <v>4777</v>
      </c>
      <c r="M6" s="61"/>
      <c r="N6" s="92">
        <v>40985</v>
      </c>
      <c r="O6" s="93">
        <v>869</v>
      </c>
      <c r="P6" s="61"/>
      <c r="Q6" s="92">
        <v>40985</v>
      </c>
      <c r="R6" s="93">
        <v>6012</v>
      </c>
      <c r="S6" s="61"/>
      <c r="T6" s="92">
        <v>40985</v>
      </c>
      <c r="U6" s="93">
        <v>1623</v>
      </c>
      <c r="V6" s="61"/>
      <c r="W6" s="92">
        <v>40985</v>
      </c>
      <c r="X6" s="93">
        <v>1287</v>
      </c>
      <c r="Y6" s="61"/>
      <c r="Z6" s="92">
        <v>40985</v>
      </c>
      <c r="AA6" s="93">
        <v>1131</v>
      </c>
      <c r="AB6" s="61"/>
      <c r="AC6" s="61"/>
    </row>
    <row r="7" spans="2:29">
      <c r="B7" s="92">
        <v>40986</v>
      </c>
      <c r="C7" s="93">
        <v>1358</v>
      </c>
      <c r="D7" s="61"/>
      <c r="E7" s="92">
        <v>40986</v>
      </c>
      <c r="F7" s="93">
        <v>1582</v>
      </c>
      <c r="G7" s="61"/>
      <c r="H7" s="92">
        <v>40986</v>
      </c>
      <c r="I7" s="93">
        <v>1654</v>
      </c>
      <c r="J7" s="61"/>
      <c r="K7" s="92">
        <v>40986</v>
      </c>
      <c r="L7" s="93">
        <v>444</v>
      </c>
      <c r="M7" s="61"/>
      <c r="N7" s="92">
        <v>40986</v>
      </c>
      <c r="O7" s="93">
        <v>1392</v>
      </c>
      <c r="P7" s="61"/>
      <c r="Q7" s="92">
        <v>40986</v>
      </c>
      <c r="R7" s="93">
        <v>2575</v>
      </c>
      <c r="S7" s="61"/>
      <c r="T7" s="92">
        <v>40986</v>
      </c>
      <c r="U7" s="93">
        <v>1849</v>
      </c>
      <c r="V7" s="61"/>
      <c r="W7" s="92">
        <v>40986</v>
      </c>
      <c r="X7" s="93">
        <v>1706</v>
      </c>
      <c r="Y7" s="61"/>
      <c r="Z7" s="92">
        <v>40986</v>
      </c>
      <c r="AA7" s="93">
        <v>1698</v>
      </c>
      <c r="AB7" s="61"/>
      <c r="AC7" s="61"/>
    </row>
    <row r="8" spans="2:29">
      <c r="B8" s="92">
        <v>40987</v>
      </c>
      <c r="C8" s="93">
        <v>1011</v>
      </c>
      <c r="D8" s="61"/>
      <c r="E8" s="92">
        <v>40987</v>
      </c>
      <c r="F8" s="93">
        <v>2069</v>
      </c>
      <c r="G8" s="61"/>
      <c r="H8" s="92">
        <v>40987</v>
      </c>
      <c r="I8" s="93">
        <v>2572</v>
      </c>
      <c r="J8" s="61"/>
      <c r="K8" s="92">
        <v>40987</v>
      </c>
      <c r="L8" s="93">
        <v>3707</v>
      </c>
      <c r="M8" s="61"/>
      <c r="N8" s="92">
        <v>40987</v>
      </c>
      <c r="O8" s="93">
        <v>1590</v>
      </c>
      <c r="P8" s="61"/>
      <c r="Q8" s="92">
        <v>40987</v>
      </c>
      <c r="R8" s="93">
        <v>3786</v>
      </c>
      <c r="S8" s="61"/>
      <c r="T8" s="92">
        <v>40987</v>
      </c>
      <c r="U8" s="93">
        <v>4933</v>
      </c>
      <c r="V8" s="61"/>
      <c r="W8" s="92">
        <v>40987</v>
      </c>
      <c r="X8" s="93">
        <v>2989</v>
      </c>
      <c r="Y8" s="61"/>
      <c r="Z8" s="92">
        <v>40987</v>
      </c>
      <c r="AA8" s="93">
        <v>2534</v>
      </c>
      <c r="AB8" s="61"/>
      <c r="AC8" s="61"/>
    </row>
    <row r="9" spans="2:29">
      <c r="B9" s="92">
        <v>40988</v>
      </c>
      <c r="C9" s="93">
        <v>1659</v>
      </c>
      <c r="D9" s="61"/>
      <c r="E9" s="92">
        <v>40988</v>
      </c>
      <c r="F9" s="93">
        <v>2132</v>
      </c>
      <c r="G9" s="61"/>
      <c r="H9" s="92">
        <v>40988</v>
      </c>
      <c r="I9" s="93">
        <v>1953</v>
      </c>
      <c r="J9" s="61"/>
      <c r="K9" s="92">
        <v>40988</v>
      </c>
      <c r="L9" s="93">
        <v>1801</v>
      </c>
      <c r="M9" s="61"/>
      <c r="N9" s="92">
        <v>40988</v>
      </c>
      <c r="O9" s="93">
        <v>1125</v>
      </c>
      <c r="P9" s="61"/>
      <c r="Q9" s="92">
        <v>40988</v>
      </c>
      <c r="R9" s="93">
        <v>1274</v>
      </c>
      <c r="S9" s="61"/>
      <c r="T9" s="92">
        <v>40988</v>
      </c>
      <c r="U9" s="93">
        <v>2720</v>
      </c>
      <c r="V9" s="61"/>
      <c r="W9" s="92">
        <v>40988</v>
      </c>
      <c r="X9" s="93">
        <v>2627</v>
      </c>
      <c r="Y9" s="61"/>
      <c r="Z9" s="92">
        <v>40988</v>
      </c>
      <c r="AA9" s="93">
        <v>2147</v>
      </c>
      <c r="AB9" s="61"/>
      <c r="AC9" s="61"/>
    </row>
    <row r="10" spans="2:29">
      <c r="B10" s="92">
        <v>40989</v>
      </c>
      <c r="C10" s="93">
        <v>4285</v>
      </c>
      <c r="E10" s="92">
        <v>40989</v>
      </c>
      <c r="F10" s="93">
        <v>4378</v>
      </c>
      <c r="H10" s="92">
        <v>40989</v>
      </c>
      <c r="I10" s="93">
        <v>5760</v>
      </c>
      <c r="K10" s="92">
        <v>40989</v>
      </c>
      <c r="L10" s="93">
        <v>1709</v>
      </c>
      <c r="N10" s="92">
        <v>40989</v>
      </c>
      <c r="O10" s="93">
        <v>3725</v>
      </c>
      <c r="Q10" s="92">
        <v>40989</v>
      </c>
      <c r="R10" s="93">
        <v>1969</v>
      </c>
      <c r="T10" s="92">
        <v>40989</v>
      </c>
      <c r="U10" s="93">
        <v>1689</v>
      </c>
      <c r="W10" s="92">
        <v>40989</v>
      </c>
      <c r="X10" s="93">
        <v>6749</v>
      </c>
      <c r="Z10" s="92">
        <v>40989</v>
      </c>
      <c r="AA10" s="93">
        <v>5207</v>
      </c>
    </row>
    <row r="11" spans="2:29">
      <c r="B11" s="92">
        <v>40990</v>
      </c>
      <c r="C11" s="93">
        <v>2872</v>
      </c>
      <c r="E11" s="92">
        <v>40990</v>
      </c>
      <c r="F11" s="93">
        <v>1401</v>
      </c>
      <c r="H11" s="92">
        <v>40990</v>
      </c>
      <c r="I11" s="93">
        <v>3210</v>
      </c>
      <c r="K11" s="92">
        <v>40990</v>
      </c>
      <c r="L11" s="93">
        <v>1883</v>
      </c>
      <c r="N11" s="92">
        <v>40990</v>
      </c>
      <c r="O11" s="93">
        <v>2046</v>
      </c>
      <c r="Q11" s="92">
        <v>40990</v>
      </c>
      <c r="R11" s="93">
        <v>5721</v>
      </c>
      <c r="T11" s="92">
        <v>40990</v>
      </c>
      <c r="U11" s="93">
        <v>2731</v>
      </c>
      <c r="W11" s="92">
        <v>40990</v>
      </c>
      <c r="X11" s="93">
        <v>1971</v>
      </c>
      <c r="Z11" s="92">
        <v>40990</v>
      </c>
      <c r="AA11" s="93">
        <v>2967</v>
      </c>
    </row>
    <row r="12" spans="2:29">
      <c r="B12" s="92">
        <v>40991</v>
      </c>
      <c r="C12" s="93">
        <v>110</v>
      </c>
      <c r="E12" s="92">
        <v>40991</v>
      </c>
      <c r="F12" s="93">
        <v>265</v>
      </c>
      <c r="H12" s="92">
        <v>40991</v>
      </c>
      <c r="I12" s="93">
        <v>41</v>
      </c>
      <c r="K12" s="92">
        <v>40991</v>
      </c>
      <c r="L12" s="93">
        <v>3500</v>
      </c>
      <c r="N12" s="92">
        <v>40991</v>
      </c>
      <c r="O12" s="93">
        <v>55</v>
      </c>
      <c r="Q12" s="92">
        <v>40991</v>
      </c>
      <c r="R12" s="93">
        <v>630</v>
      </c>
      <c r="T12" s="92">
        <v>40991</v>
      </c>
      <c r="U12" s="93">
        <v>4575</v>
      </c>
      <c r="W12" s="92">
        <v>40991</v>
      </c>
      <c r="X12" s="93">
        <v>151</v>
      </c>
      <c r="Z12" s="92">
        <v>40991</v>
      </c>
      <c r="AA12" s="93">
        <v>360</v>
      </c>
    </row>
    <row r="13" spans="2:29">
      <c r="B13" s="92">
        <v>40992</v>
      </c>
      <c r="C13" s="93">
        <v>3010</v>
      </c>
      <c r="E13" s="92">
        <v>40992</v>
      </c>
      <c r="F13" s="93">
        <v>4135</v>
      </c>
      <c r="H13" s="92">
        <v>40992</v>
      </c>
      <c r="I13" s="93">
        <v>3814</v>
      </c>
      <c r="K13" s="92">
        <v>40992</v>
      </c>
      <c r="L13" s="93">
        <v>1121</v>
      </c>
      <c r="N13" s="92">
        <v>40992</v>
      </c>
      <c r="O13" s="93">
        <v>2797</v>
      </c>
      <c r="Q13" s="92">
        <v>40992</v>
      </c>
      <c r="R13" s="93">
        <v>348</v>
      </c>
      <c r="T13" s="92">
        <v>40992</v>
      </c>
      <c r="U13" s="93">
        <v>1431</v>
      </c>
      <c r="W13" s="92">
        <v>40992</v>
      </c>
      <c r="X13" s="93">
        <v>4914</v>
      </c>
      <c r="Z13" s="92">
        <v>40992</v>
      </c>
      <c r="AA13" s="93">
        <v>4596</v>
      </c>
    </row>
    <row r="14" spans="2:29">
      <c r="B14" s="92">
        <v>40993</v>
      </c>
      <c r="C14" s="93">
        <v>3715</v>
      </c>
      <c r="E14" s="92">
        <v>40993</v>
      </c>
      <c r="F14" s="93">
        <v>5117</v>
      </c>
      <c r="H14" s="92">
        <v>40993</v>
      </c>
      <c r="I14" s="93">
        <v>5037</v>
      </c>
      <c r="K14" s="92">
        <v>40993</v>
      </c>
      <c r="L14" s="93">
        <v>489</v>
      </c>
      <c r="N14" s="92">
        <v>40993</v>
      </c>
      <c r="O14" s="93">
        <v>4148</v>
      </c>
      <c r="Q14" s="92">
        <v>40993</v>
      </c>
      <c r="R14" s="93">
        <v>2881</v>
      </c>
      <c r="T14" s="92">
        <v>40993</v>
      </c>
      <c r="U14" s="93">
        <v>2566</v>
      </c>
      <c r="W14" s="92">
        <v>40993</v>
      </c>
      <c r="X14" s="93">
        <v>7905</v>
      </c>
      <c r="Z14" s="92">
        <v>40993</v>
      </c>
      <c r="AA14" s="93">
        <v>5539</v>
      </c>
    </row>
    <row r="15" spans="2:29">
      <c r="B15" s="92">
        <v>40994</v>
      </c>
      <c r="C15" s="93">
        <v>2161</v>
      </c>
      <c r="E15" s="92">
        <v>40994</v>
      </c>
      <c r="F15" s="93">
        <v>2330</v>
      </c>
      <c r="H15" s="92">
        <v>40994</v>
      </c>
      <c r="I15" s="93">
        <v>2079</v>
      </c>
      <c r="K15" s="92">
        <v>40994</v>
      </c>
      <c r="L15" s="93">
        <v>5144</v>
      </c>
      <c r="N15" s="92">
        <v>40994</v>
      </c>
      <c r="O15" s="93">
        <v>2231</v>
      </c>
      <c r="Q15" s="92">
        <v>40994</v>
      </c>
      <c r="R15" s="93">
        <v>1248</v>
      </c>
      <c r="T15" s="92">
        <v>40994</v>
      </c>
      <c r="U15" s="93">
        <v>5009</v>
      </c>
      <c r="W15" s="92">
        <v>40994</v>
      </c>
      <c r="X15" s="93">
        <v>2209</v>
      </c>
      <c r="Z15" s="92">
        <v>40994</v>
      </c>
      <c r="AA15" s="93">
        <v>2383</v>
      </c>
    </row>
    <row r="16" spans="2:29">
      <c r="B16" s="92">
        <v>40995</v>
      </c>
      <c r="C16" s="93">
        <v>2883</v>
      </c>
      <c r="E16" s="92">
        <v>40995</v>
      </c>
      <c r="F16" s="93">
        <v>3432</v>
      </c>
      <c r="H16" s="92">
        <v>40995</v>
      </c>
      <c r="I16" s="93">
        <v>2765</v>
      </c>
      <c r="K16" s="92">
        <v>40995</v>
      </c>
      <c r="L16" s="93">
        <v>3780</v>
      </c>
      <c r="N16" s="92">
        <v>40995</v>
      </c>
      <c r="O16" s="93">
        <v>2561</v>
      </c>
      <c r="Q16" s="92">
        <v>40995</v>
      </c>
      <c r="R16" s="93">
        <v>2833</v>
      </c>
      <c r="T16" s="92">
        <v>40995</v>
      </c>
      <c r="U16" s="93">
        <v>2691</v>
      </c>
      <c r="W16" s="92">
        <v>40995</v>
      </c>
      <c r="X16" s="93">
        <v>2931</v>
      </c>
      <c r="Z16" s="92">
        <v>40995</v>
      </c>
      <c r="AA16" s="93">
        <v>3804</v>
      </c>
    </row>
    <row r="17" spans="2:29">
      <c r="B17" s="92">
        <v>40996</v>
      </c>
      <c r="C17" s="93">
        <v>368</v>
      </c>
      <c r="E17" s="92">
        <v>40996</v>
      </c>
      <c r="F17" s="93">
        <v>589</v>
      </c>
      <c r="H17" s="92">
        <v>40996</v>
      </c>
      <c r="I17" s="93">
        <v>550</v>
      </c>
      <c r="K17" s="92">
        <v>40996</v>
      </c>
      <c r="L17" s="93">
        <v>585</v>
      </c>
      <c r="N17" s="92">
        <v>40996</v>
      </c>
      <c r="O17" s="93">
        <v>536</v>
      </c>
      <c r="Q17" s="92">
        <v>40996</v>
      </c>
      <c r="R17" s="93">
        <v>5412</v>
      </c>
      <c r="T17" s="92">
        <v>40996</v>
      </c>
      <c r="U17" s="93">
        <v>2752</v>
      </c>
      <c r="W17" s="92">
        <v>40996</v>
      </c>
      <c r="X17" s="93">
        <v>536</v>
      </c>
      <c r="Z17" s="92">
        <v>40996</v>
      </c>
      <c r="AA17" s="93">
        <v>672</v>
      </c>
    </row>
    <row r="18" spans="2:29">
      <c r="B18" s="92">
        <v>40997</v>
      </c>
      <c r="C18" s="93">
        <v>3246</v>
      </c>
      <c r="E18" s="92">
        <v>40997</v>
      </c>
      <c r="F18" s="93">
        <v>636</v>
      </c>
      <c r="H18" s="92">
        <v>40997</v>
      </c>
      <c r="I18" s="93">
        <v>2765</v>
      </c>
      <c r="K18" s="92">
        <v>40997</v>
      </c>
      <c r="L18" s="93">
        <v>4060</v>
      </c>
      <c r="N18" s="92">
        <v>40997</v>
      </c>
      <c r="O18" s="93">
        <v>3069</v>
      </c>
      <c r="Q18" s="92">
        <v>40997</v>
      </c>
      <c r="R18" s="93">
        <v>3123</v>
      </c>
      <c r="T18" s="92">
        <v>40997</v>
      </c>
      <c r="U18" s="93">
        <v>5054</v>
      </c>
      <c r="W18" s="92">
        <v>40997</v>
      </c>
      <c r="X18" s="93">
        <v>3721</v>
      </c>
      <c r="Z18" s="92">
        <v>40997</v>
      </c>
      <c r="AA18" s="93">
        <v>3326</v>
      </c>
    </row>
    <row r="19" spans="2:29">
      <c r="B19" s="92">
        <v>40998</v>
      </c>
      <c r="C19" s="93">
        <v>2803</v>
      </c>
      <c r="E19" s="92">
        <v>40998</v>
      </c>
      <c r="F19" s="93">
        <v>1932</v>
      </c>
      <c r="H19" s="92">
        <v>40998</v>
      </c>
      <c r="I19" s="93">
        <v>3122</v>
      </c>
      <c r="K19" s="92">
        <v>40998</v>
      </c>
      <c r="L19" s="93">
        <v>847</v>
      </c>
      <c r="N19" s="92">
        <v>40998</v>
      </c>
      <c r="O19" s="93">
        <v>1562</v>
      </c>
      <c r="Q19" s="92">
        <v>40998</v>
      </c>
      <c r="R19" s="93">
        <v>5800</v>
      </c>
      <c r="T19" s="92">
        <v>40998</v>
      </c>
      <c r="U19" s="93">
        <v>4581</v>
      </c>
      <c r="W19" s="92">
        <v>40998</v>
      </c>
      <c r="X19" s="93">
        <v>4736</v>
      </c>
      <c r="Z19" s="92">
        <v>40998</v>
      </c>
      <c r="AA19" s="93">
        <v>2831</v>
      </c>
    </row>
    <row r="20" spans="2:29">
      <c r="B20" s="92">
        <v>40999</v>
      </c>
      <c r="C20" s="93">
        <v>816</v>
      </c>
      <c r="E20" s="92">
        <v>40999</v>
      </c>
      <c r="F20" s="93">
        <v>292</v>
      </c>
      <c r="H20" s="92">
        <v>40999</v>
      </c>
      <c r="I20" s="93">
        <v>704</v>
      </c>
      <c r="K20" s="92">
        <v>40999</v>
      </c>
      <c r="L20" s="93">
        <v>3996</v>
      </c>
      <c r="N20" s="92">
        <v>40999</v>
      </c>
      <c r="O20" s="93">
        <v>904</v>
      </c>
      <c r="Q20" s="92">
        <v>40999</v>
      </c>
      <c r="R20" s="93">
        <v>2446</v>
      </c>
      <c r="T20" s="92">
        <v>40999</v>
      </c>
      <c r="U20" s="93">
        <v>4198</v>
      </c>
      <c r="W20" s="92">
        <v>40999</v>
      </c>
      <c r="X20" s="93">
        <v>44</v>
      </c>
      <c r="Z20" s="92">
        <v>40999</v>
      </c>
      <c r="AA20" s="93">
        <v>747</v>
      </c>
    </row>
    <row r="21" spans="2:29">
      <c r="B21" s="92">
        <v>41000</v>
      </c>
      <c r="C21" s="93">
        <v>1600</v>
      </c>
      <c r="E21" s="92">
        <v>41000</v>
      </c>
      <c r="F21" s="93">
        <v>1600</v>
      </c>
      <c r="H21" s="92">
        <v>41000</v>
      </c>
      <c r="I21" s="93">
        <v>1200</v>
      </c>
      <c r="K21" s="92">
        <v>41000</v>
      </c>
      <c r="L21" s="93">
        <v>4104</v>
      </c>
      <c r="N21" s="92">
        <v>41000</v>
      </c>
      <c r="O21" s="93">
        <v>3540</v>
      </c>
      <c r="Q21" s="92">
        <v>41000</v>
      </c>
      <c r="R21" s="93">
        <v>1924</v>
      </c>
      <c r="T21" s="92">
        <v>41000</v>
      </c>
      <c r="U21" s="93">
        <v>2891</v>
      </c>
      <c r="W21" s="92">
        <v>41000</v>
      </c>
      <c r="X21" s="93">
        <v>1896</v>
      </c>
      <c r="Z21" s="92">
        <v>41000</v>
      </c>
      <c r="AA21" s="93">
        <v>2000</v>
      </c>
    </row>
    <row r="22" spans="2:29">
      <c r="B22" s="92">
        <v>41001</v>
      </c>
      <c r="C22" s="93">
        <v>1650</v>
      </c>
      <c r="E22" s="92">
        <v>41001</v>
      </c>
      <c r="F22" s="93">
        <v>1650</v>
      </c>
      <c r="H22" s="92">
        <v>41001</v>
      </c>
      <c r="I22" s="93">
        <v>2135</v>
      </c>
      <c r="K22" s="92">
        <v>41001</v>
      </c>
      <c r="L22" s="93">
        <v>4576</v>
      </c>
      <c r="N22" s="92">
        <v>41001</v>
      </c>
      <c r="O22" s="93">
        <v>1800</v>
      </c>
      <c r="Q22" s="92">
        <v>41001</v>
      </c>
      <c r="R22" s="93">
        <v>230</v>
      </c>
      <c r="T22" s="92">
        <v>41001</v>
      </c>
      <c r="U22" s="93">
        <v>428</v>
      </c>
      <c r="W22" s="92">
        <v>41001</v>
      </c>
      <c r="X22" s="93">
        <v>1560</v>
      </c>
      <c r="Z22" s="92">
        <v>41001</v>
      </c>
      <c r="AA22" s="93">
        <v>2540</v>
      </c>
    </row>
    <row r="23" spans="2:29">
      <c r="B23" s="92">
        <v>41002</v>
      </c>
      <c r="C23" s="93">
        <v>1800</v>
      </c>
      <c r="E23" s="92">
        <v>41002</v>
      </c>
      <c r="F23" s="93">
        <v>1548</v>
      </c>
      <c r="H23" s="92">
        <v>41002</v>
      </c>
      <c r="I23" s="93">
        <v>3540</v>
      </c>
      <c r="K23" s="92">
        <v>41002</v>
      </c>
      <c r="L23" s="93">
        <v>3827</v>
      </c>
      <c r="N23" s="92">
        <v>41002</v>
      </c>
      <c r="O23" s="93">
        <v>1000</v>
      </c>
      <c r="Q23" s="92">
        <v>41002</v>
      </c>
      <c r="R23" s="93">
        <v>1405</v>
      </c>
      <c r="T23" s="92">
        <v>41002</v>
      </c>
      <c r="U23" s="93">
        <v>2541</v>
      </c>
      <c r="W23" s="92">
        <v>41002</v>
      </c>
      <c r="X23" s="93">
        <v>2416</v>
      </c>
      <c r="Z23" s="92">
        <v>41002</v>
      </c>
      <c r="AA23" s="93">
        <v>1800</v>
      </c>
    </row>
    <row r="24" spans="2:29">
      <c r="B24" s="92">
        <v>41003</v>
      </c>
      <c r="C24" s="93">
        <v>2000</v>
      </c>
      <c r="E24" s="92">
        <v>41003</v>
      </c>
      <c r="F24" s="93">
        <v>2000</v>
      </c>
      <c r="H24" s="92">
        <v>41003</v>
      </c>
      <c r="I24" s="93">
        <v>1800</v>
      </c>
      <c r="K24" s="92">
        <v>41003</v>
      </c>
      <c r="L24" s="93">
        <v>2100</v>
      </c>
      <c r="N24" s="92">
        <v>41003</v>
      </c>
      <c r="O24" s="93">
        <v>1600</v>
      </c>
      <c r="Q24" s="92">
        <v>41003</v>
      </c>
      <c r="R24" s="93">
        <v>275</v>
      </c>
      <c r="T24" s="92">
        <v>41003</v>
      </c>
      <c r="U24" s="93">
        <v>3262</v>
      </c>
      <c r="W24" s="92">
        <v>41003</v>
      </c>
      <c r="X24" s="93">
        <v>8900</v>
      </c>
      <c r="Z24" s="92">
        <v>41003</v>
      </c>
      <c r="AA24" s="93">
        <v>1230</v>
      </c>
    </row>
    <row r="25" spans="2:29">
      <c r="B25" s="92">
        <v>41004</v>
      </c>
      <c r="C25" s="93">
        <v>3540</v>
      </c>
      <c r="E25" s="92">
        <v>41004</v>
      </c>
      <c r="F25" s="93">
        <v>3540</v>
      </c>
      <c r="H25" s="92">
        <v>41004</v>
      </c>
      <c r="I25" s="93">
        <v>1140</v>
      </c>
      <c r="K25" s="92">
        <v>41004</v>
      </c>
      <c r="L25" s="93">
        <v>1576</v>
      </c>
      <c r="N25" s="92">
        <v>41004</v>
      </c>
      <c r="O25" s="93">
        <v>1400</v>
      </c>
      <c r="Q25" s="92">
        <v>41004</v>
      </c>
      <c r="R25" s="93">
        <v>5620</v>
      </c>
      <c r="T25" s="92">
        <v>41004</v>
      </c>
      <c r="U25" s="93">
        <v>3392</v>
      </c>
      <c r="W25" s="92">
        <v>41004</v>
      </c>
      <c r="X25" s="93">
        <v>1842</v>
      </c>
      <c r="Z25" s="92">
        <v>41004</v>
      </c>
      <c r="AA25" s="93">
        <v>1600</v>
      </c>
    </row>
    <row r="26" spans="2:29">
      <c r="B26" s="92">
        <v>41005</v>
      </c>
      <c r="C26" s="93">
        <v>1800</v>
      </c>
      <c r="E26" s="92">
        <v>41005</v>
      </c>
      <c r="F26" s="93">
        <v>2164</v>
      </c>
      <c r="H26" s="92">
        <v>41005</v>
      </c>
      <c r="I26" s="93">
        <v>1354</v>
      </c>
      <c r="K26" s="92">
        <v>41005</v>
      </c>
      <c r="L26" s="93">
        <v>1227</v>
      </c>
      <c r="N26" s="92">
        <v>41005</v>
      </c>
      <c r="O26" s="93">
        <v>1200</v>
      </c>
      <c r="Q26" s="92">
        <v>41005</v>
      </c>
      <c r="R26" s="93">
        <v>3798</v>
      </c>
      <c r="T26" s="92">
        <v>41005</v>
      </c>
      <c r="U26" s="93">
        <v>2217</v>
      </c>
      <c r="W26" s="92">
        <v>41005</v>
      </c>
      <c r="X26" s="93">
        <v>1650</v>
      </c>
      <c r="Z26" s="92">
        <v>41005</v>
      </c>
      <c r="AA26" s="93">
        <v>1400</v>
      </c>
    </row>
    <row r="27" spans="2:29">
      <c r="B27" s="92">
        <v>41006</v>
      </c>
      <c r="C27" s="93">
        <v>1150</v>
      </c>
      <c r="E27" s="92">
        <v>41006</v>
      </c>
      <c r="F27" s="93">
        <v>6200</v>
      </c>
      <c r="H27" s="92">
        <v>41006</v>
      </c>
      <c r="I27" s="93">
        <v>1400</v>
      </c>
      <c r="K27" s="92">
        <v>41006</v>
      </c>
      <c r="L27" s="93">
        <v>2550</v>
      </c>
      <c r="N27" s="92">
        <v>41006</v>
      </c>
      <c r="O27" s="93">
        <v>2135</v>
      </c>
      <c r="Q27" s="92">
        <v>41006</v>
      </c>
      <c r="R27" s="93">
        <v>4200</v>
      </c>
      <c r="T27" s="92">
        <v>41006</v>
      </c>
      <c r="U27" s="93">
        <v>3455</v>
      </c>
      <c r="W27" s="92">
        <v>41006</v>
      </c>
      <c r="X27" s="93">
        <v>2200</v>
      </c>
      <c r="Z27" s="92">
        <v>41006</v>
      </c>
      <c r="AA27" s="93">
        <v>2000</v>
      </c>
      <c r="AC27" s="84" t="s">
        <v>70</v>
      </c>
    </row>
    <row r="28" spans="2:29">
      <c r="B28" s="92">
        <v>41007</v>
      </c>
      <c r="C28" s="93">
        <v>1600</v>
      </c>
      <c r="E28" s="92">
        <v>41007</v>
      </c>
      <c r="F28" s="93">
        <v>6841</v>
      </c>
      <c r="H28" s="92">
        <v>41007</v>
      </c>
      <c r="I28" s="93">
        <v>2000</v>
      </c>
      <c r="K28" s="92">
        <v>41007</v>
      </c>
      <c r="L28" s="93">
        <v>2154</v>
      </c>
      <c r="N28" s="92">
        <v>41007</v>
      </c>
      <c r="O28" s="93">
        <v>3540</v>
      </c>
      <c r="Q28" s="92">
        <v>41007</v>
      </c>
      <c r="R28" s="93">
        <v>4707</v>
      </c>
      <c r="T28" s="92">
        <v>41007</v>
      </c>
      <c r="U28" s="93">
        <v>1558</v>
      </c>
      <c r="W28" s="92">
        <v>41007</v>
      </c>
      <c r="X28" s="93">
        <v>2358</v>
      </c>
      <c r="Z28" s="92">
        <v>41007</v>
      </c>
      <c r="AA28" s="93">
        <v>5426</v>
      </c>
    </row>
    <row r="29" spans="2:29">
      <c r="B29" s="92">
        <v>41008</v>
      </c>
      <c r="C29" s="93">
        <v>1258</v>
      </c>
      <c r="E29" s="92">
        <v>41008</v>
      </c>
      <c r="F29" s="93">
        <v>1650</v>
      </c>
      <c r="H29" s="92">
        <v>41008</v>
      </c>
      <c r="I29" s="93">
        <v>8540</v>
      </c>
      <c r="K29" s="92">
        <v>41008</v>
      </c>
      <c r="L29" s="93">
        <v>3425</v>
      </c>
      <c r="N29" s="92">
        <v>41008</v>
      </c>
      <c r="O29" s="93">
        <v>1800</v>
      </c>
      <c r="Q29" s="92">
        <v>41008</v>
      </c>
      <c r="R29" s="93">
        <v>3319</v>
      </c>
      <c r="T29" s="92">
        <v>41008</v>
      </c>
      <c r="U29" s="93">
        <v>4909</v>
      </c>
      <c r="W29" s="92">
        <v>41008</v>
      </c>
      <c r="X29" s="93">
        <v>1700</v>
      </c>
      <c r="Z29" s="92">
        <v>41008</v>
      </c>
      <c r="AA29" s="93">
        <v>1520</v>
      </c>
    </row>
    <row r="30" spans="2:29">
      <c r="B30" s="92">
        <v>41009</v>
      </c>
      <c r="C30" s="93">
        <v>2000</v>
      </c>
      <c r="E30" s="92">
        <v>41009</v>
      </c>
      <c r="F30" s="93">
        <v>1482</v>
      </c>
      <c r="H30" s="92">
        <v>41009</v>
      </c>
      <c r="I30" s="93">
        <v>1600</v>
      </c>
      <c r="K30" s="92">
        <v>41009</v>
      </c>
      <c r="L30" s="93">
        <v>3485</v>
      </c>
      <c r="N30" s="92">
        <v>41009</v>
      </c>
      <c r="O30" s="93">
        <v>1140</v>
      </c>
      <c r="Q30" s="92">
        <v>41009</v>
      </c>
      <c r="R30" s="93">
        <v>1042</v>
      </c>
      <c r="T30" s="92">
        <v>41009</v>
      </c>
      <c r="U30" s="93">
        <v>4174</v>
      </c>
      <c r="W30" s="92">
        <v>41009</v>
      </c>
      <c r="X30" s="93">
        <v>2687</v>
      </c>
      <c r="Z30" s="92">
        <v>41009</v>
      </c>
      <c r="AA30" s="93">
        <v>1750</v>
      </c>
    </row>
    <row r="31" spans="2:29">
      <c r="B31" s="92">
        <v>41010</v>
      </c>
      <c r="C31" s="93">
        <v>7500</v>
      </c>
      <c r="E31" s="92">
        <v>41010</v>
      </c>
      <c r="F31" s="93">
        <v>1600</v>
      </c>
      <c r="H31" s="92">
        <v>41010</v>
      </c>
      <c r="I31" s="93">
        <v>1724</v>
      </c>
      <c r="K31" s="92">
        <v>41010</v>
      </c>
      <c r="L31" s="93">
        <v>4621</v>
      </c>
      <c r="N31" s="92">
        <v>41010</v>
      </c>
      <c r="O31" s="93">
        <v>1650</v>
      </c>
      <c r="Q31" s="92">
        <v>41010</v>
      </c>
      <c r="R31" s="93">
        <v>4558</v>
      </c>
      <c r="T31" s="92">
        <v>41010</v>
      </c>
      <c r="U31" s="93">
        <v>1309</v>
      </c>
      <c r="W31" s="92">
        <v>41010</v>
      </c>
      <c r="X31" s="93">
        <v>9541</v>
      </c>
      <c r="Z31" s="92">
        <v>41010</v>
      </c>
      <c r="AA31" s="93">
        <v>4265</v>
      </c>
    </row>
    <row r="32" spans="2:29">
      <c r="B32" s="92">
        <v>41011</v>
      </c>
      <c r="C32" s="93">
        <v>2035</v>
      </c>
      <c r="E32" s="92">
        <v>41011</v>
      </c>
      <c r="F32" s="93">
        <v>2400</v>
      </c>
      <c r="H32" s="92">
        <v>41011</v>
      </c>
      <c r="I32" s="93">
        <v>6200</v>
      </c>
      <c r="K32" s="92">
        <v>41011</v>
      </c>
      <c r="L32" s="93">
        <v>3561</v>
      </c>
      <c r="N32" s="92">
        <v>41011</v>
      </c>
      <c r="O32" s="93">
        <v>1200</v>
      </c>
      <c r="Q32" s="92">
        <v>41011</v>
      </c>
      <c r="R32" s="93">
        <v>1304</v>
      </c>
      <c r="T32" s="92">
        <v>41011</v>
      </c>
      <c r="U32" s="93">
        <v>1570</v>
      </c>
      <c r="W32" s="92">
        <v>41011</v>
      </c>
      <c r="X32" s="93">
        <v>1600</v>
      </c>
      <c r="Z32" s="92">
        <v>41011</v>
      </c>
      <c r="AA32" s="93">
        <v>1254</v>
      </c>
    </row>
    <row r="33" spans="2:29">
      <c r="B33" s="92">
        <v>41012</v>
      </c>
      <c r="C33" s="93">
        <v>2000</v>
      </c>
      <c r="E33" s="92">
        <v>41012</v>
      </c>
      <c r="F33" s="93">
        <v>3500</v>
      </c>
      <c r="H33" s="92">
        <v>41012</v>
      </c>
      <c r="I33" s="93">
        <v>2000</v>
      </c>
      <c r="K33" s="92">
        <v>41012</v>
      </c>
      <c r="L33" s="93">
        <v>3725</v>
      </c>
      <c r="N33" s="92">
        <v>41012</v>
      </c>
      <c r="O33" s="93">
        <v>2000</v>
      </c>
      <c r="Q33" s="92">
        <v>41012</v>
      </c>
      <c r="R33" s="93">
        <v>5271</v>
      </c>
      <c r="T33" s="92">
        <v>41012</v>
      </c>
      <c r="U33" s="93">
        <v>3228</v>
      </c>
      <c r="W33" s="92">
        <v>41012</v>
      </c>
      <c r="X33" s="93">
        <v>1650</v>
      </c>
      <c r="Z33" s="92">
        <v>41012</v>
      </c>
      <c r="AA33" s="93">
        <v>536</v>
      </c>
    </row>
    <row r="34" spans="2:29">
      <c r="B34" s="92">
        <v>41013</v>
      </c>
      <c r="C34" s="93">
        <v>3540</v>
      </c>
      <c r="E34" s="92">
        <v>41013</v>
      </c>
      <c r="F34" s="93">
        <v>1200</v>
      </c>
      <c r="H34" s="92">
        <v>41013</v>
      </c>
      <c r="I34" s="93">
        <v>3540</v>
      </c>
      <c r="K34" s="92">
        <v>41013</v>
      </c>
      <c r="L34" s="93">
        <v>4200</v>
      </c>
      <c r="N34" s="92">
        <v>41013</v>
      </c>
      <c r="O34" s="93">
        <v>3540</v>
      </c>
      <c r="Q34" s="92">
        <v>41013</v>
      </c>
      <c r="R34" s="93">
        <v>2633</v>
      </c>
      <c r="T34" s="92">
        <v>41013</v>
      </c>
      <c r="U34" s="93">
        <v>4106</v>
      </c>
      <c r="W34" s="92">
        <v>41013</v>
      </c>
      <c r="X34" s="93">
        <v>2698</v>
      </c>
      <c r="Z34" s="92">
        <v>41013</v>
      </c>
      <c r="AA34" s="93">
        <v>3721</v>
      </c>
    </row>
    <row r="35" spans="2:29" ht="15" thickBot="1">
      <c r="B35" s="94">
        <v>41014</v>
      </c>
      <c r="C35" s="95">
        <v>1800</v>
      </c>
      <c r="E35" s="94">
        <v>41014</v>
      </c>
      <c r="F35" s="95">
        <v>1432</v>
      </c>
      <c r="H35" s="94">
        <v>41014</v>
      </c>
      <c r="I35" s="95">
        <v>1800</v>
      </c>
      <c r="K35" s="94">
        <v>41014</v>
      </c>
      <c r="L35" s="95">
        <v>2120</v>
      </c>
      <c r="N35" s="94">
        <v>41014</v>
      </c>
      <c r="O35" s="95">
        <v>3142</v>
      </c>
      <c r="Q35" s="94">
        <v>41014</v>
      </c>
      <c r="R35" s="95">
        <v>2650</v>
      </c>
      <c r="T35" s="94">
        <v>41014</v>
      </c>
      <c r="U35" s="95">
        <v>1420</v>
      </c>
      <c r="W35" s="94">
        <v>41014</v>
      </c>
      <c r="X35" s="95">
        <v>3652</v>
      </c>
      <c r="Z35" s="94">
        <v>41014</v>
      </c>
      <c r="AA35" s="95">
        <v>1584</v>
      </c>
    </row>
    <row r="36" spans="2:29" s="87" customFormat="1" ht="15" thickBot="1">
      <c r="B36" s="85" t="s">
        <v>42</v>
      </c>
      <c r="C36" s="86">
        <f>SUM(C4:C35)</f>
        <v>67450</v>
      </c>
      <c r="E36" s="85" t="s">
        <v>42</v>
      </c>
      <c r="F36" s="86">
        <f>SUM(F4:F35)</f>
        <v>71249</v>
      </c>
      <c r="H36" s="85" t="s">
        <v>42</v>
      </c>
      <c r="I36" s="86">
        <f>SUM(I4:I35)</f>
        <v>77679</v>
      </c>
      <c r="K36" s="85" t="s">
        <v>42</v>
      </c>
      <c r="L36" s="86">
        <f>SUM(L4:L35)</f>
        <v>88478</v>
      </c>
      <c r="N36" s="85" t="s">
        <v>42</v>
      </c>
      <c r="O36" s="86">
        <f>SUM(O4:O35)</f>
        <v>59636</v>
      </c>
      <c r="Q36" s="85" t="s">
        <v>42</v>
      </c>
      <c r="R36" s="86">
        <f>SUM(R4:R35)</f>
        <v>91098</v>
      </c>
      <c r="T36" s="85" t="s">
        <v>42</v>
      </c>
      <c r="U36" s="86">
        <f>SUM(U4:U35)</f>
        <v>91418</v>
      </c>
      <c r="W36" s="85" t="s">
        <v>42</v>
      </c>
      <c r="X36" s="86">
        <f>SUM(X4:X35)</f>
        <v>91530</v>
      </c>
      <c r="Z36" s="85" t="s">
        <v>42</v>
      </c>
      <c r="AA36" s="86">
        <f>SUM(AA4:AA35)</f>
        <v>73403</v>
      </c>
    </row>
    <row r="37" spans="2:29" ht="15" thickBot="1"/>
    <row r="38" spans="2:29" ht="56.4" customHeight="1">
      <c r="B38" s="88" t="s">
        <v>54</v>
      </c>
      <c r="C38" s="96">
        <f>C36</f>
        <v>67450</v>
      </c>
      <c r="D38" s="61"/>
      <c r="E38" s="88" t="s">
        <v>54</v>
      </c>
      <c r="F38" s="96">
        <f>F36</f>
        <v>71249</v>
      </c>
      <c r="G38" s="61"/>
      <c r="H38" s="88" t="s">
        <v>54</v>
      </c>
      <c r="I38" s="96">
        <f>I36</f>
        <v>77679</v>
      </c>
      <c r="J38" s="61"/>
      <c r="K38" s="88" t="s">
        <v>54</v>
      </c>
      <c r="L38" s="96">
        <f>L36</f>
        <v>88478</v>
      </c>
      <c r="M38" s="61"/>
      <c r="N38" s="88" t="s">
        <v>54</v>
      </c>
      <c r="O38" s="96">
        <f>O36</f>
        <v>59636</v>
      </c>
      <c r="P38" s="61"/>
      <c r="Q38" s="88" t="s">
        <v>54</v>
      </c>
      <c r="R38" s="96">
        <f>R36</f>
        <v>91098</v>
      </c>
      <c r="S38" s="61"/>
      <c r="T38" s="88" t="s">
        <v>54</v>
      </c>
      <c r="U38" s="96">
        <f>U36</f>
        <v>91418</v>
      </c>
      <c r="V38" s="61"/>
      <c r="W38" s="88" t="s">
        <v>54</v>
      </c>
      <c r="X38" s="96">
        <f>X36</f>
        <v>91530</v>
      </c>
      <c r="Y38" s="61"/>
      <c r="Z38" s="88" t="s">
        <v>54</v>
      </c>
      <c r="AA38" s="96">
        <f>AA36</f>
        <v>73403</v>
      </c>
      <c r="AB38" s="61"/>
      <c r="AC38" s="61"/>
    </row>
    <row r="39" spans="2:29" ht="52.75" customHeight="1">
      <c r="B39" s="89" t="s">
        <v>55</v>
      </c>
      <c r="C39" s="90">
        <f>SUM(C5:C35)</f>
        <v>67240</v>
      </c>
      <c r="D39" s="61"/>
      <c r="E39" s="89" t="s">
        <v>55</v>
      </c>
      <c r="F39" s="90">
        <f>SUM(F5:F35)</f>
        <v>71057</v>
      </c>
      <c r="G39" s="61"/>
      <c r="H39" s="89" t="s">
        <v>55</v>
      </c>
      <c r="I39" s="90">
        <f>SUM(I5:I35)</f>
        <v>77506</v>
      </c>
      <c r="J39" s="61"/>
      <c r="K39" s="89" t="s">
        <v>55</v>
      </c>
      <c r="L39" s="90">
        <f>SUM(L5:L35)</f>
        <v>88168</v>
      </c>
      <c r="M39" s="61"/>
      <c r="N39" s="89" t="s">
        <v>55</v>
      </c>
      <c r="O39" s="90">
        <f>SUM(O5:O35)</f>
        <v>59503</v>
      </c>
      <c r="P39" s="61"/>
      <c r="Q39" s="89" t="s">
        <v>55</v>
      </c>
      <c r="R39" s="90">
        <f>SUM(R5:R35)</f>
        <v>90833</v>
      </c>
      <c r="S39" s="61"/>
      <c r="T39" s="89" t="s">
        <v>55</v>
      </c>
      <c r="U39" s="90">
        <f>SUM(U5:U35)</f>
        <v>91138</v>
      </c>
      <c r="V39" s="61"/>
      <c r="W39" s="89" t="s">
        <v>55</v>
      </c>
      <c r="X39" s="90">
        <f>SUM(X5:X35)</f>
        <v>91266</v>
      </c>
      <c r="Y39" s="61"/>
      <c r="Z39" s="89" t="s">
        <v>55</v>
      </c>
      <c r="AA39" s="90">
        <f>SUM(AA5:AA35)</f>
        <v>73213</v>
      </c>
      <c r="AB39" s="61"/>
      <c r="AC39" s="61"/>
    </row>
    <row r="40" spans="2:29" ht="27.65" customHeight="1" thickBot="1">
      <c r="B40" s="91" t="s">
        <v>43</v>
      </c>
      <c r="C40" s="97">
        <f>C39/C38</f>
        <v>0.99688658265381769</v>
      </c>
      <c r="D40" s="61"/>
      <c r="E40" s="91" t="s">
        <v>43</v>
      </c>
      <c r="F40" s="97">
        <f>F39/F38</f>
        <v>0.9973052253364959</v>
      </c>
      <c r="G40" s="61"/>
      <c r="H40" s="91" t="s">
        <v>43</v>
      </c>
      <c r="I40" s="97">
        <f>I39/I38</f>
        <v>0.99777288585074475</v>
      </c>
      <c r="J40" s="61"/>
      <c r="K40" s="91" t="s">
        <v>43</v>
      </c>
      <c r="L40" s="97">
        <f>L39/L38</f>
        <v>0.99649630416600732</v>
      </c>
      <c r="M40" s="61"/>
      <c r="N40" s="91" t="s">
        <v>43</v>
      </c>
      <c r="O40" s="97">
        <f>O39/O38</f>
        <v>0.99776980347441147</v>
      </c>
      <c r="P40" s="61"/>
      <c r="Q40" s="91" t="s">
        <v>43</v>
      </c>
      <c r="R40" s="97">
        <f>R39/R38</f>
        <v>0.99709104480888711</v>
      </c>
      <c r="S40" s="61"/>
      <c r="T40" s="91" t="s">
        <v>43</v>
      </c>
      <c r="U40" s="97">
        <f>U39/U38</f>
        <v>0.99693714585748983</v>
      </c>
      <c r="V40" s="61"/>
      <c r="W40" s="91" t="s">
        <v>43</v>
      </c>
      <c r="X40" s="97">
        <f>X39/X38</f>
        <v>0.99711569977056702</v>
      </c>
      <c r="Y40" s="61"/>
      <c r="Z40" s="91" t="s">
        <v>43</v>
      </c>
      <c r="AA40" s="97">
        <f>AA39/AA38</f>
        <v>0.99741154993665104</v>
      </c>
      <c r="AB40" s="61"/>
      <c r="AC40" s="61"/>
    </row>
    <row r="41" spans="2:29">
      <c r="D41" s="61"/>
      <c r="G41" s="61"/>
      <c r="J41" s="61"/>
      <c r="M41" s="61"/>
      <c r="P41" s="61"/>
      <c r="S41" s="61"/>
      <c r="V41" s="61"/>
      <c r="Y41" s="61"/>
      <c r="AB41" s="61"/>
      <c r="AC41" s="61"/>
    </row>
    <row r="44" spans="2:29">
      <c r="V44" s="84" t="s">
        <v>44</v>
      </c>
      <c r="Y44" s="84" t="s">
        <v>44</v>
      </c>
      <c r="AB44" s="84" t="s">
        <v>44</v>
      </c>
    </row>
  </sheetData>
  <mergeCells count="9">
    <mergeCell ref="B2:C2"/>
    <mergeCell ref="H2:I2"/>
    <mergeCell ref="N2:O2"/>
    <mergeCell ref="W2:X2"/>
    <mergeCell ref="Z2:AA2"/>
    <mergeCell ref="K2:L2"/>
    <mergeCell ref="Q2:R2"/>
    <mergeCell ref="T2:U2"/>
    <mergeCell ref="E2:F2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4DD5-9F04-43E1-B65D-89DC0C62D9D3}">
  <dimension ref="B1:AA37"/>
  <sheetViews>
    <sheetView showGridLines="0" tabSelected="1" zoomScale="80" zoomScaleNormal="80" workbookViewId="0">
      <pane ySplit="2" topLeftCell="A42" activePane="bottomLeft" state="frozen"/>
      <selection pane="bottomLeft" activeCell="B55" sqref="B55"/>
    </sheetView>
  </sheetViews>
  <sheetFormatPr defaultColWidth="8.81640625" defaultRowHeight="14.5"/>
  <cols>
    <col min="1" max="1" width="4.6328125" style="61" customWidth="1"/>
    <col min="2" max="2" width="23.08984375" style="17" customWidth="1"/>
    <col min="3" max="3" width="16.81640625" style="84" customWidth="1"/>
    <col min="4" max="4" width="8.81640625" style="84"/>
    <col min="5" max="5" width="23.08984375" style="17" customWidth="1"/>
    <col min="6" max="6" width="16.81640625" style="84" customWidth="1"/>
    <col min="7" max="7" width="8.81640625" style="84"/>
    <col min="8" max="8" width="23.08984375" style="17" customWidth="1"/>
    <col min="9" max="9" width="16.81640625" style="84" customWidth="1"/>
    <col min="10" max="10" width="8.81640625" style="84"/>
    <col min="11" max="11" width="23.08984375" style="17" customWidth="1"/>
    <col min="12" max="12" width="16.81640625" style="84" customWidth="1"/>
    <col min="13" max="13" width="8.81640625" style="84"/>
    <col min="14" max="14" width="23.08984375" style="17" customWidth="1"/>
    <col min="15" max="15" width="16.81640625" style="84" customWidth="1"/>
    <col min="16" max="16" width="8.81640625" style="84"/>
    <col min="17" max="17" width="23.08984375" style="17" customWidth="1"/>
    <col min="18" max="18" width="16.81640625" style="84" customWidth="1"/>
    <col min="19" max="19" width="8.81640625" style="84"/>
    <col min="20" max="20" width="23.08984375" style="17" customWidth="1"/>
    <col min="21" max="21" width="16.81640625" style="84" customWidth="1"/>
    <col min="22" max="22" width="8.81640625" style="84"/>
    <col min="23" max="23" width="23.08984375" style="17" customWidth="1"/>
    <col min="24" max="24" width="16.81640625" style="84" customWidth="1"/>
    <col min="25" max="25" width="8.81640625" style="84"/>
    <col min="26" max="26" width="23.08984375" style="17" customWidth="1"/>
    <col min="27" max="27" width="16.81640625" style="84" customWidth="1"/>
    <col min="28" max="16384" width="8.81640625" style="61"/>
  </cols>
  <sheetData>
    <row r="1" spans="2:27" ht="15" thickBot="1">
      <c r="D1" s="61"/>
      <c r="G1" s="61"/>
      <c r="J1" s="61"/>
      <c r="M1" s="61"/>
      <c r="P1" s="61"/>
      <c r="S1" s="61"/>
      <c r="V1" s="61"/>
      <c r="Y1" s="61"/>
    </row>
    <row r="2" spans="2:27" ht="22.25" customHeight="1" thickBot="1">
      <c r="B2" s="178" t="s">
        <v>45</v>
      </c>
      <c r="C2" s="179"/>
      <c r="D2" s="61"/>
      <c r="E2" s="178" t="s">
        <v>46</v>
      </c>
      <c r="F2" s="179"/>
      <c r="G2" s="61"/>
      <c r="H2" s="178" t="s">
        <v>47</v>
      </c>
      <c r="I2" s="179"/>
      <c r="J2" s="61"/>
      <c r="K2" s="178" t="s">
        <v>48</v>
      </c>
      <c r="L2" s="179"/>
      <c r="M2" s="61"/>
      <c r="N2" s="178" t="s">
        <v>49</v>
      </c>
      <c r="O2" s="179"/>
      <c r="P2" s="61"/>
      <c r="Q2" s="178" t="s">
        <v>50</v>
      </c>
      <c r="R2" s="179"/>
      <c r="S2" s="61"/>
      <c r="T2" s="178" t="s">
        <v>51</v>
      </c>
      <c r="U2" s="179"/>
      <c r="V2" s="61"/>
      <c r="W2" s="178" t="s">
        <v>52</v>
      </c>
      <c r="X2" s="179"/>
      <c r="Y2" s="61"/>
      <c r="Z2" s="178" t="s">
        <v>53</v>
      </c>
      <c r="AA2" s="179"/>
    </row>
    <row r="3" spans="2:27" ht="27" customHeight="1" thickBot="1">
      <c r="B3" s="113" t="s">
        <v>64</v>
      </c>
      <c r="C3" s="114" t="s">
        <v>65</v>
      </c>
      <c r="D3" s="61"/>
      <c r="E3" s="113" t="s">
        <v>64</v>
      </c>
      <c r="F3" s="114" t="s">
        <v>65</v>
      </c>
      <c r="G3" s="61"/>
      <c r="H3" s="113" t="s">
        <v>64</v>
      </c>
      <c r="I3" s="114" t="s">
        <v>65</v>
      </c>
      <c r="J3" s="61"/>
      <c r="K3" s="113" t="s">
        <v>64</v>
      </c>
      <c r="L3" s="114" t="s">
        <v>65</v>
      </c>
      <c r="M3" s="61"/>
      <c r="N3" s="113" t="s">
        <v>64</v>
      </c>
      <c r="O3" s="114" t="s">
        <v>65</v>
      </c>
      <c r="P3" s="61"/>
      <c r="Q3" s="113" t="s">
        <v>64</v>
      </c>
      <c r="R3" s="114" t="s">
        <v>65</v>
      </c>
      <c r="S3" s="61"/>
      <c r="T3" s="113" t="s">
        <v>64</v>
      </c>
      <c r="U3" s="114" t="s">
        <v>65</v>
      </c>
      <c r="V3" s="61"/>
      <c r="W3" s="113" t="s">
        <v>64</v>
      </c>
      <c r="X3" s="114" t="s">
        <v>65</v>
      </c>
      <c r="Y3" s="61"/>
      <c r="Z3" s="113" t="s">
        <v>64</v>
      </c>
      <c r="AA3" s="114" t="s">
        <v>65</v>
      </c>
    </row>
    <row r="4" spans="2:27">
      <c r="B4" s="98">
        <v>43136</v>
      </c>
      <c r="C4" s="99">
        <v>5013</v>
      </c>
      <c r="D4" s="61"/>
      <c r="E4" s="98">
        <v>43136</v>
      </c>
      <c r="F4" s="99">
        <v>4283</v>
      </c>
      <c r="G4" s="61"/>
      <c r="H4" s="98">
        <v>43136</v>
      </c>
      <c r="I4" s="99">
        <v>9680</v>
      </c>
      <c r="J4" s="61"/>
      <c r="K4" s="98">
        <v>43136</v>
      </c>
      <c r="L4" s="99">
        <v>930</v>
      </c>
      <c r="M4" s="61"/>
      <c r="N4" s="98">
        <v>43136</v>
      </c>
      <c r="O4" s="99">
        <v>8375</v>
      </c>
      <c r="P4" s="61"/>
      <c r="Q4" s="98">
        <v>43136</v>
      </c>
      <c r="R4" s="99">
        <v>600</v>
      </c>
      <c r="S4" s="61"/>
      <c r="T4" s="98">
        <v>43136</v>
      </c>
      <c r="U4" s="99">
        <v>870</v>
      </c>
      <c r="V4" s="61"/>
      <c r="W4" s="98">
        <v>43136</v>
      </c>
      <c r="X4" s="99">
        <v>12204</v>
      </c>
      <c r="Y4" s="61"/>
      <c r="Z4" s="98">
        <v>43136</v>
      </c>
      <c r="AA4" s="99">
        <v>7554</v>
      </c>
    </row>
    <row r="5" spans="2:27">
      <c r="B5" s="92">
        <v>43137</v>
      </c>
      <c r="C5" s="93">
        <v>6535</v>
      </c>
      <c r="D5" s="61"/>
      <c r="E5" s="92">
        <v>43137</v>
      </c>
      <c r="F5" s="93">
        <v>6602</v>
      </c>
      <c r="G5" s="61"/>
      <c r="H5" s="92">
        <v>43137</v>
      </c>
      <c r="I5" s="93">
        <v>8781</v>
      </c>
      <c r="J5" s="61"/>
      <c r="K5" s="92">
        <v>43137</v>
      </c>
      <c r="L5" s="93">
        <v>90</v>
      </c>
      <c r="M5" s="61"/>
      <c r="N5" s="92">
        <v>43137</v>
      </c>
      <c r="O5" s="93">
        <v>5444</v>
      </c>
      <c r="P5" s="61"/>
      <c r="Q5" s="92">
        <v>43137</v>
      </c>
      <c r="R5" s="93">
        <v>360</v>
      </c>
      <c r="S5" s="61"/>
      <c r="T5" s="92">
        <v>43137</v>
      </c>
      <c r="U5" s="93">
        <v>210</v>
      </c>
      <c r="V5" s="61"/>
      <c r="W5" s="92">
        <v>43137</v>
      </c>
      <c r="X5" s="93">
        <v>11531</v>
      </c>
      <c r="Y5" s="61"/>
      <c r="Z5" s="92">
        <v>43137</v>
      </c>
      <c r="AA5" s="93">
        <v>5780</v>
      </c>
    </row>
    <row r="6" spans="2:27">
      <c r="B6" s="92">
        <v>43138</v>
      </c>
      <c r="C6" s="93">
        <v>1462</v>
      </c>
      <c r="D6" s="61"/>
      <c r="E6" s="92">
        <v>43138</v>
      </c>
      <c r="F6" s="93">
        <v>1545</v>
      </c>
      <c r="G6" s="61"/>
      <c r="H6" s="92">
        <v>43138</v>
      </c>
      <c r="I6" s="93">
        <v>2015</v>
      </c>
      <c r="J6" s="61"/>
      <c r="K6" s="92">
        <v>43138</v>
      </c>
      <c r="L6" s="93">
        <v>180</v>
      </c>
      <c r="M6" s="61"/>
      <c r="N6" s="92">
        <v>43138</v>
      </c>
      <c r="O6" s="93">
        <v>1175</v>
      </c>
      <c r="P6" s="61"/>
      <c r="Q6" s="92">
        <v>43138</v>
      </c>
      <c r="R6" s="93">
        <v>120</v>
      </c>
      <c r="S6" s="61"/>
      <c r="T6" s="92">
        <v>43138</v>
      </c>
      <c r="U6" s="93">
        <v>150</v>
      </c>
      <c r="V6" s="61"/>
      <c r="W6" s="92">
        <v>43138</v>
      </c>
      <c r="X6" s="93">
        <v>2444</v>
      </c>
      <c r="Y6" s="61"/>
      <c r="Z6" s="92">
        <v>43138</v>
      </c>
      <c r="AA6" s="93">
        <v>1126</v>
      </c>
    </row>
    <row r="7" spans="2:27">
      <c r="B7" s="92">
        <v>43139</v>
      </c>
      <c r="C7" s="93">
        <v>2729</v>
      </c>
      <c r="D7" s="61"/>
      <c r="E7" s="92">
        <v>43139</v>
      </c>
      <c r="F7" s="93">
        <v>3423</v>
      </c>
      <c r="G7" s="61"/>
      <c r="H7" s="92">
        <v>43139</v>
      </c>
      <c r="I7" s="93">
        <v>3857</v>
      </c>
      <c r="J7" s="61"/>
      <c r="K7" s="92">
        <v>43139</v>
      </c>
      <c r="L7" s="93">
        <v>2250</v>
      </c>
      <c r="M7" s="61"/>
      <c r="N7" s="92">
        <v>43139</v>
      </c>
      <c r="O7" s="93">
        <v>2076</v>
      </c>
      <c r="P7" s="61"/>
      <c r="Q7" s="92">
        <v>43139</v>
      </c>
      <c r="R7" s="93">
        <v>2220</v>
      </c>
      <c r="S7" s="61"/>
      <c r="T7" s="92">
        <v>43139</v>
      </c>
      <c r="U7" s="93">
        <v>3210</v>
      </c>
      <c r="V7" s="61"/>
      <c r="W7" s="92">
        <v>43139</v>
      </c>
      <c r="X7" s="93">
        <v>6049</v>
      </c>
      <c r="Y7" s="61"/>
      <c r="Z7" s="92">
        <v>43139</v>
      </c>
      <c r="AA7" s="93">
        <v>2758</v>
      </c>
    </row>
    <row r="8" spans="2:27">
      <c r="B8" s="92">
        <v>43140</v>
      </c>
      <c r="C8" s="93">
        <v>1534</v>
      </c>
      <c r="D8" s="61"/>
      <c r="E8" s="92">
        <v>43140</v>
      </c>
      <c r="F8" s="93">
        <v>1936</v>
      </c>
      <c r="G8" s="61"/>
      <c r="H8" s="92">
        <v>43140</v>
      </c>
      <c r="I8" s="93">
        <v>1147</v>
      </c>
      <c r="J8" s="61"/>
      <c r="K8" s="92">
        <v>43140</v>
      </c>
      <c r="L8" s="93">
        <v>990</v>
      </c>
      <c r="M8" s="61"/>
      <c r="N8" s="92">
        <v>43140</v>
      </c>
      <c r="O8" s="93">
        <v>1506</v>
      </c>
      <c r="P8" s="61"/>
      <c r="Q8" s="92">
        <v>43140</v>
      </c>
      <c r="R8" s="93">
        <v>780</v>
      </c>
      <c r="S8" s="61"/>
      <c r="T8" s="92">
        <v>43140</v>
      </c>
      <c r="U8" s="93">
        <v>930</v>
      </c>
      <c r="V8" s="61"/>
      <c r="W8" s="92">
        <v>43140</v>
      </c>
      <c r="X8" s="93">
        <v>1777</v>
      </c>
      <c r="Y8" s="61"/>
      <c r="Z8" s="92">
        <v>43140</v>
      </c>
      <c r="AA8" s="93">
        <v>1649</v>
      </c>
    </row>
    <row r="9" spans="2:27">
      <c r="B9" s="92">
        <v>43141</v>
      </c>
      <c r="C9" s="93">
        <v>3528</v>
      </c>
      <c r="D9" s="61"/>
      <c r="E9" s="92">
        <v>43141</v>
      </c>
      <c r="F9" s="93">
        <v>4081</v>
      </c>
      <c r="G9" s="61"/>
      <c r="H9" s="92">
        <v>43141</v>
      </c>
      <c r="I9" s="93">
        <v>5537</v>
      </c>
      <c r="J9" s="61"/>
      <c r="K9" s="92">
        <v>43141</v>
      </c>
      <c r="L9" s="93">
        <v>330</v>
      </c>
      <c r="M9" s="61"/>
      <c r="N9" s="92">
        <v>43141</v>
      </c>
      <c r="O9" s="93">
        <v>3273</v>
      </c>
      <c r="P9" s="61"/>
      <c r="Q9" s="92">
        <v>43141</v>
      </c>
      <c r="R9" s="93">
        <v>360</v>
      </c>
      <c r="S9" s="61"/>
      <c r="T9" s="92">
        <v>43141</v>
      </c>
      <c r="U9" s="93">
        <v>1250</v>
      </c>
      <c r="V9" s="61"/>
      <c r="W9" s="92">
        <v>43141</v>
      </c>
      <c r="X9" s="93">
        <v>7719</v>
      </c>
      <c r="Y9" s="61"/>
      <c r="Z9" s="92">
        <v>43141</v>
      </c>
      <c r="AA9" s="93">
        <v>4091</v>
      </c>
    </row>
    <row r="10" spans="2:27">
      <c r="B10" s="92">
        <v>43142</v>
      </c>
      <c r="C10" s="93">
        <v>7207</v>
      </c>
      <c r="E10" s="92">
        <v>43142</v>
      </c>
      <c r="F10" s="93">
        <v>6434</v>
      </c>
      <c r="H10" s="92">
        <v>43142</v>
      </c>
      <c r="I10" s="93">
        <v>5500</v>
      </c>
      <c r="K10" s="92">
        <v>43142</v>
      </c>
      <c r="L10" s="93">
        <v>360</v>
      </c>
      <c r="N10" s="92">
        <v>43142</v>
      </c>
      <c r="O10" s="93">
        <v>6439</v>
      </c>
      <c r="Q10" s="92">
        <v>43142</v>
      </c>
      <c r="R10" s="93">
        <v>390</v>
      </c>
      <c r="T10" s="92">
        <v>43142</v>
      </c>
      <c r="U10" s="93">
        <v>510</v>
      </c>
      <c r="W10" s="92">
        <v>43142</v>
      </c>
      <c r="X10" s="93">
        <v>11257</v>
      </c>
      <c r="Z10" s="92">
        <v>43142</v>
      </c>
      <c r="AA10" s="93">
        <v>6648</v>
      </c>
    </row>
    <row r="11" spans="2:27">
      <c r="B11" s="92">
        <v>43143</v>
      </c>
      <c r="C11" s="93">
        <v>4664</v>
      </c>
      <c r="E11" s="92">
        <v>43143</v>
      </c>
      <c r="F11" s="93">
        <v>4815</v>
      </c>
      <c r="H11" s="92">
        <v>43143</v>
      </c>
      <c r="I11" s="93">
        <v>5710</v>
      </c>
      <c r="K11" s="92">
        <v>43143</v>
      </c>
      <c r="L11" s="93">
        <v>450</v>
      </c>
      <c r="N11" s="92">
        <v>43143</v>
      </c>
      <c r="O11" s="93">
        <v>4087</v>
      </c>
      <c r="Q11" s="92">
        <v>43143</v>
      </c>
      <c r="R11" s="93">
        <v>210</v>
      </c>
      <c r="T11" s="92">
        <v>43143</v>
      </c>
      <c r="U11" s="93">
        <v>720</v>
      </c>
      <c r="W11" s="92">
        <v>43143</v>
      </c>
      <c r="X11" s="93">
        <v>8605</v>
      </c>
      <c r="Z11" s="92">
        <v>43143</v>
      </c>
      <c r="AA11" s="93">
        <v>3952</v>
      </c>
    </row>
    <row r="12" spans="2:27">
      <c r="B12" s="92">
        <v>43144</v>
      </c>
      <c r="C12" s="93">
        <v>8843</v>
      </c>
      <c r="E12" s="92">
        <v>43144</v>
      </c>
      <c r="F12" s="93">
        <v>8760</v>
      </c>
      <c r="H12" s="92">
        <v>43144</v>
      </c>
      <c r="I12" s="93">
        <v>8771</v>
      </c>
      <c r="K12" s="92">
        <v>43144</v>
      </c>
      <c r="L12" s="93">
        <v>390</v>
      </c>
      <c r="N12" s="92">
        <v>43144</v>
      </c>
      <c r="O12" s="93">
        <v>8246</v>
      </c>
      <c r="Q12" s="92">
        <v>43144</v>
      </c>
      <c r="R12" s="93">
        <v>840</v>
      </c>
      <c r="T12" s="92">
        <v>43144</v>
      </c>
      <c r="U12" s="93">
        <v>900</v>
      </c>
      <c r="W12" s="92">
        <v>43144</v>
      </c>
      <c r="X12" s="93">
        <v>10415</v>
      </c>
      <c r="Z12" s="92">
        <v>43144</v>
      </c>
      <c r="AA12" s="93">
        <v>8348</v>
      </c>
    </row>
    <row r="13" spans="2:27">
      <c r="B13" s="92">
        <v>43145</v>
      </c>
      <c r="C13" s="93">
        <v>11846</v>
      </c>
      <c r="E13" s="92">
        <v>43145</v>
      </c>
      <c r="F13" s="93">
        <v>10493</v>
      </c>
      <c r="H13" s="92">
        <v>43145</v>
      </c>
      <c r="I13" s="93">
        <v>10071</v>
      </c>
      <c r="K13" s="92">
        <v>43145</v>
      </c>
      <c r="L13" s="93">
        <v>2070</v>
      </c>
      <c r="N13" s="92">
        <v>43145</v>
      </c>
      <c r="O13" s="93">
        <v>10883</v>
      </c>
      <c r="Q13" s="92">
        <v>43145</v>
      </c>
      <c r="R13" s="93">
        <v>2400</v>
      </c>
      <c r="T13" s="92">
        <v>43145</v>
      </c>
      <c r="U13" s="93">
        <v>1920</v>
      </c>
      <c r="W13" s="92">
        <v>43145</v>
      </c>
      <c r="X13" s="93">
        <v>11217</v>
      </c>
      <c r="Z13" s="92">
        <v>43145</v>
      </c>
      <c r="AA13" s="93">
        <v>10146</v>
      </c>
    </row>
    <row r="14" spans="2:27">
      <c r="B14" s="92">
        <v>43146</v>
      </c>
      <c r="C14" s="93">
        <v>16579</v>
      </c>
      <c r="E14" s="92">
        <v>43146</v>
      </c>
      <c r="F14" s="93">
        <v>16229</v>
      </c>
      <c r="H14" s="92">
        <v>43146</v>
      </c>
      <c r="I14" s="93">
        <v>14575</v>
      </c>
      <c r="K14" s="92">
        <v>43146</v>
      </c>
      <c r="L14" s="93">
        <v>4050</v>
      </c>
      <c r="N14" s="92">
        <v>43146</v>
      </c>
      <c r="O14" s="93">
        <v>15029</v>
      </c>
      <c r="Q14" s="92">
        <v>43146</v>
      </c>
      <c r="R14" s="93">
        <v>5100</v>
      </c>
      <c r="T14" s="92">
        <v>43146</v>
      </c>
      <c r="U14" s="93">
        <v>4770</v>
      </c>
      <c r="W14" s="92">
        <v>43146</v>
      </c>
      <c r="X14" s="93">
        <v>16000</v>
      </c>
      <c r="Z14" s="92">
        <v>43146</v>
      </c>
      <c r="AA14" s="93">
        <v>14059</v>
      </c>
    </row>
    <row r="15" spans="2:27">
      <c r="B15" s="92">
        <v>43147</v>
      </c>
      <c r="C15" s="93">
        <v>14775</v>
      </c>
      <c r="E15" s="92">
        <v>43147</v>
      </c>
      <c r="F15" s="93">
        <v>14236</v>
      </c>
      <c r="H15" s="92">
        <v>43147</v>
      </c>
      <c r="I15" s="93">
        <v>13445</v>
      </c>
      <c r="K15" s="92">
        <v>43147</v>
      </c>
      <c r="L15" s="93">
        <v>3570</v>
      </c>
      <c r="N15" s="92">
        <v>43147</v>
      </c>
      <c r="O15" s="93">
        <v>8924</v>
      </c>
      <c r="Q15" s="92">
        <v>43147</v>
      </c>
      <c r="R15" s="93">
        <v>4290</v>
      </c>
      <c r="T15" s="92">
        <v>43147</v>
      </c>
      <c r="U15" s="93">
        <v>3780</v>
      </c>
      <c r="W15" s="92">
        <v>43147</v>
      </c>
      <c r="X15" s="93">
        <v>15114</v>
      </c>
      <c r="Z15" s="92">
        <v>43147</v>
      </c>
      <c r="AA15" s="93">
        <v>12594</v>
      </c>
    </row>
    <row r="16" spans="2:27">
      <c r="B16" s="92">
        <v>43148</v>
      </c>
      <c r="C16" s="93">
        <v>8902</v>
      </c>
      <c r="E16" s="92">
        <v>43148</v>
      </c>
      <c r="F16" s="93">
        <v>8279</v>
      </c>
      <c r="H16" s="92">
        <v>43148</v>
      </c>
      <c r="I16" s="93">
        <v>7571</v>
      </c>
      <c r="K16" s="92">
        <v>43148</v>
      </c>
      <c r="L16" s="93">
        <v>720</v>
      </c>
      <c r="N16" s="92">
        <v>43148</v>
      </c>
      <c r="O16" s="93">
        <v>7223</v>
      </c>
      <c r="Q16" s="92">
        <v>43148</v>
      </c>
      <c r="R16" s="93">
        <v>570</v>
      </c>
      <c r="T16" s="92">
        <v>43148</v>
      </c>
      <c r="U16" s="93">
        <v>510</v>
      </c>
      <c r="W16" s="92">
        <v>43148</v>
      </c>
      <c r="X16" s="93">
        <v>10697</v>
      </c>
      <c r="Z16" s="92">
        <v>43148</v>
      </c>
      <c r="AA16" s="93">
        <v>7223</v>
      </c>
    </row>
    <row r="17" spans="2:27">
      <c r="B17" s="92">
        <v>43149</v>
      </c>
      <c r="C17" s="93">
        <v>6149</v>
      </c>
      <c r="E17" s="92">
        <v>43149</v>
      </c>
      <c r="F17" s="93">
        <v>6731</v>
      </c>
      <c r="H17" s="92">
        <v>43149</v>
      </c>
      <c r="I17" s="93">
        <v>5876</v>
      </c>
      <c r="K17" s="92">
        <v>43149</v>
      </c>
      <c r="L17" s="93">
        <v>390</v>
      </c>
      <c r="N17" s="92">
        <v>43149</v>
      </c>
      <c r="O17" s="93">
        <v>5642</v>
      </c>
      <c r="Q17" s="92">
        <v>43149</v>
      </c>
      <c r="R17" s="93">
        <v>390</v>
      </c>
      <c r="T17" s="92">
        <v>43149</v>
      </c>
      <c r="U17" s="93">
        <v>360</v>
      </c>
      <c r="W17" s="92">
        <v>43149</v>
      </c>
      <c r="X17" s="93">
        <v>9090</v>
      </c>
      <c r="Z17" s="92">
        <v>43149</v>
      </c>
      <c r="AA17" s="93">
        <v>5318</v>
      </c>
    </row>
    <row r="18" spans="2:27">
      <c r="B18" s="92">
        <v>43150</v>
      </c>
      <c r="C18" s="93">
        <v>14281</v>
      </c>
      <c r="E18" s="92">
        <v>43150</v>
      </c>
      <c r="F18" s="93">
        <v>12406</v>
      </c>
      <c r="H18" s="92">
        <v>43150</v>
      </c>
      <c r="I18" s="93">
        <v>13204</v>
      </c>
      <c r="K18" s="92">
        <v>43150</v>
      </c>
      <c r="L18" s="93">
        <v>1020</v>
      </c>
      <c r="N18" s="92">
        <v>43150</v>
      </c>
      <c r="O18" s="93">
        <v>10152</v>
      </c>
      <c r="Q18" s="92">
        <v>43150</v>
      </c>
      <c r="R18" s="93">
        <v>990</v>
      </c>
      <c r="T18" s="92">
        <v>43150</v>
      </c>
      <c r="U18" s="93">
        <v>1170</v>
      </c>
      <c r="W18" s="92">
        <v>43150</v>
      </c>
      <c r="X18" s="93">
        <v>13120</v>
      </c>
      <c r="Z18" s="92">
        <v>43150</v>
      </c>
      <c r="AA18" s="93">
        <v>10473</v>
      </c>
    </row>
    <row r="19" spans="2:27">
      <c r="B19" s="92">
        <v>43151</v>
      </c>
      <c r="C19" s="93">
        <v>13702</v>
      </c>
      <c r="E19" s="92">
        <v>43151</v>
      </c>
      <c r="F19" s="93">
        <v>11934</v>
      </c>
      <c r="H19" s="92">
        <v>43151</v>
      </c>
      <c r="I19" s="93">
        <v>12739</v>
      </c>
      <c r="K19" s="92">
        <v>43151</v>
      </c>
      <c r="L19" s="93">
        <v>1080</v>
      </c>
      <c r="N19" s="92">
        <v>43151</v>
      </c>
      <c r="O19" s="93">
        <v>11361</v>
      </c>
      <c r="Q19" s="92">
        <v>43151</v>
      </c>
      <c r="R19" s="93">
        <v>1290</v>
      </c>
      <c r="T19" s="92">
        <v>43151</v>
      </c>
      <c r="U19" s="93">
        <v>1290</v>
      </c>
      <c r="W19" s="92">
        <v>43151</v>
      </c>
      <c r="X19" s="93">
        <v>14951</v>
      </c>
      <c r="Z19" s="92">
        <v>43151</v>
      </c>
      <c r="AA19" s="93">
        <v>11394</v>
      </c>
    </row>
    <row r="20" spans="2:27">
      <c r="B20" s="92">
        <v>43152</v>
      </c>
      <c r="C20" s="93">
        <v>11049</v>
      </c>
      <c r="E20" s="92">
        <v>43152</v>
      </c>
      <c r="F20" s="93">
        <v>10635</v>
      </c>
      <c r="H20" s="92">
        <v>43152</v>
      </c>
      <c r="I20" s="93">
        <v>11490</v>
      </c>
      <c r="K20" s="92">
        <v>43152</v>
      </c>
      <c r="L20" s="93">
        <v>1320</v>
      </c>
      <c r="N20" s="92">
        <v>43152</v>
      </c>
      <c r="O20" s="93">
        <v>8881</v>
      </c>
      <c r="Q20" s="92">
        <v>43152</v>
      </c>
      <c r="R20" s="93">
        <v>1530</v>
      </c>
      <c r="T20" s="92">
        <v>43152</v>
      </c>
      <c r="U20" s="93">
        <v>1620</v>
      </c>
      <c r="W20" s="92">
        <v>43152</v>
      </c>
      <c r="X20" s="93">
        <v>14292</v>
      </c>
      <c r="Z20" s="92">
        <v>43152</v>
      </c>
      <c r="AA20" s="93">
        <v>9818</v>
      </c>
    </row>
    <row r="21" spans="2:27">
      <c r="B21" s="92">
        <v>43153</v>
      </c>
      <c r="C21" s="93">
        <v>7232</v>
      </c>
      <c r="E21" s="92">
        <v>43153</v>
      </c>
      <c r="F21" s="93">
        <v>8462</v>
      </c>
      <c r="H21" s="92">
        <v>43153</v>
      </c>
      <c r="I21" s="93">
        <v>8599</v>
      </c>
      <c r="K21" s="92">
        <v>43153</v>
      </c>
      <c r="L21" s="93">
        <v>270</v>
      </c>
      <c r="N21" s="92">
        <v>43153</v>
      </c>
      <c r="O21" s="93">
        <v>5663</v>
      </c>
      <c r="Q21" s="92">
        <v>43153</v>
      </c>
      <c r="R21" s="93">
        <v>450</v>
      </c>
      <c r="T21" s="92">
        <v>43153</v>
      </c>
      <c r="U21" s="93">
        <v>600</v>
      </c>
      <c r="W21" s="92">
        <v>43153</v>
      </c>
      <c r="X21" s="93">
        <v>10127</v>
      </c>
      <c r="Z21" s="92">
        <v>43153</v>
      </c>
      <c r="AA21" s="93">
        <v>6577</v>
      </c>
    </row>
    <row r="22" spans="2:27">
      <c r="B22" s="92">
        <v>43154</v>
      </c>
      <c r="C22" s="93">
        <v>12505</v>
      </c>
      <c r="E22" s="92">
        <v>43154</v>
      </c>
      <c r="F22" s="93">
        <v>11483</v>
      </c>
      <c r="H22" s="92">
        <v>43154</v>
      </c>
      <c r="I22" s="93">
        <v>11163</v>
      </c>
      <c r="K22" s="92">
        <v>43154</v>
      </c>
      <c r="L22" s="93">
        <v>360</v>
      </c>
      <c r="N22" s="92">
        <v>43154</v>
      </c>
      <c r="O22" s="93">
        <v>8731</v>
      </c>
      <c r="Q22" s="92">
        <v>43154</v>
      </c>
      <c r="R22" s="93">
        <v>720</v>
      </c>
      <c r="T22" s="92">
        <v>43154</v>
      </c>
      <c r="U22" s="93">
        <v>960</v>
      </c>
      <c r="W22" s="92">
        <v>43154</v>
      </c>
      <c r="X22" s="93">
        <v>14218</v>
      </c>
      <c r="Z22" s="92">
        <v>43154</v>
      </c>
      <c r="AA22" s="93">
        <v>10060</v>
      </c>
    </row>
    <row r="23" spans="2:27">
      <c r="B23" s="92">
        <v>43155</v>
      </c>
      <c r="C23" s="93">
        <v>13138</v>
      </c>
      <c r="E23" s="92">
        <v>43155</v>
      </c>
      <c r="F23" s="93">
        <v>13592</v>
      </c>
      <c r="H23" s="92">
        <v>43155</v>
      </c>
      <c r="I23" s="93">
        <v>12347</v>
      </c>
      <c r="K23" s="92">
        <v>43155</v>
      </c>
      <c r="L23" s="93">
        <v>1890</v>
      </c>
      <c r="N23" s="92">
        <v>43155</v>
      </c>
      <c r="O23" s="93">
        <v>11366</v>
      </c>
      <c r="Q23" s="92">
        <v>43155</v>
      </c>
      <c r="R23" s="93">
        <v>1800</v>
      </c>
      <c r="T23" s="92">
        <v>43155</v>
      </c>
      <c r="U23" s="93">
        <v>1500</v>
      </c>
      <c r="W23" s="92">
        <v>43155</v>
      </c>
      <c r="X23" s="93">
        <v>13768</v>
      </c>
      <c r="Z23" s="92">
        <v>43155</v>
      </c>
      <c r="AA23" s="93">
        <v>11833</v>
      </c>
    </row>
    <row r="24" spans="2:27">
      <c r="B24" s="92">
        <v>43156</v>
      </c>
      <c r="C24" s="93">
        <v>16699</v>
      </c>
      <c r="E24" s="92">
        <v>43156</v>
      </c>
      <c r="F24" s="93">
        <v>16001</v>
      </c>
      <c r="H24" s="92">
        <v>43156</v>
      </c>
      <c r="I24" s="93">
        <v>13413</v>
      </c>
      <c r="K24" s="92">
        <v>43156</v>
      </c>
      <c r="L24" s="93">
        <v>2250</v>
      </c>
      <c r="N24" s="92">
        <v>43156</v>
      </c>
      <c r="O24" s="93">
        <v>15020</v>
      </c>
      <c r="Q24" s="92">
        <v>43156</v>
      </c>
      <c r="R24" s="93">
        <v>2820</v>
      </c>
      <c r="T24" s="92">
        <v>43156</v>
      </c>
      <c r="U24" s="93">
        <v>2730</v>
      </c>
      <c r="W24" s="92">
        <v>43156</v>
      </c>
      <c r="X24" s="93">
        <v>15653</v>
      </c>
      <c r="Z24" s="92">
        <v>43156</v>
      </c>
      <c r="AA24" s="93">
        <v>14438</v>
      </c>
    </row>
    <row r="25" spans="2:27">
      <c r="B25" s="92">
        <v>43157</v>
      </c>
      <c r="C25" s="93">
        <v>7918</v>
      </c>
      <c r="E25" s="92">
        <v>43157</v>
      </c>
      <c r="F25" s="93">
        <v>6921</v>
      </c>
      <c r="H25" s="92">
        <v>43157</v>
      </c>
      <c r="I25" s="93">
        <v>7948</v>
      </c>
      <c r="K25" s="92">
        <v>43157</v>
      </c>
      <c r="L25" s="93">
        <v>1950</v>
      </c>
      <c r="N25" s="92">
        <v>43157</v>
      </c>
      <c r="O25" s="93">
        <v>5427</v>
      </c>
      <c r="Q25" s="92">
        <v>43157</v>
      </c>
      <c r="R25" s="93">
        <v>2670</v>
      </c>
      <c r="T25" s="92">
        <v>43157</v>
      </c>
      <c r="U25" s="93">
        <v>2910</v>
      </c>
      <c r="W25" s="92">
        <v>43157</v>
      </c>
      <c r="X25" s="93">
        <v>11206</v>
      </c>
      <c r="Z25" s="92">
        <v>43157</v>
      </c>
      <c r="AA25" s="93">
        <v>6562</v>
      </c>
    </row>
    <row r="26" spans="2:27">
      <c r="B26" s="92">
        <v>43158</v>
      </c>
      <c r="C26" s="93">
        <v>15361</v>
      </c>
      <c r="E26" s="92">
        <v>43158</v>
      </c>
      <c r="F26" s="93">
        <v>7860</v>
      </c>
      <c r="H26" s="92">
        <v>43158</v>
      </c>
      <c r="I26" s="93">
        <v>12627</v>
      </c>
      <c r="K26" s="92">
        <v>43158</v>
      </c>
      <c r="L26" s="93">
        <v>2850</v>
      </c>
      <c r="N26" s="92">
        <v>43158</v>
      </c>
      <c r="O26" s="93">
        <v>13337</v>
      </c>
      <c r="Q26" s="92">
        <v>43158</v>
      </c>
      <c r="R26" s="93">
        <v>2910</v>
      </c>
      <c r="T26" s="92">
        <v>43158</v>
      </c>
      <c r="U26" s="93">
        <v>1830</v>
      </c>
      <c r="W26" s="92">
        <v>43158</v>
      </c>
      <c r="X26" s="93">
        <v>10616</v>
      </c>
      <c r="Z26" s="92">
        <v>43158</v>
      </c>
      <c r="AA26" s="93">
        <v>12849</v>
      </c>
    </row>
    <row r="27" spans="2:27">
      <c r="B27" s="92">
        <v>43159</v>
      </c>
      <c r="C27" s="93">
        <v>2459</v>
      </c>
      <c r="D27" s="84" t="s">
        <v>44</v>
      </c>
      <c r="E27" s="92">
        <v>43159</v>
      </c>
      <c r="F27" s="93">
        <v>274</v>
      </c>
      <c r="H27" s="92">
        <v>43159</v>
      </c>
      <c r="I27" s="93">
        <v>5750</v>
      </c>
      <c r="K27" s="92">
        <v>43159</v>
      </c>
      <c r="L27" s="93">
        <v>2650</v>
      </c>
      <c r="N27" s="92">
        <v>43159</v>
      </c>
      <c r="O27" s="93">
        <v>4498</v>
      </c>
      <c r="Q27" s="92">
        <v>43159</v>
      </c>
      <c r="R27" s="93">
        <v>3150</v>
      </c>
      <c r="T27" s="92">
        <v>43159</v>
      </c>
      <c r="U27" s="93">
        <v>2590</v>
      </c>
      <c r="W27" s="92">
        <v>43159</v>
      </c>
      <c r="X27" s="93">
        <v>11453</v>
      </c>
      <c r="Z27" s="92">
        <v>43159</v>
      </c>
      <c r="AA27" s="93">
        <v>6760</v>
      </c>
    </row>
    <row r="28" spans="2:27">
      <c r="B28" s="92">
        <v>43160</v>
      </c>
      <c r="C28" s="93">
        <v>6940</v>
      </c>
      <c r="E28" s="92">
        <v>43160</v>
      </c>
      <c r="F28" s="93">
        <v>5985</v>
      </c>
      <c r="H28" s="92">
        <v>43160</v>
      </c>
      <c r="I28" s="93">
        <v>6946</v>
      </c>
      <c r="K28" s="92">
        <v>43160</v>
      </c>
      <c r="L28" s="93">
        <v>2850</v>
      </c>
      <c r="N28" s="92">
        <v>43160</v>
      </c>
      <c r="O28" s="93">
        <v>3899</v>
      </c>
      <c r="Q28" s="92">
        <v>43160</v>
      </c>
      <c r="R28" s="93">
        <v>3360</v>
      </c>
      <c r="T28" s="92">
        <v>43160</v>
      </c>
      <c r="U28" s="93">
        <v>3840</v>
      </c>
      <c r="W28" s="92">
        <v>43160</v>
      </c>
      <c r="X28" s="93">
        <v>9218</v>
      </c>
      <c r="Z28" s="92">
        <v>43160</v>
      </c>
      <c r="AA28" s="93">
        <v>1595</v>
      </c>
    </row>
    <row r="29" spans="2:27">
      <c r="B29" s="92">
        <v>43161</v>
      </c>
      <c r="C29" s="93">
        <v>6746</v>
      </c>
      <c r="E29" s="92">
        <v>43161</v>
      </c>
      <c r="F29" s="93">
        <v>6382</v>
      </c>
      <c r="H29" s="92">
        <v>43161</v>
      </c>
      <c r="I29" s="93">
        <v>6644</v>
      </c>
      <c r="K29" s="92">
        <v>43161</v>
      </c>
      <c r="L29" s="93">
        <v>1380</v>
      </c>
      <c r="N29" s="92">
        <v>43161</v>
      </c>
      <c r="O29" s="93">
        <v>5017</v>
      </c>
      <c r="Q29" s="92">
        <v>43161</v>
      </c>
      <c r="R29" s="93">
        <v>1680</v>
      </c>
      <c r="T29" s="92">
        <v>43161</v>
      </c>
      <c r="U29" s="93">
        <v>2370</v>
      </c>
      <c r="W29" s="92">
        <v>43161</v>
      </c>
      <c r="X29" s="93">
        <v>8899</v>
      </c>
      <c r="Z29" s="92">
        <v>43161</v>
      </c>
      <c r="AA29" s="93">
        <v>6086</v>
      </c>
    </row>
    <row r="30" spans="2:27">
      <c r="B30" s="92">
        <v>43162</v>
      </c>
      <c r="C30" s="93">
        <v>5061</v>
      </c>
      <c r="E30" s="92">
        <v>43162</v>
      </c>
      <c r="F30" s="93">
        <v>5438</v>
      </c>
      <c r="H30" s="92">
        <v>43162</v>
      </c>
      <c r="I30" s="93">
        <v>6172</v>
      </c>
      <c r="K30" s="92">
        <v>43162</v>
      </c>
      <c r="L30" s="93">
        <v>630</v>
      </c>
      <c r="N30" s="92">
        <v>43162</v>
      </c>
      <c r="O30" s="93">
        <v>4591</v>
      </c>
      <c r="Q30" s="92">
        <v>43162</v>
      </c>
      <c r="R30" s="93">
        <v>750</v>
      </c>
      <c r="T30" s="92">
        <v>43162</v>
      </c>
      <c r="U30" s="93">
        <v>330</v>
      </c>
      <c r="W30" s="92">
        <v>43162</v>
      </c>
      <c r="X30" s="93">
        <v>7587</v>
      </c>
      <c r="Z30" s="92">
        <v>43162</v>
      </c>
      <c r="AA30" s="93">
        <v>4231</v>
      </c>
    </row>
    <row r="31" spans="2:27">
      <c r="B31" s="92">
        <v>43163</v>
      </c>
      <c r="C31" s="93">
        <v>2186</v>
      </c>
      <c r="E31" s="92">
        <v>43163</v>
      </c>
      <c r="F31" s="93">
        <v>2619</v>
      </c>
      <c r="H31" s="92">
        <v>43163</v>
      </c>
      <c r="I31" s="93">
        <v>2919</v>
      </c>
      <c r="K31" s="92">
        <v>43163</v>
      </c>
      <c r="L31" s="93">
        <v>840</v>
      </c>
      <c r="N31" s="92">
        <v>43163</v>
      </c>
      <c r="O31" s="93">
        <v>1793</v>
      </c>
      <c r="Q31" s="92">
        <v>43163</v>
      </c>
      <c r="R31" s="93">
        <v>1080</v>
      </c>
      <c r="T31" s="92">
        <v>43163</v>
      </c>
      <c r="U31" s="93">
        <v>1380</v>
      </c>
      <c r="W31" s="92">
        <v>43163</v>
      </c>
      <c r="X31" s="93">
        <v>3939</v>
      </c>
      <c r="Z31" s="92">
        <v>43163</v>
      </c>
      <c r="AA31" s="93">
        <v>2565</v>
      </c>
    </row>
    <row r="32" spans="2:27" ht="15" thickBot="1">
      <c r="B32" s="92">
        <v>43164</v>
      </c>
      <c r="C32" s="93">
        <v>1326</v>
      </c>
      <c r="E32" s="92">
        <v>43164</v>
      </c>
      <c r="F32" s="93">
        <v>3266</v>
      </c>
      <c r="H32" s="92">
        <v>43164</v>
      </c>
      <c r="I32" s="93">
        <v>3661</v>
      </c>
      <c r="K32" s="92">
        <v>43164</v>
      </c>
      <c r="L32" s="93">
        <v>810</v>
      </c>
      <c r="N32" s="92">
        <v>43164</v>
      </c>
      <c r="O32" s="93">
        <v>2366</v>
      </c>
      <c r="Q32" s="92">
        <v>43164</v>
      </c>
      <c r="R32" s="93">
        <v>810</v>
      </c>
      <c r="T32" s="92">
        <v>43164</v>
      </c>
      <c r="U32" s="93">
        <v>450</v>
      </c>
      <c r="W32" s="92">
        <v>43164</v>
      </c>
      <c r="X32" s="93">
        <v>4467</v>
      </c>
      <c r="Z32" s="92">
        <v>43164</v>
      </c>
      <c r="AA32" s="93">
        <v>2868</v>
      </c>
    </row>
    <row r="33" spans="2:27" ht="15" thickBot="1">
      <c r="B33" s="115" t="s">
        <v>42</v>
      </c>
      <c r="C33" s="116">
        <f>SUM(C4:C32)</f>
        <v>236369</v>
      </c>
      <c r="E33" s="115" t="s">
        <v>42</v>
      </c>
      <c r="F33" s="116">
        <f>SUM(F4:F32)</f>
        <v>221105</v>
      </c>
      <c r="H33" s="115" t="s">
        <v>42</v>
      </c>
      <c r="I33" s="116">
        <f>SUM(I4:I32)</f>
        <v>238158</v>
      </c>
      <c r="K33" s="115" t="s">
        <v>42</v>
      </c>
      <c r="L33" s="116">
        <f>SUM(L4:L32)</f>
        <v>38920</v>
      </c>
      <c r="N33" s="115" t="s">
        <v>42</v>
      </c>
      <c r="O33" s="116">
        <f>SUM(O4:O32)</f>
        <v>200424</v>
      </c>
      <c r="Q33" s="115" t="s">
        <v>42</v>
      </c>
      <c r="R33" s="116">
        <f>SUM(R4:R32)</f>
        <v>44640</v>
      </c>
      <c r="T33" s="115" t="s">
        <v>42</v>
      </c>
      <c r="U33" s="116">
        <f>SUM(U4:U32)</f>
        <v>45660</v>
      </c>
      <c r="W33" s="115" t="s">
        <v>42</v>
      </c>
      <c r="X33" s="116">
        <f>SUM(X4:X32)</f>
        <v>297633</v>
      </c>
      <c r="Z33" s="115" t="s">
        <v>42</v>
      </c>
      <c r="AA33" s="116">
        <f>SUM(AA4:AA32)</f>
        <v>209355</v>
      </c>
    </row>
    <row r="34" spans="2:27" ht="15" thickBot="1"/>
    <row r="35" spans="2:27" ht="51" customHeight="1">
      <c r="B35" s="88" t="s">
        <v>56</v>
      </c>
      <c r="C35" s="96">
        <f>C33</f>
        <v>236369</v>
      </c>
      <c r="E35" s="88" t="s">
        <v>56</v>
      </c>
      <c r="F35" s="96">
        <f>F33</f>
        <v>221105</v>
      </c>
      <c r="H35" s="88" t="s">
        <v>56</v>
      </c>
      <c r="I35" s="96">
        <f>I33</f>
        <v>238158</v>
      </c>
      <c r="K35" s="88" t="s">
        <v>56</v>
      </c>
      <c r="L35" s="96">
        <f>L33</f>
        <v>38920</v>
      </c>
      <c r="N35" s="88" t="s">
        <v>56</v>
      </c>
      <c r="O35" s="96">
        <f>O33</f>
        <v>200424</v>
      </c>
      <c r="Q35" s="88" t="s">
        <v>56</v>
      </c>
      <c r="R35" s="96">
        <f>R33</f>
        <v>44640</v>
      </c>
      <c r="T35" s="88" t="s">
        <v>56</v>
      </c>
      <c r="U35" s="96">
        <f>U33</f>
        <v>45660</v>
      </c>
      <c r="W35" s="88" t="s">
        <v>56</v>
      </c>
      <c r="X35" s="96">
        <f>X33</f>
        <v>297633</v>
      </c>
      <c r="Z35" s="88" t="s">
        <v>56</v>
      </c>
      <c r="AA35" s="96">
        <f>AA33</f>
        <v>209355</v>
      </c>
    </row>
    <row r="36" spans="2:27" ht="46.75" customHeight="1">
      <c r="B36" s="89" t="s">
        <v>57</v>
      </c>
      <c r="C36" s="90">
        <f>SUM(C4:C27)</f>
        <v>214110</v>
      </c>
      <c r="D36" s="117"/>
      <c r="E36" s="89" t="s">
        <v>57</v>
      </c>
      <c r="F36" s="90">
        <f>SUM(F4:F27)</f>
        <v>197415</v>
      </c>
      <c r="G36" s="117"/>
      <c r="H36" s="89" t="s">
        <v>57</v>
      </c>
      <c r="I36" s="90">
        <f>SUM(I4:I27)</f>
        <v>211816</v>
      </c>
      <c r="J36" s="117"/>
      <c r="K36" s="89" t="s">
        <v>57</v>
      </c>
      <c r="L36" s="90">
        <f>SUM(L4:L28)</f>
        <v>35260</v>
      </c>
      <c r="M36" s="117"/>
      <c r="N36" s="89" t="s">
        <v>57</v>
      </c>
      <c r="O36" s="90">
        <f>SUM(O4:O27)</f>
        <v>182758</v>
      </c>
      <c r="P36" s="117"/>
      <c r="Q36" s="89" t="s">
        <v>57</v>
      </c>
      <c r="R36" s="90">
        <f>SUM(R4:R27)</f>
        <v>36960</v>
      </c>
      <c r="S36" s="117"/>
      <c r="T36" s="89" t="s">
        <v>57</v>
      </c>
      <c r="U36" s="90">
        <f>SUM(U4:U27)</f>
        <v>37290</v>
      </c>
      <c r="V36" s="117"/>
      <c r="W36" s="89" t="s">
        <v>57</v>
      </c>
      <c r="X36" s="90">
        <f>SUM(X4:X27)</f>
        <v>263523</v>
      </c>
      <c r="Y36" s="117"/>
      <c r="Z36" s="89" t="s">
        <v>57</v>
      </c>
      <c r="AA36" s="90">
        <f>SUM(AA4:AA27)</f>
        <v>192010</v>
      </c>
    </row>
    <row r="37" spans="2:27" ht="43.75" customHeight="1" thickBot="1">
      <c r="B37" s="91" t="s">
        <v>43</v>
      </c>
      <c r="C37" s="97">
        <f>C36/C35</f>
        <v>0.90582944463952553</v>
      </c>
      <c r="D37" s="61"/>
      <c r="E37" s="91" t="s">
        <v>43</v>
      </c>
      <c r="F37" s="97">
        <f>F36/F35</f>
        <v>0.89285633522534547</v>
      </c>
      <c r="G37" s="61"/>
      <c r="H37" s="91" t="s">
        <v>43</v>
      </c>
      <c r="I37" s="97">
        <f>I36/I35</f>
        <v>0.88939275606950008</v>
      </c>
      <c r="J37" s="61"/>
      <c r="K37" s="91" t="s">
        <v>43</v>
      </c>
      <c r="L37" s="97">
        <f>L36/L35</f>
        <v>0.90596094552929085</v>
      </c>
      <c r="M37" s="61"/>
      <c r="N37" s="91" t="s">
        <v>43</v>
      </c>
      <c r="O37" s="97">
        <f>O36/O35</f>
        <v>0.91185686344948713</v>
      </c>
      <c r="P37" s="61"/>
      <c r="Q37" s="91" t="s">
        <v>43</v>
      </c>
      <c r="R37" s="97">
        <f>R36/R35</f>
        <v>0.82795698924731187</v>
      </c>
      <c r="S37" s="61"/>
      <c r="T37" s="91" t="s">
        <v>43</v>
      </c>
      <c r="U37" s="97">
        <f>U36/U35</f>
        <v>0.81668856767411302</v>
      </c>
      <c r="V37" s="61"/>
      <c r="W37" s="91" t="s">
        <v>43</v>
      </c>
      <c r="X37" s="97">
        <f>X36/X35</f>
        <v>0.8853957726461783</v>
      </c>
      <c r="Y37" s="61"/>
      <c r="Z37" s="91" t="s">
        <v>43</v>
      </c>
      <c r="AA37" s="97">
        <f>AA36/AA35</f>
        <v>0.91715029495354783</v>
      </c>
    </row>
  </sheetData>
  <mergeCells count="9">
    <mergeCell ref="Z2:AA2"/>
    <mergeCell ref="K2:L2"/>
    <mergeCell ref="Q2:R2"/>
    <mergeCell ref="T2:U2"/>
    <mergeCell ref="B2:C2"/>
    <mergeCell ref="E2:F2"/>
    <mergeCell ref="H2:I2"/>
    <mergeCell ref="N2:O2"/>
    <mergeCell ref="W2:X2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ER Calculation</vt:lpstr>
      <vt:lpstr>Generation Data </vt:lpstr>
      <vt:lpstr>Net Generation</vt:lpstr>
      <vt:lpstr>DGR March-2012</vt:lpstr>
      <vt:lpstr>DGR February-2018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EnKing</dc:creator>
  <cp:lastModifiedBy>hp</cp:lastModifiedBy>
  <cp:lastPrinted>2022-09-22T09:58:14Z</cp:lastPrinted>
  <dcterms:created xsi:type="dcterms:W3CDTF">2022-03-24T09:02:35Z</dcterms:created>
  <dcterms:modified xsi:type="dcterms:W3CDTF">2022-11-16T13:08:04Z</dcterms:modified>
</cp:coreProperties>
</file>