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defaultThemeVersion="166925"/>
  <mc:AlternateContent xmlns:mc="http://schemas.openxmlformats.org/markup-compatibility/2006">
    <mc:Choice Requires="x15">
      <x15ac:absPath xmlns:x15ac="http://schemas.microsoft.com/office/spreadsheetml/2010/11/ac" url="D:\ALL FILES VKU\My Projects\VCS_1709\Technical review closed documents VKU.VER.229.25_VCS_1709\TO QC\"/>
    </mc:Choice>
  </mc:AlternateContent>
  <xr:revisionPtr revIDLastSave="0" documentId="13_ncr:1_{A78E36BC-1ABF-40F6-8033-2D296C43F4AC}" xr6:coauthVersionLast="47" xr6:coauthVersionMax="47" xr10:uidLastSave="{00000000-0000-0000-0000-000000000000}"/>
  <bookViews>
    <workbookView xWindow="-110" yWindow="-110" windowWidth="19420" windowHeight="11020" xr2:uid="{840911E9-8AFF-4595-87C9-7D46EA7B7BD9}"/>
  </bookViews>
  <sheets>
    <sheet name="ER Calculation" sheetId="5" r:id="rId1"/>
    <sheet name="RB1" sheetId="2" r:id="rId2"/>
    <sheet name="RB2" sheetId="4" r:id="rId3"/>
    <sheet name="Calibration" sheetId="6" r:id="rId4"/>
  </sheets>
  <definedNames>
    <definedName name="_ftn1" localSheetId="0">'ER Calculation'!$B$32</definedName>
    <definedName name="_Hlk214290393" localSheetId="3">Calibration!$C$3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10" i="2" l="1"/>
  <c r="H4" i="2"/>
  <c r="H10" i="4"/>
  <c r="F10" i="4"/>
  <c r="F4" i="2" l="1"/>
  <c r="I23" i="5" l="1"/>
  <c r="I22" i="5"/>
  <c r="I24" i="5" s="1"/>
  <c r="I26" i="5" s="1"/>
  <c r="H24" i="5"/>
  <c r="H26" i="5" s="1"/>
  <c r="I15" i="5"/>
  <c r="I16" i="5"/>
  <c r="F15" i="4"/>
  <c r="G15" i="4"/>
  <c r="H15" i="4" s="1"/>
  <c r="I15" i="4" s="1"/>
  <c r="F14" i="4"/>
  <c r="G14" i="4" s="1"/>
  <c r="F13" i="4"/>
  <c r="G13" i="4"/>
  <c r="F12" i="4"/>
  <c r="G12" i="4"/>
  <c r="F11" i="4"/>
  <c r="G11" i="4"/>
  <c r="H11" i="4" s="1"/>
  <c r="F9" i="4"/>
  <c r="F22" i="2"/>
  <c r="G22" i="2"/>
  <c r="F21" i="2"/>
  <c r="I21" i="2" s="1"/>
  <c r="G21" i="2"/>
  <c r="H21" i="2"/>
  <c r="F20" i="2"/>
  <c r="G20" i="2" s="1"/>
  <c r="H20" i="2" s="1"/>
  <c r="I20" i="2" s="1"/>
  <c r="F19" i="2"/>
  <c r="F18" i="2"/>
  <c r="G18" i="2"/>
  <c r="H18" i="2"/>
  <c r="I18" i="2"/>
  <c r="F17" i="2"/>
  <c r="G17" i="2" s="1"/>
  <c r="F16" i="2"/>
  <c r="G16" i="2" s="1"/>
  <c r="H16" i="2" s="1"/>
  <c r="I16" i="2" s="1"/>
  <c r="F15" i="2"/>
  <c r="G15" i="2" s="1"/>
  <c r="F24" i="5"/>
  <c r="F26" i="5" s="1"/>
  <c r="G24" i="5"/>
  <c r="G26" i="5" s="1"/>
  <c r="E23" i="4"/>
  <c r="D23" i="4"/>
  <c r="F22" i="4"/>
  <c r="H15" i="2" l="1"/>
  <c r="I15" i="2" s="1"/>
  <c r="H22" i="2"/>
  <c r="I22" i="2" s="1"/>
  <c r="H17" i="2"/>
  <c r="I17" i="2" s="1"/>
  <c r="J17" i="2" s="1"/>
  <c r="H12" i="4"/>
  <c r="I12" i="4" s="1"/>
  <c r="H13" i="4"/>
  <c r="I13" i="4" s="1"/>
  <c r="H14" i="4"/>
  <c r="I14" i="4" s="1"/>
  <c r="I11" i="4"/>
  <c r="G10" i="4"/>
  <c r="I10" i="4" s="1"/>
  <c r="G9" i="4"/>
  <c r="H9" i="4" s="1"/>
  <c r="I9" i="4" s="1"/>
  <c r="G19" i="2"/>
  <c r="H19" i="2" s="1"/>
  <c r="I19" i="2" s="1"/>
  <c r="F21" i="4"/>
  <c r="F20" i="4"/>
  <c r="F19" i="4"/>
  <c r="F18" i="4"/>
  <c r="F17" i="4"/>
  <c r="F16" i="4"/>
  <c r="F8" i="4"/>
  <c r="F7" i="4"/>
  <c r="F6" i="4"/>
  <c r="F5" i="4"/>
  <c r="F4" i="4"/>
  <c r="G6" i="4" l="1"/>
  <c r="H6" i="4" s="1"/>
  <c r="I6" i="4" s="1"/>
  <c r="G8" i="4"/>
  <c r="H8" i="4" s="1"/>
  <c r="I8" i="4" s="1"/>
  <c r="G17" i="4"/>
  <c r="H17" i="4" s="1"/>
  <c r="I17" i="4" s="1"/>
  <c r="G19" i="4"/>
  <c r="H19" i="4" s="1"/>
  <c r="I19" i="4" s="1"/>
  <c r="G21" i="4"/>
  <c r="H21" i="4" s="1"/>
  <c r="I21" i="4" s="1"/>
  <c r="G4" i="4"/>
  <c r="H4" i="4" s="1"/>
  <c r="I4" i="4" s="1"/>
  <c r="J4" i="4" s="1"/>
  <c r="G7" i="4"/>
  <c r="H7" i="4" s="1"/>
  <c r="I7" i="4" s="1"/>
  <c r="G22" i="4"/>
  <c r="H22" i="4" s="1"/>
  <c r="I22" i="4" s="1"/>
  <c r="F23" i="4"/>
  <c r="G16" i="4"/>
  <c r="H16" i="4" s="1"/>
  <c r="I16" i="4" s="1"/>
  <c r="G18" i="4"/>
  <c r="H18" i="4" s="1"/>
  <c r="I18" i="4" s="1"/>
  <c r="G20" i="4"/>
  <c r="H20" i="4" s="1"/>
  <c r="I20" i="4" s="1"/>
  <c r="G5" i="4"/>
  <c r="H5" i="4" s="1"/>
  <c r="I5" i="4" s="1"/>
  <c r="J17" i="4" l="1"/>
  <c r="H12" i="5" s="1"/>
  <c r="J5" i="4"/>
  <c r="I23" i="4"/>
  <c r="H14" i="5" l="1"/>
  <c r="H17" i="5" s="1"/>
  <c r="J23" i="4"/>
  <c r="F5" i="2"/>
  <c r="F6" i="2"/>
  <c r="F7" i="2"/>
  <c r="F8" i="2"/>
  <c r="F9" i="2"/>
  <c r="F10" i="2"/>
  <c r="F11" i="2"/>
  <c r="F12" i="2"/>
  <c r="F13" i="2"/>
  <c r="F14" i="2"/>
  <c r="E23" i="2"/>
  <c r="D23" i="2"/>
  <c r="H21" i="5" l="1"/>
  <c r="H27" i="5" s="1"/>
  <c r="G11" i="2"/>
  <c r="H11" i="2" s="1"/>
  <c r="I11" i="2" s="1"/>
  <c r="G7" i="2"/>
  <c r="H7" i="2" s="1"/>
  <c r="I7" i="2" s="1"/>
  <c r="G4" i="2"/>
  <c r="I4" i="2" s="1"/>
  <c r="J4" i="2" s="1"/>
  <c r="G12" i="2"/>
  <c r="H12" i="2" s="1"/>
  <c r="I12" i="2" s="1"/>
  <c r="G8" i="2"/>
  <c r="H8" i="2" s="1"/>
  <c r="I8" i="2" s="1"/>
  <c r="G14" i="2"/>
  <c r="H14" i="2" s="1"/>
  <c r="I14" i="2" s="1"/>
  <c r="G10" i="2"/>
  <c r="H10" i="2" s="1"/>
  <c r="I10" i="2" s="1"/>
  <c r="G6" i="2"/>
  <c r="H6" i="2" s="1"/>
  <c r="I6" i="2" s="1"/>
  <c r="G13" i="2"/>
  <c r="H13" i="2" s="1"/>
  <c r="I13" i="2" s="1"/>
  <c r="G9" i="2"/>
  <c r="H9" i="2" s="1"/>
  <c r="I9" i="2" s="1"/>
  <c r="G5" i="2"/>
  <c r="H5" i="2" s="1"/>
  <c r="I5" i="2" s="1"/>
  <c r="F23" i="2"/>
  <c r="J5" i="2" l="1"/>
  <c r="F12" i="5"/>
  <c r="J23" i="2" l="1"/>
  <c r="G12" i="5"/>
  <c r="G14" i="5" s="1"/>
  <c r="F14" i="5"/>
  <c r="I12" i="5"/>
  <c r="I23" i="2"/>
  <c r="F17" i="5" l="1"/>
  <c r="I14" i="5"/>
  <c r="G17" i="5"/>
  <c r="G21" i="5" s="1"/>
  <c r="G27" i="5" s="1"/>
  <c r="I17" i="5" l="1"/>
  <c r="I21" i="5" s="1"/>
  <c r="F21" i="5"/>
  <c r="F27" i="5" s="1"/>
  <c r="I27" i="5"/>
</calcChain>
</file>

<file path=xl/sharedStrings.xml><?xml version="1.0" encoding="utf-8"?>
<sst xmlns="http://schemas.openxmlformats.org/spreadsheetml/2006/main" count="131" uniqueCount="80">
  <si>
    <t>Billing Cycle</t>
  </si>
  <si>
    <t>Net Electricity Generated 
as per JMR  (KWh)</t>
  </si>
  <si>
    <t>Net Electricity Generated (KWh)</t>
  </si>
  <si>
    <t xml:space="preserve">Vintage Wise </t>
  </si>
  <si>
    <t>From</t>
  </si>
  <si>
    <t>To</t>
  </si>
  <si>
    <t>Net Electricity Breakup (MWh)</t>
  </si>
  <si>
    <t>Total</t>
  </si>
  <si>
    <t>Note - Although the Billing Cycle is from 1st day of every month to 1st day of the next month as per the JMR, The Bill is generated for the 1st day of every month to the last day of that particular month as the readings are based on the 12-O-clock midnight readings taken on the last day of every month. So, the monthly readings are considered for all the months as mentioned above and not the 1st day of the next month. In the table above the Monthly billing cycle is considered as per the Invoices for better understanding.</t>
  </si>
  <si>
    <t>Export (Reverse)
(in KWh)</t>
  </si>
  <si>
    <t>Import (Forward)
(in KWh)</t>
  </si>
  <si>
    <t>JMR</t>
  </si>
  <si>
    <t>Invoice</t>
  </si>
  <si>
    <t>140 MW SOLAR PHOTOVOLTAIC PROJECT IN RAJASTHAN</t>
  </si>
  <si>
    <t>Year</t>
  </si>
  <si>
    <t>VCS ID</t>
  </si>
  <si>
    <t>Project Title</t>
  </si>
  <si>
    <t>Monitoring Period</t>
  </si>
  <si>
    <t>Monitoring Report Version</t>
  </si>
  <si>
    <t>Monitoring Report Date</t>
  </si>
  <si>
    <t>Parameter</t>
  </si>
  <si>
    <t>Unit</t>
  </si>
  <si>
    <t>MWh</t>
  </si>
  <si>
    <t>Baseline Emission</t>
  </si>
  <si>
    <t>Project Emission</t>
  </si>
  <si>
    <t>Leakage Emission</t>
  </si>
  <si>
    <t>Monitoring Period Start Date</t>
  </si>
  <si>
    <t>Monitoring Period End Date</t>
  </si>
  <si>
    <t>Total Days</t>
  </si>
  <si>
    <t>days</t>
  </si>
  <si>
    <t xml:space="preserve">Variation in the emission reduction </t>
  </si>
  <si>
    <t>%</t>
  </si>
  <si>
    <t>Symbol</t>
  </si>
  <si>
    <t>Net Electricity exported by the project activity</t>
  </si>
  <si>
    <t>Baseline emission factor</t>
  </si>
  <si>
    <r>
      <t>Emission Reductions (tCO</t>
    </r>
    <r>
      <rPr>
        <vertAlign val="subscript"/>
        <sz val="10"/>
        <rFont val="Verdana"/>
        <family val="2"/>
      </rPr>
      <t>2</t>
    </r>
    <r>
      <rPr>
        <sz val="10"/>
        <rFont val="Verdana"/>
        <family val="2"/>
      </rPr>
      <t>)= Baseline emission-Project emissions-Leakage Emission</t>
    </r>
  </si>
  <si>
    <r>
      <t>tCO</t>
    </r>
    <r>
      <rPr>
        <vertAlign val="subscript"/>
        <sz val="10"/>
        <rFont val="Verdana"/>
        <family val="2"/>
      </rPr>
      <t>2</t>
    </r>
    <r>
      <rPr>
        <sz val="10"/>
        <rFont val="Verdana"/>
        <family val="2"/>
      </rPr>
      <t>/MWh</t>
    </r>
  </si>
  <si>
    <r>
      <t>tCO</t>
    </r>
    <r>
      <rPr>
        <vertAlign val="subscript"/>
        <sz val="10"/>
        <rFont val="Verdana"/>
        <family val="2"/>
      </rPr>
      <t>2</t>
    </r>
    <r>
      <rPr>
        <sz val="10"/>
        <rFont val="Verdana"/>
        <family val="2"/>
      </rPr>
      <t>e</t>
    </r>
  </si>
  <si>
    <r>
      <t>Estimated Emission Reduction as per registered PDD (tCO</t>
    </r>
    <r>
      <rPr>
        <vertAlign val="subscript"/>
        <sz val="10"/>
        <rFont val="Verdana"/>
        <family val="2"/>
      </rPr>
      <t>2</t>
    </r>
    <r>
      <rPr>
        <sz val="10"/>
        <rFont val="Verdana"/>
        <family val="2"/>
      </rPr>
      <t xml:space="preserve">e/year) </t>
    </r>
  </si>
  <si>
    <r>
      <t>EG</t>
    </r>
    <r>
      <rPr>
        <vertAlign val="subscript"/>
        <sz val="10"/>
        <rFont val="Verdana"/>
        <family val="2"/>
      </rPr>
      <t>PJ,y</t>
    </r>
  </si>
  <si>
    <r>
      <t>EF</t>
    </r>
    <r>
      <rPr>
        <vertAlign val="subscript"/>
        <sz val="10"/>
        <rFont val="Verdana"/>
        <family val="2"/>
      </rPr>
      <t>grid,CM,y</t>
    </r>
  </si>
  <si>
    <r>
      <t>BE</t>
    </r>
    <r>
      <rPr>
        <vertAlign val="subscript"/>
        <sz val="10"/>
        <rFont val="Verdana"/>
        <family val="2"/>
      </rPr>
      <t>y</t>
    </r>
    <r>
      <rPr>
        <sz val="10"/>
        <rFont val="Verdana"/>
        <family val="2"/>
      </rPr>
      <t xml:space="preserve"> = EG</t>
    </r>
    <r>
      <rPr>
        <vertAlign val="subscript"/>
        <sz val="10"/>
        <rFont val="Verdana"/>
        <family val="2"/>
      </rPr>
      <t>PJ,y</t>
    </r>
    <r>
      <rPr>
        <sz val="10"/>
        <rFont val="Verdana"/>
        <family val="2"/>
      </rPr>
      <t>* EF</t>
    </r>
    <r>
      <rPr>
        <vertAlign val="subscript"/>
        <sz val="10"/>
        <rFont val="Verdana"/>
        <family val="2"/>
      </rPr>
      <t>grid,CM,y</t>
    </r>
  </si>
  <si>
    <r>
      <t>PE</t>
    </r>
    <r>
      <rPr>
        <vertAlign val="subscript"/>
        <sz val="10"/>
        <rFont val="Verdana"/>
        <family val="2"/>
      </rPr>
      <t>y</t>
    </r>
  </si>
  <si>
    <r>
      <t>LE</t>
    </r>
    <r>
      <rPr>
        <vertAlign val="subscript"/>
        <sz val="10"/>
        <rFont val="Verdana"/>
        <family val="2"/>
      </rPr>
      <t>y</t>
    </r>
  </si>
  <si>
    <r>
      <t>ER</t>
    </r>
    <r>
      <rPr>
        <vertAlign val="subscript"/>
        <sz val="10"/>
        <rFont val="Verdana"/>
        <family val="2"/>
      </rPr>
      <t>y</t>
    </r>
  </si>
  <si>
    <t>Description</t>
  </si>
  <si>
    <t>Year 2023</t>
  </si>
  <si>
    <t>For Complete Monitoring Period</t>
  </si>
  <si>
    <t>Emission Reduction as per the registererd PDD for current monitoring period</t>
  </si>
  <si>
    <t>tCO2e/Year</t>
  </si>
  <si>
    <t>Actual Emission Reduction considering the monitoring period</t>
  </si>
  <si>
    <t>Net Electricity Generated 
as per Invoice  (KWh)</t>
  </si>
  <si>
    <t>Loss 1%</t>
  </si>
  <si>
    <t>01/12/2023 to 31/12/2023</t>
  </si>
  <si>
    <t>01/01/2024 to 31/12/2024</t>
  </si>
  <si>
    <t>01/01/2025 to 30/06/2025</t>
  </si>
  <si>
    <t>Year 2024</t>
  </si>
  <si>
    <t>01-12-2023  to 30-06-2025</t>
  </si>
  <si>
    <t>Year 2025</t>
  </si>
  <si>
    <t>Make</t>
  </si>
  <si>
    <t>L&amp;T</t>
  </si>
  <si>
    <t>.</t>
  </si>
  <si>
    <r>
      <t>The achieved GHG emission reduction 374,630 is 2.07% lower than the estimated value which is 382,545 tCO</t>
    </r>
    <r>
      <rPr>
        <vertAlign val="subscript"/>
        <sz val="10"/>
        <color theme="1"/>
        <rFont val="Verdana"/>
        <family val="2"/>
      </rPr>
      <t>2</t>
    </r>
    <r>
      <rPr>
        <sz val="10"/>
        <color theme="1"/>
        <rFont val="Verdana"/>
        <family val="2"/>
      </rPr>
      <t xml:space="preserve">e. This is due to the lower number of sunshine hours. The generation of electricity depends upon many other climatic conditions, and not within the control of the project participant. </t>
    </r>
  </si>
  <si>
    <t>01-December-2023 to 30-June-2025 (first and last date included).</t>
  </si>
  <si>
    <t>Particular</t>
  </si>
  <si>
    <t>Meter Serial No.</t>
  </si>
  <si>
    <t>Accuracy Class</t>
  </si>
  <si>
    <t>Calibration Date</t>
  </si>
  <si>
    <t>Validity</t>
  </si>
  <si>
    <t>Rising Bhadla 1 Pvt Ltd (70 MW)</t>
  </si>
  <si>
    <t>Main Meter</t>
  </si>
  <si>
    <t>0.2 s</t>
  </si>
  <si>
    <t>14-October-2022, 27- October-2023</t>
  </si>
  <si>
    <t>13-October-2027, 26-October-2028,</t>
  </si>
  <si>
    <t>Check Meter</t>
  </si>
  <si>
    <t>Stand- by Meter</t>
  </si>
  <si>
    <t>Rising Bhadla 2 Pvt Ltd (70 MW)</t>
  </si>
  <si>
    <t>Stand-by Meter</t>
  </si>
  <si>
    <t>ER sheet version</t>
  </si>
  <si>
    <t xml:space="preserve">ER sheet 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</si>
</sst>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 #,##0.00_ ;_ * \-#,##0.00_ ;_ * &quot;-&quot;??_ ;_ @_ "/>
    <numFmt numFmtId="164" formatCode="_(* #,##0.00_);_(* \(#,##0.00\);_(* &quot;-&quot;??_);_(@_)"/>
    <numFmt numFmtId="165" formatCode="dd/mmm/yyyy"/>
    <numFmt numFmtId="166" formatCode="dd/mmmm/yyyy"/>
  </numFmts>
  <fonts count="18">
    <font>
      <sz val="11"/>
      <color theme="1"/>
      <name val="Calibri"/>
      <family val="2"/>
      <scheme val="minor"/>
    </font>
    <font>
      <sz val="11"/>
      <color theme="1"/>
      <name val="Calibri"/>
      <family val="2"/>
      <scheme val="minor"/>
    </font>
    <font>
      <b/>
      <sz val="10.5"/>
      <color theme="1"/>
      <name val="Calibri"/>
      <family val="2"/>
      <scheme val="minor"/>
    </font>
    <font>
      <sz val="10.5"/>
      <color theme="1"/>
      <name val="Calibri"/>
      <family val="2"/>
      <scheme val="minor"/>
    </font>
    <font>
      <sz val="10.5"/>
      <name val="Calibri"/>
      <family val="2"/>
      <scheme val="minor"/>
    </font>
    <font>
      <sz val="10"/>
      <name val="Arial"/>
      <family val="2"/>
    </font>
    <font>
      <sz val="11"/>
      <color theme="1"/>
      <name val="Verdana"/>
      <family val="2"/>
    </font>
    <font>
      <sz val="10"/>
      <color theme="1"/>
      <name val="Verdana"/>
      <family val="2"/>
    </font>
    <font>
      <b/>
      <sz val="10"/>
      <name val="Verdana"/>
      <family val="2"/>
    </font>
    <font>
      <sz val="10"/>
      <name val="Verdana"/>
      <family val="2"/>
    </font>
    <font>
      <sz val="10"/>
      <color theme="0"/>
      <name val="Verdana"/>
      <family val="2"/>
    </font>
    <font>
      <vertAlign val="subscript"/>
      <sz val="10"/>
      <name val="Verdana"/>
      <family val="2"/>
    </font>
    <font>
      <vertAlign val="subscript"/>
      <sz val="10"/>
      <color theme="1"/>
      <name val="Verdana"/>
      <family val="2"/>
    </font>
    <font>
      <sz val="9"/>
      <name val="Calibri"/>
      <family val="3"/>
      <charset val="134"/>
      <scheme val="minor"/>
    </font>
    <font>
      <sz val="10.5"/>
      <color theme="1"/>
      <name val="Franklin Gothic Book"/>
      <family val="2"/>
    </font>
    <font>
      <sz val="8"/>
      <color theme="1"/>
      <name val="Franklin Gothic Book"/>
      <family val="2"/>
    </font>
    <font>
      <u/>
      <sz val="11"/>
      <color theme="10"/>
      <name val="Calibri"/>
      <family val="2"/>
      <scheme val="minor"/>
    </font>
    <font>
      <sz val="8"/>
      <name val="Calibri"/>
      <family val="2"/>
      <scheme val="minor"/>
    </font>
  </fonts>
  <fills count="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4" tint="-0.499984740745262"/>
        <bgColor indexed="64"/>
      </patternFill>
    </fill>
    <fill>
      <patternFill patternType="solid">
        <fgColor theme="0" tint="-0.14999847407452621"/>
        <bgColor indexed="64"/>
      </patternFill>
    </fill>
  </fills>
  <borders count="51">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right/>
      <top style="thin">
        <color indexed="64"/>
      </top>
      <bottom style="thin">
        <color indexed="64"/>
      </bottom>
      <diagonal/>
    </border>
    <border>
      <left style="dotted">
        <color auto="1"/>
      </left>
      <right style="dotted">
        <color auto="1"/>
      </right>
      <top style="dotted">
        <color auto="1"/>
      </top>
      <bottom/>
      <diagonal/>
    </border>
    <border>
      <left style="dotted">
        <color auto="1"/>
      </left>
      <right style="dotted">
        <color auto="1"/>
      </right>
      <top style="dotted">
        <color auto="1"/>
      </top>
      <bottom style="dotted">
        <color auto="1"/>
      </bottom>
      <diagonal/>
    </border>
    <border>
      <left style="dotted">
        <color auto="1"/>
      </left>
      <right style="dotted">
        <color auto="1"/>
      </right>
      <top/>
      <bottom style="dotted">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style="dotted">
        <color auto="1"/>
      </left>
      <right/>
      <top style="dotted">
        <color auto="1"/>
      </top>
      <bottom/>
      <diagonal/>
    </border>
    <border>
      <left/>
      <right style="dotted">
        <color auto="1"/>
      </right>
      <top style="dotted">
        <color auto="1"/>
      </top>
      <bottom/>
      <diagonal/>
    </border>
    <border>
      <left style="dotted">
        <color auto="1"/>
      </left>
      <right/>
      <top/>
      <bottom style="dotted">
        <color auto="1"/>
      </bottom>
      <diagonal/>
    </border>
    <border>
      <left/>
      <right style="dotted">
        <color auto="1"/>
      </right>
      <top/>
      <bottom style="dotted">
        <color auto="1"/>
      </bottom>
      <diagonal/>
    </border>
    <border>
      <left/>
      <right style="thin">
        <color indexed="64"/>
      </right>
      <top/>
      <bottom style="dotted">
        <color auto="1"/>
      </bottom>
      <diagonal/>
    </border>
    <border>
      <left/>
      <right/>
      <top/>
      <bottom style="dotted">
        <color auto="1"/>
      </bottom>
      <diagonal/>
    </border>
    <border>
      <left/>
      <right/>
      <top style="dotted">
        <color auto="1"/>
      </top>
      <bottom/>
      <diagonal/>
    </border>
    <border>
      <left style="medium">
        <color indexed="64"/>
      </left>
      <right style="medium">
        <color indexed="64"/>
      </right>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diagonal/>
    </border>
    <border>
      <left style="thin">
        <color indexed="64"/>
      </left>
      <right style="thin">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7">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5" fillId="0" borderId="0"/>
    <xf numFmtId="0" fontId="5" fillId="0" borderId="0"/>
    <xf numFmtId="9" fontId="5" fillId="0" borderId="0" applyFont="0" applyFill="0" applyBorder="0" applyAlignment="0" applyProtection="0"/>
    <xf numFmtId="43" fontId="5" fillId="0" borderId="0" applyFont="0" applyFill="0" applyBorder="0" applyAlignment="0" applyProtection="0"/>
    <xf numFmtId="0" fontId="5"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0" fontId="1" fillId="0" borderId="0"/>
    <xf numFmtId="9" fontId="1" fillId="0" borderId="0" applyFont="0" applyFill="0" applyBorder="0" applyAlignment="0" applyProtection="0"/>
    <xf numFmtId="43" fontId="1" fillId="0" borderId="0" applyFont="0" applyFill="0" applyBorder="0" applyAlignment="0" applyProtection="0"/>
    <xf numFmtId="0" fontId="16" fillId="0" borderId="0" applyNumberFormat="0" applyFill="0" applyBorder="0" applyAlignment="0" applyProtection="0"/>
  </cellStyleXfs>
  <cellXfs count="109">
    <xf numFmtId="0" fontId="0" fillId="0" borderId="0" xfId="0"/>
    <xf numFmtId="0" fontId="2" fillId="0" borderId="5" xfId="0" applyFont="1" applyBorder="1" applyAlignment="1">
      <alignment horizontal="center" vertical="center" wrapText="1"/>
    </xf>
    <xf numFmtId="165" fontId="3" fillId="0" borderId="9" xfId="0" applyNumberFormat="1" applyFont="1" applyBorder="1" applyAlignment="1">
      <alignment horizontal="center" vertical="center" wrapText="1"/>
    </xf>
    <xf numFmtId="2" fontId="2" fillId="0" borderId="14" xfId="0" applyNumberFormat="1" applyFont="1" applyBorder="1" applyAlignment="1">
      <alignment horizontal="center" vertical="center" wrapText="1"/>
    </xf>
    <xf numFmtId="2" fontId="2" fillId="0" borderId="13" xfId="1" applyNumberFormat="1" applyFont="1" applyBorder="1" applyAlignment="1">
      <alignment horizontal="center" vertical="center" wrapText="1"/>
    </xf>
    <xf numFmtId="0" fontId="2" fillId="0" borderId="17" xfId="0" applyFont="1" applyBorder="1" applyAlignment="1">
      <alignment horizontal="center" vertical="center" wrapText="1"/>
    </xf>
    <xf numFmtId="0" fontId="2" fillId="0" borderId="6" xfId="0" applyFont="1" applyBorder="1" applyAlignment="1">
      <alignment vertical="center" wrapText="1"/>
    </xf>
    <xf numFmtId="165" fontId="3" fillId="0" borderId="18" xfId="0" applyNumberFormat="1" applyFont="1" applyBorder="1" applyAlignment="1">
      <alignment horizontal="center" vertical="center" wrapText="1"/>
    </xf>
    <xf numFmtId="0" fontId="2" fillId="0" borderId="5" xfId="0" applyFont="1" applyBorder="1" applyAlignment="1">
      <alignment vertical="center" wrapText="1"/>
    </xf>
    <xf numFmtId="0" fontId="2" fillId="0" borderId="7" xfId="0" applyFont="1" applyBorder="1" applyAlignment="1">
      <alignment vertical="center" wrapText="1"/>
    </xf>
    <xf numFmtId="2" fontId="3" fillId="0" borderId="4" xfId="1" applyNumberFormat="1" applyFont="1" applyFill="1" applyBorder="1" applyAlignment="1">
      <alignment horizontal="center" vertical="center" wrapText="1"/>
    </xf>
    <xf numFmtId="2" fontId="2" fillId="0" borderId="13" xfId="0" applyNumberFormat="1" applyFont="1" applyBorder="1" applyAlignment="1">
      <alignment horizontal="center" vertical="center" wrapText="1"/>
    </xf>
    <xf numFmtId="2" fontId="2" fillId="0" borderId="15" xfId="1" applyNumberFormat="1" applyFont="1" applyBorder="1" applyAlignment="1">
      <alignment horizontal="center" vertical="center" wrapText="1"/>
    </xf>
    <xf numFmtId="2" fontId="3" fillId="0" borderId="24" xfId="0" applyNumberFormat="1" applyFont="1" applyBorder="1" applyAlignment="1">
      <alignment horizontal="center" vertical="center"/>
    </xf>
    <xf numFmtId="2" fontId="2" fillId="0" borderId="20" xfId="0" applyNumberFormat="1" applyFont="1" applyBorder="1" applyAlignment="1">
      <alignment horizontal="center" vertical="center" wrapText="1"/>
    </xf>
    <xf numFmtId="2" fontId="3" fillId="0" borderId="1" xfId="1" applyNumberFormat="1" applyFont="1" applyFill="1" applyBorder="1" applyAlignment="1">
      <alignment horizontal="center" vertical="center" wrapText="1"/>
    </xf>
    <xf numFmtId="2" fontId="4" fillId="0" borderId="10" xfId="1" applyNumberFormat="1" applyFont="1" applyFill="1" applyBorder="1" applyAlignment="1">
      <alignment horizontal="center" vertical="center" wrapText="1"/>
    </xf>
    <xf numFmtId="2" fontId="4" fillId="0" borderId="9" xfId="1" applyNumberFormat="1" applyFont="1" applyFill="1" applyBorder="1" applyAlignment="1">
      <alignment horizontal="center" vertical="center" wrapText="1"/>
    </xf>
    <xf numFmtId="2" fontId="3" fillId="0" borderId="11" xfId="1" applyNumberFormat="1" applyFont="1" applyFill="1" applyBorder="1" applyAlignment="1">
      <alignment horizontal="center" vertical="center" wrapText="1"/>
    </xf>
    <xf numFmtId="2" fontId="3" fillId="0" borderId="12" xfId="1" applyNumberFormat="1" applyFont="1" applyFill="1" applyBorder="1" applyAlignment="1">
      <alignment horizontal="center" vertical="center" wrapText="1"/>
    </xf>
    <xf numFmtId="0" fontId="6" fillId="0" borderId="0" xfId="0" applyFont="1"/>
    <xf numFmtId="0" fontId="10" fillId="4" borderId="27" xfId="13" applyFont="1" applyFill="1" applyBorder="1" applyAlignment="1">
      <alignment horizontal="center" vertical="center"/>
    </xf>
    <xf numFmtId="0" fontId="9" fillId="3" borderId="27" xfId="13" applyFont="1" applyFill="1" applyBorder="1" applyAlignment="1">
      <alignment horizontal="center" vertical="center"/>
    </xf>
    <xf numFmtId="0" fontId="8" fillId="0" borderId="25" xfId="0" applyFont="1" applyBorder="1" applyAlignment="1">
      <alignment horizontal="left" vertical="center"/>
    </xf>
    <xf numFmtId="2" fontId="7" fillId="0" borderId="0" xfId="0" applyNumberFormat="1" applyFont="1"/>
    <xf numFmtId="0" fontId="7" fillId="0" borderId="0" xfId="0" applyFont="1" applyAlignment="1">
      <alignment vertical="center"/>
    </xf>
    <xf numFmtId="2" fontId="7" fillId="0" borderId="0" xfId="0" applyNumberFormat="1" applyFont="1" applyAlignment="1">
      <alignment horizontal="center"/>
    </xf>
    <xf numFmtId="0" fontId="6" fillId="0" borderId="0" xfId="0" applyFont="1" applyAlignment="1">
      <alignment horizontal="center"/>
    </xf>
    <xf numFmtId="2" fontId="9" fillId="5" borderId="27" xfId="13" applyNumberFormat="1" applyFont="1" applyFill="1" applyBorder="1" applyAlignment="1">
      <alignment horizontal="center" vertical="center"/>
    </xf>
    <xf numFmtId="1" fontId="9" fillId="5" borderId="27" xfId="13" applyNumberFormat="1" applyFont="1" applyFill="1" applyBorder="1" applyAlignment="1">
      <alignment horizontal="center" vertical="center"/>
    </xf>
    <xf numFmtId="10" fontId="8" fillId="5" borderId="27" xfId="2" applyNumberFormat="1" applyFont="1" applyFill="1" applyBorder="1" applyAlignment="1">
      <alignment horizontal="center" vertical="center"/>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0" fontId="10" fillId="4" borderId="28" xfId="13" applyFont="1" applyFill="1" applyBorder="1" applyAlignment="1">
      <alignment horizontal="center" vertical="center" wrapText="1"/>
    </xf>
    <xf numFmtId="2" fontId="0" fillId="0" borderId="0" xfId="0" applyNumberFormat="1"/>
    <xf numFmtId="0" fontId="16" fillId="0" borderId="0" xfId="16" applyAlignment="1">
      <alignment horizontal="justify" vertical="center"/>
    </xf>
    <xf numFmtId="0" fontId="15" fillId="0" borderId="0" xfId="0" applyFont="1" applyAlignment="1">
      <alignment vertical="center"/>
    </xf>
    <xf numFmtId="0" fontId="14" fillId="0" borderId="0" xfId="0" applyFont="1" applyAlignment="1">
      <alignment vertical="center"/>
    </xf>
    <xf numFmtId="14" fontId="9" fillId="3" borderId="27" xfId="13" applyNumberFormat="1" applyFont="1" applyFill="1" applyBorder="1" applyAlignment="1">
      <alignment horizontal="center" vertical="center"/>
    </xf>
    <xf numFmtId="1" fontId="9" fillId="0" borderId="27" xfId="13" applyNumberFormat="1" applyFont="1" applyBorder="1" applyAlignment="1">
      <alignment horizontal="center" vertical="center"/>
    </xf>
    <xf numFmtId="10" fontId="8" fillId="0" borderId="27" xfId="2" applyNumberFormat="1" applyFont="1" applyFill="1" applyBorder="1" applyAlignment="1">
      <alignment horizontal="center" vertical="center"/>
    </xf>
    <xf numFmtId="0" fontId="10" fillId="4" borderId="27" xfId="13" applyFont="1" applyFill="1" applyBorder="1" applyAlignment="1">
      <alignment horizontal="center" vertical="center" wrapText="1"/>
    </xf>
    <xf numFmtId="14" fontId="9" fillId="5" borderId="27" xfId="13" applyNumberFormat="1" applyFont="1" applyFill="1" applyBorder="1" applyAlignment="1">
      <alignment horizontal="center" vertical="center"/>
    </xf>
    <xf numFmtId="2" fontId="6" fillId="0" borderId="0" xfId="0" applyNumberFormat="1" applyFont="1"/>
    <xf numFmtId="0" fontId="8" fillId="0" borderId="0" xfId="0" applyFont="1" applyAlignment="1">
      <alignment horizontal="left" vertical="center"/>
    </xf>
    <xf numFmtId="166" fontId="8" fillId="0" borderId="0" xfId="0" applyNumberFormat="1" applyFont="1" applyAlignment="1">
      <alignment horizontal="left" vertical="center"/>
    </xf>
    <xf numFmtId="165" fontId="3" fillId="0" borderId="13" xfId="0" applyNumberFormat="1" applyFont="1" applyBorder="1" applyAlignment="1">
      <alignment horizontal="center" vertical="center" wrapText="1"/>
    </xf>
    <xf numFmtId="165" fontId="3" fillId="0" borderId="19" xfId="0" applyNumberFormat="1" applyFont="1" applyBorder="1" applyAlignment="1">
      <alignment horizontal="center" vertical="center" wrapText="1"/>
    </xf>
    <xf numFmtId="2" fontId="3" fillId="0" borderId="20" xfId="0" applyNumberFormat="1" applyFont="1" applyBorder="1" applyAlignment="1">
      <alignment horizontal="center" vertical="center"/>
    </xf>
    <xf numFmtId="165" fontId="3" fillId="0" borderId="8" xfId="0" applyNumberFormat="1" applyFont="1" applyBorder="1" applyAlignment="1">
      <alignment horizontal="center" vertical="center" wrapText="1"/>
    </xf>
    <xf numFmtId="165" fontId="3" fillId="0" borderId="16" xfId="0" applyNumberFormat="1" applyFont="1" applyBorder="1" applyAlignment="1">
      <alignment horizontal="center" vertical="center" wrapText="1"/>
    </xf>
    <xf numFmtId="2" fontId="3" fillId="0" borderId="22" xfId="0" applyNumberFormat="1" applyFont="1" applyBorder="1" applyAlignment="1">
      <alignment horizontal="center" vertical="center"/>
    </xf>
    <xf numFmtId="165" fontId="3" fillId="0" borderId="41" xfId="0" applyNumberFormat="1" applyFont="1" applyBorder="1" applyAlignment="1">
      <alignment horizontal="center" vertical="center" wrapText="1"/>
    </xf>
    <xf numFmtId="165" fontId="3" fillId="0" borderId="42" xfId="0" applyNumberFormat="1" applyFont="1" applyBorder="1" applyAlignment="1">
      <alignment horizontal="center" vertical="center" wrapText="1"/>
    </xf>
    <xf numFmtId="2" fontId="3" fillId="0" borderId="5" xfId="1" applyNumberFormat="1" applyFont="1" applyFill="1" applyBorder="1" applyAlignment="1">
      <alignment horizontal="center" vertical="center" wrapText="1"/>
    </xf>
    <xf numFmtId="2" fontId="3" fillId="0" borderId="6" xfId="1" applyNumberFormat="1" applyFont="1" applyFill="1" applyBorder="1" applyAlignment="1">
      <alignment horizontal="center" vertical="center" wrapText="1"/>
    </xf>
    <xf numFmtId="2" fontId="4" fillId="0" borderId="43" xfId="1" applyNumberFormat="1" applyFont="1" applyFill="1" applyBorder="1" applyAlignment="1">
      <alignment horizontal="center" vertical="center" wrapText="1"/>
    </xf>
    <xf numFmtId="2" fontId="4" fillId="0" borderId="41" xfId="1" applyNumberFormat="1" applyFont="1" applyFill="1" applyBorder="1" applyAlignment="1">
      <alignment horizontal="center" vertical="center" wrapText="1"/>
    </xf>
    <xf numFmtId="2" fontId="3" fillId="0" borderId="44" xfId="0" applyNumberFormat="1" applyFont="1" applyBorder="1" applyAlignment="1">
      <alignment horizontal="center" vertical="center"/>
    </xf>
    <xf numFmtId="2" fontId="3" fillId="0" borderId="45" xfId="1" applyNumberFormat="1" applyFont="1" applyFill="1" applyBorder="1" applyAlignment="1">
      <alignment horizontal="center" vertical="center" wrapText="1"/>
    </xf>
    <xf numFmtId="2" fontId="3" fillId="0" borderId="46" xfId="1" applyNumberFormat="1" applyFont="1" applyFill="1" applyBorder="1" applyAlignment="1">
      <alignment horizontal="center" vertical="center" wrapText="1"/>
    </xf>
    <xf numFmtId="2" fontId="4" fillId="0" borderId="40" xfId="1" applyNumberFormat="1" applyFont="1" applyFill="1" applyBorder="1" applyAlignment="1">
      <alignment horizontal="center" vertical="center" wrapText="1"/>
    </xf>
    <xf numFmtId="2" fontId="4" fillId="0" borderId="8" xfId="1" applyNumberFormat="1" applyFont="1" applyFill="1" applyBorder="1" applyAlignment="1">
      <alignment horizontal="center" vertical="center" wrapText="1"/>
    </xf>
    <xf numFmtId="2" fontId="4" fillId="2" borderId="20" xfId="1" applyNumberFormat="1" applyFont="1" applyFill="1" applyBorder="1" applyAlignment="1">
      <alignment horizontal="center" vertical="center" wrapText="1"/>
    </xf>
    <xf numFmtId="2" fontId="2" fillId="2" borderId="20" xfId="1" applyNumberFormat="1" applyFont="1" applyFill="1" applyBorder="1" applyAlignment="1">
      <alignment horizontal="center" vertical="center" wrapText="1"/>
    </xf>
    <xf numFmtId="2" fontId="4" fillId="0" borderId="15" xfId="1" applyNumberFormat="1" applyFont="1" applyFill="1" applyBorder="1" applyAlignment="1">
      <alignment horizontal="center" vertical="center" wrapText="1"/>
    </xf>
    <xf numFmtId="2" fontId="4" fillId="0" borderId="13" xfId="1" applyNumberFormat="1" applyFont="1" applyFill="1" applyBorder="1" applyAlignment="1">
      <alignment horizontal="center" vertical="center" wrapText="1"/>
    </xf>
    <xf numFmtId="2" fontId="3" fillId="0" borderId="8" xfId="1" applyNumberFormat="1" applyFont="1" applyFill="1" applyBorder="1" applyAlignment="1">
      <alignment horizontal="center" vertical="center" wrapText="1"/>
    </xf>
    <xf numFmtId="2" fontId="3" fillId="0" borderId="39" xfId="1" applyNumberFormat="1" applyFont="1" applyFill="1" applyBorder="1" applyAlignment="1">
      <alignment horizontal="center" vertical="center" wrapText="1"/>
    </xf>
    <xf numFmtId="2" fontId="3" fillId="0" borderId="41" xfId="1" applyNumberFormat="1" applyFont="1" applyFill="1" applyBorder="1" applyAlignment="1">
      <alignment horizontal="center" vertical="center" wrapText="1"/>
    </xf>
    <xf numFmtId="2" fontId="3" fillId="0" borderId="48" xfId="1" applyNumberFormat="1" applyFont="1" applyFill="1" applyBorder="1" applyAlignment="1">
      <alignment horizontal="center" vertical="center" wrapText="1"/>
    </xf>
    <xf numFmtId="2" fontId="9" fillId="2" borderId="27" xfId="13" applyNumberFormat="1" applyFont="1" applyFill="1" applyBorder="1" applyAlignment="1">
      <alignment horizontal="center" vertical="center"/>
    </xf>
    <xf numFmtId="0" fontId="9" fillId="2" borderId="27" xfId="13" applyFont="1" applyFill="1" applyBorder="1" applyAlignment="1">
      <alignment horizontal="center" vertical="center"/>
    </xf>
    <xf numFmtId="1" fontId="8" fillId="2" borderId="27" xfId="13" applyNumberFormat="1" applyFont="1" applyFill="1" applyBorder="1" applyAlignment="1">
      <alignment horizontal="center" vertical="center"/>
    </xf>
    <xf numFmtId="2" fontId="3" fillId="0" borderId="13" xfId="1" applyNumberFormat="1" applyFont="1" applyFill="1" applyBorder="1" applyAlignment="1">
      <alignment horizontal="center" vertical="center" wrapText="1"/>
    </xf>
    <xf numFmtId="2" fontId="3" fillId="0" borderId="14" xfId="1" applyNumberFormat="1" applyFont="1" applyFill="1" applyBorder="1" applyAlignment="1">
      <alignment horizontal="center" vertical="center" wrapText="1"/>
    </xf>
    <xf numFmtId="0" fontId="7" fillId="0" borderId="1" xfId="0" applyFont="1" applyBorder="1" applyAlignment="1">
      <alignment horizontal="center" vertical="center" wrapText="1"/>
    </xf>
    <xf numFmtId="0" fontId="8" fillId="0" borderId="25" xfId="0" applyFont="1" applyBorder="1" applyAlignment="1">
      <alignment horizontal="left" vertical="center"/>
    </xf>
    <xf numFmtId="0" fontId="9" fillId="3" borderId="33" xfId="13" applyFont="1" applyFill="1" applyBorder="1" applyAlignment="1">
      <alignment horizontal="center" vertical="center" wrapText="1"/>
    </xf>
    <xf numFmtId="0" fontId="9" fillId="3" borderId="35" xfId="13" applyFont="1" applyFill="1" applyBorder="1" applyAlignment="1">
      <alignment horizontal="center" vertical="center" wrapText="1"/>
    </xf>
    <xf numFmtId="166" fontId="8" fillId="0" borderId="25" xfId="0" applyNumberFormat="1" applyFont="1" applyBorder="1" applyAlignment="1">
      <alignment horizontal="left" vertical="center"/>
    </xf>
    <xf numFmtId="0" fontId="10" fillId="4" borderId="31" xfId="13" applyFont="1" applyFill="1" applyBorder="1" applyAlignment="1">
      <alignment horizontal="center" vertical="center"/>
    </xf>
    <xf numFmtId="0" fontId="10" fillId="4" borderId="32" xfId="13" applyFont="1" applyFill="1" applyBorder="1" applyAlignment="1">
      <alignment horizontal="center" vertical="center"/>
    </xf>
    <xf numFmtId="0" fontId="10" fillId="4" borderId="33" xfId="13" applyFont="1" applyFill="1" applyBorder="1" applyAlignment="1">
      <alignment horizontal="center" vertical="center"/>
    </xf>
    <xf numFmtId="0" fontId="10" fillId="4" borderId="34" xfId="13" applyFont="1" applyFill="1" applyBorder="1" applyAlignment="1">
      <alignment horizontal="center" vertical="center"/>
    </xf>
    <xf numFmtId="0" fontId="10" fillId="4" borderId="26" xfId="13" applyFont="1" applyFill="1" applyBorder="1" applyAlignment="1">
      <alignment horizontal="center" vertical="center"/>
    </xf>
    <xf numFmtId="0" fontId="10" fillId="4" borderId="28" xfId="13" applyFont="1" applyFill="1" applyBorder="1" applyAlignment="1">
      <alignment horizontal="center" vertical="center"/>
    </xf>
    <xf numFmtId="0" fontId="10" fillId="4" borderId="26" xfId="13" applyFont="1" applyFill="1" applyBorder="1" applyAlignment="1">
      <alignment horizontal="center" vertical="center" wrapText="1"/>
    </xf>
    <xf numFmtId="0" fontId="10" fillId="4" borderId="28" xfId="13" applyFont="1" applyFill="1" applyBorder="1" applyAlignment="1">
      <alignment horizontal="center" vertical="center" wrapText="1"/>
    </xf>
    <xf numFmtId="0" fontId="9" fillId="3" borderId="29" xfId="13" applyFont="1" applyFill="1" applyBorder="1" applyAlignment="1">
      <alignment horizontal="right" vertical="center" wrapText="1"/>
    </xf>
    <xf numFmtId="0" fontId="9" fillId="3" borderId="30" xfId="13" applyFont="1" applyFill="1" applyBorder="1" applyAlignment="1">
      <alignment horizontal="right" vertical="center" wrapText="1"/>
    </xf>
    <xf numFmtId="0" fontId="10" fillId="4" borderId="37" xfId="13" applyFont="1" applyFill="1" applyBorder="1" applyAlignment="1">
      <alignment horizontal="center" vertical="center"/>
    </xf>
    <xf numFmtId="0" fontId="10" fillId="4" borderId="36" xfId="13" applyFont="1" applyFill="1" applyBorder="1" applyAlignment="1">
      <alignment horizontal="center" vertical="center"/>
    </xf>
    <xf numFmtId="0" fontId="3" fillId="2" borderId="1" xfId="0" applyFont="1" applyFill="1" applyBorder="1" applyAlignment="1">
      <alignment horizontal="left"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3" xfId="0" applyFont="1" applyBorder="1" applyAlignment="1">
      <alignment horizontal="center" vertical="center" wrapText="1"/>
    </xf>
    <xf numFmtId="0" fontId="2" fillId="0" borderId="19" xfId="0" applyFont="1" applyBorder="1" applyAlignment="1">
      <alignment horizontal="center" vertical="center" wrapText="1"/>
    </xf>
    <xf numFmtId="0" fontId="2" fillId="0" borderId="8"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2" xfId="0" applyFont="1" applyBorder="1" applyAlignment="1">
      <alignment horizontal="center" vertical="center" wrapText="1"/>
    </xf>
    <xf numFmtId="0" fontId="2" fillId="0" borderId="23" xfId="0" applyFont="1" applyBorder="1" applyAlignment="1">
      <alignment horizontal="center" vertical="center" wrapText="1"/>
    </xf>
    <xf numFmtId="2" fontId="4" fillId="2" borderId="47" xfId="1" applyNumberFormat="1" applyFont="1" applyFill="1" applyBorder="1" applyAlignment="1">
      <alignment horizontal="center" vertical="center" wrapText="1"/>
    </xf>
    <xf numFmtId="2" fontId="4" fillId="2" borderId="38" xfId="1" applyNumberFormat="1" applyFont="1" applyFill="1" applyBorder="1" applyAlignment="1">
      <alignment horizontal="center" vertical="center" wrapText="1"/>
    </xf>
    <xf numFmtId="2" fontId="4" fillId="2" borderId="44" xfId="1" applyNumberFormat="1" applyFont="1" applyFill="1" applyBorder="1" applyAlignment="1">
      <alignment horizontal="center" vertical="center" wrapText="1"/>
    </xf>
    <xf numFmtId="2" fontId="3" fillId="0" borderId="49" xfId="1" applyNumberFormat="1" applyFont="1" applyFill="1" applyBorder="1" applyAlignment="1">
      <alignment horizontal="center" vertical="center" wrapText="1"/>
    </xf>
    <xf numFmtId="2" fontId="3" fillId="0" borderId="25" xfId="1" applyNumberFormat="1" applyFont="1" applyFill="1" applyBorder="1" applyAlignment="1">
      <alignment horizontal="center" vertical="center" wrapText="1"/>
    </xf>
    <xf numFmtId="2" fontId="3" fillId="0" borderId="50" xfId="1" applyNumberFormat="1" applyFont="1" applyFill="1" applyBorder="1" applyAlignment="1">
      <alignment horizontal="center" vertical="center" wrapText="1"/>
    </xf>
  </cellXfs>
  <cellStyles count="17">
    <cellStyle name="Comma" xfId="1" builtinId="3"/>
    <cellStyle name="Comma 2" xfId="12" xr:uid="{74740E30-DF7B-4511-9CA0-454A4B84A33F}"/>
    <cellStyle name="Comma 2 2" xfId="7" xr:uid="{42C3DFC9-6C71-483E-ADA3-734618B55325}"/>
    <cellStyle name="Comma 3" xfId="15" xr:uid="{B56B5517-A3AB-4140-ACE4-A4E8DE270621}"/>
    <cellStyle name="Comma 7" xfId="10" xr:uid="{AEE34D7A-E749-48AB-8FDD-0BA462915B55}"/>
    <cellStyle name="Hyperlink" xfId="16" builtinId="8"/>
    <cellStyle name="Normal" xfId="0" builtinId="0"/>
    <cellStyle name="Normal 16" xfId="9" xr:uid="{D2B85C90-2AF1-483C-82F7-8B05084D8748}"/>
    <cellStyle name="Normal 17" xfId="3" xr:uid="{B262EE61-680B-4B8D-8188-60C5A7AE4C4F}"/>
    <cellStyle name="Normal 2" xfId="8" xr:uid="{E3CEDAAE-BFF3-47FA-983A-5C1110970DEA}"/>
    <cellStyle name="Normal 2 2" xfId="13" xr:uid="{C18CDCF5-A177-420C-B2F7-1C7BAE9BB577}"/>
    <cellStyle name="Normal 3 2" xfId="5" xr:uid="{F8DF8B6D-01D2-4D33-835B-E1E686CADAC0}"/>
    <cellStyle name="Normal 7" xfId="4" xr:uid="{47CF6A03-1276-4FB7-9F33-FA38E7A10189}"/>
    <cellStyle name="Percent" xfId="2" builtinId="5"/>
    <cellStyle name="Percent 2" xfId="6" xr:uid="{68470EDF-2DF9-4E9E-BDCF-8D0FBEDDE659}"/>
    <cellStyle name="Percent 2 2" xfId="14" xr:uid="{4D1F805C-F497-43DF-93FC-68D6FC7E572A}"/>
    <cellStyle name="Percent 6" xfId="11" xr:uid="{E76A84D0-CA0D-44C1-B026-1CA3F155DFC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E3FFA9-99DD-4ACA-97E9-D2AB469382A4}">
  <dimension ref="B2:L39"/>
  <sheetViews>
    <sheetView showGridLines="0" tabSelected="1" zoomScale="85" zoomScaleNormal="85" workbookViewId="0">
      <selection activeCell="C8" sqref="C8:G8"/>
    </sheetView>
  </sheetViews>
  <sheetFormatPr defaultColWidth="8.81640625" defaultRowHeight="13.5"/>
  <cols>
    <col min="1" max="1" width="8.81640625" style="20"/>
    <col min="2" max="2" width="29.81640625" style="20" customWidth="1"/>
    <col min="3" max="3" width="23.453125" style="20" customWidth="1"/>
    <col min="4" max="4" width="24.81640625" style="20" customWidth="1"/>
    <col min="5" max="5" width="13.453125" style="20" customWidth="1"/>
    <col min="6" max="7" width="22.453125" style="20" bestFit="1" customWidth="1"/>
    <col min="8" max="8" width="22.453125" style="20" customWidth="1"/>
    <col min="9" max="9" width="19" style="20" customWidth="1"/>
    <col min="10" max="10" width="8.81640625" style="20"/>
    <col min="11" max="11" width="11.453125" style="20" bestFit="1" customWidth="1"/>
    <col min="12" max="12" width="12.54296875" style="20" bestFit="1" customWidth="1"/>
    <col min="13" max="16384" width="8.81640625" style="20"/>
  </cols>
  <sheetData>
    <row r="2" spans="2:12">
      <c r="B2" s="23" t="s">
        <v>15</v>
      </c>
      <c r="C2" s="77">
        <v>1709</v>
      </c>
      <c r="D2" s="77"/>
      <c r="E2" s="77"/>
      <c r="F2" s="77"/>
      <c r="G2" s="77"/>
      <c r="H2" s="44"/>
    </row>
    <row r="3" spans="2:12">
      <c r="B3" s="23" t="s">
        <v>16</v>
      </c>
      <c r="C3" s="77" t="s">
        <v>13</v>
      </c>
      <c r="D3" s="77"/>
      <c r="E3" s="77"/>
      <c r="F3" s="77"/>
      <c r="G3" s="77"/>
      <c r="H3" s="44"/>
    </row>
    <row r="4" spans="2:12">
      <c r="B4" s="23" t="s">
        <v>17</v>
      </c>
      <c r="C4" s="77" t="s">
        <v>63</v>
      </c>
      <c r="D4" s="77"/>
      <c r="E4" s="77"/>
      <c r="F4" s="77"/>
      <c r="G4" s="77"/>
      <c r="H4" s="44"/>
    </row>
    <row r="5" spans="2:12">
      <c r="B5" s="23" t="s">
        <v>78</v>
      </c>
      <c r="C5" s="23">
        <v>2</v>
      </c>
      <c r="D5" s="23"/>
      <c r="E5" s="23"/>
      <c r="F5" s="23"/>
      <c r="G5" s="23"/>
      <c r="H5" s="44"/>
    </row>
    <row r="6" spans="2:12">
      <c r="B6" s="23" t="s">
        <v>79</v>
      </c>
      <c r="C6" s="80">
        <v>45922</v>
      </c>
      <c r="D6" s="80"/>
      <c r="E6" s="80"/>
      <c r="F6" s="80"/>
      <c r="G6" s="80"/>
      <c r="H6" s="44"/>
    </row>
    <row r="7" spans="2:12">
      <c r="B7" s="23" t="s">
        <v>18</v>
      </c>
      <c r="C7" s="77">
        <v>4</v>
      </c>
      <c r="D7" s="77"/>
      <c r="E7" s="77"/>
      <c r="F7" s="77"/>
      <c r="G7" s="77"/>
      <c r="H7" s="44"/>
    </row>
    <row r="8" spans="2:12">
      <c r="B8" s="23" t="s">
        <v>19</v>
      </c>
      <c r="C8" s="80">
        <v>45989</v>
      </c>
      <c r="D8" s="80"/>
      <c r="E8" s="80"/>
      <c r="F8" s="80"/>
      <c r="G8" s="80"/>
      <c r="H8" s="45"/>
    </row>
    <row r="10" spans="2:12" ht="13.5" customHeight="1">
      <c r="B10" s="81" t="s">
        <v>20</v>
      </c>
      <c r="C10" s="82"/>
      <c r="D10" s="85" t="s">
        <v>32</v>
      </c>
      <c r="E10" s="21" t="s">
        <v>14</v>
      </c>
      <c r="F10" s="87" t="s">
        <v>53</v>
      </c>
      <c r="G10" s="87" t="s">
        <v>54</v>
      </c>
      <c r="H10" s="87" t="s">
        <v>55</v>
      </c>
      <c r="I10" s="85" t="s">
        <v>7</v>
      </c>
    </row>
    <row r="11" spans="2:12" ht="13.5" customHeight="1">
      <c r="B11" s="83"/>
      <c r="C11" s="84"/>
      <c r="D11" s="86"/>
      <c r="E11" s="21" t="s">
        <v>21</v>
      </c>
      <c r="F11" s="88" t="s">
        <v>53</v>
      </c>
      <c r="G11" s="88" t="s">
        <v>54</v>
      </c>
      <c r="H11" s="88" t="s">
        <v>55</v>
      </c>
      <c r="I11" s="86"/>
    </row>
    <row r="12" spans="2:12" ht="15.75" customHeight="1">
      <c r="B12" s="78" t="s">
        <v>33</v>
      </c>
      <c r="C12" s="79"/>
      <c r="D12" s="22" t="s">
        <v>39</v>
      </c>
      <c r="E12" s="22" t="s">
        <v>22</v>
      </c>
      <c r="F12" s="71">
        <f>'RB1'!J4+'RB2'!J4</f>
        <v>22117.649400000002</v>
      </c>
      <c r="G12" s="71">
        <f>'RB1'!J5+'RB2'!J5</f>
        <v>283897.72620000003</v>
      </c>
      <c r="H12" s="71">
        <f>'RB1'!J17+'RB2'!J17</f>
        <v>82083.232440000007</v>
      </c>
      <c r="I12" s="71">
        <f>SUM(F12:H12)</f>
        <v>388098.60804000002</v>
      </c>
      <c r="K12" s="24"/>
      <c r="L12" s="43"/>
    </row>
    <row r="13" spans="2:12" ht="15.5">
      <c r="B13" s="78" t="s">
        <v>34</v>
      </c>
      <c r="C13" s="79"/>
      <c r="D13" s="22" t="s">
        <v>40</v>
      </c>
      <c r="E13" s="22" t="s">
        <v>36</v>
      </c>
      <c r="F13" s="22">
        <v>0.96530000000000005</v>
      </c>
      <c r="G13" s="22">
        <v>0.96530000000000005</v>
      </c>
      <c r="H13" s="22">
        <v>0.96530000000000005</v>
      </c>
      <c r="I13" s="28"/>
      <c r="J13" s="25"/>
      <c r="K13" s="25"/>
    </row>
    <row r="14" spans="2:12" ht="15.5">
      <c r="B14" s="78" t="s">
        <v>23</v>
      </c>
      <c r="C14" s="79"/>
      <c r="D14" s="22" t="s">
        <v>41</v>
      </c>
      <c r="E14" s="22" t="s">
        <v>37</v>
      </c>
      <c r="F14" s="22">
        <f>ROUNDDOWN((F12*F13),0)</f>
        <v>21350</v>
      </c>
      <c r="G14" s="22">
        <f>ROUNDDOWN((G12*G13),0)</f>
        <v>274046</v>
      </c>
      <c r="H14" s="22">
        <f>ROUNDDOWN((H12*H13),0)</f>
        <v>79234</v>
      </c>
      <c r="I14" s="28">
        <f t="shared" ref="I14:I16" si="0">SUM(F14:H14)</f>
        <v>374630</v>
      </c>
    </row>
    <row r="15" spans="2:12" ht="15.5">
      <c r="B15" s="78" t="s">
        <v>24</v>
      </c>
      <c r="C15" s="79"/>
      <c r="D15" s="22" t="s">
        <v>42</v>
      </c>
      <c r="E15" s="22" t="s">
        <v>37</v>
      </c>
      <c r="F15" s="22">
        <v>0</v>
      </c>
      <c r="G15" s="22">
        <v>0</v>
      </c>
      <c r="H15" s="22">
        <v>0</v>
      </c>
      <c r="I15" s="28">
        <f t="shared" si="0"/>
        <v>0</v>
      </c>
    </row>
    <row r="16" spans="2:12" ht="15.5">
      <c r="B16" s="78" t="s">
        <v>25</v>
      </c>
      <c r="C16" s="79"/>
      <c r="D16" s="22" t="s">
        <v>43</v>
      </c>
      <c r="E16" s="22" t="s">
        <v>37</v>
      </c>
      <c r="F16" s="22">
        <v>0</v>
      </c>
      <c r="G16" s="22">
        <v>0</v>
      </c>
      <c r="H16" s="22">
        <v>0</v>
      </c>
      <c r="I16" s="28">
        <f t="shared" si="0"/>
        <v>0</v>
      </c>
    </row>
    <row r="17" spans="2:12" ht="24.75" customHeight="1">
      <c r="B17" s="78" t="s">
        <v>35</v>
      </c>
      <c r="C17" s="79"/>
      <c r="D17" s="22" t="s">
        <v>44</v>
      </c>
      <c r="E17" s="22" t="s">
        <v>37</v>
      </c>
      <c r="F17" s="72">
        <f>ROUNDDOWN(F14-F15-F16,0)</f>
        <v>21350</v>
      </c>
      <c r="G17" s="72">
        <f>ROUNDDOWN((G14-G15-G16),0)</f>
        <v>274046</v>
      </c>
      <c r="H17" s="72">
        <f>ROUNDDOWN((H14-H15-H16),0)</f>
        <v>79234</v>
      </c>
      <c r="I17" s="71">
        <f>SUM(F17:H17)</f>
        <v>374630</v>
      </c>
      <c r="J17" s="25"/>
      <c r="K17" s="25"/>
      <c r="L17" s="43"/>
    </row>
    <row r="19" spans="2:12" ht="29.5" customHeight="1">
      <c r="B19" s="81" t="s">
        <v>45</v>
      </c>
      <c r="C19" s="91"/>
      <c r="D19" s="82"/>
      <c r="E19" s="21" t="s">
        <v>14</v>
      </c>
      <c r="F19" s="21" t="s">
        <v>46</v>
      </c>
      <c r="G19" s="21" t="s">
        <v>56</v>
      </c>
      <c r="H19" s="21" t="s">
        <v>58</v>
      </c>
      <c r="I19" s="41" t="s">
        <v>47</v>
      </c>
    </row>
    <row r="20" spans="2:12" ht="27">
      <c r="B20" s="83"/>
      <c r="C20" s="92"/>
      <c r="D20" s="84"/>
      <c r="E20" s="21" t="s">
        <v>21</v>
      </c>
      <c r="F20" s="33" t="s">
        <v>53</v>
      </c>
      <c r="G20" s="33" t="s">
        <v>54</v>
      </c>
      <c r="H20" s="33" t="s">
        <v>55</v>
      </c>
      <c r="I20" s="33" t="s">
        <v>57</v>
      </c>
    </row>
    <row r="21" spans="2:12" ht="24" customHeight="1">
      <c r="B21" s="89" t="s">
        <v>50</v>
      </c>
      <c r="C21" s="90"/>
      <c r="D21" s="90"/>
      <c r="E21" s="22" t="s">
        <v>37</v>
      </c>
      <c r="F21" s="72">
        <f>F17</f>
        <v>21350</v>
      </c>
      <c r="G21" s="72">
        <f>G17</f>
        <v>274046</v>
      </c>
      <c r="H21" s="72">
        <f>H17</f>
        <v>79234</v>
      </c>
      <c r="I21" s="73">
        <f>I17</f>
        <v>374630</v>
      </c>
    </row>
    <row r="22" spans="2:12">
      <c r="B22" s="89" t="s">
        <v>26</v>
      </c>
      <c r="C22" s="90"/>
      <c r="D22" s="90"/>
      <c r="E22" s="22"/>
      <c r="F22" s="38">
        <v>45261</v>
      </c>
      <c r="G22" s="38">
        <v>45292</v>
      </c>
      <c r="H22" s="38">
        <v>45658</v>
      </c>
      <c r="I22" s="42">
        <f>F22</f>
        <v>45261</v>
      </c>
    </row>
    <row r="23" spans="2:12">
      <c r="B23" s="89" t="s">
        <v>27</v>
      </c>
      <c r="C23" s="90"/>
      <c r="D23" s="90"/>
      <c r="E23" s="22"/>
      <c r="F23" s="38">
        <v>45291</v>
      </c>
      <c r="G23" s="38">
        <v>45657</v>
      </c>
      <c r="H23" s="38">
        <v>45838</v>
      </c>
      <c r="I23" s="42">
        <f>H23</f>
        <v>45838</v>
      </c>
    </row>
    <row r="24" spans="2:12">
      <c r="B24" s="89" t="s">
        <v>28</v>
      </c>
      <c r="C24" s="90"/>
      <c r="D24" s="90"/>
      <c r="E24" s="22" t="s">
        <v>29</v>
      </c>
      <c r="F24" s="22">
        <f>F23-F22+1</f>
        <v>31</v>
      </c>
      <c r="G24" s="22">
        <f>G23-G22+1</f>
        <v>366</v>
      </c>
      <c r="H24" s="22">
        <f>H23-H22+1</f>
        <v>181</v>
      </c>
      <c r="I24" s="29">
        <f>I23-I22+1</f>
        <v>578</v>
      </c>
    </row>
    <row r="25" spans="2:12">
      <c r="B25" s="89" t="s">
        <v>38</v>
      </c>
      <c r="C25" s="90"/>
      <c r="D25" s="90"/>
      <c r="E25" s="22" t="s">
        <v>49</v>
      </c>
      <c r="F25" s="22">
        <v>241573</v>
      </c>
      <c r="G25" s="22">
        <v>241573</v>
      </c>
      <c r="H25" s="22">
        <v>241573</v>
      </c>
      <c r="I25" s="29">
        <v>241573</v>
      </c>
    </row>
    <row r="26" spans="2:12" ht="15.5">
      <c r="B26" s="89" t="s">
        <v>48</v>
      </c>
      <c r="C26" s="90"/>
      <c r="D26" s="90"/>
      <c r="E26" s="22" t="s">
        <v>37</v>
      </c>
      <c r="F26" s="39">
        <f>ROUNDDOWN((F25*F24/365),0)</f>
        <v>20517</v>
      </c>
      <c r="G26" s="39">
        <f>ROUNDDOWN((G25*G24/365),0)</f>
        <v>242234</v>
      </c>
      <c r="H26" s="39">
        <f>ROUNDDOWN((H25*H24/365),0)</f>
        <v>119793</v>
      </c>
      <c r="I26" s="29">
        <f>ROUNDDOWN((I25*I24/365),0)</f>
        <v>382545</v>
      </c>
    </row>
    <row r="27" spans="2:12">
      <c r="B27" s="89" t="s">
        <v>30</v>
      </c>
      <c r="C27" s="90"/>
      <c r="D27" s="90"/>
      <c r="E27" s="22" t="s">
        <v>31</v>
      </c>
      <c r="F27" s="40">
        <f t="shared" ref="F27:H27" si="1">(F21-F26)/F26</f>
        <v>4.0600477652678268E-2</v>
      </c>
      <c r="G27" s="40">
        <f t="shared" si="1"/>
        <v>0.13132755930216236</v>
      </c>
      <c r="H27" s="40">
        <f t="shared" si="1"/>
        <v>-0.33857570976601303</v>
      </c>
      <c r="I27" s="30">
        <f>(I21-I26)/I26</f>
        <v>-2.0690376295599212E-2</v>
      </c>
    </row>
    <row r="28" spans="2:12" ht="14">
      <c r="G28" s="26"/>
      <c r="H28" s="26"/>
    </row>
    <row r="29" spans="2:12">
      <c r="F29" s="27"/>
    </row>
    <row r="30" spans="2:12" ht="66" customHeight="1">
      <c r="B30" s="76" t="s">
        <v>62</v>
      </c>
      <c r="C30" s="76"/>
      <c r="D30" s="76"/>
      <c r="E30" s="76"/>
      <c r="F30" s="76"/>
      <c r="G30" s="76"/>
      <c r="H30" s="76"/>
      <c r="I30" s="76"/>
    </row>
    <row r="32" spans="2:12" ht="14.5">
      <c r="B32" s="35"/>
      <c r="C32"/>
      <c r="D32"/>
      <c r="E32"/>
    </row>
    <row r="33" spans="2:5" ht="14.5">
      <c r="B33" s="36"/>
      <c r="C33"/>
      <c r="D33"/>
      <c r="E33"/>
    </row>
    <row r="34" spans="2:5" ht="14.5">
      <c r="B34" s="36"/>
      <c r="C34" t="s">
        <v>61</v>
      </c>
      <c r="D34"/>
      <c r="E34"/>
    </row>
    <row r="35" spans="2:5" ht="14.5">
      <c r="B35" s="36"/>
      <c r="C35"/>
      <c r="D35"/>
      <c r="E35"/>
    </row>
    <row r="36" spans="2:5" ht="14.5">
      <c r="B36" s="37"/>
      <c r="C36"/>
      <c r="D36"/>
      <c r="E36"/>
    </row>
    <row r="37" spans="2:5" ht="14.5">
      <c r="B37" s="37"/>
      <c r="C37"/>
      <c r="D37"/>
      <c r="E37"/>
    </row>
    <row r="38" spans="2:5" ht="14.5">
      <c r="B38" s="36"/>
      <c r="C38"/>
      <c r="D38"/>
      <c r="E38"/>
    </row>
    <row r="39" spans="2:5" ht="14.5">
      <c r="B39" s="36"/>
      <c r="C39"/>
      <c r="D39"/>
      <c r="E39"/>
    </row>
  </sheetData>
  <mergeCells count="27">
    <mergeCell ref="C6:G6"/>
    <mergeCell ref="B26:D26"/>
    <mergeCell ref="B27:D27"/>
    <mergeCell ref="B22:D22"/>
    <mergeCell ref="B23:D23"/>
    <mergeCell ref="B25:D25"/>
    <mergeCell ref="G10:G11"/>
    <mergeCell ref="B24:D24"/>
    <mergeCell ref="B21:D21"/>
    <mergeCell ref="B19:D20"/>
    <mergeCell ref="H10:H11"/>
    <mergeCell ref="B30:I30"/>
    <mergeCell ref="C2:G2"/>
    <mergeCell ref="B17:C17"/>
    <mergeCell ref="B12:C12"/>
    <mergeCell ref="B14:C14"/>
    <mergeCell ref="C3:G3"/>
    <mergeCell ref="C4:G4"/>
    <mergeCell ref="C7:G7"/>
    <mergeCell ref="C8:G8"/>
    <mergeCell ref="B16:C16"/>
    <mergeCell ref="B15:C15"/>
    <mergeCell ref="B13:C13"/>
    <mergeCell ref="B10:C11"/>
    <mergeCell ref="I10:I11"/>
    <mergeCell ref="D10:D11"/>
    <mergeCell ref="F10:F11"/>
  </mergeCells>
  <phoneticPr fontId="13"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DEC354-65B6-43FB-827E-89AC821817B9}">
  <dimension ref="B1:M25"/>
  <sheetViews>
    <sheetView showGridLines="0" topLeftCell="A11" zoomScale="115" zoomScaleNormal="115" workbookViewId="0">
      <selection activeCell="L20" sqref="L20"/>
    </sheetView>
  </sheetViews>
  <sheetFormatPr defaultColWidth="8.81640625" defaultRowHeight="14.5"/>
  <cols>
    <col min="2" max="3" width="12" bestFit="1" customWidth="1"/>
    <col min="4" max="4" width="12.54296875" bestFit="1" customWidth="1"/>
    <col min="5" max="5" width="11.453125" customWidth="1"/>
    <col min="6" max="6" width="12.54296875" bestFit="1" customWidth="1"/>
    <col min="7" max="7" width="10.453125" bestFit="1" customWidth="1"/>
    <col min="8" max="8" width="15" customWidth="1"/>
    <col min="9" max="9" width="13.453125" customWidth="1"/>
    <col min="10" max="10" width="12.54296875" bestFit="1" customWidth="1"/>
    <col min="12" max="12" width="11.54296875" bestFit="1" customWidth="1"/>
    <col min="13" max="13" width="13" customWidth="1"/>
  </cols>
  <sheetData>
    <row r="1" spans="2:13" ht="15" thickBot="1"/>
    <row r="2" spans="2:13" ht="14.5" customHeight="1">
      <c r="B2" s="99" t="s">
        <v>0</v>
      </c>
      <c r="C2" s="100"/>
      <c r="D2" s="94" t="s">
        <v>11</v>
      </c>
      <c r="E2" s="95"/>
      <c r="F2" s="96"/>
      <c r="G2" s="94" t="s">
        <v>12</v>
      </c>
      <c r="H2" s="96"/>
      <c r="I2" s="101" t="s">
        <v>2</v>
      </c>
      <c r="J2" s="31" t="s">
        <v>3</v>
      </c>
    </row>
    <row r="3" spans="2:13" ht="56.5" thickBot="1">
      <c r="B3" s="1" t="s">
        <v>4</v>
      </c>
      <c r="C3" s="5" t="s">
        <v>5</v>
      </c>
      <c r="D3" s="8" t="s">
        <v>9</v>
      </c>
      <c r="E3" s="6" t="s">
        <v>10</v>
      </c>
      <c r="F3" s="9" t="s">
        <v>1</v>
      </c>
      <c r="G3" s="8" t="s">
        <v>52</v>
      </c>
      <c r="H3" s="9" t="s">
        <v>51</v>
      </c>
      <c r="I3" s="102"/>
      <c r="J3" s="32" t="s">
        <v>6</v>
      </c>
    </row>
    <row r="4" spans="2:13" ht="15" thickBot="1">
      <c r="B4" s="46">
        <v>45261</v>
      </c>
      <c r="C4" s="47">
        <v>45291</v>
      </c>
      <c r="D4" s="74">
        <v>11223600</v>
      </c>
      <c r="E4" s="75">
        <v>65580</v>
      </c>
      <c r="F4" s="65">
        <f>D4-E4</f>
        <v>11158020</v>
      </c>
      <c r="G4" s="66">
        <f>F4*1%</f>
        <v>111580.2</v>
      </c>
      <c r="H4" s="65">
        <f>F4-G4</f>
        <v>11046439.800000001</v>
      </c>
      <c r="I4" s="48">
        <f>MIN(F4,H4)</f>
        <v>11046439.800000001</v>
      </c>
      <c r="J4" s="63">
        <f>I4/1000</f>
        <v>11046.4398</v>
      </c>
      <c r="L4" s="34"/>
      <c r="M4" s="34"/>
    </row>
    <row r="5" spans="2:13">
      <c r="B5" s="49">
        <v>45292</v>
      </c>
      <c r="C5" s="50">
        <v>45322</v>
      </c>
      <c r="D5" s="67">
        <v>9441420</v>
      </c>
      <c r="E5" s="68">
        <v>70500</v>
      </c>
      <c r="F5" s="61">
        <f t="shared" ref="F5:F11" si="0">+D5-E5</f>
        <v>9370920</v>
      </c>
      <c r="G5" s="62">
        <f t="shared" ref="G5:G22" si="1">F5*1%</f>
        <v>93709.2</v>
      </c>
      <c r="H5" s="61">
        <f t="shared" ref="H5:H22" si="2">F5-G5</f>
        <v>9277210.8000000007</v>
      </c>
      <c r="I5" s="51">
        <f t="shared" ref="I5:I22" si="3">MIN(F5,H5)</f>
        <v>9277210.8000000007</v>
      </c>
      <c r="J5" s="103">
        <f>SUM(I5:I16)/1000</f>
        <v>141882.48360000004</v>
      </c>
      <c r="L5" s="34"/>
      <c r="M5" s="34"/>
    </row>
    <row r="6" spans="2:13">
      <c r="B6" s="2">
        <v>45323</v>
      </c>
      <c r="C6" s="7">
        <v>45351</v>
      </c>
      <c r="D6" s="10">
        <v>11656980</v>
      </c>
      <c r="E6" s="15">
        <v>60540</v>
      </c>
      <c r="F6" s="16">
        <f t="shared" si="0"/>
        <v>11596440</v>
      </c>
      <c r="G6" s="17">
        <f t="shared" si="1"/>
        <v>115964.40000000001</v>
      </c>
      <c r="H6" s="16">
        <f t="shared" si="2"/>
        <v>11480475.6</v>
      </c>
      <c r="I6" s="13">
        <f t="shared" si="3"/>
        <v>11480475.6</v>
      </c>
      <c r="J6" s="104"/>
      <c r="L6" s="34"/>
      <c r="M6" s="34"/>
    </row>
    <row r="7" spans="2:13">
      <c r="B7" s="2">
        <v>45352</v>
      </c>
      <c r="C7" s="7">
        <v>45382</v>
      </c>
      <c r="D7" s="10">
        <v>13883220</v>
      </c>
      <c r="E7" s="15">
        <v>60720</v>
      </c>
      <c r="F7" s="16">
        <f t="shared" si="0"/>
        <v>13822500</v>
      </c>
      <c r="G7" s="17">
        <f t="shared" si="1"/>
        <v>138225</v>
      </c>
      <c r="H7" s="16">
        <f t="shared" si="2"/>
        <v>13684275</v>
      </c>
      <c r="I7" s="13">
        <f t="shared" si="3"/>
        <v>13684275</v>
      </c>
      <c r="J7" s="104"/>
      <c r="L7" s="34"/>
      <c r="M7" s="34"/>
    </row>
    <row r="8" spans="2:13">
      <c r="B8" s="2">
        <v>45383</v>
      </c>
      <c r="C8" s="7">
        <v>45412</v>
      </c>
      <c r="D8" s="10">
        <v>12581760</v>
      </c>
      <c r="E8" s="15">
        <v>58320</v>
      </c>
      <c r="F8" s="16">
        <f t="shared" si="0"/>
        <v>12523440</v>
      </c>
      <c r="G8" s="17">
        <f t="shared" si="1"/>
        <v>125234.40000000001</v>
      </c>
      <c r="H8" s="16">
        <f t="shared" si="2"/>
        <v>12398205.6</v>
      </c>
      <c r="I8" s="13">
        <f t="shared" si="3"/>
        <v>12398205.6</v>
      </c>
      <c r="J8" s="104"/>
      <c r="L8" s="34"/>
      <c r="M8" s="34"/>
    </row>
    <row r="9" spans="2:13">
      <c r="B9" s="2">
        <v>45413</v>
      </c>
      <c r="C9" s="7">
        <v>45443</v>
      </c>
      <c r="D9" s="10">
        <v>14253660</v>
      </c>
      <c r="E9" s="15">
        <v>53220</v>
      </c>
      <c r="F9" s="16">
        <f t="shared" si="0"/>
        <v>14200440</v>
      </c>
      <c r="G9" s="17">
        <f t="shared" si="1"/>
        <v>142004.4</v>
      </c>
      <c r="H9" s="16">
        <f t="shared" si="2"/>
        <v>14058435.6</v>
      </c>
      <c r="I9" s="13">
        <f t="shared" si="3"/>
        <v>14058435.6</v>
      </c>
      <c r="J9" s="104"/>
      <c r="L9" s="34"/>
      <c r="M9" s="34"/>
    </row>
    <row r="10" spans="2:13">
      <c r="B10" s="2">
        <v>45444</v>
      </c>
      <c r="C10" s="7">
        <v>45473</v>
      </c>
      <c r="D10" s="10">
        <v>13263900</v>
      </c>
      <c r="E10" s="15">
        <v>47460</v>
      </c>
      <c r="F10" s="16">
        <f t="shared" si="0"/>
        <v>13216440</v>
      </c>
      <c r="G10" s="17">
        <f t="shared" si="1"/>
        <v>132164.4</v>
      </c>
      <c r="H10" s="16">
        <f t="shared" si="2"/>
        <v>13084275.6</v>
      </c>
      <c r="I10" s="13">
        <f t="shared" si="3"/>
        <v>13084275.6</v>
      </c>
      <c r="J10" s="104"/>
      <c r="K10">
        <f>J5/12</f>
        <v>11823.540300000002</v>
      </c>
      <c r="L10" s="34"/>
      <c r="M10" s="34"/>
    </row>
    <row r="11" spans="2:13">
      <c r="B11" s="2">
        <v>45474</v>
      </c>
      <c r="C11" s="7">
        <v>45504</v>
      </c>
      <c r="D11" s="10">
        <v>12716460</v>
      </c>
      <c r="E11" s="15">
        <v>54360</v>
      </c>
      <c r="F11" s="16">
        <f t="shared" si="0"/>
        <v>12662100</v>
      </c>
      <c r="G11" s="17">
        <f t="shared" si="1"/>
        <v>126621</v>
      </c>
      <c r="H11" s="16">
        <f t="shared" si="2"/>
        <v>12535479</v>
      </c>
      <c r="I11" s="13">
        <f t="shared" si="3"/>
        <v>12535479</v>
      </c>
      <c r="J11" s="104"/>
      <c r="L11" s="34"/>
      <c r="M11" s="34"/>
    </row>
    <row r="12" spans="2:13">
      <c r="B12" s="2">
        <v>45505</v>
      </c>
      <c r="C12" s="7">
        <v>45535</v>
      </c>
      <c r="D12" s="10">
        <v>10075920</v>
      </c>
      <c r="E12" s="15">
        <v>60540</v>
      </c>
      <c r="F12" s="16">
        <f t="shared" ref="F12:F22" si="4">+D12-E12</f>
        <v>10015380</v>
      </c>
      <c r="G12" s="17">
        <f t="shared" si="1"/>
        <v>100153.8</v>
      </c>
      <c r="H12" s="16">
        <f t="shared" si="2"/>
        <v>9915226.1999999993</v>
      </c>
      <c r="I12" s="13">
        <f t="shared" si="3"/>
        <v>9915226.1999999993</v>
      </c>
      <c r="J12" s="104"/>
      <c r="L12" s="34"/>
      <c r="M12" s="34"/>
    </row>
    <row r="13" spans="2:13">
      <c r="B13" s="2">
        <v>45536</v>
      </c>
      <c r="C13" s="7">
        <v>45565</v>
      </c>
      <c r="D13" s="10">
        <v>11283900</v>
      </c>
      <c r="E13" s="15">
        <v>58500</v>
      </c>
      <c r="F13" s="16">
        <f t="shared" si="4"/>
        <v>11225400</v>
      </c>
      <c r="G13" s="17">
        <f t="shared" si="1"/>
        <v>112254</v>
      </c>
      <c r="H13" s="16">
        <f t="shared" si="2"/>
        <v>11113146</v>
      </c>
      <c r="I13" s="13">
        <f t="shared" si="3"/>
        <v>11113146</v>
      </c>
      <c r="J13" s="104"/>
      <c r="L13" s="34"/>
      <c r="M13" s="34"/>
    </row>
    <row r="14" spans="2:13">
      <c r="B14" s="2">
        <v>45566</v>
      </c>
      <c r="C14" s="7">
        <v>45596</v>
      </c>
      <c r="D14" s="10">
        <v>12693540</v>
      </c>
      <c r="E14" s="15">
        <v>63660</v>
      </c>
      <c r="F14" s="16">
        <f t="shared" si="4"/>
        <v>12629880</v>
      </c>
      <c r="G14" s="17">
        <f t="shared" si="1"/>
        <v>126298.8</v>
      </c>
      <c r="H14" s="16">
        <f t="shared" si="2"/>
        <v>12503581.199999999</v>
      </c>
      <c r="I14" s="13">
        <f t="shared" si="3"/>
        <v>12503581.199999999</v>
      </c>
      <c r="J14" s="104"/>
      <c r="L14" s="34"/>
      <c r="M14" s="34"/>
    </row>
    <row r="15" spans="2:13">
      <c r="B15" s="2">
        <v>45597</v>
      </c>
      <c r="C15" s="7">
        <v>45626</v>
      </c>
      <c r="D15" s="18">
        <v>11402220</v>
      </c>
      <c r="E15" s="19">
        <v>61020</v>
      </c>
      <c r="F15" s="16">
        <f t="shared" si="4"/>
        <v>11341200</v>
      </c>
      <c r="G15" s="17">
        <f t="shared" si="1"/>
        <v>113412</v>
      </c>
      <c r="H15" s="16">
        <f t="shared" si="2"/>
        <v>11227788</v>
      </c>
      <c r="I15" s="13">
        <f t="shared" si="3"/>
        <v>11227788</v>
      </c>
      <c r="J15" s="104"/>
      <c r="L15" s="34"/>
      <c r="M15" s="34"/>
    </row>
    <row r="16" spans="2:13" ht="15" thickBot="1">
      <c r="B16" s="52">
        <v>45627</v>
      </c>
      <c r="C16" s="53">
        <v>45657</v>
      </c>
      <c r="D16" s="54">
        <v>10778100</v>
      </c>
      <c r="E16" s="55">
        <v>66600</v>
      </c>
      <c r="F16" s="56">
        <f t="shared" si="4"/>
        <v>10711500</v>
      </c>
      <c r="G16" s="57">
        <f t="shared" si="1"/>
        <v>107115</v>
      </c>
      <c r="H16" s="56">
        <f t="shared" si="2"/>
        <v>10604385</v>
      </c>
      <c r="I16" s="58">
        <f t="shared" si="3"/>
        <v>10604385</v>
      </c>
      <c r="J16" s="105"/>
      <c r="L16" s="34"/>
      <c r="M16" s="34"/>
    </row>
    <row r="17" spans="2:13">
      <c r="B17" s="49">
        <v>45658</v>
      </c>
      <c r="C17" s="50">
        <v>45688</v>
      </c>
      <c r="D17" s="59">
        <v>11921940</v>
      </c>
      <c r="E17" s="60">
        <v>66480</v>
      </c>
      <c r="F17" s="61">
        <f t="shared" si="4"/>
        <v>11855460</v>
      </c>
      <c r="G17" s="62">
        <f t="shared" si="1"/>
        <v>118554.6</v>
      </c>
      <c r="H17" s="61">
        <f t="shared" si="2"/>
        <v>11736905.4</v>
      </c>
      <c r="I17" s="51">
        <f t="shared" si="3"/>
        <v>11736905.4</v>
      </c>
      <c r="J17" s="103">
        <f>SUM(I17:I22)/10000</f>
        <v>7488.2372400000004</v>
      </c>
      <c r="L17" s="34"/>
      <c r="M17" s="34"/>
    </row>
    <row r="18" spans="2:13">
      <c r="B18" s="2">
        <v>45689</v>
      </c>
      <c r="C18" s="7">
        <v>45716</v>
      </c>
      <c r="D18" s="18">
        <v>11294520</v>
      </c>
      <c r="E18" s="19">
        <v>55860</v>
      </c>
      <c r="F18" s="16">
        <f t="shared" si="4"/>
        <v>11238660</v>
      </c>
      <c r="G18" s="17">
        <f t="shared" si="1"/>
        <v>112386.6</v>
      </c>
      <c r="H18" s="16">
        <f t="shared" si="2"/>
        <v>11126273.4</v>
      </c>
      <c r="I18" s="13">
        <f t="shared" si="3"/>
        <v>11126273.4</v>
      </c>
      <c r="J18" s="104"/>
      <c r="L18" s="34"/>
      <c r="M18" s="34"/>
    </row>
    <row r="19" spans="2:13">
      <c r="B19" s="2">
        <v>45717</v>
      </c>
      <c r="C19" s="7">
        <v>45747</v>
      </c>
      <c r="D19" s="18">
        <v>14572440</v>
      </c>
      <c r="E19" s="19">
        <v>60960</v>
      </c>
      <c r="F19" s="16">
        <f t="shared" si="4"/>
        <v>14511480</v>
      </c>
      <c r="G19" s="17">
        <f t="shared" si="1"/>
        <v>145114.80000000002</v>
      </c>
      <c r="H19" s="16">
        <f t="shared" si="2"/>
        <v>14366365.199999999</v>
      </c>
      <c r="I19" s="13">
        <f t="shared" si="3"/>
        <v>14366365.199999999</v>
      </c>
      <c r="J19" s="104"/>
      <c r="L19" s="34"/>
      <c r="M19" s="34"/>
    </row>
    <row r="20" spans="2:13">
      <c r="B20" s="2">
        <v>45748</v>
      </c>
      <c r="C20" s="7">
        <v>45777</v>
      </c>
      <c r="D20" s="18">
        <v>13703520</v>
      </c>
      <c r="E20" s="19">
        <v>54180</v>
      </c>
      <c r="F20" s="16">
        <f t="shared" si="4"/>
        <v>13649340</v>
      </c>
      <c r="G20" s="17">
        <f t="shared" si="1"/>
        <v>136493.4</v>
      </c>
      <c r="H20" s="16">
        <f t="shared" si="2"/>
        <v>13512846.6</v>
      </c>
      <c r="I20" s="13">
        <f t="shared" si="3"/>
        <v>13512846.6</v>
      </c>
      <c r="J20" s="104"/>
      <c r="L20" s="34"/>
      <c r="M20" s="34"/>
    </row>
    <row r="21" spans="2:13">
      <c r="B21" s="2">
        <v>45778</v>
      </c>
      <c r="C21" s="7">
        <v>45808</v>
      </c>
      <c r="D21" s="18">
        <v>12848700</v>
      </c>
      <c r="E21" s="19">
        <v>55680</v>
      </c>
      <c r="F21" s="16">
        <f t="shared" si="4"/>
        <v>12793020</v>
      </c>
      <c r="G21" s="17">
        <f t="shared" si="1"/>
        <v>127930.2</v>
      </c>
      <c r="H21" s="16">
        <f t="shared" si="2"/>
        <v>12665089.800000001</v>
      </c>
      <c r="I21" s="13">
        <f t="shared" si="3"/>
        <v>12665089.800000001</v>
      </c>
      <c r="J21" s="104"/>
      <c r="L21" s="34"/>
      <c r="M21" s="34"/>
    </row>
    <row r="22" spans="2:13" ht="15" thickBot="1">
      <c r="B22" s="52">
        <v>45809</v>
      </c>
      <c r="C22" s="53">
        <v>45838</v>
      </c>
      <c r="D22" s="54">
        <v>11641560</v>
      </c>
      <c r="E22" s="55">
        <v>50760</v>
      </c>
      <c r="F22" s="56">
        <f t="shared" si="4"/>
        <v>11590800</v>
      </c>
      <c r="G22" s="57">
        <f t="shared" si="1"/>
        <v>115908</v>
      </c>
      <c r="H22" s="56">
        <f t="shared" si="2"/>
        <v>11474892</v>
      </c>
      <c r="I22" s="58">
        <f t="shared" si="3"/>
        <v>11474892</v>
      </c>
      <c r="J22" s="105"/>
      <c r="L22" s="34"/>
      <c r="M22" s="34"/>
    </row>
    <row r="23" spans="2:13" ht="15" thickBot="1">
      <c r="B23" s="97" t="s">
        <v>7</v>
      </c>
      <c r="C23" s="98"/>
      <c r="D23" s="11">
        <f>SUM(D4:D22)</f>
        <v>231237360</v>
      </c>
      <c r="E23" s="3">
        <f>SUM(E4:E22)</f>
        <v>1124940</v>
      </c>
      <c r="F23" s="12">
        <f>ROUNDDOWN(SUM(F4:F22),0)</f>
        <v>230112420</v>
      </c>
      <c r="G23" s="4"/>
      <c r="H23" s="12"/>
      <c r="I23" s="14">
        <f>SUM(I4:I22)</f>
        <v>227811295.80000001</v>
      </c>
      <c r="J23" s="64">
        <f>SUM(J4:J22)</f>
        <v>160417.16064000002</v>
      </c>
    </row>
    <row r="25" spans="2:13" ht="57.75" customHeight="1">
      <c r="B25" s="93" t="s">
        <v>8</v>
      </c>
      <c r="C25" s="93"/>
      <c r="D25" s="93"/>
      <c r="E25" s="93"/>
      <c r="F25" s="93"/>
      <c r="G25" s="93"/>
      <c r="H25" s="93"/>
      <c r="I25" s="93"/>
      <c r="J25" s="93"/>
      <c r="L25" s="34"/>
    </row>
  </sheetData>
  <mergeCells count="8">
    <mergeCell ref="B25:J25"/>
    <mergeCell ref="D2:F2"/>
    <mergeCell ref="G2:H2"/>
    <mergeCell ref="B23:C23"/>
    <mergeCell ref="B2:C2"/>
    <mergeCell ref="I2:I3"/>
    <mergeCell ref="J5:J16"/>
    <mergeCell ref="J17:J22"/>
  </mergeCells>
  <phoneticPr fontId="13" type="noConversion"/>
  <pageMargins left="0.7" right="0.7" top="0.75" bottom="0.75" header="0.3" footer="0.3"/>
  <ignoredErrors>
    <ignoredError sqref="G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F78A4C-B2AE-4DD4-9586-BB1A3450D922}">
  <dimension ref="B1:J25"/>
  <sheetViews>
    <sheetView showGridLines="0" zoomScaleNormal="100" workbookViewId="0">
      <selection activeCell="I2" sqref="I2:I3"/>
    </sheetView>
  </sheetViews>
  <sheetFormatPr defaultColWidth="8.81640625" defaultRowHeight="14.5"/>
  <cols>
    <col min="2" max="3" width="11.81640625" bestFit="1" customWidth="1"/>
    <col min="4" max="4" width="12.453125" bestFit="1" customWidth="1"/>
    <col min="5" max="5" width="11.453125" customWidth="1"/>
    <col min="6" max="6" width="12.453125" bestFit="1" customWidth="1"/>
    <col min="7" max="7" width="10.1796875" bestFit="1" customWidth="1"/>
    <col min="8" max="9" width="12.453125" bestFit="1" customWidth="1"/>
    <col min="10" max="10" width="15.453125" customWidth="1"/>
  </cols>
  <sheetData>
    <row r="1" spans="2:10" ht="15" thickBot="1"/>
    <row r="2" spans="2:10">
      <c r="B2" s="99" t="s">
        <v>0</v>
      </c>
      <c r="C2" s="100"/>
      <c r="D2" s="94" t="s">
        <v>11</v>
      </c>
      <c r="E2" s="95"/>
      <c r="F2" s="96"/>
      <c r="G2" s="94" t="s">
        <v>12</v>
      </c>
      <c r="H2" s="96"/>
      <c r="I2" s="101" t="s">
        <v>2</v>
      </c>
      <c r="J2" s="31" t="s">
        <v>3</v>
      </c>
    </row>
    <row r="3" spans="2:10" ht="56.5" thickBot="1">
      <c r="B3" s="1" t="s">
        <v>4</v>
      </c>
      <c r="C3" s="5" t="s">
        <v>5</v>
      </c>
      <c r="D3" s="8" t="s">
        <v>9</v>
      </c>
      <c r="E3" s="6" t="s">
        <v>10</v>
      </c>
      <c r="F3" s="9" t="s">
        <v>1</v>
      </c>
      <c r="G3" s="8" t="s">
        <v>52</v>
      </c>
      <c r="H3" s="9" t="s">
        <v>51</v>
      </c>
      <c r="I3" s="102"/>
      <c r="J3" s="32" t="s">
        <v>6</v>
      </c>
    </row>
    <row r="4" spans="2:10" ht="15" thickBot="1">
      <c r="B4" s="46">
        <v>45261</v>
      </c>
      <c r="C4" s="47">
        <v>45291</v>
      </c>
      <c r="D4" s="74">
        <v>11265660</v>
      </c>
      <c r="E4" s="75">
        <v>82620</v>
      </c>
      <c r="F4" s="65">
        <f>D4-E4</f>
        <v>11183040</v>
      </c>
      <c r="G4" s="66">
        <f>F4*1%</f>
        <v>111830.40000000001</v>
      </c>
      <c r="H4" s="65">
        <f>F4-G4</f>
        <v>11071209.6</v>
      </c>
      <c r="I4" s="48">
        <f>MIN(F4,H4)</f>
        <v>11071209.6</v>
      </c>
      <c r="J4" s="63">
        <f>I4/1000</f>
        <v>11071.2096</v>
      </c>
    </row>
    <row r="5" spans="2:10" ht="15" thickBot="1">
      <c r="B5" s="49">
        <v>45292</v>
      </c>
      <c r="C5" s="47">
        <v>45322</v>
      </c>
      <c r="D5" s="67">
        <v>9516780</v>
      </c>
      <c r="E5" s="68">
        <v>87300</v>
      </c>
      <c r="F5" s="61">
        <f t="shared" ref="F5:F18" si="0">+D5-E5</f>
        <v>9429480</v>
      </c>
      <c r="G5" s="62">
        <f t="shared" ref="G5:G22" si="1">F5*1%</f>
        <v>94294.8</v>
      </c>
      <c r="H5" s="61">
        <f t="shared" ref="H5:H22" si="2">F5-G5</f>
        <v>9335185.1999999993</v>
      </c>
      <c r="I5" s="51">
        <f t="shared" ref="I5:I22" si="3">MIN(F5,H5)</f>
        <v>9335185.1999999993</v>
      </c>
      <c r="J5" s="103">
        <f>SUM(I5:I16)/1000</f>
        <v>142015.2426</v>
      </c>
    </row>
    <row r="6" spans="2:10" ht="15" thickBot="1">
      <c r="B6" s="2">
        <v>45323</v>
      </c>
      <c r="C6" s="47">
        <v>45351</v>
      </c>
      <c r="D6" s="10">
        <v>11701200</v>
      </c>
      <c r="E6" s="15">
        <v>74040</v>
      </c>
      <c r="F6" s="16">
        <f t="shared" si="0"/>
        <v>11627160</v>
      </c>
      <c r="G6" s="17">
        <f t="shared" si="1"/>
        <v>116271.6</v>
      </c>
      <c r="H6" s="16">
        <f t="shared" si="2"/>
        <v>11510888.4</v>
      </c>
      <c r="I6" s="13">
        <f t="shared" si="3"/>
        <v>11510888.4</v>
      </c>
      <c r="J6" s="104"/>
    </row>
    <row r="7" spans="2:10" ht="15" thickBot="1">
      <c r="B7" s="2">
        <v>45352</v>
      </c>
      <c r="C7" s="47">
        <v>45382</v>
      </c>
      <c r="D7" s="10">
        <v>13808160</v>
      </c>
      <c r="E7" s="15">
        <v>72840</v>
      </c>
      <c r="F7" s="16">
        <f t="shared" si="0"/>
        <v>13735320</v>
      </c>
      <c r="G7" s="17">
        <f t="shared" si="1"/>
        <v>137353.20000000001</v>
      </c>
      <c r="H7" s="16">
        <f t="shared" si="2"/>
        <v>13597966.800000001</v>
      </c>
      <c r="I7" s="13">
        <f t="shared" si="3"/>
        <v>13597966.800000001</v>
      </c>
      <c r="J7" s="104"/>
    </row>
    <row r="8" spans="2:10" ht="15" thickBot="1">
      <c r="B8" s="2">
        <v>45383</v>
      </c>
      <c r="C8" s="47">
        <v>45412</v>
      </c>
      <c r="D8" s="10">
        <v>12681300</v>
      </c>
      <c r="E8" s="15">
        <v>70500</v>
      </c>
      <c r="F8" s="16">
        <f t="shared" si="0"/>
        <v>12610800</v>
      </c>
      <c r="G8" s="17">
        <f t="shared" si="1"/>
        <v>126108</v>
      </c>
      <c r="H8" s="16">
        <f t="shared" si="2"/>
        <v>12484692</v>
      </c>
      <c r="I8" s="13">
        <f t="shared" si="3"/>
        <v>12484692</v>
      </c>
      <c r="J8" s="104"/>
    </row>
    <row r="9" spans="2:10" ht="15" thickBot="1">
      <c r="B9" s="2">
        <v>45413</v>
      </c>
      <c r="C9" s="47">
        <v>45443</v>
      </c>
      <c r="D9" s="10">
        <v>14307240</v>
      </c>
      <c r="E9" s="15">
        <v>68520</v>
      </c>
      <c r="F9" s="16">
        <f t="shared" si="0"/>
        <v>14238720</v>
      </c>
      <c r="G9" s="17">
        <f t="shared" si="1"/>
        <v>142387.20000000001</v>
      </c>
      <c r="H9" s="16">
        <f t="shared" si="2"/>
        <v>14096332.800000001</v>
      </c>
      <c r="I9" s="13">
        <f t="shared" si="3"/>
        <v>14096332.800000001</v>
      </c>
      <c r="J9" s="104"/>
    </row>
    <row r="10" spans="2:10" ht="15" thickBot="1">
      <c r="B10" s="2">
        <v>45444</v>
      </c>
      <c r="C10" s="47">
        <v>45473</v>
      </c>
      <c r="D10" s="10">
        <v>13210680</v>
      </c>
      <c r="E10" s="15">
        <v>59760</v>
      </c>
      <c r="F10" s="16">
        <f>+D10-E10</f>
        <v>13150920</v>
      </c>
      <c r="G10" s="17">
        <f t="shared" si="1"/>
        <v>131509.20000000001</v>
      </c>
      <c r="H10" s="16">
        <f>F10-G10</f>
        <v>13019410.800000001</v>
      </c>
      <c r="I10" s="13">
        <f t="shared" si="3"/>
        <v>13019410.800000001</v>
      </c>
      <c r="J10" s="104"/>
    </row>
    <row r="11" spans="2:10" ht="15" thickBot="1">
      <c r="B11" s="2">
        <v>45474</v>
      </c>
      <c r="C11" s="47">
        <v>45504</v>
      </c>
      <c r="D11" s="10">
        <v>12824040</v>
      </c>
      <c r="E11" s="15">
        <v>65040</v>
      </c>
      <c r="F11" s="16">
        <f t="shared" si="0"/>
        <v>12759000</v>
      </c>
      <c r="G11" s="17">
        <f t="shared" si="1"/>
        <v>127590</v>
      </c>
      <c r="H11" s="16">
        <f t="shared" si="2"/>
        <v>12631410</v>
      </c>
      <c r="I11" s="13">
        <f t="shared" si="3"/>
        <v>12631410</v>
      </c>
      <c r="J11" s="104"/>
    </row>
    <row r="12" spans="2:10" ht="15" thickBot="1">
      <c r="B12" s="2">
        <v>45505</v>
      </c>
      <c r="C12" s="47">
        <v>45535</v>
      </c>
      <c r="D12" s="10">
        <v>10077240</v>
      </c>
      <c r="E12" s="15">
        <v>74340</v>
      </c>
      <c r="F12" s="16">
        <f t="shared" si="0"/>
        <v>10002900</v>
      </c>
      <c r="G12" s="17">
        <f t="shared" si="1"/>
        <v>100029</v>
      </c>
      <c r="H12" s="16">
        <f t="shared" si="2"/>
        <v>9902871</v>
      </c>
      <c r="I12" s="13">
        <f t="shared" si="3"/>
        <v>9902871</v>
      </c>
      <c r="J12" s="104"/>
    </row>
    <row r="13" spans="2:10" ht="15" thickBot="1">
      <c r="B13" s="2">
        <v>45536</v>
      </c>
      <c r="C13" s="47">
        <v>45565</v>
      </c>
      <c r="D13" s="10">
        <v>11367600</v>
      </c>
      <c r="E13" s="15">
        <v>69900</v>
      </c>
      <c r="F13" s="16">
        <f t="shared" si="0"/>
        <v>11297700</v>
      </c>
      <c r="G13" s="17">
        <f t="shared" si="1"/>
        <v>112977</v>
      </c>
      <c r="H13" s="16">
        <f t="shared" si="2"/>
        <v>11184723</v>
      </c>
      <c r="I13" s="13">
        <f t="shared" si="3"/>
        <v>11184723</v>
      </c>
      <c r="J13" s="104"/>
    </row>
    <row r="14" spans="2:10" ht="15" thickBot="1">
      <c r="B14" s="2">
        <v>45566</v>
      </c>
      <c r="C14" s="47">
        <v>45596</v>
      </c>
      <c r="D14" s="10">
        <v>12626100</v>
      </c>
      <c r="E14" s="15">
        <v>73560</v>
      </c>
      <c r="F14" s="16">
        <f t="shared" si="0"/>
        <v>12552540</v>
      </c>
      <c r="G14" s="17">
        <f t="shared" si="1"/>
        <v>125525.40000000001</v>
      </c>
      <c r="H14" s="16">
        <f t="shared" si="2"/>
        <v>12427014.6</v>
      </c>
      <c r="I14" s="13">
        <f t="shared" si="3"/>
        <v>12427014.6</v>
      </c>
      <c r="J14" s="104"/>
    </row>
    <row r="15" spans="2:10" ht="15" thickBot="1">
      <c r="B15" s="2">
        <v>45597</v>
      </c>
      <c r="C15" s="47">
        <v>45626</v>
      </c>
      <c r="D15" s="10">
        <v>11451600</v>
      </c>
      <c r="E15" s="15">
        <v>74220</v>
      </c>
      <c r="F15" s="16">
        <f t="shared" si="0"/>
        <v>11377380</v>
      </c>
      <c r="G15" s="17">
        <f t="shared" si="1"/>
        <v>113773.8</v>
      </c>
      <c r="H15" s="16">
        <f t="shared" si="2"/>
        <v>11263606.199999999</v>
      </c>
      <c r="I15" s="13">
        <f t="shared" si="3"/>
        <v>11263606.199999999</v>
      </c>
      <c r="J15" s="104"/>
    </row>
    <row r="16" spans="2:10" ht="15" thickBot="1">
      <c r="B16" s="52">
        <v>45627</v>
      </c>
      <c r="C16" s="47">
        <v>45657</v>
      </c>
      <c r="D16" s="54">
        <v>10749780</v>
      </c>
      <c r="E16" s="55">
        <v>81960</v>
      </c>
      <c r="F16" s="56">
        <f t="shared" si="0"/>
        <v>10667820</v>
      </c>
      <c r="G16" s="57">
        <f t="shared" si="1"/>
        <v>106678.2</v>
      </c>
      <c r="H16" s="56">
        <f t="shared" si="2"/>
        <v>10561141.800000001</v>
      </c>
      <c r="I16" s="58">
        <f t="shared" si="3"/>
        <v>10561141.800000001</v>
      </c>
      <c r="J16" s="105"/>
    </row>
    <row r="17" spans="2:10" ht="15" thickBot="1">
      <c r="B17" s="49">
        <v>45658</v>
      </c>
      <c r="C17" s="47">
        <v>45688</v>
      </c>
      <c r="D17" s="67">
        <v>11913180</v>
      </c>
      <c r="E17" s="68">
        <v>80940</v>
      </c>
      <c r="F17" s="61">
        <f t="shared" si="0"/>
        <v>11832240</v>
      </c>
      <c r="G17" s="62">
        <f t="shared" si="1"/>
        <v>118322.40000000001</v>
      </c>
      <c r="H17" s="61">
        <f t="shared" si="2"/>
        <v>11713917.6</v>
      </c>
      <c r="I17" s="51">
        <f t="shared" si="3"/>
        <v>11713917.6</v>
      </c>
      <c r="J17" s="103">
        <f>SUM(I17:I22)/1000</f>
        <v>74594.995200000005</v>
      </c>
    </row>
    <row r="18" spans="2:10" ht="15" thickBot="1">
      <c r="B18" s="2">
        <v>45689</v>
      </c>
      <c r="C18" s="47">
        <v>45716</v>
      </c>
      <c r="D18" s="10">
        <v>11323920</v>
      </c>
      <c r="E18" s="15">
        <v>66300</v>
      </c>
      <c r="F18" s="16">
        <f t="shared" si="0"/>
        <v>11257620</v>
      </c>
      <c r="G18" s="17">
        <f t="shared" si="1"/>
        <v>112576.2</v>
      </c>
      <c r="H18" s="16">
        <f t="shared" si="2"/>
        <v>11145043.800000001</v>
      </c>
      <c r="I18" s="13">
        <f t="shared" si="3"/>
        <v>11145043.800000001</v>
      </c>
      <c r="J18" s="104"/>
    </row>
    <row r="19" spans="2:10" ht="15" thickBot="1">
      <c r="B19" s="2">
        <v>45717</v>
      </c>
      <c r="C19" s="47">
        <v>45747</v>
      </c>
      <c r="D19" s="10">
        <v>14589780</v>
      </c>
      <c r="E19" s="15">
        <v>72660</v>
      </c>
      <c r="F19" s="16">
        <f>+D19-E19</f>
        <v>14517120</v>
      </c>
      <c r="G19" s="17">
        <f t="shared" si="1"/>
        <v>145171.20000000001</v>
      </c>
      <c r="H19" s="16">
        <f t="shared" si="2"/>
        <v>14371948.800000001</v>
      </c>
      <c r="I19" s="13">
        <f t="shared" si="3"/>
        <v>14371948.800000001</v>
      </c>
      <c r="J19" s="104"/>
    </row>
    <row r="20" spans="2:10" ht="15" thickBot="1">
      <c r="B20" s="2">
        <v>45748</v>
      </c>
      <c r="C20" s="47">
        <v>45777</v>
      </c>
      <c r="D20" s="10">
        <v>13706220</v>
      </c>
      <c r="E20" s="15">
        <v>64620</v>
      </c>
      <c r="F20" s="16">
        <f>+D20-E20</f>
        <v>13641600</v>
      </c>
      <c r="G20" s="17">
        <f t="shared" si="1"/>
        <v>136416</v>
      </c>
      <c r="H20" s="16">
        <f t="shared" si="2"/>
        <v>13505184</v>
      </c>
      <c r="I20" s="13">
        <f t="shared" si="3"/>
        <v>13505184</v>
      </c>
      <c r="J20" s="104"/>
    </row>
    <row r="21" spans="2:10" ht="15" thickBot="1">
      <c r="B21" s="2">
        <v>45778</v>
      </c>
      <c r="C21" s="47">
        <v>45808</v>
      </c>
      <c r="D21" s="10">
        <v>12719220</v>
      </c>
      <c r="E21" s="15">
        <v>66840</v>
      </c>
      <c r="F21" s="16">
        <f>+D21-E21</f>
        <v>12652380</v>
      </c>
      <c r="G21" s="17">
        <f t="shared" si="1"/>
        <v>126523.8</v>
      </c>
      <c r="H21" s="16">
        <f t="shared" si="2"/>
        <v>12525856.199999999</v>
      </c>
      <c r="I21" s="13">
        <f t="shared" si="3"/>
        <v>12525856.199999999</v>
      </c>
      <c r="J21" s="104"/>
    </row>
    <row r="22" spans="2:10" ht="15" thickBot="1">
      <c r="B22" s="52">
        <v>45809</v>
      </c>
      <c r="C22" s="47">
        <v>45838</v>
      </c>
      <c r="D22" s="69">
        <v>11511840</v>
      </c>
      <c r="E22" s="70">
        <v>64320</v>
      </c>
      <c r="F22" s="56">
        <f>+D22-E22</f>
        <v>11447520</v>
      </c>
      <c r="G22" s="57">
        <f t="shared" si="1"/>
        <v>114475.2</v>
      </c>
      <c r="H22" s="56">
        <f t="shared" si="2"/>
        <v>11333044.800000001</v>
      </c>
      <c r="I22" s="58">
        <f t="shared" si="3"/>
        <v>11333044.800000001</v>
      </c>
      <c r="J22" s="105"/>
    </row>
    <row r="23" spans="2:10" ht="15" thickBot="1">
      <c r="B23" s="97" t="s">
        <v>7</v>
      </c>
      <c r="C23" s="98"/>
      <c r="D23" s="11">
        <f>SUM(D4:D22)</f>
        <v>231351540</v>
      </c>
      <c r="E23" s="3">
        <f>SUM(E4:E22)</f>
        <v>1370280</v>
      </c>
      <c r="F23" s="12">
        <f>ROUNDDOWN(SUM(F4:F22),0)</f>
        <v>229981260</v>
      </c>
      <c r="G23" s="4"/>
      <c r="H23" s="12"/>
      <c r="I23" s="14">
        <f>SUM(I4:I22)</f>
        <v>227681447.40000001</v>
      </c>
      <c r="J23" s="64">
        <f>SUM(J4:J22)</f>
        <v>227681.4474</v>
      </c>
    </row>
    <row r="24" spans="2:10" ht="15" thickBot="1">
      <c r="J24" s="64"/>
    </row>
    <row r="25" spans="2:10" ht="58.75" customHeight="1">
      <c r="B25" s="93" t="s">
        <v>8</v>
      </c>
      <c r="C25" s="93"/>
      <c r="D25" s="93"/>
      <c r="E25" s="93"/>
      <c r="F25" s="93"/>
      <c r="G25" s="93"/>
      <c r="H25" s="93"/>
      <c r="I25" s="93"/>
      <c r="J25" s="93"/>
    </row>
  </sheetData>
  <mergeCells count="8">
    <mergeCell ref="B25:J25"/>
    <mergeCell ref="B23:C23"/>
    <mergeCell ref="B2:C2"/>
    <mergeCell ref="D2:F2"/>
    <mergeCell ref="G2:H2"/>
    <mergeCell ref="I2:I3"/>
    <mergeCell ref="J5:J16"/>
    <mergeCell ref="J17:J22"/>
  </mergeCells>
  <phoneticPr fontId="13" type="noConversion"/>
  <pageMargins left="0.7" right="0.7" top="0.75" bottom="0.75" header="0.3" footer="0.3"/>
  <ignoredErrors>
    <ignoredError sqref="G4" 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9D872E-A11E-4918-9BBE-ACCCE035B270}">
  <dimension ref="C3:H11"/>
  <sheetViews>
    <sheetView zoomScale="130" zoomScaleNormal="130" workbookViewId="0">
      <selection activeCell="C8" sqref="C8:H8"/>
    </sheetView>
  </sheetViews>
  <sheetFormatPr defaultColWidth="8.81640625" defaultRowHeight="14.5"/>
  <cols>
    <col min="3" max="3" width="6.81640625" customWidth="1"/>
    <col min="4" max="4" width="18.453125" bestFit="1" customWidth="1"/>
    <col min="5" max="5" width="10" customWidth="1"/>
    <col min="7" max="7" width="14.1796875" bestFit="1" customWidth="1"/>
    <col min="8" max="8" width="12.26953125" customWidth="1"/>
  </cols>
  <sheetData>
    <row r="3" spans="3:8" ht="28">
      <c r="C3" s="15" t="s">
        <v>64</v>
      </c>
      <c r="D3" s="15" t="s">
        <v>65</v>
      </c>
      <c r="E3" s="15" t="s">
        <v>66</v>
      </c>
      <c r="F3" s="15" t="s">
        <v>59</v>
      </c>
      <c r="G3" s="15" t="s">
        <v>67</v>
      </c>
      <c r="H3" s="15" t="s">
        <v>68</v>
      </c>
    </row>
    <row r="4" spans="3:8" ht="17.149999999999999" customHeight="1">
      <c r="C4" s="106" t="s">
        <v>69</v>
      </c>
      <c r="D4" s="107"/>
      <c r="E4" s="107"/>
      <c r="F4" s="107"/>
      <c r="G4" s="107"/>
      <c r="H4" s="108"/>
    </row>
    <row r="5" spans="3:8" ht="42">
      <c r="C5" s="15" t="s">
        <v>70</v>
      </c>
      <c r="D5" s="15">
        <v>13194081</v>
      </c>
      <c r="E5" s="15" t="s">
        <v>71</v>
      </c>
      <c r="F5" s="15" t="s">
        <v>60</v>
      </c>
      <c r="G5" s="15" t="s">
        <v>72</v>
      </c>
      <c r="H5" s="15" t="s">
        <v>73</v>
      </c>
    </row>
    <row r="6" spans="3:8" ht="42">
      <c r="C6" s="15" t="s">
        <v>74</v>
      </c>
      <c r="D6" s="15">
        <v>13194941</v>
      </c>
      <c r="E6" s="15" t="s">
        <v>71</v>
      </c>
      <c r="F6" s="15" t="s">
        <v>60</v>
      </c>
      <c r="G6" s="15" t="s">
        <v>72</v>
      </c>
      <c r="H6" s="15" t="s">
        <v>73</v>
      </c>
    </row>
    <row r="7" spans="3:8" ht="42">
      <c r="C7" s="15" t="s">
        <v>75</v>
      </c>
      <c r="D7" s="15">
        <v>13195711</v>
      </c>
      <c r="E7" s="15" t="s">
        <v>71</v>
      </c>
      <c r="F7" s="15" t="s">
        <v>60</v>
      </c>
      <c r="G7" s="15" t="s">
        <v>72</v>
      </c>
      <c r="H7" s="15" t="s">
        <v>73</v>
      </c>
    </row>
    <row r="8" spans="3:8" ht="12" customHeight="1">
      <c r="C8" s="106" t="s">
        <v>76</v>
      </c>
      <c r="D8" s="107"/>
      <c r="E8" s="107"/>
      <c r="F8" s="107"/>
      <c r="G8" s="107"/>
      <c r="H8" s="108"/>
    </row>
    <row r="9" spans="3:8" ht="42">
      <c r="C9" s="15" t="s">
        <v>70</v>
      </c>
      <c r="D9" s="15">
        <v>13194961</v>
      </c>
      <c r="E9" s="15" t="s">
        <v>71</v>
      </c>
      <c r="F9" s="15" t="s">
        <v>60</v>
      </c>
      <c r="G9" s="15" t="s">
        <v>72</v>
      </c>
      <c r="H9" s="15" t="s">
        <v>73</v>
      </c>
    </row>
    <row r="10" spans="3:8" ht="42">
      <c r="C10" s="15" t="s">
        <v>74</v>
      </c>
      <c r="D10" s="15">
        <v>13195690</v>
      </c>
      <c r="E10" s="15" t="s">
        <v>71</v>
      </c>
      <c r="F10" s="15" t="s">
        <v>60</v>
      </c>
      <c r="G10" s="15" t="s">
        <v>72</v>
      </c>
      <c r="H10" s="15" t="s">
        <v>73</v>
      </c>
    </row>
    <row r="11" spans="3:8" ht="42">
      <c r="C11" s="15" t="s">
        <v>77</v>
      </c>
      <c r="D11" s="15">
        <v>13195705</v>
      </c>
      <c r="E11" s="15" t="s">
        <v>71</v>
      </c>
      <c r="F11" s="15" t="s">
        <v>60</v>
      </c>
      <c r="G11" s="15" t="s">
        <v>72</v>
      </c>
      <c r="H11" s="15" t="s">
        <v>73</v>
      </c>
    </row>
  </sheetData>
  <mergeCells count="2">
    <mergeCell ref="C4:H4"/>
    <mergeCell ref="C8:H8"/>
  </mergeCells>
  <phoneticPr fontId="17"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2</vt:i4>
      </vt:variant>
    </vt:vector>
  </HeadingPairs>
  <TitlesOfParts>
    <vt:vector size="6" baseType="lpstr">
      <vt:lpstr>ER Calculation</vt:lpstr>
      <vt:lpstr>RB1</vt:lpstr>
      <vt:lpstr>RB2</vt:lpstr>
      <vt:lpstr>Calibration</vt:lpstr>
      <vt:lpstr>'ER Calculation'!_ftn1</vt:lpstr>
      <vt:lpstr>Calibration!_Hlk214290393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HP</dc:creator>
  <cp:lastModifiedBy>TL</cp:lastModifiedBy>
  <dcterms:created xsi:type="dcterms:W3CDTF">2023-12-01T04:32:04Z</dcterms:created>
  <dcterms:modified xsi:type="dcterms:W3CDTF">2025-12-03T07:12:47Z</dcterms:modified>
</cp:coreProperties>
</file>