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Shared with Me\Ops_Carbon Common Folder\GS RCP\GSRCP28_Janardan_Sanwreej 20MW\4. Final\DRR - I\GS RE SUBMISSION DOCUMENT_GS_5575_PRR_client\"/>
    </mc:Choice>
  </mc:AlternateContent>
  <xr:revisionPtr revIDLastSave="0" documentId="13_ncr:1_{16D7D72F-334C-4D08-ACE6-F8C248CC47D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EA Database version 19" sheetId="8" r:id="rId1"/>
    <sheet name="CEA Database version 11" sheetId="4" r:id="rId2"/>
    <sheet name="Emission Factor" sheetId="6" r:id="rId3"/>
    <sheet name="Emission Reduction" sheetId="3" r:id="rId4"/>
    <sheet name="PLF" sheetId="7" r:id="rId5"/>
  </sheets>
  <externalReferences>
    <externalReference r:id="rId6"/>
  </externalReferences>
  <definedNames>
    <definedName name="Density_Diesel">[1]Assumptions!$I$22</definedName>
    <definedName name="Density_Oil">[1]Assumptions!$H$22</definedName>
    <definedName name="kJ_kcal">[1]Assumptions!$D$67</definedName>
    <definedName name="Weight_BM">#REF!</definedName>
    <definedName name="Weight_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  <c r="F19" i="6"/>
  <c r="E19" i="6"/>
  <c r="D19" i="6"/>
  <c r="F15" i="6"/>
  <c r="E15" i="6"/>
  <c r="D15" i="6"/>
  <c r="J32" i="8"/>
  <c r="J33" i="8" s="1"/>
  <c r="J21" i="8"/>
  <c r="G8" i="7" l="1"/>
  <c r="G7" i="7"/>
  <c r="G10" i="7" l="1"/>
  <c r="G11" i="7" s="1"/>
  <c r="D45" i="6"/>
  <c r="D46" i="6" s="1"/>
  <c r="D47" i="6" s="1"/>
  <c r="D48" i="6" s="1"/>
  <c r="D49" i="6" s="1"/>
  <c r="D50" i="6" s="1"/>
  <c r="D51" i="6" s="1"/>
  <c r="D52" i="6" s="1"/>
  <c r="E37" i="6"/>
  <c r="M26" i="6"/>
  <c r="M29" i="6" s="1"/>
  <c r="D26" i="6"/>
  <c r="D29" i="6" s="1"/>
  <c r="D53" i="6" l="1"/>
  <c r="C5" i="3"/>
  <c r="I32" i="6"/>
  <c r="E38" i="6"/>
  <c r="E39" i="6" s="1"/>
  <c r="D6" i="3" l="1"/>
  <c r="D7" i="3"/>
  <c r="D8" i="3"/>
  <c r="D9" i="3"/>
  <c r="D5" i="3"/>
  <c r="E5" i="3" s="1"/>
  <c r="C6" i="3"/>
  <c r="D54" i="6"/>
  <c r="E6" i="3" l="1"/>
  <c r="H6" i="3" s="1"/>
  <c r="D55" i="6"/>
  <c r="C7" i="3"/>
  <c r="E7" i="3" s="1"/>
  <c r="H5" i="3"/>
  <c r="C8" i="3" l="1"/>
  <c r="E8" i="3" s="1"/>
  <c r="D56" i="6"/>
  <c r="C9" i="3" s="1"/>
  <c r="E9" i="3" l="1"/>
  <c r="H9" i="3" s="1"/>
  <c r="C11" i="3"/>
  <c r="E14" i="3" s="1"/>
  <c r="H7" i="3"/>
  <c r="H8" i="3"/>
  <c r="C10" i="3"/>
  <c r="E11" i="3" l="1"/>
  <c r="E10" i="3"/>
  <c r="H11" i="3"/>
  <c r="E15" i="3" s="1"/>
  <c r="H10" i="3"/>
</calcChain>
</file>

<file path=xl/sharedStrings.xml><?xml version="1.0" encoding="utf-8"?>
<sst xmlns="http://schemas.openxmlformats.org/spreadsheetml/2006/main" count="218" uniqueCount="130">
  <si>
    <t>CENTRAL ELECTRICITY AUTHORITY: CO2 BASELINE DATABASE</t>
  </si>
  <si>
    <t xml:space="preserve">VERSION </t>
  </si>
  <si>
    <t>DATE</t>
  </si>
  <si>
    <t>BASELINE METHODOLOGY</t>
  </si>
  <si>
    <t>ACM0002 / Ver 21.0 and "Tool to Calculate the Emission Factor for an Electricity System", Version 7.0</t>
  </si>
  <si>
    <t>EMISSION FACTORS</t>
  </si>
  <si>
    <t>Emission Factors (tCO2/MWh) (excl. Imports)</t>
  </si>
  <si>
    <t>2018-19</t>
  </si>
  <si>
    <t>2019-20</t>
  </si>
  <si>
    <t>2020-21</t>
  </si>
  <si>
    <t>2021-22</t>
  </si>
  <si>
    <t>Emission Factors (tCO2/MWh) (incl. Imports)</t>
  </si>
  <si>
    <t xml:space="preserve">Weighted Average Emission Rate </t>
  </si>
  <si>
    <t>Weighted Average Emission Rate (2)</t>
  </si>
  <si>
    <t>Weighted Average Emission Rate Incl. RES (2)</t>
  </si>
  <si>
    <t xml:space="preserve">Simple Operating Margin (1) </t>
  </si>
  <si>
    <t xml:space="preserve">Simple Operating Margin (1) (2) </t>
  </si>
  <si>
    <t>Build Margin</t>
  </si>
  <si>
    <t>Build Margin (not adjusted for imports)</t>
  </si>
  <si>
    <t xml:space="preserve">Combined Margin (1) </t>
  </si>
  <si>
    <t>Combined Margin (1) (2)</t>
  </si>
  <si>
    <t xml:space="preserve">      given in "Tool to Calculate the Emission Factor for an Electricity System", Ver. 7.0 (p.16)</t>
  </si>
  <si>
    <t>(2) Adjustments for imports from other Indian grids are based on operating margin of exporting grid.</t>
  </si>
  <si>
    <t xml:space="preserve">       For imports from other countries, an emission factor of zero is used.</t>
  </si>
  <si>
    <t xml:space="preserve">       See "Tool to Calculate the Emission Factor for an Electricity System", Ver. 7.0 (p.10 &amp; 11), options a+b</t>
  </si>
  <si>
    <t>GENERATION DATA</t>
  </si>
  <si>
    <t>EMISSION DATA</t>
  </si>
  <si>
    <t>Gross Generation Total (GWh)</t>
  </si>
  <si>
    <t>Absolute Emissions Total (tCO2)</t>
  </si>
  <si>
    <t>Net Generation Total (GWh)</t>
  </si>
  <si>
    <t>Absolute Emissions OM (tCO2)</t>
  </si>
  <si>
    <t>Share of Must-Run (Hydro/Nuclear) (% of Net Generation)</t>
  </si>
  <si>
    <t>Absolute Emissions BM (tCO2)</t>
  </si>
  <si>
    <t>Net Generation in Operating Margin (GWh)</t>
  </si>
  <si>
    <t>Net Imports (GWh)</t>
  </si>
  <si>
    <t>20% of Net Generation (GWh)</t>
  </si>
  <si>
    <t>Share of Net Imports (% of Net Generation)</t>
  </si>
  <si>
    <t>Net Generation in Build Margin (GWh)</t>
  </si>
  <si>
    <t xml:space="preserve">  Net Renewable Generation (GWh)</t>
  </si>
  <si>
    <t>ER Sheet Version Number</t>
  </si>
  <si>
    <t>VERSION</t>
  </si>
  <si>
    <t>Tool Applied</t>
  </si>
  <si>
    <t>Net Generation in Operating Margin (GWH) (incl. Imports)</t>
  </si>
  <si>
    <t>Indian Grid</t>
  </si>
  <si>
    <t>Simple Operating Margin (tCO2/MWh) (incl. Imports) (1) (2)</t>
  </si>
  <si>
    <t>Build Margin (tCO2/MWh) (not adjusted for imports)</t>
  </si>
  <si>
    <t>Weighted Generation Operating Margin</t>
  </si>
  <si>
    <t>Combined Margin Emission Factor</t>
  </si>
  <si>
    <t>ER calculation</t>
  </si>
  <si>
    <r>
      <t>Project capacity (MW</t>
    </r>
    <r>
      <rPr>
        <sz val="11"/>
        <color theme="1"/>
        <rFont val="Calibri"/>
        <family val="2"/>
        <scheme val="minor"/>
      </rPr>
      <t>)</t>
    </r>
  </si>
  <si>
    <t xml:space="preserve">PLF (%) </t>
  </si>
  <si>
    <t>Annual Generation for first year of crediting period(MWh)</t>
  </si>
  <si>
    <t>Emission Factor (tCO2/MW)</t>
  </si>
  <si>
    <t>Annual Emission Reductions for first year of crediting period (tCO2)</t>
  </si>
  <si>
    <t>Year</t>
  </si>
  <si>
    <t>Net generation with Degradation factor (MWh)</t>
  </si>
  <si>
    <r>
      <t>Estimated baseline emissions or removals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</si>
  <si>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t>Estimated project emissions or removals (tCO2e)</t>
  </si>
  <si>
    <r>
      <t>Estimated leakage emissions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</si>
  <si>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t>Year 1</t>
  </si>
  <si>
    <t>Year 2</t>
  </si>
  <si>
    <t>Year 3</t>
  </si>
  <si>
    <t>Year 4</t>
  </si>
  <si>
    <t>Year 5</t>
  </si>
  <si>
    <t xml:space="preserve">Total </t>
  </si>
  <si>
    <t>Average</t>
  </si>
  <si>
    <t>Estimated Generation (MWh)</t>
  </si>
  <si>
    <r>
      <t>Estimated net GHG emission reductions or removals (tCO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e)</t>
    </r>
  </si>
  <si>
    <t>11.0</t>
  </si>
  <si>
    <t>https://cea.nic.in/cdm-co2-baseline-database/?lang=en</t>
  </si>
  <si>
    <t>Apr 16</t>
  </si>
  <si>
    <t>ACM0002 / Ver 16.0 and "Tool to Calculate the Emission Factor for an Electricity System", Version 5.0</t>
  </si>
  <si>
    <t>2010-11</t>
  </si>
  <si>
    <t>2011-12</t>
  </si>
  <si>
    <t>2012-13</t>
  </si>
  <si>
    <t>2013-14</t>
  </si>
  <si>
    <t>2014-15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</si>
  <si>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</si>
  <si>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 xml:space="preserve">      given in "Tool to Calculate the Emission Factor for an Electricity System", Ver. 5.0 (p.14)</t>
  </si>
  <si>
    <t xml:space="preserve">       See "Tool to Calculate the Emission Factor for an Electricity System", Ver. 5.0 (p.9), options a+b</t>
  </si>
  <si>
    <t>Baseline emission factor</t>
  </si>
  <si>
    <r>
      <t>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/MWh)</t>
    </r>
  </si>
  <si>
    <t>*Conservative values have been chosen.</t>
  </si>
  <si>
    <t>For 2nd year</t>
  </si>
  <si>
    <t xml:space="preserve">For 1st year </t>
  </si>
  <si>
    <t xml:space="preserve">For 3rd year </t>
  </si>
  <si>
    <t xml:space="preserve">For 4th year </t>
  </si>
  <si>
    <t xml:space="preserve">For 5th year </t>
  </si>
  <si>
    <t>For 6th year</t>
  </si>
  <si>
    <t xml:space="preserve">For 7th year </t>
  </si>
  <si>
    <t xml:space="preserve">For 8th year </t>
  </si>
  <si>
    <t>For 9th year</t>
  </si>
  <si>
    <t xml:space="preserve">For 10th year </t>
  </si>
  <si>
    <t xml:space="preserve">For 11th year </t>
  </si>
  <si>
    <t>For 12th year</t>
  </si>
  <si>
    <t>MWh</t>
  </si>
  <si>
    <t>Degradation factor</t>
  </si>
  <si>
    <t>Generation with degradation factor</t>
  </si>
  <si>
    <t>Project name</t>
  </si>
  <si>
    <t>GSID</t>
  </si>
  <si>
    <t>20 MW Solar Project in Sanwreej, Jodhpur, Rajasthan</t>
  </si>
  <si>
    <t>GS5575</t>
  </si>
  <si>
    <t>Estimated PLF as per registerd PDD</t>
  </si>
  <si>
    <t>Previous crediting period</t>
  </si>
  <si>
    <t>Actual Generation (MWh)</t>
  </si>
  <si>
    <t>Total generation</t>
  </si>
  <si>
    <t>Total no. of days</t>
  </si>
  <si>
    <t>Capacity</t>
  </si>
  <si>
    <t>Actual PLF</t>
  </si>
  <si>
    <t>Percentage variation in PLF wrt registered PDD</t>
  </si>
  <si>
    <t>As per IRR sheet</t>
  </si>
  <si>
    <t>IRR as per registered PDD</t>
  </si>
  <si>
    <t>Benchmark is</t>
  </si>
  <si>
    <t>Above result clearly shows that IRR is not  breaching the benchmark just because the variation in PLF is already covered in sensivity (+10%,-10%)</t>
  </si>
  <si>
    <t>Completion date of version</t>
  </si>
  <si>
    <t>2022-23</t>
  </si>
  <si>
    <t>19.0</t>
  </si>
  <si>
    <t>ACM0002 / Ver 20.0 and "Tool to Calculate the Emission Factor for an Electricity System", Version 7.0</t>
  </si>
  <si>
    <t>Gross Generation Total, Including RES and Imports (GWh)</t>
  </si>
  <si>
    <t>Net Generation Total, Including RES and Imports (GWh)</t>
  </si>
  <si>
    <t>Captive Power Injection into Grid (GWh)*</t>
  </si>
  <si>
    <t>Renewable Generation in Open access Adjustment(GWh)**</t>
  </si>
  <si>
    <t>Net Generation injected into grid  (Net Gen. adjusted for Captive power injection and Renewable O.A.) (GWh)</t>
  </si>
  <si>
    <t>* Captive Power Injection for 2022-23 calculated based on progressive analysis from 2021-22 Captive Generation Report published by CEA</t>
  </si>
  <si>
    <t>** Renewable Open access data as provided by IEX,HPX, and PXL Power exchanges for GDAM and GTAM market transactions by Industries/consumers through open access in 2022-23</t>
  </si>
  <si>
    <t>Absolute Emissions from Captive Injection in Grid (tCO2)</t>
  </si>
  <si>
    <t>Absolute Emissions Avg (inc. Captive Generation Emission)</t>
  </si>
  <si>
    <t>Grid Emission Factor (for net effective injection into grid)</t>
  </si>
  <si>
    <t>CDM - CO2 Baseline Database - Central Electricity Authority (cea.nic.in)</t>
  </si>
  <si>
    <r>
      <t>Estimated emissions reduction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</si>
</sst>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00"/>
    <numFmt numFmtId="165" formatCode="0.0000"/>
    <numFmt numFmtId="166" formatCode="_(* #,##0_);_(* \(#,##0\);_(* &quot;-&quot;??_);_(@_)"/>
    <numFmt numFmtId="167" formatCode="0.0%"/>
    <numFmt numFmtId="168" formatCode="[$-409]dd\-mmm\-yy;@"/>
    <numFmt numFmtId="169" formatCode="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bscript"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indexed="64"/>
      </left>
      <right style="thin">
        <color indexed="64"/>
      </right>
      <top style="thin">
        <color rgb="FFA295F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7" fillId="0" borderId="0"/>
    <xf numFmtId="9" fontId="7" fillId="0" borderId="0" applyFont="0" applyFill="0" applyBorder="0" applyAlignment="0" applyProtection="0"/>
    <xf numFmtId="0" fontId="14" fillId="0" borderId="0"/>
    <xf numFmtId="0" fontId="18" fillId="0" borderId="0" applyNumberFormat="0" applyFill="0" applyBorder="0" applyProtection="0"/>
  </cellStyleXfs>
  <cellXfs count="216">
    <xf numFmtId="0" fontId="0" fillId="0" borderId="0" xfId="0"/>
    <xf numFmtId="0" fontId="3" fillId="0" borderId="0" xfId="3"/>
    <xf numFmtId="0" fontId="0" fillId="3" borderId="0" xfId="0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4" fontId="2" fillId="3" borderId="21" xfId="0" applyNumberFormat="1" applyFont="1" applyFill="1" applyBorder="1" applyAlignment="1">
      <alignment horizontal="right"/>
    </xf>
    <xf numFmtId="4" fontId="2" fillId="3" borderId="22" xfId="0" applyNumberFormat="1" applyFont="1" applyFill="1" applyBorder="1" applyAlignment="1">
      <alignment horizontal="right"/>
    </xf>
    <xf numFmtId="4" fontId="2" fillId="3" borderId="23" xfId="0" applyNumberFormat="1" applyFont="1" applyFill="1" applyBorder="1" applyAlignment="1">
      <alignment horizontal="right"/>
    </xf>
    <xf numFmtId="4" fontId="2" fillId="3" borderId="24" xfId="0" applyNumberFormat="1" applyFont="1" applyFill="1" applyBorder="1" applyAlignment="1">
      <alignment horizontal="right"/>
    </xf>
    <xf numFmtId="0" fontId="0" fillId="0" borderId="25" xfId="0" applyBorder="1"/>
    <xf numFmtId="0" fontId="2" fillId="0" borderId="11" xfId="0" applyFont="1" applyBorder="1"/>
    <xf numFmtId="0" fontId="2" fillId="0" borderId="12" xfId="0" applyFont="1" applyBorder="1"/>
    <xf numFmtId="3" fontId="0" fillId="3" borderId="12" xfId="0" applyNumberFormat="1" applyFill="1" applyBorder="1" applyAlignment="1">
      <alignment horizontal="right"/>
    </xf>
    <xf numFmtId="3" fontId="0" fillId="3" borderId="13" xfId="0" applyNumberFormat="1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3" borderId="26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4" fontId="2" fillId="3" borderId="29" xfId="0" applyNumberFormat="1" applyFon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164" fontId="0" fillId="3" borderId="30" xfId="0" applyNumberFormat="1" applyFill="1" applyBorder="1" applyAlignment="1">
      <alignment horizontal="right"/>
    </xf>
    <xf numFmtId="164" fontId="0" fillId="3" borderId="13" xfId="0" applyNumberFormat="1" applyFill="1" applyBorder="1" applyAlignment="1">
      <alignment horizontal="right"/>
    </xf>
    <xf numFmtId="164" fontId="0" fillId="3" borderId="28" xfId="0" applyNumberFormat="1" applyFill="1" applyBorder="1" applyAlignment="1">
      <alignment horizontal="right"/>
    </xf>
    <xf numFmtId="0" fontId="0" fillId="0" borderId="29" xfId="0" applyBorder="1" applyAlignment="1">
      <alignment horizontal="left"/>
    </xf>
    <xf numFmtId="0" fontId="2" fillId="3" borderId="29" xfId="0" applyFont="1" applyFill="1" applyBorder="1" applyAlignment="1">
      <alignment horizontal="center"/>
    </xf>
    <xf numFmtId="164" fontId="0" fillId="3" borderId="29" xfId="0" applyNumberFormat="1" applyFill="1" applyBorder="1" applyAlignment="1">
      <alignment horizontal="right"/>
    </xf>
    <xf numFmtId="0" fontId="0" fillId="0" borderId="18" xfId="0" applyBorder="1"/>
    <xf numFmtId="0" fontId="0" fillId="0" borderId="29" xfId="0" applyBorder="1"/>
    <xf numFmtId="0" fontId="2" fillId="0" borderId="31" xfId="0" applyFont="1" applyBorder="1"/>
    <xf numFmtId="165" fontId="0" fillId="0" borderId="29" xfId="0" applyNumberFormat="1" applyBorder="1" applyAlignment="1">
      <alignment horizontal="center" vertical="center"/>
    </xf>
    <xf numFmtId="0" fontId="2" fillId="3" borderId="25" xfId="0" applyFon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0" fontId="2" fillId="2" borderId="35" xfId="4" applyNumberFormat="1" applyFont="1" applyFill="1" applyBorder="1" applyAlignment="1">
      <alignment vertical="center"/>
    </xf>
    <xf numFmtId="2" fontId="0" fillId="0" borderId="22" xfId="0" applyNumberFormat="1" applyBorder="1" applyAlignment="1">
      <alignment horizontal="center"/>
    </xf>
    <xf numFmtId="10" fontId="0" fillId="0" borderId="22" xfId="2" applyNumberFormat="1" applyFont="1" applyFill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165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43" fontId="0" fillId="0" borderId="22" xfId="1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8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7" fillId="0" borderId="0" xfId="5"/>
    <xf numFmtId="0" fontId="11" fillId="3" borderId="9" xfId="5" applyFont="1" applyFill="1" applyBorder="1"/>
    <xf numFmtId="0" fontId="12" fillId="3" borderId="9" xfId="5" applyFont="1" applyFill="1" applyBorder="1" applyAlignment="1">
      <alignment horizontal="right"/>
    </xf>
    <xf numFmtId="0" fontId="12" fillId="3" borderId="9" xfId="5" applyFont="1" applyFill="1" applyBorder="1"/>
    <xf numFmtId="0" fontId="11" fillId="3" borderId="0" xfId="5" applyFont="1" applyFill="1"/>
    <xf numFmtId="49" fontId="11" fillId="3" borderId="0" xfId="5" applyNumberFormat="1" applyFont="1" applyFill="1" applyAlignment="1">
      <alignment horizontal="left"/>
    </xf>
    <xf numFmtId="17" fontId="11" fillId="3" borderId="0" xfId="5" quotePrefix="1" applyNumberFormat="1" applyFont="1" applyFill="1" applyAlignment="1">
      <alignment horizontal="left"/>
    </xf>
    <xf numFmtId="0" fontId="11" fillId="3" borderId="0" xfId="5" applyFont="1" applyFill="1" applyAlignment="1">
      <alignment horizontal="left"/>
    </xf>
    <xf numFmtId="4" fontId="12" fillId="3" borderId="0" xfId="5" applyNumberFormat="1" applyFont="1" applyFill="1"/>
    <xf numFmtId="3" fontId="12" fillId="3" borderId="0" xfId="5" applyNumberFormat="1" applyFont="1" applyFill="1" applyAlignment="1">
      <alignment horizontal="right"/>
    </xf>
    <xf numFmtId="0" fontId="11" fillId="3" borderId="37" xfId="5" applyFont="1" applyFill="1" applyBorder="1"/>
    <xf numFmtId="0" fontId="11" fillId="3" borderId="45" xfId="5" applyFont="1" applyFill="1" applyBorder="1" applyAlignment="1">
      <alignment horizontal="left"/>
    </xf>
    <xf numFmtId="4" fontId="11" fillId="3" borderId="45" xfId="5" applyNumberFormat="1" applyFont="1" applyFill="1" applyBorder="1" applyAlignment="1">
      <alignment horizontal="right"/>
    </xf>
    <xf numFmtId="4" fontId="11" fillId="3" borderId="37" xfId="5" applyNumberFormat="1" applyFont="1" applyFill="1" applyBorder="1" applyAlignment="1">
      <alignment horizontal="right"/>
    </xf>
    <xf numFmtId="0" fontId="12" fillId="3" borderId="0" xfId="5" applyFont="1" applyFill="1"/>
    <xf numFmtId="0" fontId="11" fillId="3" borderId="45" xfId="5" applyFont="1" applyFill="1" applyBorder="1"/>
    <xf numFmtId="0" fontId="11" fillId="3" borderId="37" xfId="5" applyFont="1" applyFill="1" applyBorder="1" applyAlignment="1">
      <alignment horizontal="right"/>
    </xf>
    <xf numFmtId="0" fontId="12" fillId="3" borderId="45" xfId="5" applyFont="1" applyFill="1" applyBorder="1"/>
    <xf numFmtId="4" fontId="12" fillId="3" borderId="45" xfId="5" applyNumberFormat="1" applyFont="1" applyFill="1" applyBorder="1" applyAlignment="1">
      <alignment horizontal="right"/>
    </xf>
    <xf numFmtId="4" fontId="12" fillId="3" borderId="0" xfId="5" applyNumberFormat="1" applyFont="1" applyFill="1" applyAlignment="1">
      <alignment horizontal="right"/>
    </xf>
    <xf numFmtId="4" fontId="12" fillId="3" borderId="9" xfId="5" applyNumberFormat="1" applyFont="1" applyFill="1" applyBorder="1" applyAlignment="1">
      <alignment horizontal="right"/>
    </xf>
    <xf numFmtId="2" fontId="12" fillId="3" borderId="0" xfId="5" applyNumberFormat="1" applyFont="1" applyFill="1"/>
    <xf numFmtId="3" fontId="12" fillId="3" borderId="45" xfId="5" applyNumberFormat="1" applyFont="1" applyFill="1" applyBorder="1" applyAlignment="1">
      <alignment horizontal="right"/>
    </xf>
    <xf numFmtId="167" fontId="12" fillId="3" borderId="0" xfId="5" applyNumberFormat="1" applyFont="1" applyFill="1" applyAlignment="1">
      <alignment horizontal="right"/>
    </xf>
    <xf numFmtId="3" fontId="12" fillId="3" borderId="0" xfId="5" applyNumberFormat="1" applyFont="1" applyFill="1"/>
    <xf numFmtId="167" fontId="12" fillId="3" borderId="9" xfId="6" applyNumberFormat="1" applyFont="1" applyFill="1" applyBorder="1" applyAlignment="1">
      <alignment horizontal="right"/>
    </xf>
    <xf numFmtId="3" fontId="12" fillId="3" borderId="9" xfId="5" applyNumberFormat="1" applyFont="1" applyFill="1" applyBorder="1" applyAlignment="1">
      <alignment horizontal="right"/>
    </xf>
    <xf numFmtId="0" fontId="12" fillId="3" borderId="0" xfId="5" applyFont="1" applyFill="1" applyAlignment="1">
      <alignment horizontal="right"/>
    </xf>
    <xf numFmtId="0" fontId="8" fillId="3" borderId="0" xfId="5" applyFont="1" applyFill="1"/>
    <xf numFmtId="1" fontId="12" fillId="3" borderId="0" xfId="5" applyNumberFormat="1" applyFont="1" applyFill="1"/>
    <xf numFmtId="0" fontId="2" fillId="0" borderId="0" xfId="0" applyFont="1"/>
    <xf numFmtId="0" fontId="15" fillId="0" borderId="21" xfId="7" applyFont="1" applyBorder="1" applyAlignment="1">
      <alignment horizontal="center" vertical="center" wrapText="1"/>
    </xf>
    <xf numFmtId="165" fontId="0" fillId="0" borderId="21" xfId="0" applyNumberFormat="1" applyBorder="1"/>
    <xf numFmtId="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21" xfId="0" applyNumberFormat="1" applyBorder="1" applyAlignment="1">
      <alignment horizontal="center"/>
    </xf>
    <xf numFmtId="43" fontId="8" fillId="0" borderId="35" xfId="0" applyNumberFormat="1" applyFont="1" applyBorder="1"/>
    <xf numFmtId="0" fontId="2" fillId="2" borderId="39" xfId="0" applyFont="1" applyFill="1" applyBorder="1"/>
    <xf numFmtId="0" fontId="2" fillId="2" borderId="20" xfId="0" applyFont="1" applyFill="1" applyBorder="1"/>
    <xf numFmtId="0" fontId="2" fillId="2" borderId="11" xfId="0" applyFont="1" applyFill="1" applyBorder="1"/>
    <xf numFmtId="0" fontId="0" fillId="2" borderId="35" xfId="0" applyFill="1" applyBorder="1" applyAlignment="1">
      <alignment horizontal="center"/>
    </xf>
    <xf numFmtId="0" fontId="0" fillId="2" borderId="22" xfId="0" applyFill="1" applyBorder="1" applyAlignment="1">
      <alignment horizontal="center" wrapText="1"/>
    </xf>
    <xf numFmtId="0" fontId="0" fillId="2" borderId="22" xfId="0" applyFill="1" applyBorder="1" applyAlignment="1">
      <alignment horizontal="center"/>
    </xf>
    <xf numFmtId="14" fontId="0" fillId="2" borderId="13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10" fontId="0" fillId="0" borderId="46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/>
    </xf>
    <xf numFmtId="0" fontId="2" fillId="0" borderId="21" xfId="0" applyFont="1" applyBorder="1"/>
    <xf numFmtId="168" fontId="0" fillId="0" borderId="21" xfId="0" applyNumberFormat="1" applyBorder="1" applyAlignment="1">
      <alignment horizontal="center"/>
    </xf>
    <xf numFmtId="166" fontId="0" fillId="0" borderId="21" xfId="1" applyNumberFormat="1" applyFont="1" applyBorder="1" applyAlignment="1">
      <alignment horizontal="center" vertical="center"/>
    </xf>
    <xf numFmtId="2" fontId="0" fillId="0" borderId="0" xfId="0" applyNumberFormat="1"/>
    <xf numFmtId="10" fontId="0" fillId="0" borderId="21" xfId="2" applyNumberFormat="1" applyFont="1" applyBorder="1" applyAlignment="1">
      <alignment horizontal="center"/>
    </xf>
    <xf numFmtId="43" fontId="0" fillId="0" borderId="21" xfId="1" applyFont="1" applyBorder="1" applyAlignment="1">
      <alignment horizontal="center" vertical="center"/>
    </xf>
    <xf numFmtId="0" fontId="18" fillId="0" borderId="0" xfId="8"/>
    <xf numFmtId="4" fontId="11" fillId="3" borderId="21" xfId="8" applyNumberFormat="1" applyFont="1" applyFill="1" applyBorder="1" applyAlignment="1">
      <alignment horizontal="right"/>
    </xf>
    <xf numFmtId="3" fontId="12" fillId="3" borderId="21" xfId="8" applyNumberFormat="1" applyFont="1" applyFill="1" applyBorder="1" applyAlignment="1">
      <alignment horizontal="right"/>
    </xf>
    <xf numFmtId="4" fontId="12" fillId="3" borderId="21" xfId="8" applyNumberFormat="1" applyFont="1" applyFill="1" applyBorder="1" applyAlignment="1">
      <alignment horizontal="right"/>
    </xf>
    <xf numFmtId="167" fontId="12" fillId="3" borderId="21" xfId="8" applyNumberFormat="1" applyFont="1" applyFill="1" applyBorder="1" applyAlignment="1">
      <alignment horizontal="right"/>
    </xf>
    <xf numFmtId="10" fontId="12" fillId="3" borderId="21" xfId="8" applyNumberFormat="1" applyFont="1" applyFill="1" applyBorder="1" applyAlignment="1">
      <alignment horizontal="right"/>
    </xf>
    <xf numFmtId="0" fontId="20" fillId="0" borderId="0" xfId="8" applyFont="1"/>
    <xf numFmtId="3" fontId="11" fillId="3" borderId="21" xfId="8" applyNumberFormat="1" applyFont="1" applyFill="1" applyBorder="1" applyAlignment="1">
      <alignment horizontal="right"/>
    </xf>
    <xf numFmtId="0" fontId="18" fillId="0" borderId="21" xfId="8" applyBorder="1"/>
    <xf numFmtId="0" fontId="4" fillId="0" borderId="21" xfId="8" applyFont="1" applyBorder="1"/>
    <xf numFmtId="3" fontId="21" fillId="0" borderId="21" xfId="8" applyNumberFormat="1" applyFont="1" applyBorder="1"/>
    <xf numFmtId="3" fontId="19" fillId="3" borderId="21" xfId="8" applyNumberFormat="1" applyFont="1" applyFill="1" applyBorder="1" applyAlignment="1">
      <alignment horizontal="right"/>
    </xf>
    <xf numFmtId="0" fontId="11" fillId="3" borderId="21" xfId="8" applyFont="1" applyFill="1" applyBorder="1" applyAlignment="1">
      <alignment horizontal="right"/>
    </xf>
    <xf numFmtId="169" fontId="12" fillId="3" borderId="21" xfId="8" applyNumberFormat="1" applyFont="1" applyFill="1" applyBorder="1" applyAlignment="1">
      <alignment horizontal="right"/>
    </xf>
    <xf numFmtId="169" fontId="11" fillId="3" borderId="21" xfId="8" applyNumberFormat="1" applyFont="1" applyFill="1" applyBorder="1" applyAlignment="1">
      <alignment horizontal="right"/>
    </xf>
    <xf numFmtId="0" fontId="22" fillId="0" borderId="21" xfId="8" applyFont="1" applyBorder="1"/>
    <xf numFmtId="0" fontId="12" fillId="3" borderId="0" xfId="8" applyFont="1" applyFill="1" applyBorder="1" applyAlignment="1">
      <alignment horizontal="center"/>
    </xf>
    <xf numFmtId="4" fontId="12" fillId="3" borderId="0" xfId="8" applyNumberFormat="1" applyFont="1" applyFill="1" applyBorder="1" applyAlignment="1">
      <alignment horizontal="right"/>
    </xf>
    <xf numFmtId="169" fontId="12" fillId="3" borderId="0" xfId="8" applyNumberFormat="1" applyFont="1" applyFill="1" applyBorder="1" applyAlignment="1">
      <alignment horizontal="right"/>
    </xf>
    <xf numFmtId="0" fontId="18" fillId="0" borderId="0" xfId="8" applyBorder="1"/>
    <xf numFmtId="0" fontId="12" fillId="3" borderId="0" xfId="8" applyFont="1" applyFill="1" applyBorder="1"/>
    <xf numFmtId="0" fontId="12" fillId="3" borderId="0" xfId="8" applyFont="1" applyFill="1"/>
    <xf numFmtId="166" fontId="0" fillId="0" borderId="22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43" fontId="0" fillId="0" borderId="2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42" xfId="1" applyFont="1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12" xfId="1" applyNumberFormat="1" applyFont="1" applyBorder="1" applyAlignment="1">
      <alignment horizontal="center"/>
    </xf>
    <xf numFmtId="166" fontId="2" fillId="0" borderId="42" xfId="1" applyNumberFormat="1" applyFont="1" applyBorder="1" applyAlignment="1">
      <alignment horizontal="center"/>
    </xf>
    <xf numFmtId="166" fontId="8" fillId="0" borderId="13" xfId="0" applyNumberFormat="1" applyFont="1" applyBorder="1"/>
    <xf numFmtId="0" fontId="12" fillId="6" borderId="21" xfId="8" applyFont="1" applyFill="1" applyBorder="1" applyAlignment="1">
      <alignment horizontal="center"/>
    </xf>
    <xf numFmtId="0" fontId="11" fillId="6" borderId="21" xfId="8" applyFont="1" applyFill="1" applyBorder="1" applyAlignment="1">
      <alignment horizontal="center"/>
    </xf>
    <xf numFmtId="0" fontId="8" fillId="6" borderId="21" xfId="8" applyFont="1" applyFill="1" applyBorder="1" applyAlignment="1">
      <alignment horizontal="center"/>
    </xf>
    <xf numFmtId="0" fontId="4" fillId="6" borderId="21" xfId="8" applyFont="1" applyFill="1" applyBorder="1" applyAlignment="1">
      <alignment horizontal="center"/>
    </xf>
    <xf numFmtId="0" fontId="18" fillId="6" borderId="21" xfId="8" applyFill="1" applyBorder="1" applyAlignment="1">
      <alignment horizontal="center"/>
    </xf>
    <xf numFmtId="0" fontId="11" fillId="6" borderId="52" xfId="8" applyFont="1" applyFill="1" applyBorder="1" applyAlignment="1">
      <alignment horizontal="center" wrapText="1"/>
    </xf>
    <xf numFmtId="0" fontId="11" fillId="6" borderId="37" xfId="8" applyFont="1" applyFill="1" applyBorder="1" applyAlignment="1">
      <alignment horizontal="center" wrapText="1"/>
    </xf>
    <xf numFmtId="0" fontId="11" fillId="6" borderId="38" xfId="8" applyFont="1" applyFill="1" applyBorder="1" applyAlignment="1">
      <alignment horizontal="center" wrapText="1"/>
    </xf>
    <xf numFmtId="0" fontId="4" fillId="0" borderId="0" xfId="8" applyFont="1" applyAlignment="1">
      <alignment horizontal="left" wrapText="1"/>
    </xf>
    <xf numFmtId="0" fontId="12" fillId="6" borderId="52" xfId="8" applyFont="1" applyFill="1" applyBorder="1" applyAlignment="1">
      <alignment horizontal="center"/>
    </xf>
    <xf numFmtId="0" fontId="12" fillId="6" borderId="37" xfId="8" applyFont="1" applyFill="1" applyBorder="1" applyAlignment="1">
      <alignment horizontal="center"/>
    </xf>
    <xf numFmtId="0" fontId="12" fillId="6" borderId="38" xfId="8" applyFont="1" applyFill="1" applyBorder="1" applyAlignment="1">
      <alignment horizontal="center"/>
    </xf>
    <xf numFmtId="0" fontId="12" fillId="6" borderId="52" xfId="8" applyFont="1" applyFill="1" applyBorder="1" applyAlignment="1">
      <alignment horizontal="center" vertical="center"/>
    </xf>
    <xf numFmtId="0" fontId="12" fillId="6" borderId="37" xfId="8" applyFont="1" applyFill="1" applyBorder="1" applyAlignment="1">
      <alignment horizontal="center" vertical="center"/>
    </xf>
    <xf numFmtId="0" fontId="12" fillId="6" borderId="38" xfId="8" applyFont="1" applyFill="1" applyBorder="1" applyAlignment="1">
      <alignment horizontal="center" vertical="center"/>
    </xf>
    <xf numFmtId="0" fontId="11" fillId="6" borderId="52" xfId="8" applyFont="1" applyFill="1" applyBorder="1" applyAlignment="1">
      <alignment horizontal="center"/>
    </xf>
    <xf numFmtId="0" fontId="11" fillId="6" borderId="37" xfId="8" applyFont="1" applyFill="1" applyBorder="1" applyAlignment="1">
      <alignment horizontal="center"/>
    </xf>
    <xf numFmtId="0" fontId="11" fillId="6" borderId="38" xfId="8" applyFont="1" applyFill="1" applyBorder="1" applyAlignment="1">
      <alignment horizontal="center"/>
    </xf>
    <xf numFmtId="0" fontId="19" fillId="5" borderId="21" xfId="8" applyFont="1" applyFill="1" applyBorder="1" applyAlignment="1">
      <alignment horizontal="center"/>
    </xf>
    <xf numFmtId="0" fontId="19" fillId="3" borderId="37" xfId="8" applyFont="1" applyFill="1" applyBorder="1" applyAlignment="1">
      <alignment horizontal="center"/>
    </xf>
    <xf numFmtId="0" fontId="19" fillId="3" borderId="38" xfId="8" applyFont="1" applyFill="1" applyBorder="1" applyAlignment="1">
      <alignment horizontal="center"/>
    </xf>
    <xf numFmtId="0" fontId="19" fillId="4" borderId="21" xfId="8" applyFont="1" applyFill="1" applyBorder="1" applyAlignment="1">
      <alignment horizontal="center"/>
    </xf>
    <xf numFmtId="0" fontId="19" fillId="5" borderId="52" xfId="8" applyFont="1" applyFill="1" applyBorder="1" applyAlignment="1">
      <alignment horizontal="center"/>
    </xf>
    <xf numFmtId="0" fontId="19" fillId="5" borderId="38" xfId="8" applyFont="1" applyFill="1" applyBorder="1" applyAlignment="1">
      <alignment horizontal="center"/>
    </xf>
    <xf numFmtId="49" fontId="19" fillId="3" borderId="52" xfId="8" applyNumberFormat="1" applyFont="1" applyFill="1" applyBorder="1" applyAlignment="1">
      <alignment horizontal="center"/>
    </xf>
    <xf numFmtId="49" fontId="19" fillId="3" borderId="37" xfId="8" applyNumberFormat="1" applyFont="1" applyFill="1" applyBorder="1" applyAlignment="1">
      <alignment horizontal="center"/>
    </xf>
    <xf numFmtId="49" fontId="19" fillId="3" borderId="38" xfId="8" applyNumberFormat="1" applyFont="1" applyFill="1" applyBorder="1" applyAlignment="1">
      <alignment horizontal="center"/>
    </xf>
    <xf numFmtId="17" fontId="19" fillId="3" borderId="52" xfId="8" quotePrefix="1" applyNumberFormat="1" applyFont="1" applyFill="1" applyBorder="1" applyAlignment="1">
      <alignment horizontal="center"/>
    </xf>
    <xf numFmtId="17" fontId="19" fillId="3" borderId="37" xfId="8" quotePrefix="1" applyNumberFormat="1" applyFont="1" applyFill="1" applyBorder="1" applyAlignment="1">
      <alignment horizontal="center"/>
    </xf>
    <xf numFmtId="17" fontId="19" fillId="3" borderId="38" xfId="8" quotePrefix="1" applyNumberFormat="1" applyFont="1" applyFill="1" applyBorder="1" applyAlignment="1">
      <alignment horizontal="center"/>
    </xf>
    <xf numFmtId="10" fontId="2" fillId="2" borderId="47" xfId="4" applyNumberFormat="1" applyFont="1" applyFill="1" applyBorder="1" applyAlignment="1">
      <alignment horizontal="center" vertical="center"/>
    </xf>
    <xf numFmtId="10" fontId="2" fillId="2" borderId="41" xfId="4" applyNumberFormat="1" applyFont="1" applyFill="1" applyBorder="1" applyAlignment="1">
      <alignment horizontal="center" vertical="center"/>
    </xf>
    <xf numFmtId="10" fontId="2" fillId="2" borderId="50" xfId="4" applyNumberFormat="1" applyFont="1" applyFill="1" applyBorder="1" applyAlignment="1">
      <alignment horizontal="center" vertical="center"/>
    </xf>
    <xf numFmtId="10" fontId="2" fillId="2" borderId="51" xfId="4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0" fontId="2" fillId="2" borderId="14" xfId="4" applyNumberFormat="1" applyFont="1" applyFill="1" applyBorder="1" applyAlignment="1">
      <alignment vertical="center"/>
    </xf>
    <xf numFmtId="10" fontId="2" fillId="2" borderId="15" xfId="4" applyNumberFormat="1" applyFont="1" applyFill="1" applyBorder="1" applyAlignment="1">
      <alignment vertical="center"/>
    </xf>
    <xf numFmtId="10" fontId="2" fillId="2" borderId="34" xfId="4" applyNumberFormat="1" applyFont="1" applyFill="1" applyBorder="1" applyAlignment="1">
      <alignment vertical="center"/>
    </xf>
    <xf numFmtId="165" fontId="0" fillId="0" borderId="3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" fillId="2" borderId="3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8" xfId="0" applyFont="1" applyBorder="1" applyAlignment="1">
      <alignment horizontal="center"/>
    </xf>
  </cellXfs>
  <cellStyles count="9">
    <cellStyle name="Comma" xfId="1" builtinId="3"/>
    <cellStyle name="Hyperlink" xfId="3" builtinId="8"/>
    <cellStyle name="Normal" xfId="0" builtinId="0"/>
    <cellStyle name="Normal 16" xfId="5" xr:uid="{FDC2A7C1-192D-46B5-BE78-F7A6FDD5B85E}"/>
    <cellStyle name="Normal 2" xfId="8" xr:uid="{4A9249E5-19DF-4F55-A0C3-6FBCEEA82F50}"/>
    <cellStyle name="Normal_Sheet1 2" xfId="7" xr:uid="{022EDD8E-D646-4CE7-A765-61C077AF306C}"/>
    <cellStyle name="Normal_shyam_financial" xfId="4" xr:uid="{EC845AF1-A2E2-4A5C-A902-FF81CC3E0E81}"/>
    <cellStyle name="Percent" xfId="2" builtinId="5"/>
    <cellStyle name="Percent 6" xfId="6" xr:uid="{DFFA0146-1EB5-467F-B32B-F84BB9603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rkaran%20Singh\Downloads\2021-22%20CO2%20database%20final_VM281222_Publish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Questions 13-14"/>
      <sheetName val="Questions CEA-FC 14-15"/>
      <sheetName val="FC Quality Check 1 &amp; 2"/>
      <sheetName val="Data"/>
      <sheetName val="Results"/>
      <sheetName val="Transfer (1G)"/>
      <sheetName val="Units + Abbrev"/>
      <sheetName val="Assumptions"/>
      <sheetName val="Compare"/>
      <sheetName val="BM2022"/>
      <sheetName val="Unit_Gen2022"/>
      <sheetName val="Transfers (2G)"/>
      <sheetName val="Transfers (5G)"/>
      <sheetName val="BM 1011"/>
      <sheetName val="BM 1112"/>
      <sheetName val="BM 1213"/>
      <sheetName val="BM 1314"/>
      <sheetName val="BM 1415"/>
      <sheetName val="BM 1516"/>
      <sheetName val="Stat 1011"/>
      <sheetName val="BM 1617"/>
      <sheetName val="Stat 1112"/>
      <sheetName val="Stat 1213"/>
      <sheetName val="Stat 1314"/>
      <sheetName val="Stat 1415"/>
      <sheetName val="Stat 1516"/>
      <sheetName val="BM 1718"/>
      <sheetName val="BM 1819"/>
      <sheetName val="BM2021"/>
      <sheetName val="BM 1920"/>
      <sheetName val="Stat 1617"/>
      <sheetName val="Unit_Gen 1011"/>
      <sheetName val="Unit_Gen 1112"/>
      <sheetName val="Unit_Gen 1213"/>
      <sheetName val="Unit_Gen 1314"/>
      <sheetName val="Unit_Gen 1415"/>
      <sheetName val="Unit_Gen 1516"/>
      <sheetName val="CDM Projects until 2013-14"/>
      <sheetName val="CDM Projects until 2013-14_old"/>
      <sheetName val="CDM Projects until 2014-15"/>
      <sheetName val="Unit_Gen 1617"/>
      <sheetName val="CDM Projects untill 2015-16"/>
      <sheetName val="Stat 1718"/>
      <sheetName val="Stat 1819"/>
      <sheetName val="Unit_Gen1718"/>
      <sheetName val="CDM Projects untill 2016-17"/>
      <sheetName val="Figures for User Guide 1314"/>
      <sheetName val="Figures for User Guide 1415"/>
      <sheetName val="Figures for User Guide 1516"/>
      <sheetName val="Stat 2022"/>
      <sheetName val="Stat 2021"/>
      <sheetName val="Stat 1920"/>
      <sheetName val="Unit_Gen1819"/>
      <sheetName val="Unit_Gen2021"/>
      <sheetName val="CDM Projects untill 2021-22"/>
      <sheetName val="CDM Projects untill 2020-21"/>
      <sheetName val="Figures for User Guide 2022"/>
      <sheetName val="Figures for User Guide 2021"/>
      <sheetName val="Unit_Gen 1920"/>
      <sheetName val="CDM Projects untill 2017-18"/>
      <sheetName val="CDM Projects untill 2018-19"/>
      <sheetName val="Figures for User Guide 1617"/>
      <sheetName val="Figures for User Guide 1819"/>
      <sheetName val="CDM Projects untill 201920"/>
      <sheetName val="Figures for User Guide 1920"/>
      <sheetName val="Figures for User Guide 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H22">
            <v>0.95</v>
          </cell>
          <cell r="I22">
            <v>0.83</v>
          </cell>
        </row>
        <row r="67">
          <cell r="D67">
            <v>4.1867999999999999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a.nic.in/cdm-co2-baseline-database/?lang=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ea.nic.in/cdm-co2-baseline-database/?lang=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289E-2E4D-4B3E-9749-AE850D809E94}">
  <sheetPr>
    <pageSetUpPr fitToPage="1"/>
  </sheetPr>
  <dimension ref="A1:M54"/>
  <sheetViews>
    <sheetView workbookViewId="0">
      <selection activeCell="K11" sqref="K11"/>
    </sheetView>
  </sheetViews>
  <sheetFormatPr defaultColWidth="9.28515625" defaultRowHeight="15" x14ac:dyDescent="0.25"/>
  <cols>
    <col min="1" max="1" width="9.28515625" style="116"/>
    <col min="2" max="2" width="15.5703125" style="116" customWidth="1"/>
    <col min="3" max="4" width="11.5703125" style="116" customWidth="1"/>
    <col min="5" max="5" width="8.5703125" style="116" customWidth="1"/>
    <col min="6" max="7" width="13.28515625" style="116" bestFit="1" customWidth="1"/>
    <col min="8" max="9" width="11.5703125" style="116" customWidth="1"/>
    <col min="10" max="10" width="12.7109375" style="116" bestFit="1" customWidth="1"/>
    <col min="11" max="16384" width="9.28515625" style="116"/>
  </cols>
  <sheetData>
    <row r="1" spans="1:13" x14ac:dyDescent="0.2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3" x14ac:dyDescent="0.25">
      <c r="A2" s="170" t="s">
        <v>1</v>
      </c>
      <c r="B2" s="171"/>
      <c r="C2" s="172" t="s">
        <v>116</v>
      </c>
      <c r="D2" s="173"/>
      <c r="E2" s="173"/>
      <c r="F2" s="173"/>
      <c r="G2" s="173"/>
      <c r="H2" s="173"/>
      <c r="I2" s="173"/>
      <c r="J2" s="174"/>
      <c r="K2" s="1" t="s">
        <v>128</v>
      </c>
    </row>
    <row r="3" spans="1:13" x14ac:dyDescent="0.25">
      <c r="A3" s="170" t="s">
        <v>2</v>
      </c>
      <c r="B3" s="171"/>
      <c r="C3" s="175">
        <v>45231</v>
      </c>
      <c r="D3" s="176"/>
      <c r="E3" s="176"/>
      <c r="F3" s="176"/>
      <c r="G3" s="176"/>
      <c r="H3" s="176"/>
      <c r="I3" s="176"/>
      <c r="J3" s="177"/>
    </row>
    <row r="4" spans="1:13" x14ac:dyDescent="0.25">
      <c r="A4" s="166" t="s">
        <v>3</v>
      </c>
      <c r="B4" s="166"/>
      <c r="C4" s="167" t="s">
        <v>117</v>
      </c>
      <c r="D4" s="167"/>
      <c r="E4" s="167"/>
      <c r="F4" s="167"/>
      <c r="G4" s="167"/>
      <c r="H4" s="167"/>
      <c r="I4" s="167"/>
      <c r="J4" s="168"/>
    </row>
    <row r="7" spans="1:13" x14ac:dyDescent="0.25">
      <c r="A7" s="149" t="s">
        <v>25</v>
      </c>
      <c r="B7" s="149"/>
      <c r="C7" s="149"/>
      <c r="D7" s="149"/>
      <c r="E7" s="149"/>
      <c r="F7" s="117" t="s">
        <v>7</v>
      </c>
      <c r="G7" s="117" t="s">
        <v>8</v>
      </c>
      <c r="H7" s="117" t="s">
        <v>9</v>
      </c>
      <c r="I7" s="117" t="s">
        <v>10</v>
      </c>
      <c r="J7" s="117" t="s">
        <v>115</v>
      </c>
    </row>
    <row r="8" spans="1:13" x14ac:dyDescent="0.25">
      <c r="A8" s="157" t="s">
        <v>27</v>
      </c>
      <c r="B8" s="158"/>
      <c r="C8" s="158"/>
      <c r="D8" s="158"/>
      <c r="E8" s="159"/>
      <c r="F8" s="118">
        <v>1247574.7130910009</v>
      </c>
      <c r="G8" s="118">
        <v>1244852.6801227855</v>
      </c>
      <c r="H8" s="118">
        <v>1227903.5453740791</v>
      </c>
      <c r="I8" s="118">
        <v>1316914.3713470998</v>
      </c>
      <c r="J8" s="119">
        <v>1413853.51</v>
      </c>
    </row>
    <row r="9" spans="1:13" x14ac:dyDescent="0.25">
      <c r="A9" s="160" t="s">
        <v>29</v>
      </c>
      <c r="B9" s="161"/>
      <c r="C9" s="161"/>
      <c r="D9" s="161"/>
      <c r="E9" s="162"/>
      <c r="F9" s="118">
        <v>1165160.0021972021</v>
      </c>
      <c r="G9" s="118">
        <v>1162971.1384100253</v>
      </c>
      <c r="H9" s="118">
        <v>1147523.1374474028</v>
      </c>
      <c r="I9" s="118">
        <v>1230099.4793707305</v>
      </c>
      <c r="J9" s="119">
        <v>1320179.6100000001</v>
      </c>
    </row>
    <row r="10" spans="1:13" x14ac:dyDescent="0.25">
      <c r="A10" s="157" t="s">
        <v>31</v>
      </c>
      <c r="B10" s="158"/>
      <c r="C10" s="158"/>
      <c r="D10" s="158"/>
      <c r="E10" s="159"/>
      <c r="F10" s="120">
        <v>0.14521930114209958</v>
      </c>
      <c r="G10" s="120">
        <v>0.17022085475797133</v>
      </c>
      <c r="H10" s="120">
        <v>0.1649682360495387</v>
      </c>
      <c r="I10" s="120">
        <v>0.15805850762158768</v>
      </c>
      <c r="J10" s="121">
        <v>0.15329999999999999</v>
      </c>
    </row>
    <row r="11" spans="1:13" x14ac:dyDescent="0.25">
      <c r="A11" s="157" t="s">
        <v>33</v>
      </c>
      <c r="B11" s="158"/>
      <c r="C11" s="158"/>
      <c r="D11" s="158"/>
      <c r="E11" s="159"/>
      <c r="F11" s="118">
        <v>995956.28095939721</v>
      </c>
      <c r="G11" s="118">
        <v>965009.19717101986</v>
      </c>
      <c r="H11" s="118">
        <v>958218.26963667246</v>
      </c>
      <c r="I11" s="118">
        <v>1035671.7914353008</v>
      </c>
      <c r="J11" s="119">
        <v>1117845.6599999999</v>
      </c>
    </row>
    <row r="12" spans="1:13" x14ac:dyDescent="0.25">
      <c r="A12" s="157" t="s">
        <v>35</v>
      </c>
      <c r="B12" s="158"/>
      <c r="C12" s="158"/>
      <c r="D12" s="158"/>
      <c r="E12" s="159"/>
      <c r="F12" s="118">
        <v>233032.00043944042</v>
      </c>
      <c r="G12" s="118">
        <v>232594.22768200506</v>
      </c>
      <c r="H12" s="118">
        <v>229504.62748948057</v>
      </c>
      <c r="I12" s="118">
        <v>246019.89587414611</v>
      </c>
      <c r="J12" s="119">
        <v>264035.92</v>
      </c>
      <c r="M12" s="122"/>
    </row>
    <row r="13" spans="1:13" x14ac:dyDescent="0.25">
      <c r="A13" s="157" t="s">
        <v>37</v>
      </c>
      <c r="B13" s="158"/>
      <c r="C13" s="158"/>
      <c r="D13" s="158"/>
      <c r="E13" s="159"/>
      <c r="F13" s="118">
        <v>233414.22464861648</v>
      </c>
      <c r="G13" s="118">
        <v>233429.09604464116</v>
      </c>
      <c r="H13" s="118">
        <v>229710.38587245735</v>
      </c>
      <c r="I13" s="118">
        <v>247323.19148360015</v>
      </c>
      <c r="J13" s="119">
        <v>264125.21999999997</v>
      </c>
    </row>
    <row r="14" spans="1:13" x14ac:dyDescent="0.25">
      <c r="A14" s="157" t="s">
        <v>38</v>
      </c>
      <c r="B14" s="158"/>
      <c r="C14" s="158"/>
      <c r="D14" s="158"/>
      <c r="E14" s="159"/>
      <c r="F14" s="118">
        <v>126760</v>
      </c>
      <c r="G14" s="118">
        <v>138337</v>
      </c>
      <c r="H14" s="118">
        <v>147247</v>
      </c>
      <c r="I14" s="118">
        <v>170912.3</v>
      </c>
      <c r="J14" s="118">
        <v>203550</v>
      </c>
    </row>
    <row r="15" spans="1:13" x14ac:dyDescent="0.25">
      <c r="A15" s="157" t="s">
        <v>34</v>
      </c>
      <c r="B15" s="158"/>
      <c r="C15" s="158"/>
      <c r="D15" s="158"/>
      <c r="E15" s="159"/>
      <c r="F15" s="118">
        <v>4657.1000000000004</v>
      </c>
      <c r="G15" s="118">
        <v>6310.7</v>
      </c>
      <c r="H15" s="118">
        <v>9318.2000000000007</v>
      </c>
      <c r="I15" s="118">
        <v>7596</v>
      </c>
      <c r="J15" s="118">
        <v>6732</v>
      </c>
    </row>
    <row r="16" spans="1:13" x14ac:dyDescent="0.25">
      <c r="A16" s="163" t="s">
        <v>118</v>
      </c>
      <c r="B16" s="164"/>
      <c r="C16" s="164"/>
      <c r="D16" s="164"/>
      <c r="E16" s="165"/>
      <c r="F16" s="123"/>
      <c r="G16" s="123"/>
      <c r="H16" s="123"/>
      <c r="I16" s="123">
        <v>1491859</v>
      </c>
      <c r="J16" s="123">
        <v>1624136</v>
      </c>
    </row>
    <row r="17" spans="1:10" x14ac:dyDescent="0.25">
      <c r="A17" s="163" t="s">
        <v>119</v>
      </c>
      <c r="B17" s="164"/>
      <c r="C17" s="164"/>
      <c r="D17" s="164"/>
      <c r="E17" s="165"/>
      <c r="F17" s="123">
        <v>1291920.0021972021</v>
      </c>
      <c r="G17" s="123">
        <v>1301308.1384100253</v>
      </c>
      <c r="H17" s="123">
        <v>1294770.1374474028</v>
      </c>
      <c r="I17" s="123">
        <v>1401011.7793707305</v>
      </c>
      <c r="J17" s="117">
        <v>1530461.61</v>
      </c>
    </row>
    <row r="19" spans="1:10" x14ac:dyDescent="0.25">
      <c r="A19" s="151" t="s">
        <v>120</v>
      </c>
      <c r="B19" s="151"/>
      <c r="C19" s="151"/>
      <c r="D19" s="151"/>
      <c r="E19" s="151"/>
      <c r="F19" s="124"/>
      <c r="G19" s="124"/>
      <c r="H19" s="124"/>
      <c r="I19" s="124"/>
      <c r="J19" s="125">
        <v>18000</v>
      </c>
    </row>
    <row r="20" spans="1:10" x14ac:dyDescent="0.25">
      <c r="A20" s="151" t="s">
        <v>121</v>
      </c>
      <c r="B20" s="152"/>
      <c r="C20" s="152"/>
      <c r="D20" s="152"/>
      <c r="E20" s="152"/>
      <c r="F20" s="124"/>
      <c r="G20" s="124"/>
      <c r="H20" s="124"/>
      <c r="I20" s="124"/>
      <c r="J20" s="124">
        <v>-2191.7199999999998</v>
      </c>
    </row>
    <row r="21" spans="1:10" ht="25.5" customHeight="1" x14ac:dyDescent="0.25">
      <c r="A21" s="153" t="s">
        <v>122</v>
      </c>
      <c r="B21" s="154"/>
      <c r="C21" s="154"/>
      <c r="D21" s="154"/>
      <c r="E21" s="155"/>
      <c r="F21" s="124"/>
      <c r="G21" s="124"/>
      <c r="H21" s="124"/>
      <c r="I21" s="124"/>
      <c r="J21" s="126">
        <f>J17+J19+J20</f>
        <v>1546269.8900000001</v>
      </c>
    </row>
    <row r="23" spans="1:10" ht="29.25" customHeight="1" x14ac:dyDescent="0.25">
      <c r="A23" s="156" t="s">
        <v>123</v>
      </c>
      <c r="B23" s="156"/>
      <c r="C23" s="156"/>
      <c r="D23" s="156"/>
      <c r="E23" s="156"/>
      <c r="F23" s="156"/>
      <c r="G23" s="156"/>
      <c r="H23" s="156"/>
      <c r="I23" s="156"/>
      <c r="J23" s="156"/>
    </row>
    <row r="25" spans="1:10" ht="31.5" customHeight="1" x14ac:dyDescent="0.25">
      <c r="A25" s="156" t="s">
        <v>124</v>
      </c>
      <c r="B25" s="156"/>
      <c r="C25" s="156"/>
      <c r="D25" s="156"/>
      <c r="E25" s="156"/>
      <c r="F25" s="156"/>
      <c r="G25" s="156"/>
      <c r="H25" s="156"/>
      <c r="I25" s="156"/>
      <c r="J25" s="156"/>
    </row>
    <row r="28" spans="1:10" x14ac:dyDescent="0.25">
      <c r="A28" s="149" t="s">
        <v>26</v>
      </c>
      <c r="B28" s="149"/>
      <c r="C28" s="149"/>
      <c r="D28" s="149"/>
      <c r="E28" s="149"/>
      <c r="F28" s="117" t="s">
        <v>7</v>
      </c>
      <c r="G28" s="117" t="s">
        <v>8</v>
      </c>
      <c r="H28" s="117" t="s">
        <v>9</v>
      </c>
      <c r="I28" s="117" t="s">
        <v>10</v>
      </c>
      <c r="J28" s="117" t="s">
        <v>115</v>
      </c>
    </row>
    <row r="29" spans="1:10" x14ac:dyDescent="0.25">
      <c r="A29" s="148" t="s">
        <v>28</v>
      </c>
      <c r="B29" s="148"/>
      <c r="C29" s="148"/>
      <c r="D29" s="148"/>
      <c r="E29" s="148"/>
      <c r="F29" s="118">
        <v>960898595.78147817</v>
      </c>
      <c r="G29" s="118">
        <v>926716728.18648732</v>
      </c>
      <c r="H29" s="118">
        <v>909651894.85025156</v>
      </c>
      <c r="I29" s="118">
        <v>1002016983.0311221</v>
      </c>
      <c r="J29" s="118">
        <v>1091962868</v>
      </c>
    </row>
    <row r="30" spans="1:10" x14ac:dyDescent="0.25">
      <c r="A30" s="148" t="s">
        <v>30</v>
      </c>
      <c r="B30" s="148"/>
      <c r="C30" s="148"/>
      <c r="D30" s="148"/>
      <c r="E30" s="148"/>
      <c r="F30" s="118">
        <v>960898595.78147817</v>
      </c>
      <c r="G30" s="118">
        <v>926716728.18648732</v>
      </c>
      <c r="H30" s="118">
        <v>909651894.85025156</v>
      </c>
      <c r="I30" s="118">
        <v>1002016983.0311221</v>
      </c>
      <c r="J30" s="118">
        <v>1091962868</v>
      </c>
    </row>
    <row r="31" spans="1:10" x14ac:dyDescent="0.25">
      <c r="A31" s="148" t="s">
        <v>32</v>
      </c>
      <c r="B31" s="148"/>
      <c r="C31" s="148"/>
      <c r="D31" s="148"/>
      <c r="E31" s="148"/>
      <c r="F31" s="118">
        <v>205690708.30546987</v>
      </c>
      <c r="G31" s="118">
        <v>202665681.6012063</v>
      </c>
      <c r="H31" s="118">
        <v>198758357.29421163</v>
      </c>
      <c r="I31" s="118">
        <v>214841679.43955958</v>
      </c>
      <c r="J31" s="118">
        <v>228969298</v>
      </c>
    </row>
    <row r="32" spans="1:10" x14ac:dyDescent="0.25">
      <c r="A32" s="157" t="s">
        <v>125</v>
      </c>
      <c r="B32" s="158"/>
      <c r="C32" s="158"/>
      <c r="D32" s="158"/>
      <c r="E32" s="159"/>
      <c r="F32" s="118"/>
      <c r="G32" s="118"/>
      <c r="H32" s="118"/>
      <c r="I32" s="118"/>
      <c r="J32" s="118">
        <f>16.176373 *1000000</f>
        <v>16176373.000000002</v>
      </c>
    </row>
    <row r="33" spans="1:10" x14ac:dyDescent="0.25">
      <c r="A33" s="148" t="s">
        <v>126</v>
      </c>
      <c r="B33" s="148"/>
      <c r="C33" s="148"/>
      <c r="D33" s="148"/>
      <c r="E33" s="148"/>
      <c r="F33" s="124"/>
      <c r="G33" s="124"/>
      <c r="H33" s="124"/>
      <c r="I33" s="124"/>
      <c r="J33" s="127">
        <f>J29+J32</f>
        <v>1108139241</v>
      </c>
    </row>
    <row r="36" spans="1:10" x14ac:dyDescent="0.25">
      <c r="A36" s="149" t="s">
        <v>11</v>
      </c>
      <c r="B36" s="149"/>
      <c r="C36" s="149"/>
      <c r="D36" s="149"/>
      <c r="E36" s="149"/>
      <c r="F36" s="128" t="s">
        <v>7</v>
      </c>
      <c r="G36" s="128" t="s">
        <v>8</v>
      </c>
      <c r="H36" s="128" t="s">
        <v>9</v>
      </c>
      <c r="I36" s="128" t="s">
        <v>10</v>
      </c>
      <c r="J36" s="128" t="s">
        <v>115</v>
      </c>
    </row>
    <row r="37" spans="1:10" x14ac:dyDescent="0.25">
      <c r="A37" s="148" t="s">
        <v>16</v>
      </c>
      <c r="B37" s="148"/>
      <c r="C37" s="148"/>
      <c r="D37" s="148"/>
      <c r="E37" s="148"/>
      <c r="F37" s="119">
        <v>0.96030958897376284</v>
      </c>
      <c r="G37" s="119">
        <v>0.95407980652220337</v>
      </c>
      <c r="H37" s="119">
        <v>0.9401732664372231</v>
      </c>
      <c r="I37" s="129">
        <v>0.96045934642191733</v>
      </c>
      <c r="J37" s="129">
        <v>0.97099999999999997</v>
      </c>
    </row>
    <row r="38" spans="1:10" x14ac:dyDescent="0.25">
      <c r="A38" s="148" t="s">
        <v>18</v>
      </c>
      <c r="B38" s="148"/>
      <c r="C38" s="148"/>
      <c r="D38" s="148"/>
      <c r="E38" s="148"/>
      <c r="F38" s="119">
        <v>0.8812261061429234</v>
      </c>
      <c r="G38" s="119">
        <v>0.86821088302740268</v>
      </c>
      <c r="H38" s="119">
        <v>0.86525629452631159</v>
      </c>
      <c r="I38" s="129">
        <v>0.86866774664682256</v>
      </c>
      <c r="J38" s="129">
        <v>0.86699999999999999</v>
      </c>
    </row>
    <row r="39" spans="1:10" x14ac:dyDescent="0.25">
      <c r="A39" s="148" t="s">
        <v>20</v>
      </c>
      <c r="B39" s="148"/>
      <c r="C39" s="148"/>
      <c r="D39" s="148"/>
      <c r="E39" s="148"/>
      <c r="F39" s="119">
        <v>0.92076784755834318</v>
      </c>
      <c r="G39" s="119">
        <v>0.91114534477480302</v>
      </c>
      <c r="H39" s="119">
        <v>0.90271478048176734</v>
      </c>
      <c r="I39" s="129">
        <v>0.91456354653437</v>
      </c>
      <c r="J39" s="129">
        <v>0.91900000000000004</v>
      </c>
    </row>
    <row r="40" spans="1:10" x14ac:dyDescent="0.25">
      <c r="A40" s="148" t="s">
        <v>13</v>
      </c>
      <c r="B40" s="148"/>
      <c r="C40" s="148"/>
      <c r="D40" s="148"/>
      <c r="E40" s="148"/>
      <c r="F40" s="119">
        <v>0.82140927724424129</v>
      </c>
      <c r="G40" s="119">
        <v>0.79255203832641741</v>
      </c>
      <c r="H40" s="119">
        <v>0.78632383628954228</v>
      </c>
      <c r="I40" s="129">
        <v>0.809582344711401</v>
      </c>
      <c r="J40" s="129">
        <v>0.82299999999999995</v>
      </c>
    </row>
    <row r="41" spans="1:10" x14ac:dyDescent="0.25">
      <c r="A41" s="149" t="s">
        <v>14</v>
      </c>
      <c r="B41" s="149"/>
      <c r="C41" s="149"/>
      <c r="D41" s="149"/>
      <c r="E41" s="149"/>
      <c r="F41" s="117">
        <v>0.74056891479304676</v>
      </c>
      <c r="G41" s="117">
        <v>0.70909415802655007</v>
      </c>
      <c r="H41" s="117">
        <v>0.6995362396512923</v>
      </c>
      <c r="I41" s="130">
        <v>0.71135236695808535</v>
      </c>
      <c r="J41" s="130">
        <v>0.71299999999999997</v>
      </c>
    </row>
    <row r="42" spans="1:10" ht="16.5" customHeight="1" x14ac:dyDescent="0.3">
      <c r="A42" s="150" t="s">
        <v>127</v>
      </c>
      <c r="B42" s="150"/>
      <c r="C42" s="150"/>
      <c r="D42" s="150"/>
      <c r="E42" s="150"/>
      <c r="F42" s="119"/>
      <c r="G42" s="119"/>
      <c r="H42" s="119"/>
      <c r="I42" s="129"/>
      <c r="J42" s="131">
        <v>0.71599999999999997</v>
      </c>
    </row>
    <row r="43" spans="1:10" x14ac:dyDescent="0.25">
      <c r="A43" s="132"/>
      <c r="B43" s="132"/>
      <c r="C43" s="132"/>
      <c r="D43" s="132"/>
      <c r="E43" s="132"/>
      <c r="F43" s="133"/>
      <c r="G43" s="133"/>
      <c r="H43" s="133"/>
      <c r="I43" s="134"/>
      <c r="J43" s="135"/>
    </row>
    <row r="44" spans="1:10" x14ac:dyDescent="0.25">
      <c r="A44" s="136" t="s">
        <v>77</v>
      </c>
      <c r="B44" s="136"/>
      <c r="C44" s="136"/>
      <c r="D44" s="136"/>
      <c r="E44" s="136"/>
      <c r="F44" s="136"/>
      <c r="G44" s="137"/>
    </row>
    <row r="45" spans="1:10" x14ac:dyDescent="0.25">
      <c r="A45" s="136" t="s">
        <v>21</v>
      </c>
      <c r="B45" s="136"/>
      <c r="C45" s="136"/>
      <c r="D45" s="136"/>
      <c r="E45" s="136"/>
      <c r="F45" s="136"/>
      <c r="G45" s="137"/>
    </row>
    <row r="46" spans="1:10" x14ac:dyDescent="0.25">
      <c r="A46" s="136" t="s">
        <v>22</v>
      </c>
      <c r="B46" s="136"/>
      <c r="C46" s="136"/>
      <c r="D46" s="136"/>
      <c r="E46" s="136"/>
      <c r="F46" s="136"/>
      <c r="G46" s="137"/>
    </row>
    <row r="47" spans="1:10" x14ac:dyDescent="0.25">
      <c r="A47" s="136" t="s">
        <v>23</v>
      </c>
      <c r="B47" s="136"/>
      <c r="C47" s="136"/>
      <c r="D47" s="136"/>
      <c r="E47" s="136"/>
      <c r="F47" s="136"/>
      <c r="G47" s="137"/>
    </row>
    <row r="48" spans="1:10" x14ac:dyDescent="0.25">
      <c r="A48" s="136" t="s">
        <v>24</v>
      </c>
      <c r="B48" s="136"/>
      <c r="C48" s="136"/>
      <c r="D48" s="136"/>
      <c r="E48" s="136"/>
      <c r="F48" s="136"/>
      <c r="G48" s="137"/>
    </row>
    <row r="49" s="116" customFormat="1" x14ac:dyDescent="0.25"/>
    <row r="50" s="116" customFormat="1" x14ac:dyDescent="0.25"/>
    <row r="51" s="116" customFormat="1" x14ac:dyDescent="0.25"/>
    <row r="52" s="116" customFormat="1" x14ac:dyDescent="0.25"/>
    <row r="53" s="116" customFormat="1" x14ac:dyDescent="0.25"/>
    <row r="54" s="116" customFormat="1" x14ac:dyDescent="0.25"/>
  </sheetData>
  <mergeCells count="36">
    <mergeCell ref="A4:B4"/>
    <mergeCell ref="C4:J4"/>
    <mergeCell ref="A1:J1"/>
    <mergeCell ref="A2:B2"/>
    <mergeCell ref="C2:J2"/>
    <mergeCell ref="A3:B3"/>
    <mergeCell ref="C3:J3"/>
    <mergeCell ref="A19:E19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37:E37"/>
    <mergeCell ref="A20:E20"/>
    <mergeCell ref="A21:E21"/>
    <mergeCell ref="A23:J23"/>
    <mergeCell ref="A25:J25"/>
    <mergeCell ref="A28:E28"/>
    <mergeCell ref="A29:E29"/>
    <mergeCell ref="A30:E30"/>
    <mergeCell ref="A31:E31"/>
    <mergeCell ref="A32:E32"/>
    <mergeCell ref="A33:E33"/>
    <mergeCell ref="A36:E36"/>
    <mergeCell ref="A38:E38"/>
    <mergeCell ref="A39:E39"/>
    <mergeCell ref="A40:E40"/>
    <mergeCell ref="A41:E41"/>
    <mergeCell ref="A42:E42"/>
  </mergeCells>
  <hyperlinks>
    <hyperlink ref="K2" r:id="rId1" display="https://cea.nic.in/cdm-co2-baseline-database/?lang=en" xr:uid="{C5ED86EE-A966-458F-A309-EC5C2F10891A}"/>
  </hyperlinks>
  <pageMargins left="0.7" right="0.7" top="0.75" bottom="0.75" header="0.3" footer="0.3"/>
  <pageSetup paperSize="9" scale="7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CC2DB-EFCD-4060-90E9-CD3978608B5A}">
  <dimension ref="B1:X54"/>
  <sheetViews>
    <sheetView topLeftCell="A11" workbookViewId="0">
      <selection activeCell="J10" sqref="J10"/>
    </sheetView>
  </sheetViews>
  <sheetFormatPr defaultRowHeight="15" x14ac:dyDescent="0.25"/>
  <cols>
    <col min="12" max="16" width="9.5703125" bestFit="1" customWidth="1"/>
  </cols>
  <sheetData>
    <row r="1" spans="2:16" x14ac:dyDescent="0.2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2:16" x14ac:dyDescent="0.25">
      <c r="B2" s="58" t="s">
        <v>0</v>
      </c>
      <c r="C2" s="58"/>
      <c r="D2" s="58"/>
      <c r="E2" s="58"/>
      <c r="F2" s="59"/>
      <c r="G2" s="59"/>
      <c r="H2" s="59"/>
      <c r="I2" s="59"/>
      <c r="J2" s="59"/>
      <c r="K2" s="60"/>
      <c r="L2" s="60"/>
      <c r="M2" s="57"/>
      <c r="N2" s="57"/>
      <c r="O2" s="57"/>
      <c r="P2" s="57"/>
    </row>
    <row r="3" spans="2:16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2:16" x14ac:dyDescent="0.25">
      <c r="B4" s="61" t="s">
        <v>1</v>
      </c>
      <c r="C4" s="61"/>
      <c r="D4" s="61"/>
      <c r="E4" s="61"/>
      <c r="F4" s="62" t="s">
        <v>68</v>
      </c>
      <c r="G4" s="1" t="s">
        <v>69</v>
      </c>
      <c r="H4" s="57"/>
      <c r="I4" s="57"/>
      <c r="J4" s="57"/>
      <c r="K4" s="57"/>
      <c r="L4" s="57"/>
      <c r="M4" s="57"/>
      <c r="N4" s="57"/>
      <c r="O4" s="57"/>
      <c r="P4" s="57"/>
    </row>
    <row r="5" spans="2:16" x14ac:dyDescent="0.25">
      <c r="B5" s="61" t="s">
        <v>2</v>
      </c>
      <c r="C5" s="61"/>
      <c r="D5" s="61"/>
      <c r="E5" s="61"/>
      <c r="F5" s="63" t="s">
        <v>70</v>
      </c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6" x14ac:dyDescent="0.25">
      <c r="B6" s="61" t="s">
        <v>3</v>
      </c>
      <c r="C6" s="61"/>
      <c r="D6" s="61"/>
      <c r="E6" s="61"/>
      <c r="F6" s="64" t="s">
        <v>71</v>
      </c>
      <c r="G6" s="57"/>
      <c r="H6" s="57"/>
      <c r="I6" s="57"/>
      <c r="J6" s="57"/>
      <c r="K6" s="57"/>
      <c r="L6" s="57"/>
      <c r="M6" s="57"/>
      <c r="N6" s="65"/>
      <c r="O6" s="65"/>
      <c r="P6" s="65"/>
    </row>
    <row r="7" spans="2:16" x14ac:dyDescent="0.25">
      <c r="B7" s="60"/>
      <c r="C7" s="60"/>
      <c r="D7" s="60"/>
      <c r="E7" s="60"/>
      <c r="F7" s="59"/>
      <c r="G7" s="59"/>
      <c r="H7" s="59"/>
      <c r="I7" s="59"/>
      <c r="J7" s="59"/>
      <c r="K7" s="60"/>
      <c r="L7" s="60"/>
      <c r="M7" s="57"/>
      <c r="N7" s="57"/>
      <c r="O7" s="57"/>
      <c r="P7" s="57"/>
    </row>
    <row r="8" spans="2:16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2:16" x14ac:dyDescent="0.25">
      <c r="B9" s="61" t="s">
        <v>5</v>
      </c>
      <c r="C9" s="61"/>
      <c r="D9" s="61"/>
      <c r="E9" s="61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2:16" x14ac:dyDescent="0.25">
      <c r="B10" s="61"/>
      <c r="C10" s="61"/>
      <c r="D10" s="61"/>
      <c r="E10" s="61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2:16" x14ac:dyDescent="0.25">
      <c r="B11" s="61"/>
      <c r="C11" s="61"/>
      <c r="D11" s="61"/>
      <c r="E11" s="61"/>
      <c r="F11" s="66"/>
      <c r="G11" s="66"/>
      <c r="H11" s="66"/>
      <c r="I11" s="66"/>
      <c r="J11" s="66"/>
      <c r="K11" s="57"/>
      <c r="L11" s="61"/>
      <c r="M11" s="61"/>
      <c r="N11" s="57"/>
      <c r="O11" s="57"/>
      <c r="P11" s="57"/>
    </row>
    <row r="12" spans="2:16" x14ac:dyDescent="0.25">
      <c r="B12" s="67" t="s">
        <v>6</v>
      </c>
      <c r="C12" s="67"/>
      <c r="D12" s="68"/>
      <c r="E12" s="69" t="s">
        <v>72</v>
      </c>
      <c r="F12" s="69" t="s">
        <v>73</v>
      </c>
      <c r="G12" s="69" t="s">
        <v>74</v>
      </c>
      <c r="H12" s="69" t="s">
        <v>75</v>
      </c>
      <c r="I12" s="70" t="s">
        <v>76</v>
      </c>
      <c r="J12" s="71"/>
      <c r="K12" s="72" t="s">
        <v>11</v>
      </c>
      <c r="L12" s="69" t="s">
        <v>72</v>
      </c>
      <c r="M12" s="69" t="s">
        <v>73</v>
      </c>
      <c r="N12" s="69" t="s">
        <v>74</v>
      </c>
      <c r="O12" s="69" t="s">
        <v>75</v>
      </c>
      <c r="P12" s="73" t="s">
        <v>76</v>
      </c>
    </row>
    <row r="13" spans="2:16" x14ac:dyDescent="0.25">
      <c r="B13" s="74" t="s">
        <v>12</v>
      </c>
      <c r="C13" s="74"/>
      <c r="D13" s="74"/>
      <c r="E13" s="75">
        <v>0.79282992224165028</v>
      </c>
      <c r="F13" s="75">
        <v>0.7829287263178063</v>
      </c>
      <c r="G13" s="75">
        <v>0.83016353079136407</v>
      </c>
      <c r="H13" s="75">
        <v>0.82023883834644784</v>
      </c>
      <c r="I13" s="75">
        <v>0.82854943638243439</v>
      </c>
      <c r="J13" s="71"/>
      <c r="K13" s="74" t="s">
        <v>13</v>
      </c>
      <c r="L13" s="75">
        <v>0.78698007341606613</v>
      </c>
      <c r="M13" s="75">
        <v>0.77788259455693243</v>
      </c>
      <c r="N13" s="75">
        <v>0.83016353079136407</v>
      </c>
      <c r="O13" s="75">
        <v>0.81513243941962643</v>
      </c>
      <c r="P13" s="75">
        <v>0.82443000694150659</v>
      </c>
    </row>
    <row r="14" spans="2:16" x14ac:dyDescent="0.25">
      <c r="B14" s="71" t="s">
        <v>15</v>
      </c>
      <c r="C14" s="57"/>
      <c r="D14" s="57"/>
      <c r="E14" s="76">
        <v>0.97139242845825413</v>
      </c>
      <c r="F14" s="76">
        <v>0.97354931353300511</v>
      </c>
      <c r="G14" s="76">
        <v>0.99905689471068204</v>
      </c>
      <c r="H14" s="76">
        <v>1.0079437058672966</v>
      </c>
      <c r="I14" s="76">
        <v>0.99624844544954871</v>
      </c>
      <c r="J14" s="71"/>
      <c r="K14" s="71" t="s">
        <v>16</v>
      </c>
      <c r="L14" s="76">
        <v>0.96262539021689009</v>
      </c>
      <c r="M14" s="76">
        <v>0.97354931353300511</v>
      </c>
      <c r="N14" s="76">
        <v>0.99224141404932198</v>
      </c>
      <c r="O14" s="76">
        <v>1.000243747860849</v>
      </c>
      <c r="P14" s="76">
        <v>0.99029869547979954</v>
      </c>
    </row>
    <row r="15" spans="2:16" x14ac:dyDescent="0.25">
      <c r="B15" s="71" t="s">
        <v>17</v>
      </c>
      <c r="C15" s="57"/>
      <c r="D15" s="57"/>
      <c r="E15" s="76">
        <v>0.82827251092920162</v>
      </c>
      <c r="F15" s="76">
        <v>0.92121524879023742</v>
      </c>
      <c r="G15" s="76">
        <v>0.96918839479907004</v>
      </c>
      <c r="H15" s="76">
        <v>0.9549568262223499</v>
      </c>
      <c r="I15" s="76">
        <v>0.92847104451610096</v>
      </c>
      <c r="J15" s="71"/>
      <c r="K15" s="71" t="s">
        <v>18</v>
      </c>
      <c r="L15" s="76">
        <v>0.82827251092920162</v>
      </c>
      <c r="M15" s="76">
        <v>0.92121524879023742</v>
      </c>
      <c r="N15" s="76">
        <v>0.96918839479907004</v>
      </c>
      <c r="O15" s="76">
        <v>0.9549568262223499</v>
      </c>
      <c r="P15" s="76">
        <v>0.92847104451610096</v>
      </c>
    </row>
    <row r="16" spans="2:16" x14ac:dyDescent="0.25">
      <c r="B16" s="60" t="s">
        <v>19</v>
      </c>
      <c r="C16" s="60"/>
      <c r="D16" s="60"/>
      <c r="E16" s="77">
        <v>0.89983246969372788</v>
      </c>
      <c r="F16" s="77">
        <v>0.94738228116162126</v>
      </c>
      <c r="G16" s="77">
        <v>0.9841226447548761</v>
      </c>
      <c r="H16" s="77">
        <v>0.98145026604482322</v>
      </c>
      <c r="I16" s="77">
        <v>0.96235974498282484</v>
      </c>
      <c r="J16" s="78"/>
      <c r="K16" s="60" t="s">
        <v>20</v>
      </c>
      <c r="L16" s="77">
        <v>0.89544895057304585</v>
      </c>
      <c r="M16" s="77">
        <v>0.94738228116162126</v>
      </c>
      <c r="N16" s="77">
        <v>0.98071490442419607</v>
      </c>
      <c r="O16" s="77">
        <v>0.9776002870415994</v>
      </c>
      <c r="P16" s="77">
        <v>0.95938486999795025</v>
      </c>
    </row>
    <row r="17" spans="2:24" x14ac:dyDescent="0.25">
      <c r="B17" s="57"/>
      <c r="C17" s="57"/>
      <c r="D17" s="57"/>
      <c r="E17" s="57"/>
      <c r="F17" s="57"/>
      <c r="G17" s="57"/>
      <c r="H17" s="57"/>
      <c r="I17" s="57"/>
      <c r="J17" s="57"/>
      <c r="K17" s="78"/>
      <c r="L17" s="71"/>
      <c r="M17" s="71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2:24" x14ac:dyDescent="0.25">
      <c r="B18" s="71" t="s">
        <v>77</v>
      </c>
      <c r="C18" s="57"/>
      <c r="D18" s="57"/>
      <c r="E18" s="57"/>
      <c r="F18" s="57"/>
      <c r="G18" s="57"/>
      <c r="H18" s="57"/>
      <c r="I18" s="57"/>
      <c r="J18" s="57"/>
      <c r="K18" s="71" t="s">
        <v>77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2:24" x14ac:dyDescent="0.25">
      <c r="B19" s="71" t="s">
        <v>78</v>
      </c>
      <c r="C19" s="57"/>
      <c r="D19" s="57"/>
      <c r="E19" s="57"/>
      <c r="F19" s="57"/>
      <c r="G19" s="57"/>
      <c r="H19" s="57"/>
      <c r="I19" s="57"/>
      <c r="J19" s="57"/>
      <c r="K19" s="71" t="s">
        <v>78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2:24" x14ac:dyDescent="0.25">
      <c r="B20" s="57"/>
      <c r="C20" s="57"/>
      <c r="D20" s="57"/>
      <c r="E20" s="57"/>
      <c r="F20" s="57"/>
      <c r="G20" s="57"/>
      <c r="H20" s="57"/>
      <c r="I20" s="57"/>
      <c r="J20" s="57"/>
      <c r="K20" s="71" t="s">
        <v>22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2:24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71" t="s">
        <v>23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2:24" x14ac:dyDescent="0.25">
      <c r="B22" s="57"/>
      <c r="C22" s="57"/>
      <c r="D22" s="57"/>
      <c r="E22" s="57"/>
      <c r="F22" s="57"/>
      <c r="G22" s="57"/>
      <c r="H22" s="57"/>
      <c r="I22" s="57"/>
      <c r="J22" s="57"/>
      <c r="K22" s="71" t="s">
        <v>79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2:24" x14ac:dyDescent="0.25">
      <c r="B23" s="57"/>
      <c r="C23" s="57"/>
      <c r="D23" s="57"/>
      <c r="E23" s="57"/>
      <c r="F23" s="57"/>
      <c r="G23" s="57"/>
      <c r="H23" s="57"/>
      <c r="I23" s="57"/>
      <c r="J23" s="57"/>
      <c r="K23" s="78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2:24" x14ac:dyDescent="0.25">
      <c r="B24" s="57"/>
      <c r="C24" s="57"/>
      <c r="D24" s="57"/>
      <c r="E24" s="57"/>
      <c r="F24" s="57"/>
      <c r="G24" s="57"/>
      <c r="H24" s="57"/>
      <c r="I24" s="57"/>
      <c r="J24" s="57"/>
      <c r="K24" s="78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2:24" x14ac:dyDescent="0.25">
      <c r="B25" s="57"/>
      <c r="C25" s="57"/>
      <c r="D25" s="57"/>
      <c r="E25" s="57"/>
      <c r="F25" s="57"/>
      <c r="G25" s="57"/>
      <c r="H25" s="57"/>
      <c r="I25" s="57"/>
      <c r="J25" s="57"/>
      <c r="K25" s="78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2:24" x14ac:dyDescent="0.25">
      <c r="B26" s="57"/>
      <c r="C26" s="57"/>
      <c r="D26" s="57"/>
      <c r="E26" s="57"/>
      <c r="F26" s="57"/>
      <c r="G26" s="57"/>
      <c r="H26" s="57"/>
      <c r="I26" s="57"/>
      <c r="J26" s="57"/>
      <c r="K26" s="78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2:24" x14ac:dyDescent="0.25">
      <c r="B27" s="61" t="s">
        <v>25</v>
      </c>
      <c r="C27" s="61"/>
      <c r="D27" s="61"/>
      <c r="E27" s="61"/>
      <c r="F27" s="57"/>
      <c r="G27" s="57"/>
      <c r="H27" s="57"/>
      <c r="I27" s="57"/>
      <c r="J27" s="57"/>
      <c r="K27" s="61" t="s">
        <v>26</v>
      </c>
      <c r="L27" s="61"/>
      <c r="M27" s="61"/>
      <c r="N27" s="57"/>
      <c r="O27" s="57"/>
      <c r="P27" s="57"/>
      <c r="Q27" s="57"/>
      <c r="R27" s="57"/>
      <c r="S27" s="57"/>
      <c r="T27" s="71"/>
      <c r="U27" s="71"/>
      <c r="V27" s="71"/>
      <c r="W27" s="71"/>
      <c r="X27" s="71"/>
    </row>
    <row r="28" spans="2:24" x14ac:dyDescent="0.25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71"/>
      <c r="R28" s="71"/>
      <c r="S28" s="71"/>
      <c r="T28" s="71"/>
      <c r="U28" s="71"/>
      <c r="V28" s="71"/>
      <c r="W28" s="71"/>
      <c r="X28" s="71"/>
    </row>
    <row r="29" spans="2:24" x14ac:dyDescent="0.25">
      <c r="B29" s="72"/>
      <c r="C29" s="72"/>
      <c r="D29" s="72"/>
      <c r="E29" s="69" t="s">
        <v>72</v>
      </c>
      <c r="F29" s="69" t="s">
        <v>73</v>
      </c>
      <c r="G29" s="69" t="s">
        <v>74</v>
      </c>
      <c r="H29" s="69" t="s">
        <v>75</v>
      </c>
      <c r="I29" s="70" t="s">
        <v>76</v>
      </c>
      <c r="J29" s="71"/>
      <c r="K29" s="72"/>
      <c r="L29" s="69" t="s">
        <v>72</v>
      </c>
      <c r="M29" s="69" t="s">
        <v>73</v>
      </c>
      <c r="N29" s="69" t="s">
        <v>74</v>
      </c>
      <c r="O29" s="69" t="s">
        <v>75</v>
      </c>
      <c r="P29" s="73" t="s">
        <v>76</v>
      </c>
      <c r="Q29" s="76"/>
      <c r="R29" s="71"/>
      <c r="S29" s="71"/>
      <c r="T29" s="71"/>
      <c r="U29" s="71"/>
      <c r="V29" s="71"/>
      <c r="W29" s="57"/>
      <c r="X29" s="57"/>
    </row>
    <row r="30" spans="2:24" x14ac:dyDescent="0.25">
      <c r="B30" s="74" t="s">
        <v>27</v>
      </c>
      <c r="C30" s="74"/>
      <c r="D30" s="74"/>
      <c r="E30" s="79">
        <v>809491.53936400008</v>
      </c>
      <c r="F30" s="79">
        <v>873402.87629199983</v>
      </c>
      <c r="G30" s="79">
        <v>903743.09038499987</v>
      </c>
      <c r="H30" s="79">
        <v>955188.20876140962</v>
      </c>
      <c r="I30" s="79">
        <v>1045451.7683547512</v>
      </c>
      <c r="J30" s="71"/>
      <c r="K30" s="74" t="s">
        <v>28</v>
      </c>
      <c r="L30" s="79">
        <v>598359219.21672857</v>
      </c>
      <c r="M30" s="79">
        <v>637796923.19415975</v>
      </c>
      <c r="N30" s="79">
        <v>696529627.68253946</v>
      </c>
      <c r="O30" s="79">
        <v>727364166.24504995</v>
      </c>
      <c r="P30" s="79">
        <v>805384471.32095146</v>
      </c>
      <c r="Q30" s="66"/>
      <c r="R30" s="66"/>
      <c r="S30" s="66"/>
      <c r="T30" s="66"/>
      <c r="U30" s="66"/>
      <c r="V30" s="66"/>
      <c r="W30" s="57"/>
      <c r="X30" s="57"/>
    </row>
    <row r="31" spans="2:24" x14ac:dyDescent="0.25">
      <c r="B31" s="71" t="s">
        <v>29</v>
      </c>
      <c r="C31" s="57"/>
      <c r="D31" s="57"/>
      <c r="E31" s="66">
        <v>754713.2145629992</v>
      </c>
      <c r="F31" s="66">
        <v>814629.61027600011</v>
      </c>
      <c r="G31" s="66">
        <v>839027.01316999993</v>
      </c>
      <c r="H31" s="66">
        <v>886771.18448983994</v>
      </c>
      <c r="I31" s="66">
        <v>972041.54146477429</v>
      </c>
      <c r="J31" s="71"/>
      <c r="K31" s="71" t="s">
        <v>30</v>
      </c>
      <c r="L31" s="66">
        <v>598359219.21672857</v>
      </c>
      <c r="M31" s="66">
        <v>637796923.19415975</v>
      </c>
      <c r="N31" s="66">
        <v>696529627.68253946</v>
      </c>
      <c r="O31" s="66">
        <v>727364166.24504995</v>
      </c>
      <c r="P31" s="66">
        <v>805384471.32095146</v>
      </c>
      <c r="Q31" s="66"/>
      <c r="R31" s="66"/>
      <c r="S31" s="66"/>
      <c r="T31" s="66"/>
      <c r="U31" s="66"/>
      <c r="V31" s="66"/>
      <c r="W31" s="57"/>
      <c r="X31" s="57"/>
    </row>
    <row r="32" spans="2:24" x14ac:dyDescent="0.25">
      <c r="B32" s="71" t="s">
        <v>31</v>
      </c>
      <c r="C32" s="57"/>
      <c r="D32" s="57"/>
      <c r="E32" s="80">
        <v>0.18382118388549662</v>
      </c>
      <c r="F32" s="80">
        <v>0.19579962161694486</v>
      </c>
      <c r="G32" s="80">
        <v>0.16905279850776467</v>
      </c>
      <c r="H32" s="80">
        <v>0.18622554655404688</v>
      </c>
      <c r="I32" s="80">
        <v>0.16833051015847922</v>
      </c>
      <c r="J32" s="71"/>
      <c r="K32" s="71" t="s">
        <v>32</v>
      </c>
      <c r="L32" s="66">
        <v>125407421.9591157</v>
      </c>
      <c r="M32" s="66">
        <v>150142024.26191449</v>
      </c>
      <c r="N32" s="66">
        <v>164616145.05366039</v>
      </c>
      <c r="O32" s="66">
        <v>171218145.11600873</v>
      </c>
      <c r="P32" s="66">
        <v>180808002.54158178</v>
      </c>
      <c r="Q32" s="71"/>
      <c r="R32" s="81"/>
      <c r="S32" s="81"/>
      <c r="T32" s="81"/>
      <c r="U32" s="81"/>
      <c r="V32" s="81"/>
      <c r="W32" s="57"/>
      <c r="X32" s="57"/>
    </row>
    <row r="33" spans="2:16" x14ac:dyDescent="0.25">
      <c r="B33" s="71" t="s">
        <v>33</v>
      </c>
      <c r="C33" s="57"/>
      <c r="D33" s="57"/>
      <c r="E33" s="66">
        <v>615980.93796799984</v>
      </c>
      <c r="F33" s="66">
        <v>655125.44082600006</v>
      </c>
      <c r="G33" s="66">
        <v>697187.14857000031</v>
      </c>
      <c r="H33" s="66">
        <v>721631.73598984</v>
      </c>
      <c r="I33" s="66">
        <v>808417.29289477435</v>
      </c>
      <c r="J33" s="71"/>
      <c r="K33" s="71" t="s">
        <v>34</v>
      </c>
      <c r="L33" s="66">
        <v>5610</v>
      </c>
      <c r="M33" s="66">
        <v>5284.51</v>
      </c>
      <c r="N33" s="66">
        <v>4788.82</v>
      </c>
      <c r="O33" s="66">
        <v>3404.9800000000005</v>
      </c>
      <c r="P33" s="66">
        <v>1594</v>
      </c>
    </row>
    <row r="34" spans="2:16" x14ac:dyDescent="0.25">
      <c r="B34" s="71" t="s">
        <v>35</v>
      </c>
      <c r="C34" s="57"/>
      <c r="D34" s="57"/>
      <c r="E34" s="66">
        <v>150942.64291259984</v>
      </c>
      <c r="F34" s="66">
        <v>162925.92205520003</v>
      </c>
      <c r="G34" s="66">
        <v>167805.402634</v>
      </c>
      <c r="H34" s="66">
        <v>177354.23689796799</v>
      </c>
      <c r="I34" s="66">
        <v>194408.30829295487</v>
      </c>
      <c r="J34" s="71"/>
      <c r="K34" s="60" t="s">
        <v>36</v>
      </c>
      <c r="L34" s="82">
        <v>7.4332870973358436E-3</v>
      </c>
      <c r="M34" s="82">
        <v>6.4870094744157222E-3</v>
      </c>
      <c r="N34" s="82">
        <v>5.7075873897157944E-3</v>
      </c>
      <c r="O34" s="82">
        <v>3.8397503883246813E-3</v>
      </c>
      <c r="P34" s="82">
        <v>1.6398476114487797E-3</v>
      </c>
    </row>
    <row r="35" spans="2:16" x14ac:dyDescent="0.25">
      <c r="B35" s="60" t="s">
        <v>37</v>
      </c>
      <c r="C35" s="60"/>
      <c r="D35" s="60"/>
      <c r="E35" s="83">
        <v>151408.40762471611</v>
      </c>
      <c r="F35" s="83">
        <v>162982.56510526146</v>
      </c>
      <c r="G35" s="83">
        <v>169849.48018056722</v>
      </c>
      <c r="H35" s="83">
        <v>179294.12138276364</v>
      </c>
      <c r="I35" s="83">
        <v>194737.36268837011</v>
      </c>
      <c r="J35" s="71"/>
      <c r="K35" s="71"/>
      <c r="L35" s="71"/>
      <c r="M35" s="71"/>
      <c r="N35" s="71"/>
      <c r="O35" s="71"/>
      <c r="P35" s="71"/>
    </row>
    <row r="36" spans="2:16" x14ac:dyDescent="0.25">
      <c r="B36" s="71"/>
      <c r="C36" s="71"/>
      <c r="D36" s="71"/>
      <c r="E36" s="71"/>
      <c r="F36" s="71"/>
      <c r="G36" s="71"/>
      <c r="H36" s="71"/>
      <c r="I36" s="71"/>
      <c r="J36" s="71"/>
      <c r="K36" s="57"/>
      <c r="L36" s="57"/>
      <c r="M36" s="57"/>
      <c r="N36" s="71"/>
      <c r="O36" s="71"/>
      <c r="P36" s="71"/>
    </row>
    <row r="37" spans="2:16" x14ac:dyDescent="0.25">
      <c r="B37" s="66"/>
      <c r="C37" s="66"/>
      <c r="D37" s="66"/>
      <c r="E37" s="66"/>
      <c r="F37" s="66"/>
      <c r="G37" s="66"/>
      <c r="H37" s="66"/>
      <c r="I37" s="66"/>
      <c r="J37" s="66"/>
      <c r="K37" s="57"/>
      <c r="L37" s="57"/>
      <c r="M37" s="57"/>
      <c r="N37" s="71"/>
      <c r="O37" s="71"/>
      <c r="P37" s="71"/>
    </row>
    <row r="38" spans="2:16" x14ac:dyDescent="0.25">
      <c r="B38" s="66"/>
      <c r="C38" s="66"/>
      <c r="D38" s="66"/>
      <c r="E38" s="66"/>
      <c r="F38" s="66"/>
      <c r="G38" s="66"/>
      <c r="H38" s="66"/>
      <c r="I38" s="66"/>
      <c r="J38" s="66"/>
      <c r="K38" s="57"/>
      <c r="L38" s="71"/>
      <c r="M38" s="71"/>
      <c r="N38" s="71"/>
      <c r="O38" s="71"/>
      <c r="P38" s="71"/>
    </row>
    <row r="39" spans="2:16" x14ac:dyDescent="0.25">
      <c r="B39" s="84"/>
      <c r="C39" s="84"/>
      <c r="D39" s="84"/>
      <c r="E39" s="84"/>
      <c r="F39" s="57"/>
      <c r="G39" s="57"/>
      <c r="H39" s="57"/>
      <c r="I39" s="57"/>
      <c r="J39" s="57"/>
      <c r="K39" s="57"/>
      <c r="L39" s="71"/>
      <c r="M39" s="71"/>
      <c r="N39" s="71"/>
      <c r="O39" s="71"/>
      <c r="P39" s="71"/>
    </row>
    <row r="40" spans="2:16" x14ac:dyDescent="0.25">
      <c r="B40" s="85"/>
      <c r="C40" s="85"/>
      <c r="D40" s="85"/>
      <c r="E40" s="71"/>
      <c r="F40" s="71"/>
      <c r="G40" s="71"/>
      <c r="H40" s="71"/>
      <c r="I40" s="71"/>
      <c r="J40" s="71"/>
      <c r="K40" s="57"/>
      <c r="L40" s="71"/>
      <c r="M40" s="71"/>
      <c r="N40" s="71"/>
      <c r="O40" s="71"/>
      <c r="P40" s="71"/>
    </row>
    <row r="41" spans="2:16" x14ac:dyDescent="0.25">
      <c r="B41" s="71"/>
      <c r="C41" s="71"/>
      <c r="D41" s="71"/>
      <c r="E41" s="71"/>
      <c r="F41" s="71"/>
      <c r="G41" s="71"/>
      <c r="H41" s="71"/>
      <c r="I41" s="71"/>
      <c r="J41" s="71"/>
      <c r="K41" s="57"/>
      <c r="L41" s="71"/>
      <c r="M41" s="71"/>
      <c r="N41" s="71"/>
      <c r="O41" s="71"/>
      <c r="P41" s="71"/>
    </row>
    <row r="42" spans="2:16" x14ac:dyDescent="0.25">
      <c r="B42" s="61"/>
      <c r="C42" s="61"/>
      <c r="D42" s="61"/>
      <c r="E42" s="71"/>
      <c r="F42" s="57"/>
      <c r="G42" s="57"/>
      <c r="H42" s="57"/>
      <c r="I42" s="71"/>
      <c r="J42" s="71"/>
      <c r="K42" s="57"/>
      <c r="L42" s="71"/>
      <c r="M42" s="71"/>
      <c r="N42" s="71"/>
      <c r="O42" s="71"/>
      <c r="P42" s="71"/>
    </row>
    <row r="43" spans="2:16" x14ac:dyDescent="0.25">
      <c r="B43" s="61"/>
      <c r="C43" s="84"/>
      <c r="D43" s="84"/>
      <c r="E43" s="84"/>
      <c r="F43" s="57"/>
      <c r="G43" s="57"/>
      <c r="H43" s="57"/>
      <c r="I43" s="71"/>
      <c r="J43" s="71"/>
      <c r="K43" s="57"/>
      <c r="L43" s="71"/>
      <c r="M43" s="71"/>
      <c r="N43" s="71"/>
      <c r="O43" s="71"/>
      <c r="P43" s="71"/>
    </row>
    <row r="44" spans="2:16" x14ac:dyDescent="0.25">
      <c r="B44" s="84"/>
      <c r="C44" s="57"/>
      <c r="D44" s="57"/>
      <c r="E44" s="57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</row>
    <row r="45" spans="2:16" x14ac:dyDescent="0.25">
      <c r="B45" s="84"/>
      <c r="C45" s="71"/>
      <c r="D45" s="71"/>
      <c r="E45" s="57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2:16" x14ac:dyDescent="0.25">
      <c r="B46" s="71"/>
      <c r="C46" s="71"/>
      <c r="D46" s="57"/>
      <c r="E46" s="57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  <row r="47" spans="2:16" x14ac:dyDescent="0.25">
      <c r="B47" s="71"/>
      <c r="C47" s="71"/>
      <c r="D47" s="57"/>
      <c r="E47" s="57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</row>
    <row r="48" spans="2:16" x14ac:dyDescent="0.25">
      <c r="B48" s="71"/>
      <c r="C48" s="71"/>
      <c r="D48" s="57"/>
      <c r="E48" s="57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</row>
    <row r="49" spans="2:16" x14ac:dyDescent="0.25">
      <c r="B49" s="86"/>
      <c r="C49" s="86"/>
      <c r="D49" s="57"/>
      <c r="E49" s="57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</row>
    <row r="50" spans="2:16" x14ac:dyDescent="0.25">
      <c r="B50" s="71"/>
      <c r="C50" s="71"/>
      <c r="D50" s="57"/>
      <c r="E50" s="57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2:16" x14ac:dyDescent="0.25">
      <c r="B51" s="71"/>
      <c r="C51" s="71"/>
      <c r="D51" s="57"/>
      <c r="E51" s="57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2:16" x14ac:dyDescent="0.25">
      <c r="B52" s="84"/>
      <c r="C52" s="84"/>
      <c r="D52" s="57"/>
      <c r="E52" s="57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</row>
    <row r="53" spans="2:16" x14ac:dyDescent="0.25">
      <c r="B53" s="84"/>
      <c r="C53" s="84"/>
      <c r="D53" s="57"/>
      <c r="E53" s="57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</row>
    <row r="54" spans="2:16" x14ac:dyDescent="0.25">
      <c r="B54" s="57"/>
      <c r="C54" s="57"/>
      <c r="D54" s="57"/>
      <c r="E54" s="57"/>
      <c r="F54" s="71"/>
      <c r="G54" s="57"/>
      <c r="H54" s="57"/>
      <c r="I54" s="57"/>
      <c r="J54" s="57"/>
      <c r="K54" s="84"/>
      <c r="L54" s="57"/>
      <c r="M54" s="57"/>
      <c r="N54" s="57"/>
      <c r="O54" s="57"/>
      <c r="P54" s="57"/>
    </row>
  </sheetData>
  <hyperlinks>
    <hyperlink ref="G4" r:id="rId1" xr:uid="{0D33520C-9871-4F6C-9259-621F5B9C0B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85E3-79C8-4541-B062-B7C68DC03FE5}">
  <dimension ref="B1:S56"/>
  <sheetViews>
    <sheetView tabSelected="1" zoomScale="69" zoomScaleNormal="90" workbookViewId="0">
      <selection activeCell="H44" sqref="H44"/>
    </sheetView>
  </sheetViews>
  <sheetFormatPr defaultRowHeight="15" x14ac:dyDescent="0.25"/>
  <cols>
    <col min="2" max="2" width="38" customWidth="1"/>
    <col min="3" max="3" width="32" customWidth="1"/>
    <col min="4" max="4" width="22.42578125" customWidth="1"/>
    <col min="5" max="5" width="11.7109375" customWidth="1"/>
    <col min="6" max="8" width="13.7109375" customWidth="1"/>
    <col min="9" max="9" width="16.7109375" customWidth="1"/>
    <col min="11" max="11" width="22.42578125" customWidth="1"/>
    <col min="18" max="19" width="36" customWidth="1"/>
    <col min="20" max="20" width="32" customWidth="1"/>
  </cols>
  <sheetData>
    <row r="1" spans="2:19" ht="15.75" thickBot="1" x14ac:dyDescent="0.3"/>
    <row r="2" spans="2:19" x14ac:dyDescent="0.25">
      <c r="B2" s="94" t="s">
        <v>39</v>
      </c>
      <c r="C2" s="97">
        <v>3</v>
      </c>
      <c r="D2" s="2"/>
    </row>
    <row r="3" spans="2:19" ht="30" x14ac:dyDescent="0.25">
      <c r="B3" s="95" t="s">
        <v>98</v>
      </c>
      <c r="C3" s="98" t="s">
        <v>100</v>
      </c>
      <c r="D3" s="2"/>
    </row>
    <row r="4" spans="2:19" x14ac:dyDescent="0.25">
      <c r="B4" s="95" t="s">
        <v>99</v>
      </c>
      <c r="C4" s="99" t="s">
        <v>101</v>
      </c>
      <c r="D4" s="2"/>
    </row>
    <row r="5" spans="2:19" ht="15.75" thickBot="1" x14ac:dyDescent="0.3">
      <c r="B5" s="96" t="s">
        <v>114</v>
      </c>
      <c r="C5" s="100">
        <v>45358</v>
      </c>
    </row>
    <row r="6" spans="2:19" ht="15.75" thickBot="1" x14ac:dyDescent="0.3"/>
    <row r="7" spans="2:19" ht="15.75" thickBot="1" x14ac:dyDescent="0.3">
      <c r="B7" s="182" t="s">
        <v>0</v>
      </c>
      <c r="C7" s="183"/>
      <c r="D7" s="183"/>
      <c r="E7" s="183"/>
      <c r="F7" s="183"/>
      <c r="G7" s="183"/>
      <c r="H7" s="183"/>
      <c r="I7" s="184"/>
      <c r="K7" s="182" t="s">
        <v>0</v>
      </c>
      <c r="L7" s="183"/>
      <c r="M7" s="183"/>
      <c r="N7" s="183"/>
      <c r="O7" s="183"/>
      <c r="P7" s="183"/>
      <c r="Q7" s="183"/>
      <c r="R7" s="184"/>
      <c r="S7" s="91"/>
    </row>
    <row r="8" spans="2:19" x14ac:dyDescent="0.25">
      <c r="B8" s="3" t="s">
        <v>40</v>
      </c>
      <c r="C8" s="185">
        <v>19</v>
      </c>
      <c r="D8" s="186"/>
      <c r="E8" s="186"/>
      <c r="F8" s="186"/>
      <c r="G8" s="186"/>
      <c r="H8" s="186"/>
      <c r="I8" s="187"/>
      <c r="K8" s="3" t="s">
        <v>40</v>
      </c>
      <c r="L8" s="185">
        <v>11</v>
      </c>
      <c r="M8" s="186"/>
      <c r="N8" s="186"/>
      <c r="O8" s="186"/>
      <c r="P8" s="186"/>
      <c r="Q8" s="186"/>
      <c r="R8" s="187"/>
      <c r="S8" s="21"/>
    </row>
    <row r="9" spans="2:19" x14ac:dyDescent="0.25">
      <c r="B9" s="3" t="s">
        <v>2</v>
      </c>
      <c r="C9" s="188">
        <v>45231</v>
      </c>
      <c r="D9" s="189"/>
      <c r="E9" s="189"/>
      <c r="F9" s="189"/>
      <c r="G9" s="189"/>
      <c r="H9" s="189"/>
      <c r="I9" s="190"/>
      <c r="K9" s="3" t="s">
        <v>2</v>
      </c>
      <c r="L9" s="188">
        <v>42461</v>
      </c>
      <c r="M9" s="189"/>
      <c r="N9" s="189"/>
      <c r="O9" s="189"/>
      <c r="P9" s="189"/>
      <c r="Q9" s="189"/>
      <c r="R9" s="190"/>
      <c r="S9" s="21"/>
    </row>
    <row r="10" spans="2:19" ht="15.75" thickBot="1" x14ac:dyDescent="0.3">
      <c r="B10" s="4" t="s">
        <v>41</v>
      </c>
      <c r="C10" s="191" t="s">
        <v>4</v>
      </c>
      <c r="D10" s="192"/>
      <c r="E10" s="192"/>
      <c r="F10" s="192"/>
      <c r="G10" s="192"/>
      <c r="H10" s="192"/>
      <c r="I10" s="193"/>
      <c r="K10" s="4" t="s">
        <v>41</v>
      </c>
      <c r="L10" s="191" t="s">
        <v>71</v>
      </c>
      <c r="M10" s="192"/>
      <c r="N10" s="192"/>
      <c r="O10" s="192"/>
      <c r="P10" s="192"/>
      <c r="Q10" s="192"/>
      <c r="R10" s="193"/>
      <c r="S10" s="21"/>
    </row>
    <row r="12" spans="2:19" ht="15.75" thickBot="1" x14ac:dyDescent="0.3"/>
    <row r="13" spans="2:19" x14ac:dyDescent="0.25">
      <c r="B13" s="194" t="s">
        <v>42</v>
      </c>
      <c r="C13" s="195"/>
      <c r="D13" s="195"/>
      <c r="E13" s="195"/>
      <c r="F13" s="196"/>
      <c r="G13" s="5"/>
      <c r="H13" s="6"/>
      <c r="I13" s="7"/>
      <c r="K13" s="194" t="s">
        <v>42</v>
      </c>
      <c r="L13" s="195"/>
      <c r="M13" s="195"/>
      <c r="N13" s="195"/>
      <c r="O13" s="196"/>
    </row>
    <row r="14" spans="2:19" x14ac:dyDescent="0.25">
      <c r="B14" s="8"/>
      <c r="C14" s="9"/>
      <c r="D14" s="10" t="s">
        <v>9</v>
      </c>
      <c r="E14" s="11" t="s">
        <v>10</v>
      </c>
      <c r="F14" s="11" t="s">
        <v>115</v>
      </c>
      <c r="G14" s="12"/>
      <c r="H14" s="13"/>
      <c r="I14" s="14"/>
      <c r="K14" s="8"/>
      <c r="L14" s="9"/>
      <c r="M14" s="10" t="s">
        <v>74</v>
      </c>
      <c r="N14" s="11" t="s">
        <v>75</v>
      </c>
      <c r="O14" s="11" t="s">
        <v>76</v>
      </c>
    </row>
    <row r="15" spans="2:19" ht="15.75" thickBot="1" x14ac:dyDescent="0.3">
      <c r="B15" s="15" t="s">
        <v>43</v>
      </c>
      <c r="C15" s="16"/>
      <c r="D15" s="17">
        <f>'CEA Database version 19'!H11</f>
        <v>958218.26963667246</v>
      </c>
      <c r="E15" s="17">
        <f>'CEA Database version 19'!I11</f>
        <v>1035671.7914353008</v>
      </c>
      <c r="F15" s="18">
        <f>'CEA Database version 19'!J11</f>
        <v>1117845.6599999999</v>
      </c>
      <c r="G15" s="19"/>
      <c r="H15" s="20"/>
      <c r="K15" s="15" t="s">
        <v>43</v>
      </c>
      <c r="L15" s="16"/>
      <c r="M15" s="17">
        <v>697187</v>
      </c>
      <c r="N15" s="17">
        <v>721632</v>
      </c>
      <c r="O15" s="18">
        <v>808417</v>
      </c>
    </row>
    <row r="16" spans="2:19" ht="15.75" thickBot="1" x14ac:dyDescent="0.3">
      <c r="B16" s="21"/>
      <c r="C16" s="21"/>
      <c r="D16" s="21"/>
      <c r="E16" s="21"/>
      <c r="F16" s="21"/>
      <c r="G16" s="22"/>
      <c r="H16" s="23"/>
    </row>
    <row r="17" spans="2:15" x14ac:dyDescent="0.25">
      <c r="B17" s="194" t="s">
        <v>44</v>
      </c>
      <c r="C17" s="195"/>
      <c r="D17" s="195"/>
      <c r="E17" s="195"/>
      <c r="F17" s="196"/>
      <c r="G17" s="24"/>
      <c r="H17" s="25"/>
      <c r="K17" s="194" t="s">
        <v>44</v>
      </c>
      <c r="L17" s="195"/>
      <c r="M17" s="195"/>
      <c r="N17" s="195"/>
      <c r="O17" s="196"/>
    </row>
    <row r="18" spans="2:15" x14ac:dyDescent="0.25">
      <c r="B18" s="8"/>
      <c r="C18" s="9"/>
      <c r="D18" s="10" t="s">
        <v>9</v>
      </c>
      <c r="E18" s="11" t="s">
        <v>10</v>
      </c>
      <c r="F18" s="11" t="s">
        <v>115</v>
      </c>
      <c r="G18" s="26"/>
      <c r="H18" s="26"/>
      <c r="K18" s="8"/>
      <c r="L18" s="9"/>
      <c r="M18" s="10" t="s">
        <v>74</v>
      </c>
      <c r="N18" s="11" t="s">
        <v>75</v>
      </c>
      <c r="O18" s="11" t="s">
        <v>76</v>
      </c>
    </row>
    <row r="19" spans="2:15" ht="15.75" thickBot="1" x14ac:dyDescent="0.3">
      <c r="B19" s="15" t="s">
        <v>43</v>
      </c>
      <c r="C19" s="16"/>
      <c r="D19" s="27">
        <f>'CEA Database version 19'!H37</f>
        <v>0.9401732664372231</v>
      </c>
      <c r="E19" s="28">
        <f>'CEA Database version 19'!I37</f>
        <v>0.96045934642191733</v>
      </c>
      <c r="F19" s="29">
        <f>'CEA Database version 19'!J37</f>
        <v>0.97099999999999997</v>
      </c>
      <c r="G19" s="30"/>
      <c r="H19" s="30"/>
      <c r="K19" s="15" t="s">
        <v>43</v>
      </c>
      <c r="L19" s="16"/>
      <c r="M19" s="27">
        <v>0.99219999999999997</v>
      </c>
      <c r="N19" s="28">
        <v>1.0002</v>
      </c>
      <c r="O19" s="29">
        <v>0.99029999999999996</v>
      </c>
    </row>
    <row r="20" spans="2:15" ht="15.75" thickBot="1" x14ac:dyDescent="0.3">
      <c r="B20" s="21"/>
      <c r="C20" s="21"/>
      <c r="D20" s="21"/>
      <c r="E20" s="21"/>
      <c r="F20" s="21"/>
      <c r="G20" s="23"/>
      <c r="H20" s="31"/>
    </row>
    <row r="21" spans="2:15" x14ac:dyDescent="0.25">
      <c r="B21" s="194" t="s">
        <v>45</v>
      </c>
      <c r="C21" s="195"/>
      <c r="D21" s="195"/>
      <c r="E21" s="195"/>
      <c r="F21" s="196"/>
      <c r="G21" s="32"/>
      <c r="H21" s="32"/>
      <c r="K21" s="194" t="s">
        <v>45</v>
      </c>
      <c r="L21" s="195"/>
      <c r="M21" s="195"/>
      <c r="N21" s="195"/>
      <c r="O21" s="196"/>
    </row>
    <row r="22" spans="2:15" x14ac:dyDescent="0.25">
      <c r="B22" s="8"/>
      <c r="C22" s="9"/>
      <c r="D22" s="10"/>
      <c r="E22" s="10"/>
      <c r="F22" s="11" t="s">
        <v>115</v>
      </c>
      <c r="G22" s="26"/>
      <c r="H22" s="26"/>
      <c r="K22" s="8"/>
      <c r="L22" s="9"/>
      <c r="M22" s="10"/>
      <c r="N22" s="10"/>
      <c r="O22" s="11" t="s">
        <v>76</v>
      </c>
    </row>
    <row r="23" spans="2:15" ht="15.75" thickBot="1" x14ac:dyDescent="0.3">
      <c r="B23" s="15" t="s">
        <v>43</v>
      </c>
      <c r="C23" s="16"/>
      <c r="D23" s="27"/>
      <c r="E23" s="27"/>
      <c r="F23" s="29">
        <f>'CEA Database version 19'!J38</f>
        <v>0.86699999999999999</v>
      </c>
      <c r="G23" s="33"/>
      <c r="H23" s="33"/>
      <c r="K23" s="15" t="s">
        <v>43</v>
      </c>
      <c r="L23" s="16"/>
      <c r="M23" s="27"/>
      <c r="N23" s="27"/>
      <c r="O23" s="29">
        <v>0.92849999999999999</v>
      </c>
    </row>
    <row r="24" spans="2:15" ht="15.75" thickBot="1" x14ac:dyDescent="0.3">
      <c r="G24" s="34"/>
      <c r="H24" s="35"/>
    </row>
    <row r="25" spans="2:15" x14ac:dyDescent="0.25">
      <c r="B25" s="194" t="s">
        <v>46</v>
      </c>
      <c r="C25" s="195"/>
      <c r="D25" s="195"/>
      <c r="E25" s="195"/>
      <c r="F25" s="196"/>
      <c r="G25" s="25"/>
      <c r="H25" s="25"/>
      <c r="K25" s="194" t="s">
        <v>46</v>
      </c>
      <c r="L25" s="195"/>
      <c r="M25" s="195"/>
      <c r="N25" s="195"/>
      <c r="O25" s="196"/>
    </row>
    <row r="26" spans="2:15" ht="15.75" thickBot="1" x14ac:dyDescent="0.3">
      <c r="B26" s="15" t="s">
        <v>43</v>
      </c>
      <c r="C26" s="36"/>
      <c r="D26" s="200">
        <f>(D15*D19+E15*E19+F15*F19)/(D15+E15+F15)</f>
        <v>0.95799908973849146</v>
      </c>
      <c r="E26" s="201"/>
      <c r="F26" s="202"/>
      <c r="G26" s="37"/>
      <c r="H26" s="37"/>
      <c r="K26" s="15" t="s">
        <v>43</v>
      </c>
      <c r="L26" s="36"/>
      <c r="M26" s="200">
        <f>(M15*M19+N15*N19+O15*O19)/(M15+N15+O15)</f>
        <v>0.99410238650057736</v>
      </c>
      <c r="N26" s="201"/>
      <c r="O26" s="202"/>
    </row>
    <row r="27" spans="2:15" ht="15.75" thickBot="1" x14ac:dyDescent="0.3">
      <c r="G27" s="34"/>
      <c r="H27" s="35"/>
    </row>
    <row r="28" spans="2:15" x14ac:dyDescent="0.25">
      <c r="B28" s="194" t="s">
        <v>47</v>
      </c>
      <c r="C28" s="195"/>
      <c r="D28" s="195"/>
      <c r="E28" s="195"/>
      <c r="F28" s="196"/>
      <c r="G28" s="38"/>
      <c r="H28" s="39"/>
      <c r="K28" s="194" t="s">
        <v>47</v>
      </c>
      <c r="L28" s="195"/>
      <c r="M28" s="195"/>
      <c r="N28" s="195"/>
      <c r="O28" s="196"/>
    </row>
    <row r="29" spans="2:15" ht="15.75" thickBot="1" x14ac:dyDescent="0.3">
      <c r="B29" s="15" t="s">
        <v>43</v>
      </c>
      <c r="C29" s="16"/>
      <c r="D29" s="203">
        <f>ROUNDDOWN((D26*0.75+F23*0.25),4)</f>
        <v>0.93520000000000003</v>
      </c>
      <c r="E29" s="203"/>
      <c r="F29" s="204"/>
      <c r="H29" s="40"/>
      <c r="K29" s="15" t="s">
        <v>43</v>
      </c>
      <c r="L29" s="16"/>
      <c r="M29" s="203">
        <f>ROUNDDOWN((M26*0.75+O23*0.25),4)</f>
        <v>0.97770000000000001</v>
      </c>
      <c r="N29" s="203"/>
      <c r="O29" s="204"/>
    </row>
    <row r="30" spans="2:15" x14ac:dyDescent="0.25">
      <c r="B30" s="87"/>
      <c r="C30" s="87"/>
      <c r="D30" s="40"/>
      <c r="E30" s="40"/>
      <c r="F30" s="40"/>
      <c r="H30" s="40"/>
      <c r="K30" s="87"/>
      <c r="L30" s="87"/>
      <c r="M30" s="40"/>
      <c r="N30" s="40"/>
      <c r="O30" s="40"/>
    </row>
    <row r="31" spans="2:15" x14ac:dyDescent="0.25">
      <c r="B31" s="87"/>
      <c r="C31" s="87"/>
      <c r="D31" s="40"/>
      <c r="E31" s="40"/>
      <c r="F31" s="40"/>
      <c r="H31" s="205" t="s">
        <v>80</v>
      </c>
      <c r="I31" s="205"/>
      <c r="K31" s="87"/>
      <c r="L31" s="87"/>
      <c r="M31" s="40"/>
      <c r="N31" s="40"/>
      <c r="O31" s="40"/>
    </row>
    <row r="32" spans="2:15" ht="18" x14ac:dyDescent="0.25">
      <c r="B32" s="87"/>
      <c r="C32" s="87"/>
      <c r="D32" s="40"/>
      <c r="E32" s="40"/>
      <c r="F32" s="40"/>
      <c r="H32" s="88" t="s">
        <v>81</v>
      </c>
      <c r="I32" s="89">
        <f>MIN(D29,M29)</f>
        <v>0.93520000000000003</v>
      </c>
      <c r="J32" t="s">
        <v>82</v>
      </c>
      <c r="K32" s="87"/>
      <c r="L32" s="87"/>
      <c r="M32" s="40"/>
      <c r="N32" s="40"/>
      <c r="O32" s="40"/>
    </row>
    <row r="33" spans="2:5" ht="15.75" thickBot="1" x14ac:dyDescent="0.3"/>
    <row r="34" spans="2:5" x14ac:dyDescent="0.25">
      <c r="B34" s="197" t="s">
        <v>48</v>
      </c>
      <c r="C34" s="198"/>
      <c r="D34" s="199"/>
      <c r="E34" s="41"/>
    </row>
    <row r="35" spans="2:5" x14ac:dyDescent="0.25">
      <c r="B35" s="206" t="s">
        <v>49</v>
      </c>
      <c r="C35" s="207"/>
      <c r="D35" s="208"/>
      <c r="E35" s="42">
        <v>20</v>
      </c>
    </row>
    <row r="36" spans="2:5" x14ac:dyDescent="0.25">
      <c r="B36" s="206" t="s">
        <v>50</v>
      </c>
      <c r="C36" s="207"/>
      <c r="D36" s="208"/>
      <c r="E36" s="43">
        <v>0.20532</v>
      </c>
    </row>
    <row r="37" spans="2:5" x14ac:dyDescent="0.25">
      <c r="B37" s="206" t="s">
        <v>51</v>
      </c>
      <c r="C37" s="207"/>
      <c r="D37" s="208"/>
      <c r="E37" s="52">
        <f>E35*365*24*E36</f>
        <v>35972.063999999998</v>
      </c>
    </row>
    <row r="38" spans="2:5" x14ac:dyDescent="0.25">
      <c r="B38" s="206" t="s">
        <v>52</v>
      </c>
      <c r="C38" s="207"/>
      <c r="D38" s="208"/>
      <c r="E38" s="45">
        <f>D29</f>
        <v>0.93520000000000003</v>
      </c>
    </row>
    <row r="39" spans="2:5" x14ac:dyDescent="0.25">
      <c r="B39" s="206" t="s">
        <v>53</v>
      </c>
      <c r="C39" s="207"/>
      <c r="D39" s="208"/>
      <c r="E39" s="44">
        <f>ROUNDDOWN(E37*E38,0)</f>
        <v>33641</v>
      </c>
    </row>
    <row r="40" spans="2:5" x14ac:dyDescent="0.25">
      <c r="E40" s="90"/>
    </row>
    <row r="42" spans="2:5" ht="15.75" thickBot="1" x14ac:dyDescent="0.3"/>
    <row r="43" spans="2:5" ht="30" x14ac:dyDescent="0.25">
      <c r="B43" s="178" t="s">
        <v>54</v>
      </c>
      <c r="C43" s="180" t="s">
        <v>96</v>
      </c>
      <c r="D43" s="108" t="s">
        <v>97</v>
      </c>
    </row>
    <row r="44" spans="2:5" ht="15.75" thickBot="1" x14ac:dyDescent="0.3">
      <c r="B44" s="179"/>
      <c r="C44" s="181"/>
      <c r="D44" s="109" t="s">
        <v>95</v>
      </c>
    </row>
    <row r="45" spans="2:5" x14ac:dyDescent="0.25">
      <c r="B45" s="105" t="s">
        <v>84</v>
      </c>
      <c r="C45" s="106">
        <v>0</v>
      </c>
      <c r="D45" s="107">
        <f>E35*E36*24*365</f>
        <v>35972.063999999998</v>
      </c>
    </row>
    <row r="46" spans="2:5" x14ac:dyDescent="0.25">
      <c r="B46" s="101" t="s">
        <v>83</v>
      </c>
      <c r="C46" s="92">
        <v>3.0000000000000001E-3</v>
      </c>
      <c r="D46" s="42">
        <f t="shared" ref="D46:D56" si="0">D45-(C46*D45)</f>
        <v>35864.147808000002</v>
      </c>
    </row>
    <row r="47" spans="2:5" x14ac:dyDescent="0.25">
      <c r="B47" s="101" t="s">
        <v>85</v>
      </c>
      <c r="C47" s="92">
        <v>3.0000000000000001E-3</v>
      </c>
      <c r="D47" s="42">
        <f t="shared" si="0"/>
        <v>35756.555364576001</v>
      </c>
    </row>
    <row r="48" spans="2:5" x14ac:dyDescent="0.25">
      <c r="B48" s="101" t="s">
        <v>86</v>
      </c>
      <c r="C48" s="92">
        <v>3.0000000000000001E-3</v>
      </c>
      <c r="D48" s="42">
        <f t="shared" si="0"/>
        <v>35649.285698482272</v>
      </c>
    </row>
    <row r="49" spans="2:4" x14ac:dyDescent="0.25">
      <c r="B49" s="101" t="s">
        <v>87</v>
      </c>
      <c r="C49" s="92">
        <v>3.0000000000000001E-3</v>
      </c>
      <c r="D49" s="42">
        <f t="shared" si="0"/>
        <v>35542.337841386827</v>
      </c>
    </row>
    <row r="50" spans="2:4" x14ac:dyDescent="0.25">
      <c r="B50" s="101" t="s">
        <v>88</v>
      </c>
      <c r="C50" s="92">
        <v>3.0000000000000001E-3</v>
      </c>
      <c r="D50" s="42">
        <f t="shared" si="0"/>
        <v>35435.710827862669</v>
      </c>
    </row>
    <row r="51" spans="2:4" x14ac:dyDescent="0.25">
      <c r="B51" s="101" t="s">
        <v>89</v>
      </c>
      <c r="C51" s="92">
        <v>3.0000000000000001E-3</v>
      </c>
      <c r="D51" s="42">
        <f t="shared" si="0"/>
        <v>35329.403695379078</v>
      </c>
    </row>
    <row r="52" spans="2:4" x14ac:dyDescent="0.25">
      <c r="B52" s="101" t="s">
        <v>90</v>
      </c>
      <c r="C52" s="92">
        <v>3.0000000000000001E-3</v>
      </c>
      <c r="D52" s="42">
        <f t="shared" si="0"/>
        <v>35223.415484292942</v>
      </c>
    </row>
    <row r="53" spans="2:4" x14ac:dyDescent="0.25">
      <c r="B53" s="101" t="s">
        <v>91</v>
      </c>
      <c r="C53" s="92">
        <v>3.0000000000000001E-3</v>
      </c>
      <c r="D53" s="42">
        <f t="shared" si="0"/>
        <v>35117.745237840063</v>
      </c>
    </row>
    <row r="54" spans="2:4" x14ac:dyDescent="0.25">
      <c r="B54" s="101" t="s">
        <v>92</v>
      </c>
      <c r="C54" s="92">
        <v>3.0000000000000001E-3</v>
      </c>
      <c r="D54" s="42">
        <f t="shared" si="0"/>
        <v>35012.392002126544</v>
      </c>
    </row>
    <row r="55" spans="2:4" x14ac:dyDescent="0.25">
      <c r="B55" s="101" t="s">
        <v>93</v>
      </c>
      <c r="C55" s="92">
        <v>3.0000000000000001E-3</v>
      </c>
      <c r="D55" s="42">
        <f t="shared" si="0"/>
        <v>34907.354826120165</v>
      </c>
    </row>
    <row r="56" spans="2:4" ht="15.75" thickBot="1" x14ac:dyDescent="0.3">
      <c r="B56" s="102" t="s">
        <v>94</v>
      </c>
      <c r="C56" s="103">
        <v>3.0000000000000001E-3</v>
      </c>
      <c r="D56" s="104">
        <f t="shared" si="0"/>
        <v>34802.632761641806</v>
      </c>
    </row>
  </sheetData>
  <mergeCells count="31">
    <mergeCell ref="B35:D35"/>
    <mergeCell ref="B36:D36"/>
    <mergeCell ref="B37:D37"/>
    <mergeCell ref="B38:D38"/>
    <mergeCell ref="B39:D39"/>
    <mergeCell ref="B28:F28"/>
    <mergeCell ref="K28:O28"/>
    <mergeCell ref="D29:F29"/>
    <mergeCell ref="M29:O29"/>
    <mergeCell ref="H31:I31"/>
    <mergeCell ref="K21:O21"/>
    <mergeCell ref="B25:F25"/>
    <mergeCell ref="K25:O25"/>
    <mergeCell ref="D26:F26"/>
    <mergeCell ref="M26:O26"/>
    <mergeCell ref="B43:B44"/>
    <mergeCell ref="C43:C44"/>
    <mergeCell ref="B7:I7"/>
    <mergeCell ref="K7:R7"/>
    <mergeCell ref="C8:I8"/>
    <mergeCell ref="L8:R8"/>
    <mergeCell ref="C9:I9"/>
    <mergeCell ref="L9:R9"/>
    <mergeCell ref="C10:I10"/>
    <mergeCell ref="L10:R10"/>
    <mergeCell ref="B13:F13"/>
    <mergeCell ref="K13:O13"/>
    <mergeCell ref="B17:F17"/>
    <mergeCell ref="K17:O17"/>
    <mergeCell ref="B34:D34"/>
    <mergeCell ref="B21:F2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BDBD-1411-4407-B8E5-B374C43B2E76}">
  <dimension ref="B3:H15"/>
  <sheetViews>
    <sheetView workbookViewId="0">
      <selection activeCell="M11" sqref="M11"/>
    </sheetView>
  </sheetViews>
  <sheetFormatPr defaultRowHeight="15" x14ac:dyDescent="0.25"/>
  <cols>
    <col min="2" max="2" width="11" customWidth="1"/>
    <col min="3" max="3" width="27.42578125" customWidth="1"/>
    <col min="4" max="4" width="21.5703125" customWidth="1"/>
    <col min="5" max="5" width="20.28515625" customWidth="1"/>
    <col min="6" max="6" width="17.28515625" customWidth="1"/>
    <col min="7" max="7" width="15" customWidth="1"/>
    <col min="8" max="8" width="17.7109375" customWidth="1"/>
  </cols>
  <sheetData>
    <row r="3" spans="2:8" ht="15.75" thickBot="1" x14ac:dyDescent="0.3"/>
    <row r="4" spans="2:8" ht="75" x14ac:dyDescent="0.25">
      <c r="B4" s="46" t="s">
        <v>54</v>
      </c>
      <c r="C4" s="47" t="s">
        <v>55</v>
      </c>
      <c r="D4" s="47" t="s">
        <v>52</v>
      </c>
      <c r="E4" s="47" t="s">
        <v>56</v>
      </c>
      <c r="F4" s="47" t="s">
        <v>57</v>
      </c>
      <c r="G4" s="47" t="s">
        <v>58</v>
      </c>
      <c r="H4" s="48" t="s">
        <v>129</v>
      </c>
    </row>
    <row r="5" spans="2:8" x14ac:dyDescent="0.25">
      <c r="B5" s="49" t="s">
        <v>59</v>
      </c>
      <c r="C5" s="141">
        <f>'Emission Factor'!D52</f>
        <v>35223.415484292942</v>
      </c>
      <c r="D5" s="50">
        <f>'Emission Factor'!I$32</f>
        <v>0.93520000000000003</v>
      </c>
      <c r="E5" s="144">
        <f>ROUNDDOWN(D5*C5,0)</f>
        <v>32940</v>
      </c>
      <c r="F5" s="51">
        <v>0</v>
      </c>
      <c r="G5" s="51">
        <v>0</v>
      </c>
      <c r="H5" s="138">
        <f>ROUNDDOWN(E5-F5-G5,0)</f>
        <v>32940</v>
      </c>
    </row>
    <row r="6" spans="2:8" x14ac:dyDescent="0.25">
      <c r="B6" s="49" t="s">
        <v>60</v>
      </c>
      <c r="C6" s="141">
        <f>'Emission Factor'!D53</f>
        <v>35117.745237840063</v>
      </c>
      <c r="D6" s="50">
        <f>'Emission Factor'!I$32</f>
        <v>0.93520000000000003</v>
      </c>
      <c r="E6" s="144">
        <f>ROUNDDOWN(D6*C6,0)</f>
        <v>32842</v>
      </c>
      <c r="F6" s="51">
        <v>0</v>
      </c>
      <c r="G6" s="51">
        <v>0</v>
      </c>
      <c r="H6" s="138">
        <f t="shared" ref="H6:H9" si="0">ROUNDDOWN(E6-F6-G6,0)</f>
        <v>32842</v>
      </c>
    </row>
    <row r="7" spans="2:8" x14ac:dyDescent="0.25">
      <c r="B7" s="49" t="s">
        <v>61</v>
      </c>
      <c r="C7" s="141">
        <f>'Emission Factor'!D54</f>
        <v>35012.392002126544</v>
      </c>
      <c r="D7" s="50">
        <f>'Emission Factor'!I$32</f>
        <v>0.93520000000000003</v>
      </c>
      <c r="E7" s="144">
        <f>ROUNDDOWN(D7*C7,0)</f>
        <v>32743</v>
      </c>
      <c r="F7" s="51">
        <v>0</v>
      </c>
      <c r="G7" s="51">
        <v>0</v>
      </c>
      <c r="H7" s="138">
        <f t="shared" si="0"/>
        <v>32743</v>
      </c>
    </row>
    <row r="8" spans="2:8" x14ac:dyDescent="0.25">
      <c r="B8" s="49" t="s">
        <v>62</v>
      </c>
      <c r="C8" s="141">
        <f>'Emission Factor'!D55</f>
        <v>34907.354826120165</v>
      </c>
      <c r="D8" s="50">
        <f>'Emission Factor'!I$32</f>
        <v>0.93520000000000003</v>
      </c>
      <c r="E8" s="144">
        <f>ROUNDDOWN(D8*C8,0)</f>
        <v>32645</v>
      </c>
      <c r="F8" s="51">
        <v>0</v>
      </c>
      <c r="G8" s="51">
        <v>0</v>
      </c>
      <c r="H8" s="138">
        <f t="shared" si="0"/>
        <v>32645</v>
      </c>
    </row>
    <row r="9" spans="2:8" x14ac:dyDescent="0.25">
      <c r="B9" s="49" t="s">
        <v>63</v>
      </c>
      <c r="C9" s="141">
        <f>'Emission Factor'!D56</f>
        <v>34802.632761641806</v>
      </c>
      <c r="D9" s="50">
        <f>'Emission Factor'!I$32</f>
        <v>0.93520000000000003</v>
      </c>
      <c r="E9" s="144">
        <f>ROUNDDOWN(D9*C9,0)</f>
        <v>32547</v>
      </c>
      <c r="F9" s="51">
        <v>0</v>
      </c>
      <c r="G9" s="51">
        <v>0</v>
      </c>
      <c r="H9" s="138">
        <f t="shared" si="0"/>
        <v>32547</v>
      </c>
    </row>
    <row r="10" spans="2:8" ht="15.75" thickBot="1" x14ac:dyDescent="0.3">
      <c r="B10" s="53" t="s">
        <v>64</v>
      </c>
      <c r="C10" s="142">
        <f>SUM(C5:C9)</f>
        <v>175063.54031202153</v>
      </c>
      <c r="D10" s="54"/>
      <c r="E10" s="145">
        <f>ROUNDDOWN(SUM(E5:E9),0)</f>
        <v>163717</v>
      </c>
      <c r="F10" s="54"/>
      <c r="G10" s="54"/>
      <c r="H10" s="139">
        <f>ROUNDDOWN(SUM(H5:H9),0)</f>
        <v>163717</v>
      </c>
    </row>
    <row r="11" spans="2:8" ht="15.75" thickBot="1" x14ac:dyDescent="0.3">
      <c r="B11" s="55" t="s">
        <v>65</v>
      </c>
      <c r="C11" s="143">
        <f>AVERAGE(C5:C9)</f>
        <v>35012.708062404308</v>
      </c>
      <c r="D11" s="56"/>
      <c r="E11" s="146">
        <f>ROUNDDOWN(AVERAGE(E5:E9),0)</f>
        <v>32743</v>
      </c>
      <c r="F11" s="56"/>
      <c r="G11" s="56"/>
      <c r="H11" s="140">
        <f>ROUNDDOWN(AVERAGE(H5:H9),0)</f>
        <v>32743</v>
      </c>
    </row>
    <row r="13" spans="2:8" ht="15.75" thickBot="1" x14ac:dyDescent="0.3"/>
    <row r="14" spans="2:8" ht="15" customHeight="1" x14ac:dyDescent="0.25">
      <c r="B14" s="194" t="s">
        <v>66</v>
      </c>
      <c r="C14" s="195"/>
      <c r="D14" s="209"/>
      <c r="E14" s="93">
        <f>C11</f>
        <v>35012.708062404308</v>
      </c>
    </row>
    <row r="15" spans="2:8" ht="17.25" thickBot="1" x14ac:dyDescent="0.4">
      <c r="B15" s="210" t="s">
        <v>67</v>
      </c>
      <c r="C15" s="211"/>
      <c r="D15" s="212"/>
      <c r="E15" s="147">
        <f>H11</f>
        <v>32743</v>
      </c>
    </row>
  </sheetData>
  <mergeCells count="2">
    <mergeCell ref="B14:D14"/>
    <mergeCell ref="B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F833-9A74-40EA-BFE4-49B54AD1F770}">
  <dimension ref="E2:J16"/>
  <sheetViews>
    <sheetView workbookViewId="0">
      <selection activeCell="K10" sqref="K10"/>
    </sheetView>
  </sheetViews>
  <sheetFormatPr defaultRowHeight="15" x14ac:dyDescent="0.25"/>
  <cols>
    <col min="5" max="5" width="13" customWidth="1"/>
    <col min="6" max="6" width="32.5703125" customWidth="1"/>
    <col min="7" max="7" width="23.7109375" customWidth="1"/>
    <col min="10" max="10" width="10.7109375" bestFit="1" customWidth="1"/>
  </cols>
  <sheetData>
    <row r="2" spans="5:10" x14ac:dyDescent="0.25">
      <c r="E2" s="213" t="s">
        <v>102</v>
      </c>
      <c r="F2" s="213"/>
      <c r="G2" s="92">
        <v>0.20532</v>
      </c>
    </row>
    <row r="3" spans="5:10" x14ac:dyDescent="0.25">
      <c r="E3" s="213" t="s">
        <v>103</v>
      </c>
      <c r="F3" s="213"/>
      <c r="G3" s="110" t="s">
        <v>104</v>
      </c>
    </row>
    <row r="4" spans="5:10" x14ac:dyDescent="0.25">
      <c r="E4" s="111">
        <v>42824</v>
      </c>
      <c r="F4" s="111">
        <v>43312</v>
      </c>
      <c r="G4" s="115">
        <v>51961</v>
      </c>
      <c r="J4" s="113"/>
    </row>
    <row r="5" spans="5:10" x14ac:dyDescent="0.25">
      <c r="E5" s="111">
        <v>43313</v>
      </c>
      <c r="F5" s="111">
        <v>43890</v>
      </c>
      <c r="G5" s="115">
        <v>62670.75</v>
      </c>
      <c r="J5" s="113"/>
    </row>
    <row r="6" spans="5:10" x14ac:dyDescent="0.25">
      <c r="E6" s="111">
        <v>43891</v>
      </c>
      <c r="F6" s="111">
        <v>44926</v>
      </c>
      <c r="G6" s="115">
        <v>113095.95</v>
      </c>
      <c r="J6" s="113"/>
    </row>
    <row r="7" spans="5:10" x14ac:dyDescent="0.25">
      <c r="E7" s="213" t="s">
        <v>105</v>
      </c>
      <c r="F7" s="213"/>
      <c r="G7" s="112">
        <f>SUM(G4:G6)</f>
        <v>227727.7</v>
      </c>
      <c r="J7" s="113"/>
    </row>
    <row r="8" spans="5:10" x14ac:dyDescent="0.25">
      <c r="E8" s="213" t="s">
        <v>106</v>
      </c>
      <c r="F8" s="213"/>
      <c r="G8" s="112">
        <f>(F6-E4)+1</f>
        <v>2103</v>
      </c>
    </row>
    <row r="9" spans="5:10" x14ac:dyDescent="0.25">
      <c r="E9" s="213" t="s">
        <v>107</v>
      </c>
      <c r="F9" s="213"/>
      <c r="G9" s="51">
        <v>20</v>
      </c>
    </row>
    <row r="10" spans="5:10" x14ac:dyDescent="0.25">
      <c r="E10" s="213" t="s">
        <v>108</v>
      </c>
      <c r="F10" s="213"/>
      <c r="G10" s="114">
        <f>G7/(G8*G9*24)</f>
        <v>0.22559805436677763</v>
      </c>
    </row>
    <row r="11" spans="5:10" x14ac:dyDescent="0.25">
      <c r="E11" s="213" t="s">
        <v>109</v>
      </c>
      <c r="F11" s="213"/>
      <c r="G11" s="114">
        <f>(G10-G2)/G10</f>
        <v>8.9885767958838583E-2</v>
      </c>
    </row>
    <row r="12" spans="5:10" x14ac:dyDescent="0.25">
      <c r="E12" s="213" t="s">
        <v>110</v>
      </c>
      <c r="F12" s="213"/>
      <c r="G12" s="213"/>
    </row>
    <row r="13" spans="5:10" x14ac:dyDescent="0.25">
      <c r="E13" s="214" t="s">
        <v>111</v>
      </c>
      <c r="F13" s="215"/>
      <c r="G13" s="92">
        <v>0.11210000000000001</v>
      </c>
    </row>
    <row r="14" spans="5:10" x14ac:dyDescent="0.25">
      <c r="E14" s="213" t="s">
        <v>112</v>
      </c>
      <c r="F14" s="213"/>
      <c r="G14" s="92">
        <v>0.16059999999999999</v>
      </c>
    </row>
    <row r="16" spans="5:10" x14ac:dyDescent="0.25">
      <c r="E16" t="s">
        <v>113</v>
      </c>
    </row>
  </sheetData>
  <mergeCells count="10">
    <mergeCell ref="E2:F2"/>
    <mergeCell ref="E3:F3"/>
    <mergeCell ref="E7:F7"/>
    <mergeCell ref="E8:F8"/>
    <mergeCell ref="E9:F9"/>
    <mergeCell ref="E11:F11"/>
    <mergeCell ref="E12:G12"/>
    <mergeCell ref="E13:F13"/>
    <mergeCell ref="E14:F14"/>
    <mergeCell ref="E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CEA Database version 19</vt:lpstr>
      <vt:lpstr>CEA Database version 11</vt:lpstr>
      <vt:lpstr>Emission Factor</vt:lpstr>
      <vt:lpstr>Emission Reduction</vt:lpstr>
      <vt:lpstr>PLF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m</dc:creator>
  <cp:lastModifiedBy>Abhishek Mondal</cp:lastModifiedBy>
  <dcterms:created xsi:type="dcterms:W3CDTF">2015-06-05T18:17:20Z</dcterms:created>
  <dcterms:modified xsi:type="dcterms:W3CDTF">2024-08-22T05:57:54Z</dcterms:modified>
</cp:coreProperties>
</file>