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0460" windowHeight="7080" firstSheet="1" activeTab="2"/>
  </bookViews>
  <sheets>
    <sheet name="SECI" sheetId="3" state="hidden" r:id="rId1"/>
    <sheet name="GS VER calculations" sheetId="5" r:id="rId2"/>
    <sheet name="SDG Summary" sheetId="13" r:id="rId3"/>
    <sheet name="June Month Billing" sheetId="10" state="hidden" r:id="rId4"/>
    <sheet name="Bihar" sheetId="12" state="hidden" r:id="rId5"/>
  </sheets>
  <calcPr calcId="15251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1" i="5" l="1"/>
  <c r="I31" i="5"/>
  <c r="K31" i="5"/>
  <c r="G30" i="5"/>
  <c r="I30" i="5"/>
  <c r="K30" i="5"/>
  <c r="G29" i="5"/>
  <c r="I29" i="5"/>
  <c r="K29" i="5"/>
  <c r="E32" i="5"/>
  <c r="F32" i="5"/>
  <c r="G6" i="5"/>
  <c r="I6" i="5"/>
  <c r="K6" i="5"/>
  <c r="G7" i="5"/>
  <c r="I7" i="5"/>
  <c r="K7" i="5"/>
  <c r="G8" i="5"/>
  <c r="I8" i="5"/>
  <c r="K8" i="5"/>
  <c r="G9" i="5"/>
  <c r="I9" i="5"/>
  <c r="K9" i="5"/>
  <c r="G10" i="5"/>
  <c r="I10" i="5"/>
  <c r="K10" i="5"/>
  <c r="G11" i="5"/>
  <c r="I11" i="5"/>
  <c r="K11" i="5"/>
  <c r="G12" i="5"/>
  <c r="I12" i="5"/>
  <c r="K12" i="5"/>
  <c r="G13" i="5"/>
  <c r="I13" i="5"/>
  <c r="K13" i="5"/>
  <c r="G14" i="5"/>
  <c r="I14" i="5"/>
  <c r="K14" i="5"/>
  <c r="G15" i="5"/>
  <c r="I15" i="5"/>
  <c r="K15" i="5"/>
  <c r="G16" i="5"/>
  <c r="I16" i="5"/>
  <c r="K16" i="5"/>
  <c r="G17" i="5"/>
  <c r="I17" i="5"/>
  <c r="K17" i="5"/>
  <c r="G18" i="5"/>
  <c r="I18" i="5"/>
  <c r="K18" i="5"/>
  <c r="G19" i="5"/>
  <c r="I19" i="5"/>
  <c r="K19" i="5"/>
  <c r="G20" i="5"/>
  <c r="I20" i="5"/>
  <c r="K20" i="5"/>
  <c r="G21" i="5"/>
  <c r="I21" i="5"/>
  <c r="K21" i="5"/>
  <c r="G22" i="5"/>
  <c r="I22" i="5"/>
  <c r="K22" i="5"/>
  <c r="G23" i="5"/>
  <c r="I23" i="5"/>
  <c r="K23" i="5"/>
  <c r="G24" i="5"/>
  <c r="I24" i="5"/>
  <c r="K24" i="5"/>
  <c r="G25" i="5"/>
  <c r="I25" i="5"/>
  <c r="K25" i="5"/>
  <c r="G26" i="5"/>
  <c r="I26" i="5"/>
  <c r="K26" i="5"/>
  <c r="G27" i="5"/>
  <c r="I27" i="5"/>
  <c r="K27" i="5"/>
  <c r="G28" i="5"/>
  <c r="I28" i="5"/>
  <c r="K28" i="5"/>
  <c r="G5" i="5"/>
  <c r="O17" i="5"/>
  <c r="O19" i="5"/>
  <c r="D3" i="12"/>
  <c r="C3" i="12"/>
  <c r="E34" i="12"/>
  <c r="F34" i="12"/>
  <c r="E11" i="12"/>
  <c r="F11" i="12"/>
  <c r="E27" i="12"/>
  <c r="F27" i="12"/>
  <c r="E5" i="12"/>
  <c r="F5" i="12"/>
  <c r="E36" i="12"/>
  <c r="E13" i="12"/>
  <c r="E8" i="12"/>
  <c r="F8" i="12"/>
  <c r="E14" i="12"/>
  <c r="F14" i="12"/>
  <c r="E37" i="12"/>
  <c r="F37" i="12"/>
  <c r="E30" i="12"/>
  <c r="F30" i="12"/>
  <c r="J40" i="12"/>
  <c r="D40" i="12"/>
  <c r="C40" i="12"/>
  <c r="J16" i="12"/>
  <c r="D16" i="12"/>
  <c r="C16" i="12"/>
  <c r="I5" i="12"/>
  <c r="I27" i="12"/>
  <c r="I34" i="12"/>
  <c r="I11" i="12"/>
  <c r="E35" i="12"/>
  <c r="F35" i="12"/>
  <c r="E12" i="12"/>
  <c r="F12" i="12"/>
  <c r="E7" i="12"/>
  <c r="F7" i="12"/>
  <c r="E29" i="12"/>
  <c r="F29" i="12"/>
  <c r="M100" i="3"/>
  <c r="M101" i="3"/>
  <c r="M102" i="3"/>
  <c r="M103" i="3"/>
  <c r="M105" i="3"/>
  <c r="M107" i="3"/>
  <c r="M108" i="3"/>
  <c r="M109" i="3"/>
  <c r="M110" i="3"/>
  <c r="M111" i="3"/>
  <c r="M112" i="3"/>
  <c r="M113" i="3"/>
  <c r="L114" i="3"/>
  <c r="L113" i="3"/>
  <c r="L112" i="3"/>
  <c r="L111" i="3"/>
  <c r="L110" i="3"/>
  <c r="L109" i="3"/>
  <c r="L108" i="3"/>
  <c r="L107" i="3"/>
  <c r="L106" i="3"/>
  <c r="L105" i="3"/>
  <c r="L104" i="3"/>
  <c r="L103" i="3"/>
  <c r="L102" i="3"/>
  <c r="L101" i="3"/>
  <c r="L100" i="3"/>
  <c r="L99" i="3"/>
  <c r="E28" i="12"/>
  <c r="E6" i="12"/>
  <c r="F6" i="12"/>
  <c r="F2" i="12"/>
  <c r="C117" i="3"/>
  <c r="C94" i="3"/>
  <c r="C71" i="3"/>
  <c r="C47" i="3"/>
  <c r="C24" i="3"/>
  <c r="B117" i="3"/>
  <c r="B94" i="3"/>
  <c r="B71" i="3"/>
  <c r="B47" i="3"/>
  <c r="B24" i="3"/>
  <c r="H115" i="3"/>
  <c r="D115" i="3"/>
  <c r="E115" i="3"/>
  <c r="H92" i="3"/>
  <c r="D92" i="3"/>
  <c r="E92" i="3"/>
  <c r="H69" i="3"/>
  <c r="D69" i="3"/>
  <c r="E69" i="3"/>
  <c r="H45" i="3"/>
  <c r="D45" i="3"/>
  <c r="E45" i="3"/>
  <c r="H22" i="3"/>
  <c r="D22" i="3"/>
  <c r="E22" i="3"/>
  <c r="I31" i="10"/>
  <c r="F31" i="10"/>
  <c r="G31" i="10"/>
  <c r="I30" i="10"/>
  <c r="F30" i="10"/>
  <c r="G30" i="10"/>
  <c r="I29" i="10"/>
  <c r="F29" i="10"/>
  <c r="G29" i="10"/>
  <c r="I28" i="10"/>
  <c r="F28" i="10"/>
  <c r="G28" i="10"/>
  <c r="I27" i="10"/>
  <c r="F27" i="10"/>
  <c r="G27" i="10"/>
  <c r="I26" i="10"/>
  <c r="F26" i="10"/>
  <c r="G26" i="10"/>
  <c r="I24" i="10"/>
  <c r="F24" i="10"/>
  <c r="G24" i="10"/>
  <c r="I23" i="10"/>
  <c r="F23" i="10"/>
  <c r="G23" i="10"/>
  <c r="I21" i="10"/>
  <c r="F21" i="10"/>
  <c r="G21" i="10"/>
  <c r="I20" i="10"/>
  <c r="F20" i="10"/>
  <c r="G20" i="10"/>
  <c r="I19" i="10"/>
  <c r="F19" i="10"/>
  <c r="G19" i="10"/>
  <c r="I17" i="10"/>
  <c r="F17" i="10"/>
  <c r="G17" i="10"/>
  <c r="E15" i="10"/>
  <c r="F15" i="10"/>
  <c r="G15" i="10"/>
  <c r="D15" i="10"/>
  <c r="I13" i="10"/>
  <c r="F13" i="10"/>
  <c r="G13" i="10"/>
  <c r="I12" i="10"/>
  <c r="F12" i="10"/>
  <c r="G12" i="10"/>
  <c r="I11" i="10"/>
  <c r="F11" i="10"/>
  <c r="G11" i="10"/>
  <c r="I10" i="10"/>
  <c r="F10" i="10"/>
  <c r="G10" i="10"/>
  <c r="I9" i="10"/>
  <c r="F9" i="10"/>
  <c r="G9" i="10"/>
  <c r="I7" i="10"/>
  <c r="G7" i="10"/>
  <c r="F7" i="10"/>
  <c r="I5" i="10"/>
  <c r="F5" i="10"/>
  <c r="G5" i="10"/>
  <c r="H114" i="3"/>
  <c r="D114" i="3"/>
  <c r="E114" i="3"/>
  <c r="H91" i="3"/>
  <c r="D91" i="3"/>
  <c r="E91" i="3"/>
  <c r="H68" i="3"/>
  <c r="D68" i="3"/>
  <c r="E68" i="3"/>
  <c r="H44" i="3"/>
  <c r="D44" i="3"/>
  <c r="E44" i="3"/>
  <c r="H21" i="3"/>
  <c r="D21" i="3"/>
  <c r="E21" i="3"/>
  <c r="H113" i="3"/>
  <c r="D113" i="3"/>
  <c r="E113" i="3"/>
  <c r="J113" i="3"/>
  <c r="H90" i="3"/>
  <c r="D90" i="3"/>
  <c r="E90" i="3"/>
  <c r="J90" i="3"/>
  <c r="H67" i="3"/>
  <c r="D67" i="3"/>
  <c r="E67" i="3"/>
  <c r="J67" i="3"/>
  <c r="H43" i="3"/>
  <c r="D43" i="3"/>
  <c r="E43" i="3"/>
  <c r="J43" i="3"/>
  <c r="H20" i="3"/>
  <c r="D20" i="3"/>
  <c r="E20" i="3"/>
  <c r="J20" i="3"/>
  <c r="J106" i="3"/>
  <c r="J104" i="3"/>
  <c r="J83" i="3"/>
  <c r="J81" i="3"/>
  <c r="J60" i="3"/>
  <c r="J58" i="3"/>
  <c r="J54" i="3"/>
  <c r="J36" i="3"/>
  <c r="J34" i="3"/>
  <c r="J13" i="3"/>
  <c r="J11" i="3"/>
  <c r="H112" i="3"/>
  <c r="D112" i="3"/>
  <c r="E112" i="3"/>
  <c r="I112" i="3"/>
  <c r="H111" i="3"/>
  <c r="D111" i="3"/>
  <c r="E111" i="3"/>
  <c r="D110" i="3"/>
  <c r="E110" i="3"/>
  <c r="J110" i="3"/>
  <c r="D109" i="3"/>
  <c r="E109" i="3"/>
  <c r="J109" i="3"/>
  <c r="D108" i="3"/>
  <c r="E108" i="3"/>
  <c r="J108" i="3"/>
  <c r="D107" i="3"/>
  <c r="E107" i="3"/>
  <c r="J107" i="3"/>
  <c r="D105" i="3"/>
  <c r="E105" i="3"/>
  <c r="J105" i="3"/>
  <c r="D103" i="3"/>
  <c r="E103" i="3"/>
  <c r="J103" i="3"/>
  <c r="I102" i="3"/>
  <c r="D102" i="3"/>
  <c r="E102" i="3"/>
  <c r="J102" i="3"/>
  <c r="I101" i="3"/>
  <c r="D101" i="3"/>
  <c r="E101" i="3"/>
  <c r="D100" i="3"/>
  <c r="E100" i="3"/>
  <c r="J100" i="3"/>
  <c r="D99" i="3"/>
  <c r="H89" i="3"/>
  <c r="D89" i="3"/>
  <c r="E89" i="3"/>
  <c r="I89" i="3"/>
  <c r="H88" i="3"/>
  <c r="D88" i="3"/>
  <c r="E88" i="3"/>
  <c r="D87" i="3"/>
  <c r="E87" i="3"/>
  <c r="J87" i="3"/>
  <c r="D86" i="3"/>
  <c r="E86" i="3"/>
  <c r="J86" i="3"/>
  <c r="D85" i="3"/>
  <c r="E85" i="3"/>
  <c r="J85" i="3"/>
  <c r="D84" i="3"/>
  <c r="E84" i="3"/>
  <c r="J84" i="3"/>
  <c r="D82" i="3"/>
  <c r="E82" i="3"/>
  <c r="J82" i="3"/>
  <c r="D80" i="3"/>
  <c r="E80" i="3"/>
  <c r="J80" i="3"/>
  <c r="I79" i="3"/>
  <c r="D79" i="3"/>
  <c r="E79" i="3"/>
  <c r="I78" i="3"/>
  <c r="D78" i="3"/>
  <c r="E78" i="3"/>
  <c r="D77" i="3"/>
  <c r="E77" i="3"/>
  <c r="J77" i="3"/>
  <c r="D76" i="3"/>
  <c r="H66" i="3"/>
  <c r="D66" i="3"/>
  <c r="E66" i="3"/>
  <c r="I66" i="3"/>
  <c r="H65" i="3"/>
  <c r="D65" i="3"/>
  <c r="E65" i="3"/>
  <c r="I65" i="3"/>
  <c r="D64" i="3"/>
  <c r="E64" i="3"/>
  <c r="J64" i="3"/>
  <c r="D63" i="3"/>
  <c r="E63" i="3"/>
  <c r="J63" i="3"/>
  <c r="D62" i="3"/>
  <c r="E62" i="3"/>
  <c r="J62" i="3"/>
  <c r="D61" i="3"/>
  <c r="E61" i="3"/>
  <c r="J61" i="3"/>
  <c r="D59" i="3"/>
  <c r="E59" i="3"/>
  <c r="J59" i="3"/>
  <c r="D57" i="3"/>
  <c r="E57" i="3"/>
  <c r="J57" i="3"/>
  <c r="D56" i="3"/>
  <c r="E56" i="3"/>
  <c r="J56" i="3"/>
  <c r="D55" i="3"/>
  <c r="E55" i="3"/>
  <c r="I55" i="3"/>
  <c r="D53" i="3"/>
  <c r="E53" i="3"/>
  <c r="J53" i="3"/>
  <c r="D52" i="3"/>
  <c r="H42" i="3"/>
  <c r="D42" i="3"/>
  <c r="E42" i="3"/>
  <c r="H41" i="3"/>
  <c r="D41" i="3"/>
  <c r="E41" i="3"/>
  <c r="I41" i="3"/>
  <c r="D40" i="3"/>
  <c r="E40" i="3"/>
  <c r="J40" i="3"/>
  <c r="D39" i="3"/>
  <c r="E39" i="3"/>
  <c r="J39" i="3"/>
  <c r="D38" i="3"/>
  <c r="E38" i="3"/>
  <c r="J38" i="3"/>
  <c r="D37" i="3"/>
  <c r="E37" i="3"/>
  <c r="J37" i="3"/>
  <c r="D35" i="3"/>
  <c r="E35" i="3"/>
  <c r="J35" i="3"/>
  <c r="D33" i="3"/>
  <c r="E33" i="3"/>
  <c r="J33" i="3"/>
  <c r="D32" i="3"/>
  <c r="E32" i="3"/>
  <c r="J32" i="3"/>
  <c r="D31" i="3"/>
  <c r="E31" i="3"/>
  <c r="J31" i="3"/>
  <c r="D30" i="3"/>
  <c r="E30" i="3"/>
  <c r="J30" i="3"/>
  <c r="D29" i="3"/>
  <c r="E29" i="3"/>
  <c r="H19" i="3"/>
  <c r="D19" i="3"/>
  <c r="E19" i="3"/>
  <c r="H18" i="3"/>
  <c r="D18" i="3"/>
  <c r="E18" i="3"/>
  <c r="D17" i="3"/>
  <c r="E17" i="3"/>
  <c r="J17" i="3"/>
  <c r="D16" i="3"/>
  <c r="E16" i="3"/>
  <c r="J16" i="3"/>
  <c r="D15" i="3"/>
  <c r="E15" i="3"/>
  <c r="J15" i="3"/>
  <c r="D14" i="3"/>
  <c r="E14" i="3"/>
  <c r="J14" i="3"/>
  <c r="D12" i="3"/>
  <c r="E12" i="3"/>
  <c r="J12" i="3"/>
  <c r="D10" i="3"/>
  <c r="E10" i="3"/>
  <c r="J10" i="3"/>
  <c r="D9" i="3"/>
  <c r="E9" i="3"/>
  <c r="J9" i="3"/>
  <c r="D8" i="3"/>
  <c r="E8" i="3"/>
  <c r="J8" i="3"/>
  <c r="D7" i="3"/>
  <c r="E7" i="3"/>
  <c r="J7" i="3"/>
  <c r="D6" i="3"/>
  <c r="E6" i="3"/>
  <c r="J6" i="3"/>
  <c r="I19" i="3"/>
  <c r="J19" i="3"/>
  <c r="I42" i="3"/>
  <c r="J42" i="3"/>
  <c r="E40" i="12"/>
  <c r="J79" i="3"/>
  <c r="G32" i="5"/>
  <c r="I47" i="3"/>
  <c r="I71" i="3"/>
  <c r="J78" i="3"/>
  <c r="J101" i="3"/>
  <c r="J89" i="3"/>
  <c r="J41" i="3"/>
  <c r="I18" i="3"/>
  <c r="I24" i="3"/>
  <c r="J112" i="3"/>
  <c r="F28" i="12"/>
  <c r="K28" i="12"/>
  <c r="K40" i="12"/>
  <c r="J65" i="3"/>
  <c r="E16" i="12"/>
  <c r="F16" i="12"/>
  <c r="K6" i="12"/>
  <c r="K16" i="12"/>
  <c r="D47" i="3"/>
  <c r="D94" i="3"/>
  <c r="E76" i="3"/>
  <c r="J55" i="3"/>
  <c r="E24" i="3"/>
  <c r="D24" i="3"/>
  <c r="J66" i="3"/>
  <c r="D117" i="3"/>
  <c r="E99" i="3"/>
  <c r="I111" i="3"/>
  <c r="I117" i="3"/>
  <c r="E47" i="3"/>
  <c r="J29" i="3"/>
  <c r="D71" i="3"/>
  <c r="I88" i="3"/>
  <c r="J88" i="3"/>
  <c r="L31" i="5"/>
  <c r="E52" i="3"/>
  <c r="I5" i="5"/>
  <c r="K5" i="5"/>
  <c r="L13" i="5"/>
  <c r="L32" i="5"/>
  <c r="L25" i="5"/>
  <c r="K32" i="5"/>
  <c r="O20" i="5"/>
  <c r="O21" i="5"/>
  <c r="F40" i="12"/>
  <c r="J18" i="3"/>
  <c r="J24" i="3"/>
  <c r="J47" i="3"/>
  <c r="I32" i="5"/>
  <c r="J52" i="3"/>
  <c r="J71" i="3"/>
  <c r="E71" i="3"/>
  <c r="I94" i="3"/>
  <c r="E117" i="3"/>
  <c r="J99" i="3"/>
  <c r="J111" i="3"/>
  <c r="J76" i="3"/>
  <c r="J94" i="3"/>
  <c r="E94" i="3"/>
  <c r="J117" i="3"/>
</calcChain>
</file>

<file path=xl/sharedStrings.xml><?xml version="1.0" encoding="utf-8"?>
<sst xmlns="http://schemas.openxmlformats.org/spreadsheetml/2006/main" count="227" uniqueCount="105">
  <si>
    <t>Gujarat 15 MW</t>
  </si>
  <si>
    <t>Export Unit</t>
  </si>
  <si>
    <t>Import Unit</t>
  </si>
  <si>
    <t>Net Unit Billed</t>
  </si>
  <si>
    <t>Bill Amount</t>
  </si>
  <si>
    <t>Bill Date</t>
  </si>
  <si>
    <t>Due Date</t>
  </si>
  <si>
    <t>Received Amount</t>
  </si>
  <si>
    <t>Deduction</t>
  </si>
  <si>
    <t>Payment Received Date</t>
  </si>
  <si>
    <t>Total</t>
  </si>
  <si>
    <t>MP 25 MW</t>
  </si>
  <si>
    <t>ACME Gurgaon Power P Ltd 20 MW</t>
  </si>
  <si>
    <t>Not received</t>
  </si>
  <si>
    <t>Not Due</t>
  </si>
  <si>
    <t>ACME Mumbai Power P Ltd 20 MW</t>
  </si>
  <si>
    <t xml:space="preserve">                                                                                                                                                                                                                                                                                                                                                                                                                                                                                                                                                                                                                                                                                                                                                                                                                                                                                                                                                                                                                                                                                                                                                                                                                                                                                                                                                                                                                                                                                                                                                                                                                                                                                                                              </t>
  </si>
  <si>
    <t>ACME Rajdhani Power P Ltd 20 MW</t>
  </si>
  <si>
    <t>Medha Energy P Ltd 20 MW</t>
  </si>
  <si>
    <t>Ranji Solar Energy P Ltd 20 MW</t>
  </si>
  <si>
    <t>Khairakurd</t>
  </si>
  <si>
    <t>Mankhera</t>
  </si>
  <si>
    <t>Jhandekalan</t>
  </si>
  <si>
    <t>Nangla</t>
  </si>
  <si>
    <t>Junair</t>
  </si>
  <si>
    <t>Period</t>
  </si>
  <si>
    <t>Provisional</t>
  </si>
  <si>
    <t>Gurgaon</t>
  </si>
  <si>
    <t>Mumbai</t>
  </si>
  <si>
    <t>Rajdhani</t>
  </si>
  <si>
    <t>Medha</t>
  </si>
  <si>
    <t>Ranji</t>
  </si>
  <si>
    <t>Odisha</t>
  </si>
  <si>
    <t>Chattisgarh</t>
  </si>
  <si>
    <t>Punjab- MIHIT</t>
  </si>
  <si>
    <t>SECI Rajasthan</t>
  </si>
  <si>
    <t>Punjab- Rooftop</t>
  </si>
  <si>
    <t>Aarohi</t>
  </si>
  <si>
    <t>Jaisalmer Feeder 1</t>
  </si>
  <si>
    <t>Jaisalmer Feeder 2</t>
  </si>
  <si>
    <t>AP</t>
  </si>
  <si>
    <t>Niranjana BAY 01</t>
  </si>
  <si>
    <t>Niranjana BAY 02</t>
  </si>
  <si>
    <t>Dayanidhi</t>
  </si>
  <si>
    <t>Month</t>
  </si>
  <si>
    <t>Location</t>
  </si>
  <si>
    <t>Project</t>
  </si>
  <si>
    <t>Bill Submission Date</t>
  </si>
  <si>
    <t>ACME MAGADH SOLAR  10 MW</t>
  </si>
  <si>
    <t>ACME NALANDA SOLAR  15 MW</t>
  </si>
  <si>
    <t>Billing to be made</t>
  </si>
  <si>
    <t>Date of Commission (COD):</t>
  </si>
  <si>
    <t>Payment Terms :</t>
  </si>
  <si>
    <t>Rebate :</t>
  </si>
  <si>
    <t xml:space="preserve">Late payment: </t>
  </si>
  <si>
    <t>Last day of bill submission month</t>
  </si>
  <si>
    <t xml:space="preserve">if Bill submit with in 10 days, due date will be </t>
  </si>
  <si>
    <t xml:space="preserve">if Bill submit after 10th day of the month Due date will be </t>
  </si>
  <si>
    <t>1.25% Per month - on daily Basis (day or part thereof) if Paid after 60 days from bill due date</t>
  </si>
  <si>
    <t>2%  if Paid within 3 days from bill submission date</t>
  </si>
  <si>
    <t>1%  if Paid after 3 days and before due date</t>
  </si>
  <si>
    <t xml:space="preserve">30th days from  of bill submission date </t>
  </si>
  <si>
    <t>29-09-20916</t>
  </si>
  <si>
    <t>Devision</t>
  </si>
  <si>
    <t>North 40 %</t>
  </si>
  <si>
    <t>South 60 %</t>
  </si>
  <si>
    <t>ER Comparision</t>
  </si>
  <si>
    <t>End Date of Monitoring Period</t>
  </si>
  <si>
    <t>Number of Days for Current Monitoring Period</t>
  </si>
  <si>
    <t>Annual (365 Days) estimation as per Registered PDD</t>
  </si>
  <si>
    <t>ER Estimation for Current Monitoirng Period</t>
  </si>
  <si>
    <t>Actual ER for Current Monitoring Period</t>
  </si>
  <si>
    <t>% Variation in Actual Vs Estimated ER</t>
  </si>
  <si>
    <t>Nirosha 30 MW</t>
  </si>
  <si>
    <t>Meter Serial Number</t>
  </si>
  <si>
    <t>Calibration On</t>
  </si>
  <si>
    <t xml:space="preserve">Make </t>
  </si>
  <si>
    <t>Larson and Toubro Limited</t>
  </si>
  <si>
    <t>Accuarcy Class</t>
  </si>
  <si>
    <t>0.2s</t>
  </si>
  <si>
    <t>Vintage wise GS VERs</t>
  </si>
  <si>
    <t>Start Date of monitoring period</t>
  </si>
  <si>
    <t>Due date of calibration</t>
  </si>
  <si>
    <t>Grid Emisison Factor (tCO2/MWh)</t>
  </si>
  <si>
    <t>Emisison Reductions (tCO2)</t>
  </si>
  <si>
    <t>Export (KWh)</t>
  </si>
  <si>
    <t>Import (KWh)</t>
  </si>
  <si>
    <t>Net Electricity generated (KWh)</t>
  </si>
  <si>
    <t>Net Electricity generated (MWh)</t>
  </si>
  <si>
    <t>Net Electricity generated as per Invoice (KWh)</t>
  </si>
  <si>
    <t>Billing Cycle</t>
  </si>
  <si>
    <t>From</t>
  </si>
  <si>
    <t>To</t>
  </si>
  <si>
    <t>Summary of the Outcomes of relevant SDGs</t>
  </si>
  <si>
    <t>SDG Parameters</t>
  </si>
  <si>
    <t>Values estimated in ex ante calculation of approved PDD</t>
  </si>
  <si>
    <t>Actual values achieved during this monitoring period</t>
  </si>
  <si>
    <t>SDG 7: Affordable and Clean Energy (MWh)</t>
  </si>
  <si>
    <t>SDG 8: Decent Work and Economic Growth</t>
  </si>
  <si>
    <t>1 Training per year
employment to 10 people</t>
  </si>
  <si>
    <t>SDG 13: Climate Action (tCO2e)</t>
  </si>
  <si>
    <t>A total of 10.59% higher generation and emission reduction achieved with respect to estimated values due to higher shine hours. The current monitoring period covers, three higher renewable electricity generation seasons and two low electricity generation seasons. Therefore, higher generation observed. The actual PLF obtained during the current verification period is 20% and it is within limit of breaching value (i.e. 20.78%). Also, the equity IRR value calculated with actual PLF of 20% comes to 12.74% which less than the benchmark value (i.e. 17.67%). Hence, it can be concluded that due to increase in the PLF, there is no impact on the additionality. Also, PLF is nature dependent and it will vary based on sun shine condition and PP do not have any control on it.</t>
  </si>
  <si>
    <t>Estimated values as per PDD during ths monitoring period</t>
  </si>
  <si>
    <t>25 no. of job created
7 Trainings conducted</t>
  </si>
  <si>
    <t>1 Training
employment to 10 people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</si>
</sst>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_ * #,##0.00_ ;_ * \-#,##0.00_ ;_ * &quot;-&quot;??_ ;_ @_ "/>
    <numFmt numFmtId="165" formatCode="_(* #,##0_);_(* \(#,##0\);_(* &quot;-&quot;??_);_(@_)"/>
    <numFmt numFmtId="166" formatCode="_-* #,##0_-;\-* #,##0_-;_-* &quot;-&quot;??_-;_-@_-"/>
    <numFmt numFmtId="167" formatCode="_-* #,##0.00_-;\-* #,##0.00_-;_-* &quot;-&quot;??_-;_-@_-"/>
    <numFmt numFmtId="168" formatCode="[$-409]d/mmm/yy;@"/>
    <numFmt numFmtId="169" formatCode="[$-409]d\-mmm\-yy;@"/>
  </numFmts>
  <fonts count="13">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u/>
      <sz val="11"/>
      <color theme="1"/>
      <name val="Calibri"/>
      <family val="2"/>
      <scheme val="minor"/>
    </font>
    <font>
      <sz val="11"/>
      <name val="Calibri"/>
      <family val="2"/>
      <scheme val="minor"/>
    </font>
    <font>
      <u/>
      <sz val="11"/>
      <color theme="1"/>
      <name val="Calibri"/>
      <family val="2"/>
      <scheme val="minor"/>
    </font>
    <font>
      <b/>
      <u/>
      <sz val="14"/>
      <color rgb="FFFF0000"/>
      <name val="Calibri"/>
      <family val="2"/>
      <scheme val="minor"/>
    </font>
    <font>
      <sz val="10"/>
      <name val="Arial"/>
      <family val="2"/>
    </font>
    <font>
      <b/>
      <sz val="10"/>
      <name val="Arial"/>
      <family val="2"/>
    </font>
    <font>
      <sz val="10"/>
      <color theme="1"/>
      <name val="Arial"/>
      <family val="2"/>
    </font>
    <font>
      <b/>
      <sz val="11"/>
      <color theme="1"/>
      <name val="Avenir Book"/>
    </font>
    <font>
      <sz val="11"/>
      <color theme="1"/>
      <name val="Avenir Book"/>
    </font>
  </fonts>
  <fills count="3">
    <fill>
      <patternFill patternType="none"/>
    </fill>
    <fill>
      <patternFill patternType="gray125"/>
    </fill>
    <fill>
      <patternFill patternType="solid">
        <fgColor theme="6" tint="0.59999389629810485"/>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s>
  <cellStyleXfs count="9">
    <xf numFmtId="0" fontId="0" fillId="0" borderId="0"/>
    <xf numFmtId="43" fontId="1"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1" fillId="0" borderId="0" applyFont="0" applyFill="0" applyBorder="0" applyAlignment="0" applyProtection="0"/>
  </cellStyleXfs>
  <cellXfs count="200">
    <xf numFmtId="0" fontId="0" fillId="0" borderId="0" xfId="0"/>
    <xf numFmtId="0" fontId="4" fillId="0" borderId="0" xfId="0" applyFont="1"/>
    <xf numFmtId="0" fontId="0" fillId="0" borderId="1" xfId="0" applyBorder="1"/>
    <xf numFmtId="165" fontId="3" fillId="2" borderId="1" xfId="1" applyNumberFormat="1" applyFont="1" applyFill="1" applyBorder="1"/>
    <xf numFmtId="165" fontId="5" fillId="0" borderId="1" xfId="1" applyNumberFormat="1" applyFont="1" applyFill="1" applyBorder="1"/>
    <xf numFmtId="165" fontId="5" fillId="0" borderId="1" xfId="1" applyNumberFormat="1" applyFont="1" applyFill="1" applyBorder="1" applyAlignment="1">
      <alignment horizontal="right"/>
    </xf>
    <xf numFmtId="165" fontId="0" fillId="0" borderId="1" xfId="1" applyNumberFormat="1" applyFont="1" applyBorder="1"/>
    <xf numFmtId="15" fontId="0" fillId="0" borderId="1" xfId="0" applyNumberFormat="1" applyBorder="1"/>
    <xf numFmtId="165" fontId="0" fillId="0" borderId="1" xfId="1" applyNumberFormat="1" applyFont="1" applyFill="1" applyBorder="1"/>
    <xf numFmtId="15" fontId="0" fillId="0" borderId="1" xfId="0" applyNumberFormat="1" applyBorder="1" applyAlignment="1">
      <alignment horizontal="left"/>
    </xf>
    <xf numFmtId="15" fontId="5" fillId="0" borderId="1" xfId="0" applyNumberFormat="1" applyFont="1" applyBorder="1" applyAlignment="1">
      <alignment horizontal="left"/>
    </xf>
    <xf numFmtId="165" fontId="5" fillId="0" borderId="1" xfId="1" applyNumberFormat="1" applyFont="1" applyBorder="1"/>
    <xf numFmtId="15" fontId="5" fillId="0" borderId="1" xfId="0" applyNumberFormat="1" applyFont="1" applyBorder="1"/>
    <xf numFmtId="165" fontId="3" fillId="2" borderId="1" xfId="1" applyNumberFormat="1" applyFont="1" applyFill="1" applyBorder="1" applyAlignment="1">
      <alignment wrapText="1"/>
    </xf>
    <xf numFmtId="165" fontId="5" fillId="0" borderId="1" xfId="1" applyNumberFormat="1" applyFont="1" applyBorder="1" applyAlignment="1">
      <alignment horizontal="center" vertical="center"/>
    </xf>
    <xf numFmtId="165" fontId="5" fillId="0" borderId="1" xfId="1" applyNumberFormat="1" applyFont="1" applyFill="1" applyBorder="1" applyAlignment="1">
      <alignment horizontal="center" vertical="center"/>
    </xf>
    <xf numFmtId="0" fontId="2" fillId="0" borderId="1" xfId="0" applyFont="1" applyBorder="1" applyAlignment="1">
      <alignment horizontal="left"/>
    </xf>
    <xf numFmtId="17" fontId="3" fillId="0" borderId="1" xfId="0" applyNumberFormat="1" applyFont="1" applyBorder="1"/>
    <xf numFmtId="165" fontId="5" fillId="0" borderId="2" xfId="1" applyNumberFormat="1" applyFont="1" applyBorder="1" applyAlignment="1">
      <alignment horizontal="center" vertical="center"/>
    </xf>
    <xf numFmtId="15" fontId="0" fillId="0" borderId="1" xfId="0" applyNumberFormat="1" applyFill="1" applyBorder="1"/>
    <xf numFmtId="0" fontId="2" fillId="0" borderId="1" xfId="0" applyFont="1" applyFill="1" applyBorder="1" applyAlignment="1">
      <alignment horizontal="left"/>
    </xf>
    <xf numFmtId="15" fontId="0" fillId="0" borderId="1" xfId="0" applyNumberFormat="1" applyFill="1" applyBorder="1" applyAlignment="1">
      <alignment horizontal="left"/>
    </xf>
    <xf numFmtId="15" fontId="0" fillId="0" borderId="1" xfId="0" applyNumberFormat="1" applyFill="1" applyBorder="1" applyAlignment="1">
      <alignment horizontal="right"/>
    </xf>
    <xf numFmtId="165" fontId="0" fillId="0" borderId="1" xfId="1" applyNumberFormat="1" applyFont="1" applyFill="1" applyBorder="1" applyAlignment="1">
      <alignment horizontal="right"/>
    </xf>
    <xf numFmtId="165" fontId="0" fillId="0" borderId="1" xfId="1" applyNumberFormat="1" applyFont="1" applyBorder="1" applyAlignment="1">
      <alignment horizontal="center" vertical="center"/>
    </xf>
    <xf numFmtId="0" fontId="3" fillId="0" borderId="0" xfId="0" applyFont="1"/>
    <xf numFmtId="165" fontId="3" fillId="0" borderId="0" xfId="0" applyNumberFormat="1" applyFont="1"/>
    <xf numFmtId="4" fontId="0" fillId="0" borderId="0" xfId="0" applyNumberFormat="1"/>
    <xf numFmtId="15" fontId="0" fillId="0" borderId="1" xfId="0" applyNumberFormat="1" applyBorder="1" applyAlignment="1">
      <alignment horizontal="right"/>
    </xf>
    <xf numFmtId="165" fontId="0" fillId="0" borderId="1" xfId="1" applyNumberFormat="1" applyFont="1" applyBorder="1" applyAlignment="1">
      <alignment horizontal="right"/>
    </xf>
    <xf numFmtId="166" fontId="0" fillId="0" borderId="1" xfId="0" applyNumberFormat="1" applyBorder="1" applyAlignment="1">
      <alignment horizontal="center" vertical="center"/>
    </xf>
    <xf numFmtId="43" fontId="0" fillId="0" borderId="0" xfId="0" applyNumberFormat="1"/>
    <xf numFmtId="166" fontId="5" fillId="0" borderId="2" xfId="1" applyNumberFormat="1" applyFont="1" applyBorder="1" applyAlignment="1">
      <alignment horizontal="center" vertical="center"/>
    </xf>
    <xf numFmtId="166" fontId="0" fillId="0" borderId="1" xfId="1" applyNumberFormat="1" applyFont="1" applyBorder="1"/>
    <xf numFmtId="166" fontId="0" fillId="0" borderId="1" xfId="1" applyNumberFormat="1" applyFont="1" applyFill="1" applyBorder="1"/>
    <xf numFmtId="167" fontId="0" fillId="0" borderId="1" xfId="0" applyNumberFormat="1" applyBorder="1" applyAlignment="1">
      <alignment horizontal="center" vertical="center"/>
    </xf>
    <xf numFmtId="165" fontId="5" fillId="0" borderId="2" xfId="1" applyNumberFormat="1" applyFont="1" applyFill="1" applyBorder="1" applyAlignment="1">
      <alignment horizontal="center" vertical="center"/>
    </xf>
    <xf numFmtId="165" fontId="0" fillId="0" borderId="0" xfId="0" applyNumberFormat="1"/>
    <xf numFmtId="17" fontId="3" fillId="0" borderId="2" xfId="0" applyNumberFormat="1" applyFont="1" applyBorder="1"/>
    <xf numFmtId="165" fontId="5" fillId="0" borderId="2" xfId="1" applyNumberFormat="1" applyFont="1" applyBorder="1" applyAlignment="1">
      <alignment horizontal="center" vertical="center"/>
    </xf>
    <xf numFmtId="0" fontId="0" fillId="0" borderId="0" xfId="0" applyFill="1" applyBorder="1"/>
    <xf numFmtId="165" fontId="3" fillId="0" borderId="0" xfId="1" applyNumberFormat="1" applyFont="1" applyFill="1" applyBorder="1"/>
    <xf numFmtId="0" fontId="0" fillId="0" borderId="0" xfId="0" applyFill="1"/>
    <xf numFmtId="165" fontId="5" fillId="0" borderId="2" xfId="1" applyNumberFormat="1" applyFont="1" applyBorder="1" applyAlignment="1">
      <alignment horizontal="center" vertical="center"/>
    </xf>
    <xf numFmtId="0" fontId="0" fillId="0" borderId="0" xfId="0" applyAlignment="1">
      <alignment horizontal="center" vertical="center" wrapText="1"/>
    </xf>
    <xf numFmtId="0" fontId="6" fillId="0" borderId="0" xfId="0" applyFont="1"/>
    <xf numFmtId="165" fontId="3" fillId="0" borderId="1" xfId="1" applyNumberFormat="1" applyFont="1" applyFill="1" applyBorder="1" applyAlignment="1">
      <alignment horizontal="center" vertical="center" wrapText="1"/>
    </xf>
    <xf numFmtId="0" fontId="0" fillId="0" borderId="0" xfId="0" applyFill="1" applyAlignment="1">
      <alignment horizontal="center" vertical="center" wrapText="1"/>
    </xf>
    <xf numFmtId="17" fontId="3" fillId="0" borderId="1" xfId="0" applyNumberFormat="1" applyFont="1" applyBorder="1" applyAlignment="1">
      <alignment horizontal="right"/>
    </xf>
    <xf numFmtId="0" fontId="0" fillId="0" borderId="0" xfId="0" applyBorder="1"/>
    <xf numFmtId="0" fontId="6" fillId="0" borderId="1" xfId="0" applyFont="1" applyBorder="1"/>
    <xf numFmtId="17" fontId="0" fillId="0" borderId="1" xfId="0" applyNumberFormat="1" applyFont="1" applyBorder="1"/>
    <xf numFmtId="17" fontId="0" fillId="0" borderId="2" xfId="0" applyNumberFormat="1" applyFont="1" applyBorder="1"/>
    <xf numFmtId="165" fontId="0" fillId="0" borderId="1" xfId="1" applyNumberFormat="1" applyFont="1" applyBorder="1" applyAlignment="1">
      <alignment horizontal="left" vertical="center"/>
    </xf>
    <xf numFmtId="17" fontId="0" fillId="0" borderId="1" xfId="0" applyNumberFormat="1" applyFont="1" applyBorder="1" applyAlignment="1">
      <alignment horizontal="right"/>
    </xf>
    <xf numFmtId="0" fontId="0" fillId="0" borderId="0" xfId="0" applyFont="1"/>
    <xf numFmtId="165" fontId="3" fillId="2" borderId="4" xfId="1" applyNumberFormat="1" applyFont="1" applyFill="1" applyBorder="1" applyAlignment="1">
      <alignment horizontal="center" vertical="center" wrapText="1"/>
    </xf>
    <xf numFmtId="165" fontId="3" fillId="2" borderId="5" xfId="1" applyNumberFormat="1" applyFont="1" applyFill="1" applyBorder="1" applyAlignment="1">
      <alignment horizontal="center" vertical="center" wrapText="1"/>
    </xf>
    <xf numFmtId="0" fontId="0" fillId="0" borderId="6" xfId="0" applyBorder="1" applyAlignment="1">
      <alignment horizontal="center" vertical="center" wrapText="1"/>
    </xf>
    <xf numFmtId="0" fontId="6" fillId="0" borderId="7" xfId="0" applyFont="1" applyBorder="1"/>
    <xf numFmtId="0" fontId="0" fillId="0" borderId="8" xfId="0" applyFill="1" applyBorder="1" applyAlignment="1">
      <alignment horizontal="center" vertical="center" wrapText="1"/>
    </xf>
    <xf numFmtId="17" fontId="0" fillId="0" borderId="7" xfId="0" applyNumberFormat="1" applyFont="1" applyBorder="1" applyAlignment="1">
      <alignment horizontal="right"/>
    </xf>
    <xf numFmtId="0" fontId="0" fillId="0" borderId="8" xfId="0" applyBorder="1"/>
    <xf numFmtId="17" fontId="0" fillId="0" borderId="7" xfId="0" applyNumberFormat="1" applyFont="1" applyBorder="1"/>
    <xf numFmtId="0" fontId="6" fillId="0" borderId="9" xfId="0" applyFont="1" applyBorder="1"/>
    <xf numFmtId="17" fontId="0" fillId="0" borderId="10" xfId="0" applyNumberFormat="1" applyFont="1" applyBorder="1"/>
    <xf numFmtId="17" fontId="0" fillId="0" borderId="11" xfId="0" applyNumberFormat="1" applyFont="1" applyBorder="1" applyAlignment="1">
      <alignment horizontal="right"/>
    </xf>
    <xf numFmtId="17" fontId="0" fillId="0" borderId="11" xfId="0" applyNumberFormat="1" applyFont="1" applyBorder="1"/>
    <xf numFmtId="165" fontId="0" fillId="0" borderId="11" xfId="1" applyNumberFormat="1" applyFont="1" applyBorder="1" applyAlignment="1">
      <alignment horizontal="center" vertical="center"/>
    </xf>
    <xf numFmtId="165" fontId="0" fillId="0" borderId="11" xfId="1" applyNumberFormat="1" applyFont="1" applyBorder="1"/>
    <xf numFmtId="165" fontId="0" fillId="0" borderId="11" xfId="1" applyNumberFormat="1" applyFont="1" applyFill="1" applyBorder="1"/>
    <xf numFmtId="15" fontId="0" fillId="0" borderId="11" xfId="0" applyNumberFormat="1" applyFill="1" applyBorder="1"/>
    <xf numFmtId="15" fontId="0" fillId="0" borderId="11" xfId="0" applyNumberFormat="1" applyFill="1" applyBorder="1" applyAlignment="1">
      <alignment horizontal="right"/>
    </xf>
    <xf numFmtId="0" fontId="0" fillId="0" borderId="12" xfId="0" applyBorder="1"/>
    <xf numFmtId="165" fontId="3" fillId="2" borderId="1" xfId="1" applyNumberFormat="1" applyFont="1" applyFill="1" applyBorder="1" applyAlignment="1">
      <alignment vertical="center"/>
    </xf>
    <xf numFmtId="165" fontId="3" fillId="2" borderId="1" xfId="1" applyNumberFormat="1" applyFont="1" applyFill="1" applyBorder="1" applyAlignment="1">
      <alignment vertical="center" wrapText="1"/>
    </xf>
    <xf numFmtId="0" fontId="0" fillId="0" borderId="0" xfId="0" applyAlignment="1">
      <alignment vertical="center"/>
    </xf>
    <xf numFmtId="165" fontId="5" fillId="0" borderId="2" xfId="1" applyNumberFormat="1" applyFont="1" applyBorder="1" applyAlignment="1">
      <alignment horizontal="center" vertical="center"/>
    </xf>
    <xf numFmtId="165" fontId="0" fillId="0" borderId="3" xfId="1" applyNumberFormat="1" applyFont="1" applyFill="1" applyBorder="1" applyAlignment="1">
      <alignment horizontal="center"/>
    </xf>
    <xf numFmtId="0" fontId="0" fillId="0" borderId="0" xfId="0" applyAlignment="1">
      <alignment wrapText="1"/>
    </xf>
    <xf numFmtId="168" fontId="5" fillId="0" borderId="1" xfId="0" applyNumberFormat="1" applyFont="1" applyFill="1" applyBorder="1" applyAlignment="1">
      <alignment horizontal="left" wrapText="1"/>
    </xf>
    <xf numFmtId="4" fontId="0" fillId="0" borderId="0" xfId="0" applyNumberFormat="1" applyAlignment="1">
      <alignment wrapText="1"/>
    </xf>
    <xf numFmtId="14" fontId="5" fillId="0" borderId="1" xfId="0" applyNumberFormat="1" applyFont="1" applyFill="1" applyBorder="1" applyAlignment="1">
      <alignment horizontal="left" wrapText="1"/>
    </xf>
    <xf numFmtId="165" fontId="3" fillId="0" borderId="0" xfId="1" applyNumberFormat="1" applyFont="1" applyFill="1" applyBorder="1" applyAlignment="1">
      <alignment wrapText="1"/>
    </xf>
    <xf numFmtId="168" fontId="2" fillId="0" borderId="1" xfId="0" applyNumberFormat="1" applyFont="1" applyFill="1" applyBorder="1" applyAlignment="1">
      <alignment horizontal="left" wrapText="1"/>
    </xf>
    <xf numFmtId="15" fontId="0" fillId="0" borderId="0" xfId="0" applyNumberFormat="1"/>
    <xf numFmtId="14" fontId="0" fillId="0" borderId="0" xfId="0" applyNumberFormat="1"/>
    <xf numFmtId="15" fontId="0" fillId="0" borderId="1" xfId="0" applyNumberFormat="1" applyFill="1" applyBorder="1" applyAlignment="1">
      <alignment wrapText="1"/>
    </xf>
    <xf numFmtId="0" fontId="7" fillId="0" borderId="0" xfId="0" applyFont="1"/>
    <xf numFmtId="15" fontId="3" fillId="0" borderId="1" xfId="0" applyNumberFormat="1" applyFont="1" applyFill="1" applyBorder="1" applyAlignment="1">
      <alignment horizontal="right"/>
    </xf>
    <xf numFmtId="165" fontId="5" fillId="0" borderId="2" xfId="1" applyNumberFormat="1" applyFont="1" applyBorder="1" applyAlignment="1">
      <alignment horizontal="center" vertical="center"/>
    </xf>
    <xf numFmtId="165" fontId="0" fillId="0" borderId="1" xfId="1" applyNumberFormat="1" applyFont="1" applyBorder="1" applyAlignment="1">
      <alignment horizontal="center" vertical="center"/>
    </xf>
    <xf numFmtId="165" fontId="0" fillId="0" borderId="3" xfId="1" applyNumberFormat="1" applyFont="1" applyFill="1" applyBorder="1" applyAlignment="1">
      <alignment horizontal="center"/>
    </xf>
    <xf numFmtId="165" fontId="2" fillId="0" borderId="1" xfId="1" applyNumberFormat="1" applyFont="1" applyFill="1" applyBorder="1"/>
    <xf numFmtId="165" fontId="3" fillId="0" borderId="2" xfId="1" applyNumberFormat="1" applyFont="1" applyFill="1" applyBorder="1"/>
    <xf numFmtId="165" fontId="3" fillId="0" borderId="1" xfId="1" applyNumberFormat="1" applyFont="1" applyFill="1" applyBorder="1" applyAlignment="1">
      <alignment wrapText="1"/>
    </xf>
    <xf numFmtId="0" fontId="0" fillId="0" borderId="0" xfId="0" applyFill="1" applyAlignment="1">
      <alignment wrapText="1"/>
    </xf>
    <xf numFmtId="164" fontId="0" fillId="0" borderId="0" xfId="0" applyNumberFormat="1" applyFill="1"/>
    <xf numFmtId="0" fontId="0" fillId="0" borderId="21" xfId="0" applyBorder="1" applyAlignment="1">
      <alignment horizontal="center"/>
    </xf>
    <xf numFmtId="0" fontId="0" fillId="0" borderId="22" xfId="0" applyBorder="1" applyAlignment="1">
      <alignment horizontal="center"/>
    </xf>
    <xf numFmtId="0" fontId="0" fillId="0" borderId="13" xfId="0" applyFill="1" applyBorder="1"/>
    <xf numFmtId="164" fontId="0" fillId="0" borderId="21" xfId="0" applyNumberFormat="1" applyBorder="1"/>
    <xf numFmtId="164" fontId="0" fillId="0" borderId="22" xfId="0" applyNumberFormat="1" applyBorder="1"/>
    <xf numFmtId="165" fontId="3" fillId="0" borderId="13" xfId="1" applyNumberFormat="1" applyFont="1" applyFill="1" applyBorder="1"/>
    <xf numFmtId="165" fontId="0" fillId="0" borderId="21" xfId="0" applyNumberFormat="1" applyBorder="1"/>
    <xf numFmtId="165" fontId="0" fillId="0" borderId="22" xfId="0" applyNumberFormat="1" applyBorder="1"/>
    <xf numFmtId="169" fontId="8" fillId="0" borderId="26" xfId="7" applyNumberFormat="1" applyFont="1" applyFill="1" applyBorder="1" applyAlignment="1">
      <alignment horizontal="center"/>
    </xf>
    <xf numFmtId="169" fontId="8" fillId="0" borderId="27" xfId="7" applyNumberFormat="1" applyFont="1" applyFill="1" applyBorder="1" applyAlignment="1">
      <alignment horizontal="center"/>
    </xf>
    <xf numFmtId="0" fontId="8" fillId="0" borderId="27" xfId="7" applyFont="1" applyFill="1" applyBorder="1" applyAlignment="1">
      <alignment horizontal="center"/>
    </xf>
    <xf numFmtId="1" fontId="9" fillId="0" borderId="27" xfId="7" applyNumberFormat="1" applyFont="1" applyFill="1" applyBorder="1" applyAlignment="1">
      <alignment horizontal="center"/>
    </xf>
    <xf numFmtId="1" fontId="8" fillId="0" borderId="27" xfId="6" applyNumberFormat="1" applyFont="1" applyBorder="1" applyAlignment="1">
      <alignment horizontal="center"/>
    </xf>
    <xf numFmtId="10" fontId="10" fillId="0" borderId="30" xfId="5" applyNumberFormat="1" applyFont="1" applyFill="1" applyBorder="1" applyAlignment="1">
      <alignment horizontal="center"/>
    </xf>
    <xf numFmtId="0" fontId="8" fillId="0" borderId="31" xfId="7" applyFont="1" applyFill="1" applyBorder="1"/>
    <xf numFmtId="0" fontId="8" fillId="0" borderId="22" xfId="7" applyFont="1" applyFill="1" applyBorder="1"/>
    <xf numFmtId="0" fontId="8" fillId="0" borderId="32" xfId="7" applyFont="1" applyFill="1" applyBorder="1"/>
    <xf numFmtId="0" fontId="0" fillId="0" borderId="28" xfId="0" applyBorder="1" applyAlignment="1">
      <alignment horizontal="center"/>
    </xf>
    <xf numFmtId="0" fontId="0" fillId="0" borderId="27" xfId="0" applyBorder="1" applyAlignment="1">
      <alignment horizontal="center"/>
    </xf>
    <xf numFmtId="14" fontId="0" fillId="0" borderId="27" xfId="0" applyNumberFormat="1" applyBorder="1" applyAlignment="1">
      <alignment horizontal="center"/>
    </xf>
    <xf numFmtId="14" fontId="0" fillId="0" borderId="30" xfId="0" applyNumberFormat="1" applyBorder="1" applyAlignment="1">
      <alignment horizontal="center"/>
    </xf>
    <xf numFmtId="0" fontId="0" fillId="0" borderId="31" xfId="0" applyBorder="1"/>
    <xf numFmtId="0" fontId="0" fillId="0" borderId="22" xfId="0" applyBorder="1"/>
    <xf numFmtId="0" fontId="0" fillId="0" borderId="32" xfId="0" applyFill="1" applyBorder="1"/>
    <xf numFmtId="165" fontId="0" fillId="0" borderId="22" xfId="0" applyNumberFormat="1" applyBorder="1" applyAlignment="1">
      <alignment horizontal="center"/>
    </xf>
    <xf numFmtId="165" fontId="0" fillId="0" borderId="3" xfId="1" applyNumberFormat="1" applyFont="1" applyBorder="1" applyAlignment="1">
      <alignment horizontal="center"/>
    </xf>
    <xf numFmtId="165" fontId="0" fillId="0" borderId="16" xfId="1" applyNumberFormat="1" applyFont="1" applyBorder="1" applyAlignment="1">
      <alignment horizontal="center"/>
    </xf>
    <xf numFmtId="165" fontId="0" fillId="0" borderId="1" xfId="1" applyNumberFormat="1" applyFont="1" applyBorder="1" applyAlignment="1">
      <alignment horizontal="center"/>
    </xf>
    <xf numFmtId="165" fontId="0" fillId="0" borderId="14" xfId="1" applyNumberFormat="1" applyFont="1" applyBorder="1" applyAlignment="1">
      <alignment horizontal="center"/>
    </xf>
    <xf numFmtId="165" fontId="0" fillId="0" borderId="1" xfId="1" applyNumberFormat="1" applyFont="1" applyFill="1" applyBorder="1" applyAlignment="1">
      <alignment horizontal="center"/>
    </xf>
    <xf numFmtId="165" fontId="0" fillId="0" borderId="15" xfId="1" applyNumberFormat="1" applyFont="1" applyFill="1" applyBorder="1" applyAlignment="1">
      <alignment horizontal="center"/>
    </xf>
    <xf numFmtId="165" fontId="0" fillId="0" borderId="33" xfId="1" applyNumberFormat="1" applyFont="1" applyBorder="1" applyAlignment="1">
      <alignment horizontal="center"/>
    </xf>
    <xf numFmtId="165" fontId="3" fillId="0" borderId="17" xfId="1" applyNumberFormat="1" applyFont="1" applyFill="1" applyBorder="1" applyAlignment="1">
      <alignment horizontal="center"/>
    </xf>
    <xf numFmtId="165" fontId="3" fillId="0" borderId="18" xfId="1" applyNumberFormat="1" applyFont="1" applyFill="1" applyBorder="1" applyAlignment="1">
      <alignment horizontal="center"/>
    </xf>
    <xf numFmtId="165" fontId="3" fillId="0" borderId="34" xfId="1" applyNumberFormat="1" applyFont="1" applyFill="1" applyBorder="1" applyAlignment="1">
      <alignment horizontal="center"/>
    </xf>
    <xf numFmtId="165" fontId="3" fillId="0" borderId="19" xfId="1" applyNumberFormat="1" applyFont="1" applyFill="1" applyBorder="1" applyAlignment="1">
      <alignment horizontal="center"/>
    </xf>
    <xf numFmtId="165" fontId="3" fillId="0" borderId="10" xfId="1" applyNumberFormat="1" applyFont="1" applyFill="1" applyBorder="1" applyAlignment="1">
      <alignment horizontal="center" vertical="center"/>
    </xf>
    <xf numFmtId="165" fontId="3" fillId="0" borderId="44" xfId="1" applyNumberFormat="1" applyFont="1" applyFill="1" applyBorder="1" applyAlignment="1">
      <alignment horizontal="center" vertical="center"/>
    </xf>
    <xf numFmtId="14" fontId="0" fillId="0" borderId="45" xfId="0" applyNumberFormat="1" applyFont="1" applyBorder="1" applyAlignment="1">
      <alignment horizontal="center"/>
    </xf>
    <xf numFmtId="14" fontId="0" fillId="0" borderId="16" xfId="0" applyNumberFormat="1" applyFont="1" applyBorder="1" applyAlignment="1">
      <alignment horizontal="center"/>
    </xf>
    <xf numFmtId="14" fontId="0" fillId="0" borderId="26" xfId="0" applyNumberFormat="1" applyFont="1" applyBorder="1" applyAlignment="1">
      <alignment horizontal="center"/>
    </xf>
    <xf numFmtId="14" fontId="0" fillId="0" borderId="40" xfId="0" applyNumberFormat="1" applyFont="1" applyBorder="1" applyAlignment="1">
      <alignment horizontal="center"/>
    </xf>
    <xf numFmtId="14" fontId="0" fillId="0" borderId="7" xfId="0" applyNumberFormat="1" applyFont="1" applyBorder="1" applyAlignment="1">
      <alignment horizontal="center"/>
    </xf>
    <xf numFmtId="14" fontId="0" fillId="0" borderId="27" xfId="0" applyNumberFormat="1" applyFont="1" applyBorder="1" applyAlignment="1">
      <alignment horizontal="center"/>
    </xf>
    <xf numFmtId="17" fontId="0" fillId="0" borderId="22" xfId="0" applyNumberFormat="1" applyFont="1" applyBorder="1" applyAlignment="1">
      <alignment horizontal="center"/>
    </xf>
    <xf numFmtId="17" fontId="0" fillId="0" borderId="23" xfId="0" applyNumberFormat="1" applyFont="1" applyBorder="1" applyAlignment="1">
      <alignment horizontal="center"/>
    </xf>
    <xf numFmtId="165" fontId="0" fillId="0" borderId="3" xfId="1" applyNumberFormat="1" applyFont="1" applyFill="1" applyBorder="1" applyAlignment="1">
      <alignment horizontal="center"/>
    </xf>
    <xf numFmtId="43" fontId="5" fillId="0" borderId="2" xfId="1" applyNumberFormat="1" applyFont="1" applyFill="1" applyBorder="1" applyAlignment="1">
      <alignment horizontal="center" vertical="center"/>
    </xf>
    <xf numFmtId="165" fontId="5" fillId="0" borderId="24" xfId="1" applyNumberFormat="1" applyFont="1" applyFill="1" applyBorder="1" applyAlignment="1">
      <alignment horizontal="center" vertical="center"/>
    </xf>
    <xf numFmtId="165" fontId="5" fillId="0" borderId="15" xfId="1" applyNumberFormat="1" applyFont="1" applyFill="1" applyBorder="1" applyAlignment="1">
      <alignment horizontal="center" vertical="center"/>
    </xf>
    <xf numFmtId="165" fontId="5" fillId="0" borderId="20" xfId="1" applyNumberFormat="1" applyFont="1" applyFill="1" applyBorder="1" applyAlignment="1">
      <alignment horizontal="center" vertical="center"/>
    </xf>
    <xf numFmtId="43" fontId="5" fillId="0" borderId="20" xfId="1" applyNumberFormat="1" applyFont="1" applyFill="1" applyBorder="1" applyAlignment="1">
      <alignment horizontal="center" vertical="center"/>
    </xf>
    <xf numFmtId="43" fontId="0" fillId="0" borderId="1" xfId="1" applyNumberFormat="1" applyFont="1" applyFill="1" applyBorder="1" applyAlignment="1">
      <alignment horizontal="center"/>
    </xf>
    <xf numFmtId="165" fontId="5" fillId="0" borderId="7" xfId="1" applyNumberFormat="1" applyFont="1" applyFill="1" applyBorder="1" applyAlignment="1">
      <alignment horizontal="center" vertical="center"/>
    </xf>
    <xf numFmtId="0" fontId="11" fillId="0" borderId="13"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2" fillId="0" borderId="21" xfId="0" applyFont="1" applyFill="1" applyBorder="1" applyAlignment="1">
      <alignment vertical="center" wrapText="1"/>
    </xf>
    <xf numFmtId="165" fontId="12" fillId="0" borderId="21" xfId="1" applyNumberFormat="1" applyFont="1" applyFill="1" applyBorder="1" applyAlignment="1">
      <alignment horizontal="right" vertical="center" wrapText="1"/>
    </xf>
    <xf numFmtId="43" fontId="12" fillId="0" borderId="26" xfId="1" applyNumberFormat="1" applyFont="1" applyFill="1" applyBorder="1" applyAlignment="1">
      <alignment horizontal="right" vertical="center" wrapText="1"/>
    </xf>
    <xf numFmtId="0" fontId="12" fillId="0" borderId="22" xfId="0" applyFont="1" applyFill="1" applyBorder="1" applyAlignment="1">
      <alignment vertical="center" wrapText="1"/>
    </xf>
    <xf numFmtId="0" fontId="12" fillId="0" borderId="22" xfId="0" applyFont="1" applyFill="1" applyBorder="1" applyAlignment="1">
      <alignment horizontal="right" vertical="center" wrapText="1"/>
    </xf>
    <xf numFmtId="0" fontId="12" fillId="0" borderId="27" xfId="0" applyFont="1" applyFill="1" applyBorder="1" applyAlignment="1">
      <alignment horizontal="right" vertical="center" wrapText="1"/>
    </xf>
    <xf numFmtId="0" fontId="12" fillId="0" borderId="32" xfId="0" applyFont="1" applyFill="1" applyBorder="1" applyAlignment="1">
      <alignment vertical="center" wrapText="1"/>
    </xf>
    <xf numFmtId="165" fontId="12" fillId="0" borderId="32" xfId="1" applyNumberFormat="1" applyFont="1" applyFill="1" applyBorder="1" applyAlignment="1">
      <alignment horizontal="right" vertical="center" wrapText="1"/>
    </xf>
    <xf numFmtId="165" fontId="12" fillId="0" borderId="30" xfId="1" applyNumberFormat="1" applyFont="1" applyFill="1" applyBorder="1" applyAlignment="1">
      <alignment horizontal="right" vertical="center" wrapText="1"/>
    </xf>
    <xf numFmtId="9" fontId="0" fillId="0" borderId="0" xfId="8" applyNumberFormat="1" applyFont="1"/>
    <xf numFmtId="17" fontId="0" fillId="0" borderId="23" xfId="0" applyNumberFormat="1" applyFont="1" applyFill="1" applyBorder="1" applyAlignment="1">
      <alignment horizontal="center"/>
    </xf>
    <xf numFmtId="17" fontId="0" fillId="0" borderId="22" xfId="0" applyNumberFormat="1" applyFont="1" applyFill="1" applyBorder="1" applyAlignment="1">
      <alignment horizontal="center"/>
    </xf>
    <xf numFmtId="17" fontId="0" fillId="0" borderId="21" xfId="0" applyNumberFormat="1" applyFont="1" applyFill="1" applyBorder="1" applyAlignment="1">
      <alignment horizontal="center"/>
    </xf>
    <xf numFmtId="165" fontId="12" fillId="0" borderId="26" xfId="1" applyNumberFormat="1" applyFont="1" applyFill="1" applyBorder="1" applyAlignment="1">
      <alignment horizontal="right" vertical="center" wrapText="1"/>
    </xf>
    <xf numFmtId="0" fontId="0" fillId="0" borderId="47" xfId="0" applyBorder="1" applyAlignment="1">
      <alignment horizontal="left" wrapText="1"/>
    </xf>
    <xf numFmtId="0" fontId="0" fillId="0" borderId="48" xfId="0" applyBorder="1" applyAlignment="1">
      <alignment horizontal="left" wrapText="1"/>
    </xf>
    <xf numFmtId="0" fontId="0" fillId="0" borderId="6" xfId="0" applyBorder="1" applyAlignment="1">
      <alignment horizontal="left" wrapText="1"/>
    </xf>
    <xf numFmtId="0" fontId="0" fillId="0" borderId="9" xfId="0" applyBorder="1" applyAlignment="1">
      <alignment horizontal="left" wrapText="1"/>
    </xf>
    <xf numFmtId="0" fontId="0" fillId="0" borderId="0" xfId="0" applyBorder="1" applyAlignment="1">
      <alignment horizontal="left" wrapText="1"/>
    </xf>
    <xf numFmtId="0" fontId="0" fillId="0" borderId="8" xfId="0" applyBorder="1" applyAlignment="1">
      <alignment horizontal="left" wrapText="1"/>
    </xf>
    <xf numFmtId="0" fontId="0" fillId="0" borderId="49" xfId="0" applyBorder="1" applyAlignment="1">
      <alignment horizontal="left" wrapText="1"/>
    </xf>
    <xf numFmtId="0" fontId="0" fillId="0" borderId="50" xfId="0" applyBorder="1" applyAlignment="1">
      <alignment horizontal="left" wrapText="1"/>
    </xf>
    <xf numFmtId="0" fontId="0" fillId="0" borderId="12" xfId="0" applyBorder="1" applyAlignment="1">
      <alignment horizontal="left" wrapText="1"/>
    </xf>
    <xf numFmtId="165" fontId="3" fillId="0" borderId="29" xfId="1" applyNumberFormat="1" applyFont="1" applyFill="1" applyBorder="1" applyAlignment="1">
      <alignment horizontal="center" wrapText="1"/>
    </xf>
    <xf numFmtId="165" fontId="3" fillId="0" borderId="46" xfId="1" applyNumberFormat="1" applyFont="1" applyFill="1" applyBorder="1" applyAlignment="1">
      <alignment horizontal="center" wrapText="1"/>
    </xf>
    <xf numFmtId="165" fontId="3" fillId="0" borderId="25" xfId="1" applyNumberFormat="1" applyFont="1" applyFill="1" applyBorder="1" applyAlignment="1">
      <alignment horizontal="center" wrapText="1"/>
    </xf>
    <xf numFmtId="0" fontId="7" fillId="0" borderId="0" xfId="0" applyFont="1" applyBorder="1" applyAlignment="1">
      <alignment horizontal="left"/>
    </xf>
    <xf numFmtId="0" fontId="9" fillId="0" borderId="29" xfId="6" applyFont="1" applyFill="1" applyBorder="1" applyAlignment="1">
      <alignment horizontal="center"/>
    </xf>
    <xf numFmtId="0" fontId="9" fillId="0" borderId="25" xfId="6" applyFont="1" applyFill="1" applyBorder="1" applyAlignment="1">
      <alignment horizontal="center"/>
    </xf>
    <xf numFmtId="165" fontId="3" fillId="0" borderId="35" xfId="1" applyNumberFormat="1" applyFont="1" applyFill="1" applyBorder="1" applyAlignment="1">
      <alignment horizontal="center" vertical="center"/>
    </xf>
    <xf numFmtId="165" fontId="3" fillId="0" borderId="39" xfId="1" applyNumberFormat="1" applyFont="1" applyFill="1" applyBorder="1" applyAlignment="1">
      <alignment horizontal="center" vertical="center"/>
    </xf>
    <xf numFmtId="165" fontId="3" fillId="0" borderId="36" xfId="1" applyNumberFormat="1" applyFont="1" applyFill="1" applyBorder="1" applyAlignment="1">
      <alignment horizontal="center" vertical="center" wrapText="1"/>
    </xf>
    <xf numFmtId="165" fontId="3" fillId="0" borderId="40" xfId="1" applyNumberFormat="1" applyFont="1" applyFill="1" applyBorder="1" applyAlignment="1">
      <alignment horizontal="center" vertical="center" wrapText="1"/>
    </xf>
    <xf numFmtId="165" fontId="3" fillId="0" borderId="37" xfId="1" applyNumberFormat="1" applyFont="1" applyFill="1" applyBorder="1" applyAlignment="1">
      <alignment horizontal="center" vertical="center" wrapText="1"/>
    </xf>
    <xf numFmtId="165" fontId="3" fillId="0" borderId="41" xfId="1" applyNumberFormat="1" applyFont="1" applyFill="1" applyBorder="1" applyAlignment="1">
      <alignment horizontal="center" vertical="center" wrapText="1"/>
    </xf>
    <xf numFmtId="165" fontId="3" fillId="0" borderId="38" xfId="1" applyNumberFormat="1" applyFont="1" applyFill="1" applyBorder="1" applyAlignment="1">
      <alignment horizontal="center" vertical="center" wrapText="1"/>
    </xf>
    <xf numFmtId="165" fontId="3" fillId="0" borderId="42" xfId="1" applyNumberFormat="1" applyFont="1" applyFill="1" applyBorder="1" applyAlignment="1">
      <alignment horizontal="center" vertical="center" wrapText="1"/>
    </xf>
    <xf numFmtId="165" fontId="3" fillId="0" borderId="35" xfId="1" applyNumberFormat="1" applyFont="1" applyFill="1" applyBorder="1" applyAlignment="1">
      <alignment horizontal="center" vertical="center" wrapText="1"/>
    </xf>
    <xf numFmtId="165" fontId="3" fillId="0" borderId="39" xfId="1" applyNumberFormat="1" applyFont="1" applyFill="1" applyBorder="1" applyAlignment="1">
      <alignment horizontal="center" vertical="center" wrapText="1"/>
    </xf>
    <xf numFmtId="165" fontId="3" fillId="0" borderId="4" xfId="1" applyNumberFormat="1" applyFont="1" applyFill="1" applyBorder="1" applyAlignment="1">
      <alignment horizontal="center" vertical="center"/>
    </xf>
    <xf numFmtId="165" fontId="3" fillId="0" borderId="43" xfId="1" applyNumberFormat="1" applyFont="1" applyFill="1" applyBorder="1" applyAlignment="1">
      <alignment horizontal="center" vertical="center"/>
    </xf>
    <xf numFmtId="0" fontId="11" fillId="0" borderId="29" xfId="0" applyFont="1" applyFill="1" applyBorder="1" applyAlignment="1">
      <alignment horizontal="center" vertical="center"/>
    </xf>
    <xf numFmtId="0" fontId="11" fillId="0" borderId="46" xfId="0" applyFont="1" applyFill="1" applyBorder="1" applyAlignment="1">
      <alignment horizontal="center" vertical="center"/>
    </xf>
    <xf numFmtId="0" fontId="11" fillId="0" borderId="25" xfId="0" applyFont="1" applyFill="1" applyBorder="1" applyAlignment="1">
      <alignment horizontal="center" vertical="center"/>
    </xf>
    <xf numFmtId="165" fontId="0" fillId="0" borderId="2" xfId="1" applyNumberFormat="1" applyFont="1" applyFill="1" applyBorder="1" applyAlignment="1">
      <alignment horizontal="center"/>
    </xf>
    <xf numFmtId="165" fontId="0" fillId="0" borderId="3" xfId="1" applyNumberFormat="1" applyFont="1" applyFill="1" applyBorder="1" applyAlignment="1">
      <alignment horizontal="center"/>
    </xf>
  </cellXfs>
  <cellStyles count="9">
    <cellStyle name="Comma" xfId="1" builtinId="3"/>
    <cellStyle name="Comma 2" xfId="3"/>
    <cellStyle name="Normal" xfId="0" builtinId="0"/>
    <cellStyle name="Normal 2" xfId="2"/>
    <cellStyle name="Normal 3" xfId="4"/>
    <cellStyle name="Normal 3 2" xfId="7"/>
    <cellStyle name="Normal 7" xfId="6"/>
    <cellStyle name="Percent" xfId="8" builtinId="5"/>
    <cellStyle name="Percent 2" xf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4" dT="2021-07-07T06:29:50.09" personId="{00000000-0000-0000-0000-000000000000}" id="{4225FA57-AC3F-49AB-9156-0F77F92587F4}">
    <text>the estimated value provided is the electricity generation from 1 year, whereas actual value is for entire MP, which is longer than 1 year. Please use comparable values for this comparison</text>
  </threadedComment>
  <threadedComment ref="D5" dT="2021-07-07T06:30:22.02" personId="{00000000-0000-0000-0000-000000000000}" id="{5F56818E-EA3B-4F4C-A715-F13A9C0249D5}">
    <text>same as above.</text>
  </threadedComment>
  <threadedComment ref="D6" dT="2021-07-07T06:30:34.18" personId="{00000000-0000-0000-0000-000000000000}" id="{776569A4-0E95-4063-8DF2-187307AF68AA}">
    <text>same as above</text>
  </threadedComment>
</ThreadedComment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3:M120"/>
  <sheetViews>
    <sheetView workbookViewId="0">
      <selection activeCell="G6" sqref="G6"/>
    </sheetView>
  </sheetViews>
  <sheetFormatPr defaultRowHeight="15"/>
  <cols>
    <col min="1" max="1" width="10.140625" customWidth="1"/>
    <col min="2" max="2" width="12.42578125" bestFit="1" customWidth="1"/>
    <col min="3" max="5" width="15.7109375" customWidth="1"/>
    <col min="6" max="6" width="10.140625" bestFit="1" customWidth="1"/>
    <col min="7" max="7" width="11.5703125" style="79" customWidth="1"/>
    <col min="8" max="8" width="10.5703125" bestFit="1" customWidth="1"/>
    <col min="9" max="9" width="17.28515625" customWidth="1"/>
    <col min="10" max="10" width="11.5703125" bestFit="1" customWidth="1"/>
    <col min="11" max="11" width="23.85546875" bestFit="1" customWidth="1"/>
    <col min="12" max="12" width="9.85546875" bestFit="1" customWidth="1"/>
  </cols>
  <sheetData>
    <row r="3" spans="1:11">
      <c r="A3" s="1" t="s">
        <v>12</v>
      </c>
      <c r="I3" t="s">
        <v>51</v>
      </c>
      <c r="K3" s="86">
        <v>42142</v>
      </c>
    </row>
    <row r="5" spans="1:11" ht="45">
      <c r="A5" s="2"/>
      <c r="B5" s="3" t="s">
        <v>1</v>
      </c>
      <c r="C5" s="3" t="s">
        <v>2</v>
      </c>
      <c r="D5" s="3" t="s">
        <v>3</v>
      </c>
      <c r="E5" s="3" t="s">
        <v>4</v>
      </c>
      <c r="F5" s="3" t="s">
        <v>5</v>
      </c>
      <c r="G5" s="13" t="s">
        <v>47</v>
      </c>
      <c r="H5" s="3" t="s">
        <v>6</v>
      </c>
      <c r="I5" s="3" t="s">
        <v>7</v>
      </c>
      <c r="J5" s="3" t="s">
        <v>8</v>
      </c>
      <c r="K5" s="3" t="s">
        <v>9</v>
      </c>
    </row>
    <row r="6" spans="1:11">
      <c r="A6" s="17">
        <v>42125</v>
      </c>
      <c r="B6" s="18">
        <v>565359.46213113982</v>
      </c>
      <c r="C6" s="18">
        <v>8509.7258103241293</v>
      </c>
      <c r="D6" s="6">
        <f t="shared" ref="D6:D16" si="0">B6-C6</f>
        <v>556849.73632081575</v>
      </c>
      <c r="E6" s="8">
        <f t="shared" ref="E6:E18" si="1">D6*5.45</f>
        <v>3034831.0629484458</v>
      </c>
      <c r="F6" s="19">
        <v>42199</v>
      </c>
      <c r="G6" s="87"/>
      <c r="H6" s="19">
        <v>42261</v>
      </c>
      <c r="I6" s="8">
        <v>0</v>
      </c>
      <c r="J6" s="8">
        <f t="shared" ref="J6:J20" si="2">E6-I6</f>
        <v>3034831.0629484458</v>
      </c>
      <c r="K6" s="20" t="s">
        <v>13</v>
      </c>
    </row>
    <row r="7" spans="1:11">
      <c r="A7" s="17">
        <v>42156</v>
      </c>
      <c r="B7" s="18">
        <v>2490045.3831771724</v>
      </c>
      <c r="C7" s="18">
        <v>8556.3369330453552</v>
      </c>
      <c r="D7" s="6">
        <f t="shared" si="0"/>
        <v>2481489.0462441272</v>
      </c>
      <c r="E7" s="8">
        <f t="shared" si="1"/>
        <v>13524115.302030494</v>
      </c>
      <c r="F7" s="19">
        <v>42199</v>
      </c>
      <c r="G7" s="87"/>
      <c r="H7" s="19">
        <v>42261</v>
      </c>
      <c r="I7" s="8">
        <v>11802013</v>
      </c>
      <c r="J7" s="8">
        <f t="shared" si="2"/>
        <v>1722102.3020304944</v>
      </c>
      <c r="K7" s="21">
        <v>42269</v>
      </c>
    </row>
    <row r="8" spans="1:11">
      <c r="A8" s="17">
        <v>42186</v>
      </c>
      <c r="B8" s="18">
        <v>2844244.512199414</v>
      </c>
      <c r="C8" s="18">
        <v>11309.723131884479</v>
      </c>
      <c r="D8" s="6">
        <f t="shared" si="0"/>
        <v>2832934.7890675296</v>
      </c>
      <c r="E8" s="8">
        <f t="shared" si="1"/>
        <v>15439494.600418037</v>
      </c>
      <c r="F8" s="19">
        <v>42223</v>
      </c>
      <c r="G8" s="87"/>
      <c r="H8" s="22">
        <v>42284</v>
      </c>
      <c r="I8" s="23">
        <v>15439495</v>
      </c>
      <c r="J8" s="8">
        <f t="shared" si="2"/>
        <v>-0.39958196319639683</v>
      </c>
      <c r="K8" s="21">
        <v>42292</v>
      </c>
    </row>
    <row r="9" spans="1:11">
      <c r="A9" s="17">
        <v>42217</v>
      </c>
      <c r="B9" s="18">
        <v>3477764.6540535842</v>
      </c>
      <c r="C9" s="18">
        <v>12546.083193277313</v>
      </c>
      <c r="D9" s="6">
        <f t="shared" si="0"/>
        <v>3465218.5708603067</v>
      </c>
      <c r="E9" s="8">
        <f t="shared" si="1"/>
        <v>18885441.211188674</v>
      </c>
      <c r="F9" s="19">
        <v>42254</v>
      </c>
      <c r="G9" s="87"/>
      <c r="H9" s="22">
        <v>42315</v>
      </c>
      <c r="I9" s="23">
        <v>18884294</v>
      </c>
      <c r="J9" s="8">
        <f t="shared" si="2"/>
        <v>1147.2111886739731</v>
      </c>
      <c r="K9" s="21">
        <v>42317</v>
      </c>
    </row>
    <row r="10" spans="1:11">
      <c r="A10" s="17">
        <v>42248</v>
      </c>
      <c r="B10" s="18">
        <v>3558763.0247270414</v>
      </c>
      <c r="C10" s="18">
        <v>8257.8230640449074</v>
      </c>
      <c r="D10" s="6">
        <f t="shared" si="0"/>
        <v>3550505.2016629963</v>
      </c>
      <c r="E10" s="8">
        <f t="shared" si="1"/>
        <v>19350253.349063329</v>
      </c>
      <c r="F10" s="19">
        <v>42284</v>
      </c>
      <c r="G10" s="87"/>
      <c r="H10" s="22">
        <v>42345</v>
      </c>
      <c r="I10" s="23">
        <v>16989852</v>
      </c>
      <c r="J10" s="8">
        <f t="shared" si="2"/>
        <v>2360401.3490633294</v>
      </c>
      <c r="K10" s="21">
        <v>42374</v>
      </c>
    </row>
    <row r="11" spans="1:11">
      <c r="A11" s="17"/>
      <c r="B11" s="39"/>
      <c r="C11" s="39"/>
      <c r="D11" s="6"/>
      <c r="E11" s="8"/>
      <c r="F11" s="19"/>
      <c r="G11" s="87"/>
      <c r="H11" s="22"/>
      <c r="I11" s="8">
        <v>2329960</v>
      </c>
      <c r="J11" s="8">
        <f t="shared" si="2"/>
        <v>-2329960</v>
      </c>
      <c r="K11" s="21">
        <v>42445</v>
      </c>
    </row>
    <row r="12" spans="1:11">
      <c r="A12" s="17">
        <v>42278</v>
      </c>
      <c r="B12" s="18">
        <v>3809181.2429756299</v>
      </c>
      <c r="C12" s="18">
        <v>15163.43194268858</v>
      </c>
      <c r="D12" s="6">
        <f t="shared" si="0"/>
        <v>3794017.8110329411</v>
      </c>
      <c r="E12" s="8">
        <f t="shared" si="1"/>
        <v>20677397.070129529</v>
      </c>
      <c r="F12" s="19">
        <v>42313</v>
      </c>
      <c r="G12" s="87"/>
      <c r="H12" s="22">
        <v>42374</v>
      </c>
      <c r="I12" s="23">
        <v>17561214</v>
      </c>
      <c r="J12" s="8">
        <f t="shared" si="2"/>
        <v>3116183.0701295286</v>
      </c>
      <c r="K12" s="21">
        <v>42380</v>
      </c>
    </row>
    <row r="13" spans="1:11">
      <c r="A13" s="17"/>
      <c r="B13" s="39"/>
      <c r="C13" s="39"/>
      <c r="D13" s="6"/>
      <c r="E13" s="8"/>
      <c r="F13" s="19"/>
      <c r="G13" s="87"/>
      <c r="H13" s="22"/>
      <c r="I13" s="8">
        <v>3093236</v>
      </c>
      <c r="J13" s="8">
        <f t="shared" si="2"/>
        <v>-3093236</v>
      </c>
      <c r="K13" s="21">
        <v>42472</v>
      </c>
    </row>
    <row r="14" spans="1:11">
      <c r="A14" s="17">
        <v>42309</v>
      </c>
      <c r="B14" s="18">
        <v>2580104.7836568868</v>
      </c>
      <c r="C14" s="18">
        <v>14337.932054794521</v>
      </c>
      <c r="D14" s="6">
        <f t="shared" si="0"/>
        <v>2565766.8516020924</v>
      </c>
      <c r="E14" s="8">
        <f t="shared" si="1"/>
        <v>13983429.341231404</v>
      </c>
      <c r="F14" s="19">
        <v>42342</v>
      </c>
      <c r="G14" s="87"/>
      <c r="H14" s="22">
        <v>42404</v>
      </c>
      <c r="I14" s="23">
        <v>13983429</v>
      </c>
      <c r="J14" s="8">
        <f t="shared" si="2"/>
        <v>0.34123140387237072</v>
      </c>
      <c r="K14" s="21">
        <v>42403</v>
      </c>
    </row>
    <row r="15" spans="1:11">
      <c r="A15" s="17">
        <v>42339</v>
      </c>
      <c r="B15" s="18">
        <v>2976487</v>
      </c>
      <c r="C15" s="18">
        <v>16061</v>
      </c>
      <c r="D15" s="6">
        <f t="shared" si="0"/>
        <v>2960426</v>
      </c>
      <c r="E15" s="8">
        <f t="shared" si="1"/>
        <v>16134321.700000001</v>
      </c>
      <c r="F15" s="19">
        <v>42374</v>
      </c>
      <c r="G15" s="87"/>
      <c r="H15" s="22">
        <v>42434</v>
      </c>
      <c r="I15" s="23">
        <v>16134322</v>
      </c>
      <c r="J15" s="8">
        <f t="shared" si="2"/>
        <v>-0.29999999888241291</v>
      </c>
      <c r="K15" s="21">
        <v>42436</v>
      </c>
    </row>
    <row r="16" spans="1:11">
      <c r="A16" s="17">
        <v>42370</v>
      </c>
      <c r="B16" s="18">
        <v>3114149</v>
      </c>
      <c r="C16" s="18">
        <v>16571</v>
      </c>
      <c r="D16" s="6">
        <f t="shared" si="0"/>
        <v>3097578</v>
      </c>
      <c r="E16" s="8">
        <f t="shared" si="1"/>
        <v>16881800.100000001</v>
      </c>
      <c r="F16" s="19">
        <v>42405</v>
      </c>
      <c r="G16" s="87"/>
      <c r="H16" s="22">
        <v>42464</v>
      </c>
      <c r="I16" s="23">
        <v>16881804</v>
      </c>
      <c r="J16" s="8">
        <f t="shared" si="2"/>
        <v>-3.8999999985098839</v>
      </c>
      <c r="K16" s="21">
        <v>42465</v>
      </c>
    </row>
    <row r="17" spans="1:11">
      <c r="A17" s="17">
        <v>42401</v>
      </c>
      <c r="B17" s="24">
        <v>3339044.7063543866</v>
      </c>
      <c r="C17" s="24">
        <v>14079.57316594743</v>
      </c>
      <c r="D17" s="6">
        <f>B17-C17</f>
        <v>3324965.1331884391</v>
      </c>
      <c r="E17" s="8">
        <f t="shared" si="1"/>
        <v>18121059.975876994</v>
      </c>
      <c r="F17" s="19">
        <v>42433</v>
      </c>
      <c r="G17" s="87"/>
      <c r="H17" s="22">
        <v>42494</v>
      </c>
      <c r="I17" s="23">
        <v>18121060</v>
      </c>
      <c r="J17" s="8">
        <f t="shared" si="2"/>
        <v>-2.4123005568981171E-2</v>
      </c>
      <c r="K17" s="21">
        <v>42495</v>
      </c>
    </row>
    <row r="18" spans="1:11">
      <c r="A18" s="17">
        <v>42430</v>
      </c>
      <c r="B18" s="24">
        <v>3946424.6116860984</v>
      </c>
      <c r="C18" s="24">
        <v>14393.119793902963</v>
      </c>
      <c r="D18" s="6">
        <f>B18-C18</f>
        <v>3932031.4918921953</v>
      </c>
      <c r="E18" s="8">
        <f t="shared" si="1"/>
        <v>21429571.630812466</v>
      </c>
      <c r="F18" s="19">
        <v>42464</v>
      </c>
      <c r="G18" s="87"/>
      <c r="H18" s="22">
        <f>F18+60</f>
        <v>42524</v>
      </c>
      <c r="I18" s="23">
        <f>E18</f>
        <v>21429571.630812466</v>
      </c>
      <c r="J18" s="8">
        <f t="shared" si="2"/>
        <v>0</v>
      </c>
      <c r="K18" s="9">
        <v>42528</v>
      </c>
    </row>
    <row r="19" spans="1:11">
      <c r="A19" s="17">
        <v>42461</v>
      </c>
      <c r="B19" s="24">
        <v>3988765.2687458764</v>
      </c>
      <c r="C19" s="24">
        <v>14324.177963085373</v>
      </c>
      <c r="D19" s="6">
        <f>ROUND(B19-C19,0)</f>
        <v>3974441</v>
      </c>
      <c r="E19" s="8">
        <f t="shared" ref="E19:E22" si="3">D19*5.45</f>
        <v>21660703.449999999</v>
      </c>
      <c r="F19" s="19">
        <v>42494</v>
      </c>
      <c r="G19" s="87"/>
      <c r="H19" s="22">
        <f>F19+60</f>
        <v>42554</v>
      </c>
      <c r="I19" s="8">
        <f>E19</f>
        <v>21660703.449999999</v>
      </c>
      <c r="J19" s="8">
        <f t="shared" si="2"/>
        <v>0</v>
      </c>
      <c r="K19" s="9">
        <v>42556</v>
      </c>
    </row>
    <row r="20" spans="1:11">
      <c r="A20" s="17">
        <v>42491</v>
      </c>
      <c r="B20" s="24">
        <v>3810242</v>
      </c>
      <c r="C20" s="24">
        <v>13703</v>
      </c>
      <c r="D20" s="6">
        <f>ROUND(B20-C20,0)</f>
        <v>3796539</v>
      </c>
      <c r="E20" s="8">
        <f t="shared" si="3"/>
        <v>20691137.550000001</v>
      </c>
      <c r="F20" s="19">
        <v>42527</v>
      </c>
      <c r="G20" s="87"/>
      <c r="H20" s="22">
        <f>F20+60</f>
        <v>42587</v>
      </c>
      <c r="I20" s="8">
        <v>20691138</v>
      </c>
      <c r="J20" s="8">
        <f t="shared" si="2"/>
        <v>-0.44999999925494194</v>
      </c>
      <c r="K20" s="9">
        <v>42588</v>
      </c>
    </row>
    <row r="21" spans="1:11">
      <c r="A21" s="17">
        <v>42522</v>
      </c>
      <c r="B21" s="24">
        <v>3710354</v>
      </c>
      <c r="C21" s="24">
        <v>13100</v>
      </c>
      <c r="D21" s="6">
        <f>ROUND(B21-C21,0)</f>
        <v>3697254</v>
      </c>
      <c r="E21" s="8">
        <f t="shared" si="3"/>
        <v>20150034.300000001</v>
      </c>
      <c r="F21" s="19">
        <v>42557</v>
      </c>
      <c r="G21" s="87"/>
      <c r="H21" s="22">
        <f>F21+60</f>
        <v>42617</v>
      </c>
      <c r="I21" s="8">
        <v>0</v>
      </c>
      <c r="J21" s="8"/>
      <c r="K21" s="20" t="s">
        <v>13</v>
      </c>
    </row>
    <row r="22" spans="1:11">
      <c r="A22" s="17">
        <v>42552</v>
      </c>
      <c r="B22" s="24">
        <v>3765350</v>
      </c>
      <c r="C22" s="24">
        <v>14735</v>
      </c>
      <c r="D22" s="6">
        <f>ROUND(B22-C22,0)</f>
        <v>3750615</v>
      </c>
      <c r="E22" s="8">
        <f t="shared" si="3"/>
        <v>20440851.75</v>
      </c>
      <c r="F22" s="19">
        <v>42590</v>
      </c>
      <c r="G22" s="87"/>
      <c r="H22" s="22">
        <f>F22+60</f>
        <v>42650</v>
      </c>
      <c r="I22" s="8"/>
      <c r="J22" s="8"/>
      <c r="K22" s="20" t="s">
        <v>14</v>
      </c>
    </row>
    <row r="23" spans="1:11">
      <c r="A23" s="17">
        <v>42583</v>
      </c>
      <c r="B23" s="24"/>
      <c r="C23" s="24"/>
      <c r="D23" s="6"/>
      <c r="E23" s="8"/>
      <c r="F23" s="19"/>
      <c r="G23" s="87"/>
      <c r="H23" s="22"/>
      <c r="I23" s="8"/>
      <c r="J23" s="8"/>
      <c r="K23" s="20" t="s">
        <v>50</v>
      </c>
    </row>
    <row r="24" spans="1:11">
      <c r="A24" s="2" t="s">
        <v>10</v>
      </c>
      <c r="B24" s="3">
        <f>SUM(B6:B23)</f>
        <v>47976279.649707228</v>
      </c>
      <c r="C24" s="3">
        <f t="shared" ref="C24:E24" si="4">SUM(C6:C23)</f>
        <v>195647.92705299504</v>
      </c>
      <c r="D24" s="3">
        <f t="shared" si="4"/>
        <v>47780631.631871447</v>
      </c>
      <c r="E24" s="3">
        <f t="shared" si="4"/>
        <v>260404442.39369938</v>
      </c>
      <c r="F24" s="3"/>
      <c r="G24" s="13"/>
      <c r="H24" s="3"/>
      <c r="I24" s="3">
        <f t="shared" ref="I24:J24" si="5">SUM(I6:I23)</f>
        <v>215002092.08081245</v>
      </c>
      <c r="J24" s="3">
        <f t="shared" si="5"/>
        <v>4811464.2628869107</v>
      </c>
      <c r="K24" s="3"/>
    </row>
    <row r="25" spans="1:11">
      <c r="H25" s="25"/>
      <c r="I25" s="26"/>
      <c r="K25" s="27"/>
    </row>
    <row r="26" spans="1:11">
      <c r="A26" s="1" t="s">
        <v>15</v>
      </c>
      <c r="D26" t="s">
        <v>16</v>
      </c>
      <c r="I26" t="s">
        <v>51</v>
      </c>
      <c r="K26" s="86">
        <v>42142</v>
      </c>
    </row>
    <row r="28" spans="1:11" ht="45">
      <c r="A28" s="2"/>
      <c r="B28" s="3" t="s">
        <v>1</v>
      </c>
      <c r="C28" s="3" t="s">
        <v>2</v>
      </c>
      <c r="D28" s="3" t="s">
        <v>3</v>
      </c>
      <c r="E28" s="3" t="s">
        <v>4</v>
      </c>
      <c r="F28" s="3" t="s">
        <v>5</v>
      </c>
      <c r="G28" s="13" t="s">
        <v>47</v>
      </c>
      <c r="H28" s="3" t="s">
        <v>6</v>
      </c>
      <c r="I28" s="3" t="s">
        <v>7</v>
      </c>
      <c r="J28" s="3" t="s">
        <v>8</v>
      </c>
      <c r="K28" s="3" t="s">
        <v>9</v>
      </c>
    </row>
    <row r="29" spans="1:11">
      <c r="A29" s="17">
        <v>42125</v>
      </c>
      <c r="B29" s="18">
        <v>857365.83413723798</v>
      </c>
      <c r="C29" s="18">
        <v>7751.1068427370956</v>
      </c>
      <c r="D29" s="6">
        <f t="shared" ref="D29:D39" si="6">B29-C29</f>
        <v>849614.72729450092</v>
      </c>
      <c r="E29" s="8">
        <f t="shared" ref="E29:E41" si="7">D29*5.45</f>
        <v>4630400.26375503</v>
      </c>
      <c r="F29" s="19">
        <v>42199</v>
      </c>
      <c r="G29" s="87"/>
      <c r="H29" s="19">
        <v>42261</v>
      </c>
      <c r="I29" s="8">
        <v>0</v>
      </c>
      <c r="J29" s="8">
        <f t="shared" ref="J29:J43" si="8">E29-I29</f>
        <v>4630400.26375503</v>
      </c>
      <c r="K29" s="16" t="s">
        <v>13</v>
      </c>
    </row>
    <row r="30" spans="1:11">
      <c r="A30" s="17">
        <v>42156</v>
      </c>
      <c r="B30" s="18">
        <v>2465955.0634834869</v>
      </c>
      <c r="C30" s="18">
        <v>7604.7053131749453</v>
      </c>
      <c r="D30" s="6">
        <f t="shared" si="6"/>
        <v>2458350.3581703119</v>
      </c>
      <c r="E30" s="8">
        <f t="shared" si="7"/>
        <v>13398009.4520282</v>
      </c>
      <c r="F30" s="19">
        <v>42199</v>
      </c>
      <c r="G30" s="87"/>
      <c r="H30" s="19">
        <v>42261</v>
      </c>
      <c r="I30" s="8">
        <v>11691670</v>
      </c>
      <c r="J30" s="8">
        <f t="shared" si="8"/>
        <v>1706339.4520282</v>
      </c>
      <c r="K30" s="9">
        <v>42269</v>
      </c>
    </row>
    <row r="31" spans="1:11">
      <c r="A31" s="17">
        <v>42186</v>
      </c>
      <c r="B31" s="18">
        <v>2971429.3627299382</v>
      </c>
      <c r="C31" s="18">
        <v>13073.176540637092</v>
      </c>
      <c r="D31" s="6">
        <f t="shared" si="6"/>
        <v>2958356.1861893013</v>
      </c>
      <c r="E31" s="8">
        <f t="shared" si="7"/>
        <v>16123041.214731693</v>
      </c>
      <c r="F31" s="19">
        <v>42223</v>
      </c>
      <c r="G31" s="87"/>
      <c r="H31" s="22">
        <v>42284</v>
      </c>
      <c r="I31" s="23">
        <v>16123041</v>
      </c>
      <c r="J31" s="8">
        <f t="shared" si="8"/>
        <v>0.21473169326782227</v>
      </c>
      <c r="K31" s="10">
        <v>42292</v>
      </c>
    </row>
    <row r="32" spans="1:11">
      <c r="A32" s="17">
        <v>42217</v>
      </c>
      <c r="B32" s="18">
        <v>3595986.0565829081</v>
      </c>
      <c r="C32" s="18">
        <v>14186.785084033612</v>
      </c>
      <c r="D32" s="6">
        <f t="shared" si="6"/>
        <v>3581799.2714988748</v>
      </c>
      <c r="E32" s="8">
        <f t="shared" si="7"/>
        <v>19520806.029668868</v>
      </c>
      <c r="F32" s="19">
        <v>42254</v>
      </c>
      <c r="G32" s="87"/>
      <c r="H32" s="22">
        <v>42315</v>
      </c>
      <c r="I32" s="23">
        <v>19519613</v>
      </c>
      <c r="J32" s="8">
        <f t="shared" si="8"/>
        <v>1193.029668867588</v>
      </c>
      <c r="K32" s="10">
        <v>42338</v>
      </c>
    </row>
    <row r="33" spans="1:11">
      <c r="A33" s="17">
        <v>42248</v>
      </c>
      <c r="B33" s="18">
        <v>3464911.256779179</v>
      </c>
      <c r="C33" s="18">
        <v>8841.8070446114962</v>
      </c>
      <c r="D33" s="6">
        <f t="shared" si="6"/>
        <v>3456069.4497345677</v>
      </c>
      <c r="E33" s="8">
        <f t="shared" si="7"/>
        <v>18835578.501053393</v>
      </c>
      <c r="F33" s="19">
        <v>42284</v>
      </c>
      <c r="G33" s="87"/>
      <c r="H33" s="22">
        <v>42345</v>
      </c>
      <c r="I33" s="23">
        <v>16989852</v>
      </c>
      <c r="J33" s="8">
        <f t="shared" si="8"/>
        <v>1845726.5010533929</v>
      </c>
      <c r="K33" s="9">
        <v>42374</v>
      </c>
    </row>
    <row r="34" spans="1:11">
      <c r="A34" s="17"/>
      <c r="B34" s="39"/>
      <c r="C34" s="39"/>
      <c r="D34" s="6"/>
      <c r="E34" s="8"/>
      <c r="F34" s="19"/>
      <c r="G34" s="87"/>
      <c r="H34" s="22"/>
      <c r="I34" s="8">
        <v>1815332</v>
      </c>
      <c r="J34" s="8">
        <f t="shared" si="8"/>
        <v>-1815332</v>
      </c>
      <c r="K34" s="9">
        <v>42445</v>
      </c>
    </row>
    <row r="35" spans="1:11">
      <c r="A35" s="17">
        <v>42278</v>
      </c>
      <c r="B35" s="18">
        <v>3810505.9750188123</v>
      </c>
      <c r="C35" s="18">
        <v>16049.682258744204</v>
      </c>
      <c r="D35" s="6">
        <f t="shared" si="6"/>
        <v>3794456.2927600681</v>
      </c>
      <c r="E35" s="8">
        <f t="shared" si="7"/>
        <v>20679786.795542371</v>
      </c>
      <c r="F35" s="19">
        <v>42313</v>
      </c>
      <c r="G35" s="87"/>
      <c r="H35" s="22">
        <v>42374</v>
      </c>
      <c r="I35" s="23">
        <v>17561191</v>
      </c>
      <c r="J35" s="8">
        <f t="shared" si="8"/>
        <v>3118595.7955423705</v>
      </c>
      <c r="K35" s="9">
        <v>42381</v>
      </c>
    </row>
    <row r="36" spans="1:11">
      <c r="A36" s="17"/>
      <c r="B36" s="39"/>
      <c r="C36" s="39"/>
      <c r="D36" s="6"/>
      <c r="E36" s="8"/>
      <c r="F36" s="19"/>
      <c r="G36" s="87"/>
      <c r="H36" s="22"/>
      <c r="I36" s="6">
        <v>3118596</v>
      </c>
      <c r="J36" s="8">
        <f t="shared" si="8"/>
        <v>-3118596</v>
      </c>
      <c r="K36" s="9">
        <v>42472</v>
      </c>
    </row>
    <row r="37" spans="1:11">
      <c r="A37" s="17">
        <v>42309</v>
      </c>
      <c r="B37" s="18">
        <v>2808670.2088253251</v>
      </c>
      <c r="C37" s="18">
        <v>16942.714520547943</v>
      </c>
      <c r="D37" s="6">
        <f t="shared" si="6"/>
        <v>2791727.4943047771</v>
      </c>
      <c r="E37" s="8">
        <f t="shared" si="7"/>
        <v>15214914.843961036</v>
      </c>
      <c r="F37" s="19">
        <v>42342</v>
      </c>
      <c r="G37" s="87"/>
      <c r="H37" s="22">
        <v>42404</v>
      </c>
      <c r="I37" s="23">
        <v>15214912</v>
      </c>
      <c r="J37" s="8">
        <f t="shared" si="8"/>
        <v>2.8439610358327627</v>
      </c>
      <c r="K37" s="9">
        <v>42409</v>
      </c>
    </row>
    <row r="38" spans="1:11">
      <c r="A38" s="17">
        <v>42339</v>
      </c>
      <c r="B38" s="18">
        <v>3158393</v>
      </c>
      <c r="C38" s="18">
        <v>17982</v>
      </c>
      <c r="D38" s="6">
        <f t="shared" si="6"/>
        <v>3140411</v>
      </c>
      <c r="E38" s="8">
        <f t="shared" si="7"/>
        <v>17115239.949999999</v>
      </c>
      <c r="F38" s="19">
        <v>42374</v>
      </c>
      <c r="G38" s="87"/>
      <c r="H38" s="22">
        <v>42434</v>
      </c>
      <c r="I38" s="23">
        <v>17115240</v>
      </c>
      <c r="J38" s="8">
        <f t="shared" si="8"/>
        <v>-5.000000074505806E-2</v>
      </c>
      <c r="K38" s="9">
        <v>42437</v>
      </c>
    </row>
    <row r="39" spans="1:11">
      <c r="A39" s="17">
        <v>42370</v>
      </c>
      <c r="B39" s="18">
        <v>3125492</v>
      </c>
      <c r="C39" s="18">
        <v>17758</v>
      </c>
      <c r="D39" s="6">
        <f t="shared" si="6"/>
        <v>3107734</v>
      </c>
      <c r="E39" s="8">
        <f t="shared" si="7"/>
        <v>16937150.300000001</v>
      </c>
      <c r="F39" s="19">
        <v>42405</v>
      </c>
      <c r="G39" s="87"/>
      <c r="H39" s="22">
        <v>42464</v>
      </c>
      <c r="I39" s="23">
        <v>16914709</v>
      </c>
      <c r="J39" s="8">
        <f t="shared" si="8"/>
        <v>22441.300000000745</v>
      </c>
      <c r="K39" s="9">
        <v>42467</v>
      </c>
    </row>
    <row r="40" spans="1:11">
      <c r="A40" s="17">
        <v>42401</v>
      </c>
      <c r="B40" s="24">
        <v>3466898.1940049329</v>
      </c>
      <c r="C40" s="24">
        <v>15911.632797175362</v>
      </c>
      <c r="D40" s="6">
        <f>B40-C40</f>
        <v>3450986.5612077573</v>
      </c>
      <c r="E40" s="8">
        <f t="shared" si="7"/>
        <v>18807876.758582279</v>
      </c>
      <c r="F40" s="19">
        <v>42433</v>
      </c>
      <c r="G40" s="87"/>
      <c r="H40" s="22">
        <v>42494</v>
      </c>
      <c r="I40" s="23">
        <v>18807877</v>
      </c>
      <c r="J40" s="8">
        <f t="shared" si="8"/>
        <v>-0.24141772091388702</v>
      </c>
      <c r="K40" s="9">
        <v>42496</v>
      </c>
    </row>
    <row r="41" spans="1:11">
      <c r="A41" s="17">
        <v>42430</v>
      </c>
      <c r="B41" s="24">
        <v>3827718.0499622612</v>
      </c>
      <c r="C41" s="24">
        <v>16461.592099613568</v>
      </c>
      <c r="D41" s="6">
        <f>B41-C41</f>
        <v>3811256.4578626477</v>
      </c>
      <c r="E41" s="8">
        <f t="shared" si="7"/>
        <v>20771347.695351429</v>
      </c>
      <c r="F41" s="19">
        <v>42464</v>
      </c>
      <c r="G41" s="87"/>
      <c r="H41" s="22">
        <f>F41+60</f>
        <v>42524</v>
      </c>
      <c r="I41" s="23">
        <f>E41</f>
        <v>20771347.695351429</v>
      </c>
      <c r="J41" s="8">
        <f t="shared" si="8"/>
        <v>0</v>
      </c>
      <c r="K41" s="9">
        <v>42528</v>
      </c>
    </row>
    <row r="42" spans="1:11">
      <c r="A42" s="17">
        <v>42461</v>
      </c>
      <c r="B42" s="24">
        <v>3876382.457411998</v>
      </c>
      <c r="C42" s="24">
        <v>15218.706665988713</v>
      </c>
      <c r="D42" s="6">
        <f>ROUND(B42-C42,0)</f>
        <v>3861164</v>
      </c>
      <c r="E42" s="8">
        <f t="shared" ref="E42:E45" si="9">D42*5.45</f>
        <v>21043343.800000001</v>
      </c>
      <c r="F42" s="19">
        <v>42494</v>
      </c>
      <c r="G42" s="87"/>
      <c r="H42" s="22">
        <f>F42+60</f>
        <v>42554</v>
      </c>
      <c r="I42" s="6">
        <f>E42</f>
        <v>21043343.800000001</v>
      </c>
      <c r="J42" s="29">
        <f t="shared" si="8"/>
        <v>0</v>
      </c>
      <c r="K42" s="9">
        <v>42556</v>
      </c>
    </row>
    <row r="43" spans="1:11">
      <c r="A43" s="17">
        <v>42491</v>
      </c>
      <c r="B43" s="24">
        <v>3776121</v>
      </c>
      <c r="C43" s="24">
        <v>14258</v>
      </c>
      <c r="D43" s="6">
        <f>ROUND(B43-C43,0)</f>
        <v>3761863</v>
      </c>
      <c r="E43" s="8">
        <f t="shared" si="9"/>
        <v>20502153.350000001</v>
      </c>
      <c r="F43" s="19">
        <v>42527</v>
      </c>
      <c r="G43" s="87"/>
      <c r="H43" s="22">
        <f>F43+60</f>
        <v>42587</v>
      </c>
      <c r="I43" s="6">
        <v>20502153</v>
      </c>
      <c r="J43" s="29">
        <f t="shared" si="8"/>
        <v>0.35000000149011612</v>
      </c>
      <c r="K43" s="9">
        <v>42588</v>
      </c>
    </row>
    <row r="44" spans="1:11">
      <c r="A44" s="17">
        <v>42522</v>
      </c>
      <c r="B44" s="24">
        <v>3671572</v>
      </c>
      <c r="C44" s="24">
        <v>13667</v>
      </c>
      <c r="D44" s="6">
        <f>ROUND(B44-C44,0)</f>
        <v>3657905</v>
      </c>
      <c r="E44" s="8">
        <f t="shared" si="9"/>
        <v>19935582.25</v>
      </c>
      <c r="F44" s="19">
        <v>42557</v>
      </c>
      <c r="G44" s="87"/>
      <c r="H44" s="22">
        <f>F44+60</f>
        <v>42617</v>
      </c>
      <c r="I44" s="6">
        <v>0</v>
      </c>
      <c r="J44" s="29"/>
      <c r="K44" s="20" t="s">
        <v>13</v>
      </c>
    </row>
    <row r="45" spans="1:11">
      <c r="A45" s="17">
        <v>42552</v>
      </c>
      <c r="B45" s="24">
        <v>3668990</v>
      </c>
      <c r="C45" s="24">
        <v>14203</v>
      </c>
      <c r="D45" s="6">
        <f>ROUND(B45-C45,0)</f>
        <v>3654787</v>
      </c>
      <c r="E45" s="8">
        <f t="shared" si="9"/>
        <v>19918589.150000002</v>
      </c>
      <c r="F45" s="19">
        <v>42590</v>
      </c>
      <c r="G45" s="87"/>
      <c r="H45" s="22">
        <f>F45+60</f>
        <v>42650</v>
      </c>
      <c r="I45" s="6"/>
      <c r="J45" s="29"/>
      <c r="K45" s="20" t="s">
        <v>14</v>
      </c>
    </row>
    <row r="46" spans="1:11">
      <c r="A46" s="17">
        <v>42583</v>
      </c>
      <c r="B46" s="24"/>
      <c r="C46" s="24"/>
      <c r="D46" s="6"/>
      <c r="E46" s="8"/>
      <c r="F46" s="19"/>
      <c r="G46" s="87"/>
      <c r="H46" s="22"/>
      <c r="I46" s="6"/>
      <c r="J46" s="29"/>
      <c r="K46" s="20" t="s">
        <v>50</v>
      </c>
    </row>
    <row r="47" spans="1:11">
      <c r="A47" s="2" t="s">
        <v>10</v>
      </c>
      <c r="B47" s="3">
        <f>SUM(B29:B46)</f>
        <v>48546390.45893608</v>
      </c>
      <c r="C47" s="3">
        <f t="shared" ref="C47:E47" si="10">SUM(C29:C46)</f>
        <v>209909.90916726404</v>
      </c>
      <c r="D47" s="3">
        <f t="shared" si="10"/>
        <v>48336480.799022809</v>
      </c>
      <c r="E47" s="3">
        <f t="shared" si="10"/>
        <v>263433820.35467434</v>
      </c>
      <c r="F47" s="3"/>
      <c r="G47" s="13"/>
      <c r="H47" s="3"/>
      <c r="I47" s="3">
        <f t="shared" ref="I47:J47" si="11">SUM(I29:I46)</f>
        <v>217188877.49535143</v>
      </c>
      <c r="J47" s="3">
        <f t="shared" si="11"/>
        <v>6390771.4593228716</v>
      </c>
      <c r="K47" s="3"/>
    </row>
    <row r="48" spans="1:11">
      <c r="H48" s="25"/>
      <c r="I48" s="26"/>
      <c r="K48" s="27"/>
    </row>
    <row r="49" spans="1:11">
      <c r="A49" s="1" t="s">
        <v>17</v>
      </c>
      <c r="I49" t="s">
        <v>51</v>
      </c>
      <c r="K49" s="86">
        <v>42144</v>
      </c>
    </row>
    <row r="51" spans="1:11" ht="45">
      <c r="A51" s="2"/>
      <c r="B51" s="3" t="s">
        <v>1</v>
      </c>
      <c r="C51" s="3" t="s">
        <v>2</v>
      </c>
      <c r="D51" s="3" t="s">
        <v>3</v>
      </c>
      <c r="E51" s="3" t="s">
        <v>4</v>
      </c>
      <c r="F51" s="3" t="s">
        <v>5</v>
      </c>
      <c r="G51" s="13" t="s">
        <v>47</v>
      </c>
      <c r="H51" s="3" t="s">
        <v>6</v>
      </c>
      <c r="I51" s="3" t="s">
        <v>7</v>
      </c>
      <c r="J51" s="3" t="s">
        <v>8</v>
      </c>
      <c r="K51" s="3" t="s">
        <v>9</v>
      </c>
    </row>
    <row r="52" spans="1:11">
      <c r="A52" s="17">
        <v>42125</v>
      </c>
      <c r="B52" s="18">
        <v>297723.17561577429</v>
      </c>
      <c r="C52" s="18">
        <v>4826.5757503001205</v>
      </c>
      <c r="D52" s="6">
        <f t="shared" ref="D52:D63" si="12">B52-C52</f>
        <v>292896.59986547416</v>
      </c>
      <c r="E52" s="8">
        <f t="shared" ref="E52:E65" si="13">D52*5.45</f>
        <v>1596286.4692668342</v>
      </c>
      <c r="F52" s="19">
        <v>42199</v>
      </c>
      <c r="G52" s="87"/>
      <c r="H52" s="19">
        <v>42261</v>
      </c>
      <c r="I52" s="8">
        <v>0</v>
      </c>
      <c r="J52" s="8">
        <f t="shared" ref="J52:J67" si="14">E52-I52</f>
        <v>1596286.4692668342</v>
      </c>
      <c r="K52" s="16" t="s">
        <v>13</v>
      </c>
    </row>
    <row r="53" spans="1:11">
      <c r="A53" s="17">
        <v>42156</v>
      </c>
      <c r="B53" s="18">
        <v>2220046.8112151092</v>
      </c>
      <c r="C53" s="18">
        <v>8689.899265658747</v>
      </c>
      <c r="D53" s="6">
        <f t="shared" si="12"/>
        <v>2211356.9119494506</v>
      </c>
      <c r="E53" s="8">
        <f t="shared" si="13"/>
        <v>12051895.170124507</v>
      </c>
      <c r="F53" s="19">
        <v>42199</v>
      </c>
      <c r="G53" s="87"/>
      <c r="H53" s="19">
        <v>42261</v>
      </c>
      <c r="I53" s="8">
        <v>10413387</v>
      </c>
      <c r="J53" s="8">
        <f t="shared" si="14"/>
        <v>1638508.1701245066</v>
      </c>
      <c r="K53" s="10">
        <v>42283</v>
      </c>
    </row>
    <row r="54" spans="1:11">
      <c r="A54" s="17"/>
      <c r="B54" s="39"/>
      <c r="C54" s="39"/>
      <c r="D54" s="6"/>
      <c r="E54" s="8"/>
      <c r="F54" s="19"/>
      <c r="G54" s="87"/>
      <c r="H54" s="19"/>
      <c r="I54" s="6">
        <v>83423</v>
      </c>
      <c r="J54" s="8">
        <f t="shared" si="14"/>
        <v>-83423</v>
      </c>
      <c r="K54" s="9">
        <v>42486</v>
      </c>
    </row>
    <row r="55" spans="1:11">
      <c r="A55" s="17">
        <v>42186</v>
      </c>
      <c r="B55" s="18">
        <v>2593928.7479118644</v>
      </c>
      <c r="C55" s="18">
        <v>14649.288478713912</v>
      </c>
      <c r="D55" s="6">
        <f t="shared" si="12"/>
        <v>2579279.4594331505</v>
      </c>
      <c r="E55" s="8">
        <f t="shared" si="13"/>
        <v>14057073.053910671</v>
      </c>
      <c r="F55" s="19">
        <v>42223</v>
      </c>
      <c r="G55" s="87"/>
      <c r="H55" s="22">
        <v>42284</v>
      </c>
      <c r="I55" s="23">
        <f>E55</f>
        <v>14057073.053910671</v>
      </c>
      <c r="J55" s="8">
        <f t="shared" si="14"/>
        <v>0</v>
      </c>
      <c r="K55" s="10">
        <v>42306</v>
      </c>
    </row>
    <row r="56" spans="1:11">
      <c r="A56" s="17">
        <v>42217</v>
      </c>
      <c r="B56" s="18">
        <v>3452774.764088036</v>
      </c>
      <c r="C56" s="18">
        <v>15980.201470588234</v>
      </c>
      <c r="D56" s="6">
        <f t="shared" si="12"/>
        <v>3436794.5626174477</v>
      </c>
      <c r="E56" s="8">
        <f t="shared" si="13"/>
        <v>18730530.366265092</v>
      </c>
      <c r="F56" s="19">
        <v>42254</v>
      </c>
      <c r="G56" s="87"/>
      <c r="H56" s="22">
        <v>42315</v>
      </c>
      <c r="I56" s="23">
        <v>18729383</v>
      </c>
      <c r="J56" s="8">
        <f t="shared" si="14"/>
        <v>1147.3662650920451</v>
      </c>
      <c r="K56" s="10">
        <v>42332</v>
      </c>
    </row>
    <row r="57" spans="1:11">
      <c r="A57" s="17">
        <v>42248</v>
      </c>
      <c r="B57" s="18">
        <v>3433551.8812552276</v>
      </c>
      <c r="C57" s="18">
        <v>9237.5647835078616</v>
      </c>
      <c r="D57" s="6">
        <f t="shared" si="12"/>
        <v>3424314.3164717196</v>
      </c>
      <c r="E57" s="8">
        <f t="shared" si="13"/>
        <v>18662513.024770875</v>
      </c>
      <c r="F57" s="19">
        <v>42284</v>
      </c>
      <c r="G57" s="87"/>
      <c r="H57" s="22">
        <v>42345</v>
      </c>
      <c r="I57" s="23">
        <v>16989852</v>
      </c>
      <c r="J57" s="8">
        <f t="shared" si="14"/>
        <v>1672661.0247708745</v>
      </c>
      <c r="K57" s="9">
        <v>42374</v>
      </c>
    </row>
    <row r="58" spans="1:11">
      <c r="A58" s="17"/>
      <c r="B58" s="39"/>
      <c r="C58" s="39"/>
      <c r="D58" s="6"/>
      <c r="E58" s="8"/>
      <c r="F58" s="19"/>
      <c r="G58" s="87"/>
      <c r="H58" s="22"/>
      <c r="I58" s="8">
        <v>1642220</v>
      </c>
      <c r="J58" s="8">
        <f t="shared" si="14"/>
        <v>-1642220</v>
      </c>
      <c r="K58" s="9">
        <v>42445</v>
      </c>
    </row>
    <row r="59" spans="1:11">
      <c r="A59" s="17">
        <v>42278</v>
      </c>
      <c r="B59" s="18">
        <v>3853339.8062237082</v>
      </c>
      <c r="C59" s="18">
        <v>17530.653181626632</v>
      </c>
      <c r="D59" s="6">
        <f t="shared" si="12"/>
        <v>3835809.1530420817</v>
      </c>
      <c r="E59" s="8">
        <f t="shared" si="13"/>
        <v>20905159.884079345</v>
      </c>
      <c r="F59" s="19">
        <v>42313</v>
      </c>
      <c r="G59" s="87"/>
      <c r="H59" s="22">
        <v>42374</v>
      </c>
      <c r="I59" s="23">
        <v>17588829</v>
      </c>
      <c r="J59" s="8">
        <f t="shared" si="14"/>
        <v>3316330.8840793446</v>
      </c>
      <c r="K59" s="9">
        <v>42394</v>
      </c>
    </row>
    <row r="60" spans="1:11">
      <c r="A60" s="17"/>
      <c r="B60" s="39"/>
      <c r="C60" s="39"/>
      <c r="D60" s="6"/>
      <c r="E60" s="8"/>
      <c r="F60" s="19"/>
      <c r="G60" s="87"/>
      <c r="H60" s="22"/>
      <c r="I60" s="8">
        <v>3316331</v>
      </c>
      <c r="J60" s="8">
        <f t="shared" si="14"/>
        <v>-3316331</v>
      </c>
      <c r="K60" s="9">
        <v>42472</v>
      </c>
    </row>
    <row r="61" spans="1:11">
      <c r="A61" s="17">
        <v>42309</v>
      </c>
      <c r="B61" s="18">
        <v>2785259.1815404808</v>
      </c>
      <c r="C61" s="18">
        <v>18124.944657534248</v>
      </c>
      <c r="D61" s="6">
        <f t="shared" si="12"/>
        <v>2767134.2368829465</v>
      </c>
      <c r="E61" s="8">
        <f t="shared" si="13"/>
        <v>15080881.591012059</v>
      </c>
      <c r="F61" s="19">
        <v>42342</v>
      </c>
      <c r="G61" s="87"/>
      <c r="H61" s="22">
        <v>42404</v>
      </c>
      <c r="I61" s="23">
        <v>15080882</v>
      </c>
      <c r="J61" s="8">
        <f t="shared" si="14"/>
        <v>-0.40898794122040272</v>
      </c>
      <c r="K61" s="9">
        <v>42412</v>
      </c>
    </row>
    <row r="62" spans="1:11">
      <c r="A62" s="17">
        <v>42339</v>
      </c>
      <c r="B62" s="18">
        <v>3155149</v>
      </c>
      <c r="C62" s="18">
        <v>19153</v>
      </c>
      <c r="D62" s="6">
        <f t="shared" si="12"/>
        <v>3135996</v>
      </c>
      <c r="E62" s="8">
        <f t="shared" si="13"/>
        <v>17091178.199999999</v>
      </c>
      <c r="F62" s="19">
        <v>42374</v>
      </c>
      <c r="G62" s="87"/>
      <c r="H62" s="22">
        <v>42434</v>
      </c>
      <c r="I62" s="23">
        <v>17091179</v>
      </c>
      <c r="J62" s="8">
        <f t="shared" si="14"/>
        <v>-0.80000000074505806</v>
      </c>
      <c r="K62" s="9">
        <v>42458</v>
      </c>
    </row>
    <row r="63" spans="1:11">
      <c r="A63" s="17">
        <v>42370</v>
      </c>
      <c r="B63" s="18">
        <v>3173257</v>
      </c>
      <c r="C63" s="18">
        <v>19818</v>
      </c>
      <c r="D63" s="6">
        <f t="shared" si="12"/>
        <v>3153439</v>
      </c>
      <c r="E63" s="8">
        <f t="shared" si="13"/>
        <v>17186242.550000001</v>
      </c>
      <c r="F63" s="19">
        <v>42405</v>
      </c>
      <c r="G63" s="87"/>
      <c r="H63" s="22">
        <v>42464</v>
      </c>
      <c r="I63" s="23">
        <v>17186237</v>
      </c>
      <c r="J63" s="8">
        <f t="shared" si="14"/>
        <v>5.5500000007450581</v>
      </c>
      <c r="K63" s="9">
        <v>42467</v>
      </c>
    </row>
    <row r="64" spans="1:11">
      <c r="A64" s="17">
        <v>42401</v>
      </c>
      <c r="B64" s="24">
        <v>3452069.0185430734</v>
      </c>
      <c r="C64" s="24">
        <v>16921.214593958415</v>
      </c>
      <c r="D64" s="6">
        <f>B64-C64</f>
        <v>3435147.8039491149</v>
      </c>
      <c r="E64" s="8">
        <f t="shared" si="13"/>
        <v>18721555.531522676</v>
      </c>
      <c r="F64" s="19">
        <v>42433</v>
      </c>
      <c r="G64" s="87"/>
      <c r="H64" s="22">
        <v>42494</v>
      </c>
      <c r="I64" s="23">
        <v>18721556</v>
      </c>
      <c r="J64" s="8">
        <f t="shared" si="14"/>
        <v>-0.46847732365131378</v>
      </c>
      <c r="K64" s="9">
        <v>42496</v>
      </c>
    </row>
    <row r="65" spans="1:11">
      <c r="A65" s="17">
        <v>42430</v>
      </c>
      <c r="B65" s="24">
        <v>4003236.4352444173</v>
      </c>
      <c r="C65" s="30">
        <v>17781.810218978102</v>
      </c>
      <c r="D65" s="6">
        <f>B65-C65</f>
        <v>3985454.6250254391</v>
      </c>
      <c r="E65" s="8">
        <f t="shared" si="13"/>
        <v>21720727.706388645</v>
      </c>
      <c r="F65" s="19">
        <v>42464</v>
      </c>
      <c r="G65" s="87"/>
      <c r="H65" s="22">
        <f>F65+60</f>
        <v>42524</v>
      </c>
      <c r="I65" s="23">
        <f>E65</f>
        <v>21720727.706388645</v>
      </c>
      <c r="J65" s="8">
        <f t="shared" si="14"/>
        <v>0</v>
      </c>
      <c r="K65" s="9">
        <v>42528</v>
      </c>
    </row>
    <row r="66" spans="1:11">
      <c r="A66" s="17">
        <v>42461</v>
      </c>
      <c r="B66" s="24">
        <v>4089995.112680045</v>
      </c>
      <c r="C66" s="24">
        <v>16203.078863070117</v>
      </c>
      <c r="D66" s="6">
        <f>ROUND(B66-C66,0)</f>
        <v>4073792</v>
      </c>
      <c r="E66" s="8">
        <f t="shared" ref="E66:E69" si="15">D66*5.45</f>
        <v>22202166.400000002</v>
      </c>
      <c r="F66" s="19">
        <v>42494</v>
      </c>
      <c r="G66" s="87"/>
      <c r="H66" s="22">
        <f>F66+60</f>
        <v>42554</v>
      </c>
      <c r="I66" s="6">
        <f>E66</f>
        <v>22202166.400000002</v>
      </c>
      <c r="J66" s="29">
        <f t="shared" si="14"/>
        <v>0</v>
      </c>
      <c r="K66" s="9">
        <v>42556</v>
      </c>
    </row>
    <row r="67" spans="1:11">
      <c r="A67" s="17">
        <v>42491</v>
      </c>
      <c r="B67" s="24">
        <v>3881957</v>
      </c>
      <c r="C67" s="24">
        <v>15101</v>
      </c>
      <c r="D67" s="6">
        <f>ROUND(B67-C67,0)</f>
        <v>3866856</v>
      </c>
      <c r="E67" s="8">
        <f t="shared" si="15"/>
        <v>21074365.199999999</v>
      </c>
      <c r="F67" s="19">
        <v>42527</v>
      </c>
      <c r="G67" s="87"/>
      <c r="H67" s="22">
        <f>F67+60</f>
        <v>42587</v>
      </c>
      <c r="I67" s="6">
        <v>21074365</v>
      </c>
      <c r="J67" s="29">
        <f t="shared" si="14"/>
        <v>0.19999999925494194</v>
      </c>
      <c r="K67" s="9">
        <v>42588</v>
      </c>
    </row>
    <row r="68" spans="1:11">
      <c r="A68" s="17">
        <v>42522</v>
      </c>
      <c r="B68" s="24">
        <v>3843964</v>
      </c>
      <c r="C68" s="24">
        <v>14482</v>
      </c>
      <c r="D68" s="6">
        <f>ROUND(B68-C68,0)</f>
        <v>3829482</v>
      </c>
      <c r="E68" s="8">
        <f t="shared" si="15"/>
        <v>20870676.900000002</v>
      </c>
      <c r="F68" s="19">
        <v>42557</v>
      </c>
      <c r="G68" s="87"/>
      <c r="H68" s="22">
        <f>F68+60</f>
        <v>42617</v>
      </c>
      <c r="I68" s="6">
        <v>0</v>
      </c>
      <c r="J68" s="8"/>
      <c r="K68" s="20" t="s">
        <v>13</v>
      </c>
    </row>
    <row r="69" spans="1:11">
      <c r="A69" s="17">
        <v>42552</v>
      </c>
      <c r="B69" s="24">
        <v>3841037</v>
      </c>
      <c r="C69" s="24">
        <v>15712</v>
      </c>
      <c r="D69" s="6">
        <f>ROUND(B69-C69,0)</f>
        <v>3825325</v>
      </c>
      <c r="E69" s="8">
        <f t="shared" si="15"/>
        <v>20848021.25</v>
      </c>
      <c r="F69" s="19">
        <v>42590</v>
      </c>
      <c r="G69" s="87"/>
      <c r="H69" s="22">
        <f>F69+60</f>
        <v>42650</v>
      </c>
      <c r="I69" s="6"/>
      <c r="J69" s="8"/>
      <c r="K69" s="20" t="s">
        <v>14</v>
      </c>
    </row>
    <row r="70" spans="1:11">
      <c r="A70" s="17">
        <v>42583</v>
      </c>
      <c r="B70" s="24"/>
      <c r="C70" s="24"/>
      <c r="D70" s="6"/>
      <c r="E70" s="8"/>
      <c r="F70" s="19"/>
      <c r="G70" s="87"/>
      <c r="H70" s="22"/>
      <c r="I70" s="6"/>
      <c r="J70" s="8"/>
      <c r="K70" s="20" t="s">
        <v>50</v>
      </c>
    </row>
    <row r="71" spans="1:11">
      <c r="A71" s="2" t="s">
        <v>10</v>
      </c>
      <c r="B71" s="3">
        <f>SUM(B52:B70)</f>
        <v>48077288.934317738</v>
      </c>
      <c r="C71" s="3">
        <f t="shared" ref="C71:E71" si="16">SUM(C52:C70)</f>
        <v>224211.23126393638</v>
      </c>
      <c r="D71" s="3">
        <f t="shared" si="16"/>
        <v>47853077.669236824</v>
      </c>
      <c r="E71" s="3">
        <f t="shared" si="16"/>
        <v>260799273.29734069</v>
      </c>
      <c r="F71" s="3"/>
      <c r="G71" s="13"/>
      <c r="H71" s="3"/>
      <c r="I71" s="3">
        <f t="shared" ref="I71:J71" si="17">SUM(I52:I70)</f>
        <v>215897611.16029933</v>
      </c>
      <c r="J71" s="3">
        <f t="shared" si="17"/>
        <v>3182963.9870413858</v>
      </c>
      <c r="K71" s="3"/>
    </row>
    <row r="72" spans="1:11">
      <c r="H72" s="25"/>
      <c r="I72" s="26"/>
    </row>
    <row r="73" spans="1:11">
      <c r="A73" s="1" t="s">
        <v>18</v>
      </c>
      <c r="I73" t="s">
        <v>51</v>
      </c>
      <c r="K73" s="86">
        <v>42144</v>
      </c>
    </row>
    <row r="75" spans="1:11" ht="45">
      <c r="A75" s="2"/>
      <c r="B75" s="3" t="s">
        <v>1</v>
      </c>
      <c r="C75" s="3" t="s">
        <v>2</v>
      </c>
      <c r="D75" s="3" t="s">
        <v>3</v>
      </c>
      <c r="E75" s="3" t="s">
        <v>4</v>
      </c>
      <c r="F75" s="3" t="s">
        <v>5</v>
      </c>
      <c r="G75" s="13" t="s">
        <v>47</v>
      </c>
      <c r="H75" s="3" t="s">
        <v>6</v>
      </c>
      <c r="I75" s="3" t="s">
        <v>7</v>
      </c>
      <c r="J75" s="3" t="s">
        <v>8</v>
      </c>
      <c r="K75" s="3" t="s">
        <v>9</v>
      </c>
    </row>
    <row r="76" spans="1:11">
      <c r="A76" s="17">
        <v>42125</v>
      </c>
      <c r="B76" s="30">
        <v>560030.65464273898</v>
      </c>
      <c r="C76" s="32">
        <v>7619.1731092436967</v>
      </c>
      <c r="D76" s="33">
        <f t="shared" ref="D76:D88" si="18">B76-C76</f>
        <v>552411.48153349524</v>
      </c>
      <c r="E76" s="34">
        <f t="shared" ref="E76:E88" si="19">D76*5.45</f>
        <v>3010642.5743575492</v>
      </c>
      <c r="F76" s="19">
        <v>42199</v>
      </c>
      <c r="G76" s="87"/>
      <c r="H76" s="19">
        <v>42261</v>
      </c>
      <c r="I76" s="8">
        <v>0</v>
      </c>
      <c r="J76" s="8">
        <f t="shared" ref="J76:J90" si="20">E76-I76</f>
        <v>3010642.5743575492</v>
      </c>
      <c r="K76" s="16" t="s">
        <v>13</v>
      </c>
    </row>
    <row r="77" spans="1:11">
      <c r="A77" s="17">
        <v>42156</v>
      </c>
      <c r="B77" s="32">
        <v>2242454.2083737422</v>
      </c>
      <c r="C77" s="32">
        <v>9299.2774082073429</v>
      </c>
      <c r="D77" s="33">
        <f t="shared" si="18"/>
        <v>2233154.9309655349</v>
      </c>
      <c r="E77" s="34">
        <f t="shared" si="19"/>
        <v>12170694.373762166</v>
      </c>
      <c r="F77" s="19">
        <v>42199</v>
      </c>
      <c r="G77" s="87"/>
      <c r="H77" s="19">
        <v>42261</v>
      </c>
      <c r="I77" s="8">
        <v>12139106</v>
      </c>
      <c r="J77" s="8">
        <f t="shared" si="20"/>
        <v>31588.373762166128</v>
      </c>
      <c r="K77" s="9">
        <v>42263</v>
      </c>
    </row>
    <row r="78" spans="1:11">
      <c r="A78" s="17">
        <v>42186</v>
      </c>
      <c r="B78" s="30">
        <v>2918065.7120797602</v>
      </c>
      <c r="C78" s="30">
        <v>14152.426317356352</v>
      </c>
      <c r="D78" s="33">
        <f t="shared" si="18"/>
        <v>2903913.2857624036</v>
      </c>
      <c r="E78" s="34">
        <f t="shared" si="19"/>
        <v>15826327.407405101</v>
      </c>
      <c r="F78" s="19">
        <v>42223</v>
      </c>
      <c r="G78" s="87"/>
      <c r="H78" s="22">
        <v>42284</v>
      </c>
      <c r="I78" s="23">
        <f>10000000+5826326</f>
        <v>15826326</v>
      </c>
      <c r="J78" s="8">
        <f t="shared" si="20"/>
        <v>1.4074051007628441</v>
      </c>
      <c r="K78" s="9">
        <v>42284</v>
      </c>
    </row>
    <row r="79" spans="1:11">
      <c r="A79" s="17">
        <v>42217</v>
      </c>
      <c r="B79" s="32">
        <v>3508573.5971089033</v>
      </c>
      <c r="C79" s="32">
        <v>15706.098529411765</v>
      </c>
      <c r="D79" s="33">
        <f t="shared" si="18"/>
        <v>3492867.4985794914</v>
      </c>
      <c r="E79" s="34">
        <f t="shared" si="19"/>
        <v>19036127.867258228</v>
      </c>
      <c r="F79" s="19">
        <v>42254</v>
      </c>
      <c r="G79" s="87"/>
      <c r="H79" s="22">
        <v>42315</v>
      </c>
      <c r="I79" s="23">
        <f>17750865+1284101</f>
        <v>19034966</v>
      </c>
      <c r="J79" s="8">
        <f t="shared" si="20"/>
        <v>1161.8672582283616</v>
      </c>
      <c r="K79" s="9">
        <v>42317</v>
      </c>
    </row>
    <row r="80" spans="1:11">
      <c r="A80" s="17">
        <v>42248</v>
      </c>
      <c r="B80" s="18">
        <v>3406570.4307667445</v>
      </c>
      <c r="C80" s="18">
        <v>9802.2435085185316</v>
      </c>
      <c r="D80" s="33">
        <f t="shared" si="18"/>
        <v>3396768.1872582259</v>
      </c>
      <c r="E80" s="34">
        <f t="shared" si="19"/>
        <v>18512386.620557331</v>
      </c>
      <c r="F80" s="19">
        <v>42284</v>
      </c>
      <c r="G80" s="87"/>
      <c r="H80" s="22">
        <v>42345</v>
      </c>
      <c r="I80" s="23">
        <v>16989852</v>
      </c>
      <c r="J80" s="8">
        <f t="shared" si="20"/>
        <v>1522534.6205573305</v>
      </c>
      <c r="K80" s="9">
        <v>42374</v>
      </c>
    </row>
    <row r="81" spans="1:11">
      <c r="A81" s="17"/>
      <c r="B81" s="39"/>
      <c r="C81" s="39"/>
      <c r="D81" s="33"/>
      <c r="E81" s="34"/>
      <c r="F81" s="19"/>
      <c r="G81" s="87"/>
      <c r="H81" s="22"/>
      <c r="I81" s="8">
        <v>1523697</v>
      </c>
      <c r="J81" s="8">
        <f t="shared" si="20"/>
        <v>-1523697</v>
      </c>
      <c r="K81" s="9">
        <v>42445</v>
      </c>
    </row>
    <row r="82" spans="1:11">
      <c r="A82" s="17">
        <v>42278</v>
      </c>
      <c r="B82" s="18">
        <v>3708280.4047822235</v>
      </c>
      <c r="C82" s="18">
        <v>17798.86051411715</v>
      </c>
      <c r="D82" s="33">
        <f t="shared" si="18"/>
        <v>3690481.5442681066</v>
      </c>
      <c r="E82" s="34">
        <f t="shared" si="19"/>
        <v>20113124.416261181</v>
      </c>
      <c r="F82" s="19">
        <v>42313</v>
      </c>
      <c r="G82" s="87"/>
      <c r="H82" s="22">
        <v>42374</v>
      </c>
      <c r="I82" s="23">
        <v>17566391</v>
      </c>
      <c r="J82" s="8">
        <f t="shared" si="20"/>
        <v>2546733.4162611812</v>
      </c>
      <c r="K82" s="9">
        <v>42380</v>
      </c>
    </row>
    <row r="83" spans="1:11">
      <c r="A83" s="17"/>
      <c r="B83" s="39"/>
      <c r="C83" s="39"/>
      <c r="D83" s="33"/>
      <c r="E83" s="34"/>
      <c r="F83" s="19"/>
      <c r="G83" s="87"/>
      <c r="H83" s="22"/>
      <c r="I83" s="8">
        <v>2546733</v>
      </c>
      <c r="J83" s="8">
        <f t="shared" si="20"/>
        <v>-2546733</v>
      </c>
      <c r="K83" s="9">
        <v>42472</v>
      </c>
    </row>
    <row r="84" spans="1:11">
      <c r="A84" s="17">
        <v>42309</v>
      </c>
      <c r="B84" s="18">
        <v>2659004.0179535174</v>
      </c>
      <c r="C84" s="18">
        <v>18555.198904109591</v>
      </c>
      <c r="D84" s="6">
        <f t="shared" si="18"/>
        <v>2640448.8190494077</v>
      </c>
      <c r="E84" s="8">
        <f t="shared" si="19"/>
        <v>14390446.063819272</v>
      </c>
      <c r="F84" s="19">
        <v>42342</v>
      </c>
      <c r="G84" s="87"/>
      <c r="H84" s="22">
        <v>42404</v>
      </c>
      <c r="I84" s="23">
        <v>14390446</v>
      </c>
      <c r="J84" s="8">
        <f t="shared" si="20"/>
        <v>6.3819272443652153E-2</v>
      </c>
      <c r="K84" s="9">
        <v>42403</v>
      </c>
    </row>
    <row r="85" spans="1:11">
      <c r="A85" s="17">
        <v>42339</v>
      </c>
      <c r="B85" s="18">
        <v>3061826</v>
      </c>
      <c r="C85" s="18">
        <v>20347</v>
      </c>
      <c r="D85" s="6">
        <f t="shared" si="18"/>
        <v>3041479</v>
      </c>
      <c r="E85" s="8">
        <f t="shared" si="19"/>
        <v>16576060.550000001</v>
      </c>
      <c r="F85" s="19">
        <v>42374</v>
      </c>
      <c r="G85" s="87"/>
      <c r="H85" s="22">
        <v>42434</v>
      </c>
      <c r="I85" s="23">
        <v>16576062</v>
      </c>
      <c r="J85" s="8">
        <f t="shared" si="20"/>
        <v>-1.4499999992549419</v>
      </c>
      <c r="K85" s="9">
        <v>42436</v>
      </c>
    </row>
    <row r="86" spans="1:11">
      <c r="A86" s="17">
        <v>42370</v>
      </c>
      <c r="B86" s="18">
        <v>3112903</v>
      </c>
      <c r="C86" s="18">
        <v>20204</v>
      </c>
      <c r="D86" s="6">
        <f t="shared" si="18"/>
        <v>3092699</v>
      </c>
      <c r="E86" s="4">
        <f t="shared" si="19"/>
        <v>16855209.550000001</v>
      </c>
      <c r="F86" s="19">
        <v>42405</v>
      </c>
      <c r="G86" s="87"/>
      <c r="H86" s="22">
        <v>42464</v>
      </c>
      <c r="I86" s="23">
        <v>16855210</v>
      </c>
      <c r="J86" s="8">
        <f t="shared" si="20"/>
        <v>-0.44999999925494194</v>
      </c>
      <c r="K86" s="9">
        <v>42465</v>
      </c>
    </row>
    <row r="87" spans="1:11">
      <c r="A87" s="17">
        <v>42401</v>
      </c>
      <c r="B87" s="18">
        <v>3409537.3428510576</v>
      </c>
      <c r="C87" s="18">
        <v>17186.278540604158</v>
      </c>
      <c r="D87" s="6">
        <f t="shared" si="18"/>
        <v>3392351.0643104534</v>
      </c>
      <c r="E87" s="4">
        <f t="shared" si="19"/>
        <v>18488313.30049197</v>
      </c>
      <c r="F87" s="19">
        <v>42433</v>
      </c>
      <c r="G87" s="87"/>
      <c r="H87" s="22">
        <v>42494</v>
      </c>
      <c r="I87" s="23">
        <v>18488313</v>
      </c>
      <c r="J87" s="8">
        <f t="shared" si="20"/>
        <v>0.30049197003245354</v>
      </c>
      <c r="K87" s="9">
        <v>42495</v>
      </c>
    </row>
    <row r="88" spans="1:11">
      <c r="A88" s="17">
        <v>42430</v>
      </c>
      <c r="B88" s="18">
        <v>3669874.2885293942</v>
      </c>
      <c r="C88" s="18">
        <v>17672.118505796479</v>
      </c>
      <c r="D88" s="6">
        <f t="shared" si="18"/>
        <v>3652202.1700235978</v>
      </c>
      <c r="E88" s="4">
        <f t="shared" si="19"/>
        <v>19904501.826628607</v>
      </c>
      <c r="F88" s="19">
        <v>42464</v>
      </c>
      <c r="G88" s="87"/>
      <c r="H88" s="22">
        <f>F88+60</f>
        <v>42524</v>
      </c>
      <c r="I88" s="23">
        <f>E88</f>
        <v>19904501.826628607</v>
      </c>
      <c r="J88" s="8">
        <f t="shared" si="20"/>
        <v>0</v>
      </c>
      <c r="K88" s="9">
        <v>42528</v>
      </c>
    </row>
    <row r="89" spans="1:11">
      <c r="A89" s="17">
        <v>42461</v>
      </c>
      <c r="B89" s="24">
        <v>3759017.6225050548</v>
      </c>
      <c r="C89" s="24">
        <v>16363.234657039711</v>
      </c>
      <c r="D89" s="6">
        <f>ROUND(B89-C89,0)</f>
        <v>3742654</v>
      </c>
      <c r="E89" s="8">
        <f t="shared" ref="E89:E92" si="21">D89*5.45</f>
        <v>20397464.300000001</v>
      </c>
      <c r="F89" s="19">
        <v>42494</v>
      </c>
      <c r="G89" s="87"/>
      <c r="H89" s="22">
        <f>F89+60</f>
        <v>42554</v>
      </c>
      <c r="I89" s="6">
        <f>E89</f>
        <v>20397464.300000001</v>
      </c>
      <c r="J89" s="29">
        <f t="shared" si="20"/>
        <v>0</v>
      </c>
      <c r="K89" s="9">
        <v>42556</v>
      </c>
    </row>
    <row r="90" spans="1:11">
      <c r="A90" s="17">
        <v>42491</v>
      </c>
      <c r="B90" s="24">
        <v>3682717</v>
      </c>
      <c r="C90" s="24">
        <v>15290</v>
      </c>
      <c r="D90" s="6">
        <f>ROUND(B90-C90,0)</f>
        <v>3667427</v>
      </c>
      <c r="E90" s="8">
        <f t="shared" si="21"/>
        <v>19987477.150000002</v>
      </c>
      <c r="F90" s="19">
        <v>42527</v>
      </c>
      <c r="G90" s="87"/>
      <c r="H90" s="22">
        <f>F90+60</f>
        <v>42587</v>
      </c>
      <c r="I90" s="8">
        <v>19987477</v>
      </c>
      <c r="J90" s="29">
        <f t="shared" si="20"/>
        <v>0.15000000223517418</v>
      </c>
      <c r="K90" s="9">
        <v>42588</v>
      </c>
    </row>
    <row r="91" spans="1:11">
      <c r="A91" s="17">
        <v>42522</v>
      </c>
      <c r="B91" s="24">
        <v>3608024</v>
      </c>
      <c r="C91" s="24">
        <v>14846</v>
      </c>
      <c r="D91" s="6">
        <f>ROUND(B91-C91,0)</f>
        <v>3593178</v>
      </c>
      <c r="E91" s="8">
        <f t="shared" si="21"/>
        <v>19582820.100000001</v>
      </c>
      <c r="F91" s="19">
        <v>42557</v>
      </c>
      <c r="G91" s="87"/>
      <c r="H91" s="22">
        <f>F91+60</f>
        <v>42617</v>
      </c>
      <c r="I91" s="8">
        <v>0</v>
      </c>
      <c r="J91" s="8"/>
      <c r="K91" s="20" t="s">
        <v>13</v>
      </c>
    </row>
    <row r="92" spans="1:11">
      <c r="A92" s="17">
        <v>42552</v>
      </c>
      <c r="B92" s="24">
        <v>3434612</v>
      </c>
      <c r="C92" s="24">
        <v>15569</v>
      </c>
      <c r="D92" s="6">
        <f>ROUND(B92-C92,0)</f>
        <v>3419043</v>
      </c>
      <c r="E92" s="8">
        <f t="shared" si="21"/>
        <v>18633784.350000001</v>
      </c>
      <c r="F92" s="19">
        <v>42590</v>
      </c>
      <c r="G92" s="87"/>
      <c r="H92" s="22">
        <f>F92+60</f>
        <v>42650</v>
      </c>
      <c r="I92" s="8"/>
      <c r="J92" s="8"/>
      <c r="K92" s="20" t="s">
        <v>14</v>
      </c>
    </row>
    <row r="93" spans="1:11">
      <c r="A93" s="17">
        <v>42583</v>
      </c>
      <c r="B93" s="24"/>
      <c r="C93" s="24"/>
      <c r="D93" s="6"/>
      <c r="E93" s="8"/>
      <c r="F93" s="19"/>
      <c r="G93" s="87"/>
      <c r="H93" s="22"/>
      <c r="I93" s="8"/>
      <c r="J93" s="8"/>
      <c r="K93" s="20" t="s">
        <v>50</v>
      </c>
    </row>
    <row r="94" spans="1:11">
      <c r="A94" s="2" t="s">
        <v>10</v>
      </c>
      <c r="B94" s="3">
        <f>SUM(B76:B93)</f>
        <v>46741490.27959314</v>
      </c>
      <c r="C94" s="3">
        <f t="shared" ref="C94:E94" si="22">SUM(C76:C93)</f>
        <v>230410.90999440479</v>
      </c>
      <c r="D94" s="3">
        <f t="shared" si="22"/>
        <v>46511078.981750719</v>
      </c>
      <c r="E94" s="3">
        <f t="shared" si="22"/>
        <v>253485380.45054138</v>
      </c>
      <c r="F94" s="3"/>
      <c r="G94" s="13"/>
      <c r="H94" s="3"/>
      <c r="I94" s="3">
        <f t="shared" ref="I94:J94" si="23">SUM(I76:I93)</f>
        <v>212226545.12662861</v>
      </c>
      <c r="J94" s="3">
        <f t="shared" si="23"/>
        <v>3042230.873912802</v>
      </c>
      <c r="K94" s="3"/>
    </row>
    <row r="95" spans="1:11">
      <c r="H95" s="25"/>
      <c r="I95" s="26"/>
      <c r="K95" s="27"/>
    </row>
    <row r="96" spans="1:11">
      <c r="A96" s="1" t="s">
        <v>19</v>
      </c>
      <c r="I96" t="s">
        <v>51</v>
      </c>
      <c r="K96" s="86">
        <v>42142</v>
      </c>
    </row>
    <row r="98" spans="1:13" ht="45">
      <c r="A98" s="2"/>
      <c r="B98" s="3" t="s">
        <v>1</v>
      </c>
      <c r="C98" s="3" t="s">
        <v>2</v>
      </c>
      <c r="D98" s="3" t="s">
        <v>3</v>
      </c>
      <c r="E98" s="3" t="s">
        <v>4</v>
      </c>
      <c r="F98" s="3" t="s">
        <v>5</v>
      </c>
      <c r="G98" s="13" t="s">
        <v>47</v>
      </c>
      <c r="H98" s="3" t="s">
        <v>6</v>
      </c>
      <c r="I98" s="3" t="s">
        <v>7</v>
      </c>
      <c r="J98" s="3" t="s">
        <v>8</v>
      </c>
      <c r="K98" s="3" t="s">
        <v>9</v>
      </c>
    </row>
    <row r="99" spans="1:13">
      <c r="A99" s="17">
        <v>42125</v>
      </c>
      <c r="B99" s="18">
        <v>472296.87347310898</v>
      </c>
      <c r="C99" s="18">
        <v>17085.41848739496</v>
      </c>
      <c r="D99" s="6">
        <f t="shared" ref="D99:D111" si="24">B99-C99</f>
        <v>455211.45498571399</v>
      </c>
      <c r="E99" s="8">
        <f t="shared" ref="E99:E111" si="25">D99*5.45</f>
        <v>2480902.4296721416</v>
      </c>
      <c r="F99" s="19">
        <v>42199</v>
      </c>
      <c r="G99" s="87"/>
      <c r="H99" s="19">
        <v>42261</v>
      </c>
      <c r="I99" s="8">
        <v>0</v>
      </c>
      <c r="J99" s="8">
        <f t="shared" ref="J99:J113" si="26">E99-I99</f>
        <v>2480902.4296721416</v>
      </c>
      <c r="K99" s="16" t="s">
        <v>13</v>
      </c>
      <c r="L99" s="85" t="e">
        <f>K99-F99</f>
        <v>#VALUE!</v>
      </c>
    </row>
    <row r="100" spans="1:13">
      <c r="A100" s="17">
        <v>42156</v>
      </c>
      <c r="B100" s="18">
        <v>2455738.5337504894</v>
      </c>
      <c r="C100" s="18">
        <v>14161.781079913608</v>
      </c>
      <c r="D100" s="6">
        <f t="shared" si="24"/>
        <v>2441576.7526705759</v>
      </c>
      <c r="E100" s="8">
        <f t="shared" si="25"/>
        <v>13306593.302054638</v>
      </c>
      <c r="F100" s="19">
        <v>42199</v>
      </c>
      <c r="G100" s="87"/>
      <c r="H100" s="19">
        <v>42261</v>
      </c>
      <c r="I100" s="8">
        <v>13275005</v>
      </c>
      <c r="J100" s="8">
        <f t="shared" si="26"/>
        <v>31588.302054638043</v>
      </c>
      <c r="K100" s="9">
        <v>42263</v>
      </c>
      <c r="L100" s="85">
        <f t="shared" ref="L100:L114" si="27">K100-F100</f>
        <v>64</v>
      </c>
      <c r="M100">
        <f>K100-F100</f>
        <v>64</v>
      </c>
    </row>
    <row r="101" spans="1:13">
      <c r="A101" s="17">
        <v>42186</v>
      </c>
      <c r="B101" s="24">
        <v>2720359.6650790242</v>
      </c>
      <c r="C101" s="18">
        <v>15215.385531408156</v>
      </c>
      <c r="D101" s="6">
        <f t="shared" si="24"/>
        <v>2705144.2795476159</v>
      </c>
      <c r="E101" s="8">
        <f t="shared" si="25"/>
        <v>14743036.323534507</v>
      </c>
      <c r="F101" s="19">
        <v>42223</v>
      </c>
      <c r="G101" s="87"/>
      <c r="H101" s="22">
        <v>42284</v>
      </c>
      <c r="I101" s="23">
        <f>10000000+4743036</f>
        <v>14743036</v>
      </c>
      <c r="J101" s="8">
        <f t="shared" si="26"/>
        <v>0.32353450730443001</v>
      </c>
      <c r="K101" s="9">
        <v>42284</v>
      </c>
      <c r="L101" s="85">
        <f t="shared" si="27"/>
        <v>61</v>
      </c>
      <c r="M101">
        <f t="shared" ref="M101:M113" si="28">K101-F101</f>
        <v>61</v>
      </c>
    </row>
    <row r="102" spans="1:13">
      <c r="A102" s="17">
        <v>42217</v>
      </c>
      <c r="B102" s="24">
        <v>3367840.9281665678</v>
      </c>
      <c r="C102" s="18">
        <v>16136.831722689076</v>
      </c>
      <c r="D102" s="6">
        <f t="shared" si="24"/>
        <v>3351704.096443879</v>
      </c>
      <c r="E102" s="8">
        <f t="shared" si="25"/>
        <v>18266787.325619143</v>
      </c>
      <c r="F102" s="19">
        <v>42254</v>
      </c>
      <c r="G102" s="87"/>
      <c r="H102" s="22">
        <v>42315</v>
      </c>
      <c r="I102" s="23">
        <f>17713846+551824</f>
        <v>18265670</v>
      </c>
      <c r="J102" s="8">
        <f t="shared" si="26"/>
        <v>1117.3256191425025</v>
      </c>
      <c r="K102" s="9">
        <v>42317</v>
      </c>
      <c r="L102" s="85">
        <f t="shared" si="27"/>
        <v>63</v>
      </c>
      <c r="M102">
        <f t="shared" si="28"/>
        <v>63</v>
      </c>
    </row>
    <row r="103" spans="1:13">
      <c r="A103" s="17">
        <v>42248</v>
      </c>
      <c r="B103" s="30">
        <v>3221839.4064718075</v>
      </c>
      <c r="C103" s="35">
        <v>37372.561599317203</v>
      </c>
      <c r="D103" s="33">
        <f t="shared" si="24"/>
        <v>3184466.8448724905</v>
      </c>
      <c r="E103" s="34">
        <f t="shared" si="25"/>
        <v>17355344.304555073</v>
      </c>
      <c r="F103" s="19">
        <v>42284</v>
      </c>
      <c r="G103" s="87"/>
      <c r="H103" s="22">
        <v>42345</v>
      </c>
      <c r="I103" s="23">
        <v>16565902</v>
      </c>
      <c r="J103" s="8">
        <f t="shared" si="26"/>
        <v>789442.30455507338</v>
      </c>
      <c r="K103" s="9">
        <v>42374</v>
      </c>
      <c r="L103" s="85">
        <f t="shared" si="27"/>
        <v>90</v>
      </c>
      <c r="M103">
        <f t="shared" si="28"/>
        <v>90</v>
      </c>
    </row>
    <row r="104" spans="1:13">
      <c r="A104" s="17"/>
      <c r="B104" s="30"/>
      <c r="C104" s="35"/>
      <c r="D104" s="33"/>
      <c r="E104" s="34"/>
      <c r="F104" s="19"/>
      <c r="G104" s="87"/>
      <c r="H104" s="22"/>
      <c r="I104" s="23">
        <v>268536</v>
      </c>
      <c r="J104" s="8">
        <f t="shared" si="26"/>
        <v>-268536</v>
      </c>
      <c r="K104" s="9">
        <v>42445</v>
      </c>
      <c r="L104" s="85">
        <f t="shared" si="27"/>
        <v>42445</v>
      </c>
    </row>
    <row r="105" spans="1:13">
      <c r="A105" s="17">
        <v>42278</v>
      </c>
      <c r="B105" s="24">
        <v>3688128.5709996256</v>
      </c>
      <c r="C105" s="24">
        <v>16473.372102823432</v>
      </c>
      <c r="D105" s="33">
        <f t="shared" si="24"/>
        <v>3671655.198896802</v>
      </c>
      <c r="E105" s="34">
        <f t="shared" si="25"/>
        <v>20010520.833987571</v>
      </c>
      <c r="F105" s="19">
        <v>42313</v>
      </c>
      <c r="G105" s="87"/>
      <c r="H105" s="22">
        <v>42374</v>
      </c>
      <c r="I105" s="23">
        <v>17567332</v>
      </c>
      <c r="J105" s="8">
        <f t="shared" si="26"/>
        <v>2443188.8339875713</v>
      </c>
      <c r="K105" s="9">
        <v>42380</v>
      </c>
      <c r="L105" s="85">
        <f t="shared" si="27"/>
        <v>67</v>
      </c>
      <c r="M105">
        <f t="shared" si="28"/>
        <v>67</v>
      </c>
    </row>
    <row r="106" spans="1:13">
      <c r="A106" s="17"/>
      <c r="B106" s="24"/>
      <c r="C106" s="24"/>
      <c r="D106" s="33"/>
      <c r="E106" s="34"/>
      <c r="F106" s="19"/>
      <c r="G106" s="87"/>
      <c r="H106" s="22"/>
      <c r="I106" s="29">
        <v>2443189</v>
      </c>
      <c r="J106" s="8">
        <f t="shared" si="26"/>
        <v>-2443189</v>
      </c>
      <c r="K106" s="9">
        <v>42472</v>
      </c>
      <c r="L106" s="85">
        <f t="shared" si="27"/>
        <v>42472</v>
      </c>
    </row>
    <row r="107" spans="1:13">
      <c r="A107" s="17">
        <v>42309</v>
      </c>
      <c r="B107" s="24">
        <v>2711313.8080237894</v>
      </c>
      <c r="C107" s="24">
        <v>16927.209863013701</v>
      </c>
      <c r="D107" s="6">
        <f t="shared" si="24"/>
        <v>2694386.5981607758</v>
      </c>
      <c r="E107" s="8">
        <f t="shared" si="25"/>
        <v>14684406.959976228</v>
      </c>
      <c r="F107" s="19">
        <v>42342</v>
      </c>
      <c r="G107" s="87"/>
      <c r="H107" s="22">
        <v>42404</v>
      </c>
      <c r="I107" s="23">
        <v>14684407</v>
      </c>
      <c r="J107" s="8">
        <f t="shared" si="26"/>
        <v>-4.0023772045969963E-2</v>
      </c>
      <c r="K107" s="9">
        <v>42404</v>
      </c>
      <c r="L107" s="85">
        <f t="shared" si="27"/>
        <v>62</v>
      </c>
      <c r="M107">
        <f t="shared" si="28"/>
        <v>62</v>
      </c>
    </row>
    <row r="108" spans="1:13">
      <c r="A108" s="17">
        <v>42339</v>
      </c>
      <c r="B108" s="24">
        <v>3000021</v>
      </c>
      <c r="C108" s="24">
        <v>18293</v>
      </c>
      <c r="D108" s="6">
        <f t="shared" si="24"/>
        <v>2981728</v>
      </c>
      <c r="E108" s="8">
        <f t="shared" si="25"/>
        <v>16250417.6</v>
      </c>
      <c r="F108" s="19">
        <v>42374</v>
      </c>
      <c r="G108" s="87"/>
      <c r="H108" s="22">
        <v>42434</v>
      </c>
      <c r="I108" s="23">
        <v>16181197</v>
      </c>
      <c r="J108" s="8">
        <f t="shared" si="26"/>
        <v>69220.599999999627</v>
      </c>
      <c r="K108" s="9">
        <v>42437</v>
      </c>
      <c r="L108" s="85">
        <f t="shared" si="27"/>
        <v>63</v>
      </c>
      <c r="M108">
        <f t="shared" si="28"/>
        <v>63</v>
      </c>
    </row>
    <row r="109" spans="1:13">
      <c r="A109" s="17">
        <v>42370</v>
      </c>
      <c r="B109" s="24">
        <v>3029763</v>
      </c>
      <c r="C109" s="24">
        <v>18096</v>
      </c>
      <c r="D109" s="6">
        <f t="shared" si="24"/>
        <v>3011667</v>
      </c>
      <c r="E109" s="8">
        <f t="shared" si="25"/>
        <v>16413585.15</v>
      </c>
      <c r="F109" s="19">
        <v>42405</v>
      </c>
      <c r="G109" s="87"/>
      <c r="H109" s="22">
        <v>42464</v>
      </c>
      <c r="I109" s="23">
        <v>16382267</v>
      </c>
      <c r="J109" s="8">
        <f t="shared" si="26"/>
        <v>31318.150000000373</v>
      </c>
      <c r="K109" s="9">
        <v>42465</v>
      </c>
      <c r="L109" s="85">
        <f t="shared" si="27"/>
        <v>60</v>
      </c>
      <c r="M109">
        <f t="shared" si="28"/>
        <v>60</v>
      </c>
    </row>
    <row r="110" spans="1:13">
      <c r="A110" s="17">
        <v>42401</v>
      </c>
      <c r="B110" s="24">
        <v>3333666.74</v>
      </c>
      <c r="C110" s="24">
        <v>15389.3</v>
      </c>
      <c r="D110" s="6">
        <f t="shared" si="24"/>
        <v>3318277.4400000004</v>
      </c>
      <c r="E110" s="8">
        <f t="shared" si="25"/>
        <v>18084612.048000004</v>
      </c>
      <c r="F110" s="19">
        <v>42433</v>
      </c>
      <c r="G110" s="87"/>
      <c r="H110" s="22">
        <v>42494</v>
      </c>
      <c r="I110" s="23">
        <v>18084612</v>
      </c>
      <c r="J110" s="8">
        <f t="shared" si="26"/>
        <v>4.8000004142522812E-2</v>
      </c>
      <c r="K110" s="9">
        <v>42495</v>
      </c>
      <c r="L110" s="85">
        <f t="shared" si="27"/>
        <v>62</v>
      </c>
      <c r="M110">
        <f t="shared" si="28"/>
        <v>62</v>
      </c>
    </row>
    <row r="111" spans="1:13">
      <c r="A111" s="17">
        <v>42430</v>
      </c>
      <c r="B111" s="24">
        <v>3636058.6145778289</v>
      </c>
      <c r="C111" s="24">
        <v>15807.359381708888</v>
      </c>
      <c r="D111" s="6">
        <f t="shared" si="24"/>
        <v>3620251.2551961201</v>
      </c>
      <c r="E111" s="8">
        <f t="shared" si="25"/>
        <v>19730369.340818856</v>
      </c>
      <c r="F111" s="19">
        <v>42464</v>
      </c>
      <c r="G111" s="87"/>
      <c r="H111" s="22">
        <f>F111+60</f>
        <v>42524</v>
      </c>
      <c r="I111" s="23">
        <f>E111</f>
        <v>19730369.340818856</v>
      </c>
      <c r="J111" s="8">
        <f t="shared" si="26"/>
        <v>0</v>
      </c>
      <c r="K111" s="9">
        <v>42528</v>
      </c>
      <c r="L111" s="85">
        <f t="shared" si="27"/>
        <v>64</v>
      </c>
      <c r="M111">
        <f t="shared" si="28"/>
        <v>64</v>
      </c>
    </row>
    <row r="112" spans="1:13">
      <c r="A112" s="17">
        <v>42461</v>
      </c>
      <c r="B112" s="24">
        <v>3731167.5386570264</v>
      </c>
      <c r="C112" s="24">
        <v>14714.801850816088</v>
      </c>
      <c r="D112" s="6">
        <f>ROUND(B112-C112,0)</f>
        <v>3716453</v>
      </c>
      <c r="E112" s="8">
        <f t="shared" ref="E112:E115" si="29">D112*5.45</f>
        <v>20254668.850000001</v>
      </c>
      <c r="F112" s="19">
        <v>42494</v>
      </c>
      <c r="G112" s="87"/>
      <c r="H112" s="22">
        <f>F112+60</f>
        <v>42554</v>
      </c>
      <c r="I112" s="6">
        <f>E112</f>
        <v>20254668.850000001</v>
      </c>
      <c r="J112" s="29">
        <f t="shared" si="26"/>
        <v>0</v>
      </c>
      <c r="K112" s="9">
        <v>42556</v>
      </c>
      <c r="L112" s="85">
        <f t="shared" si="27"/>
        <v>62</v>
      </c>
      <c r="M112">
        <f t="shared" si="28"/>
        <v>62</v>
      </c>
    </row>
    <row r="113" spans="1:13">
      <c r="A113" s="17">
        <v>42491</v>
      </c>
      <c r="B113" s="24">
        <v>3665803</v>
      </c>
      <c r="C113" s="24">
        <v>13864</v>
      </c>
      <c r="D113" s="6">
        <f>ROUND(B113-C113,0)</f>
        <v>3651939</v>
      </c>
      <c r="E113" s="8">
        <f t="shared" si="29"/>
        <v>19903067.550000001</v>
      </c>
      <c r="F113" s="19">
        <v>42527</v>
      </c>
      <c r="G113" s="87"/>
      <c r="H113" s="22">
        <f>F113+60</f>
        <v>42587</v>
      </c>
      <c r="I113" s="29">
        <v>19903068</v>
      </c>
      <c r="J113" s="29">
        <f t="shared" si="26"/>
        <v>-0.44999999925494194</v>
      </c>
      <c r="K113" s="9">
        <v>42588</v>
      </c>
      <c r="L113" s="85">
        <f t="shared" si="27"/>
        <v>61</v>
      </c>
      <c r="M113">
        <f t="shared" si="28"/>
        <v>61</v>
      </c>
    </row>
    <row r="114" spans="1:13">
      <c r="A114" s="17">
        <v>42522</v>
      </c>
      <c r="B114" s="24">
        <v>3602587</v>
      </c>
      <c r="C114" s="24">
        <v>13638</v>
      </c>
      <c r="D114" s="6">
        <f>ROUND(B114-C114,0)</f>
        <v>3588949</v>
      </c>
      <c r="E114" s="8">
        <f t="shared" si="29"/>
        <v>19559772.050000001</v>
      </c>
      <c r="F114" s="19">
        <v>42557</v>
      </c>
      <c r="G114" s="87"/>
      <c r="H114" s="22">
        <f>F114+60</f>
        <v>42617</v>
      </c>
      <c r="I114" s="29">
        <v>0</v>
      </c>
      <c r="J114" s="29"/>
      <c r="K114" s="20" t="s">
        <v>13</v>
      </c>
      <c r="L114" s="85" t="e">
        <f t="shared" si="27"/>
        <v>#VALUE!</v>
      </c>
    </row>
    <row r="115" spans="1:13">
      <c r="A115" s="17">
        <v>42552</v>
      </c>
      <c r="B115" s="24">
        <v>3521743</v>
      </c>
      <c r="C115" s="24">
        <v>15561</v>
      </c>
      <c r="D115" s="6">
        <f>ROUND(B115-C115,0)</f>
        <v>3506182</v>
      </c>
      <c r="E115" s="8">
        <f t="shared" si="29"/>
        <v>19108691.900000002</v>
      </c>
      <c r="F115" s="19">
        <v>42590</v>
      </c>
      <c r="G115" s="87"/>
      <c r="H115" s="22">
        <f>F115+60</f>
        <v>42650</v>
      </c>
      <c r="I115" s="29">
        <v>0</v>
      </c>
      <c r="J115" s="29"/>
      <c r="K115" s="20" t="s">
        <v>14</v>
      </c>
    </row>
    <row r="116" spans="1:13">
      <c r="A116" s="17">
        <v>42583</v>
      </c>
      <c r="B116" s="24"/>
      <c r="C116" s="24"/>
      <c r="D116" s="6"/>
      <c r="E116" s="8"/>
      <c r="F116" s="19"/>
      <c r="G116" s="87"/>
      <c r="H116" s="22"/>
      <c r="I116" s="29"/>
      <c r="J116" s="29"/>
      <c r="K116" s="20" t="s">
        <v>50</v>
      </c>
    </row>
    <row r="117" spans="1:13">
      <c r="A117" s="2" t="s">
        <v>10</v>
      </c>
      <c r="B117" s="3">
        <f>SUM(B99:B116)</f>
        <v>46158327.679199271</v>
      </c>
      <c r="C117" s="3">
        <f t="shared" ref="C117:E117" si="30">SUM(C99:C116)</f>
        <v>258736.02161908511</v>
      </c>
      <c r="D117" s="3">
        <f t="shared" si="30"/>
        <v>45899591.920773976</v>
      </c>
      <c r="E117" s="3">
        <f t="shared" si="30"/>
        <v>250152775.96821818</v>
      </c>
      <c r="F117" s="3"/>
      <c r="G117" s="13"/>
      <c r="H117" s="3"/>
      <c r="I117" s="3">
        <f t="shared" ref="I117:J117" si="31">SUM(I99:I116)</f>
        <v>208349259.19081885</v>
      </c>
      <c r="J117" s="3">
        <f t="shared" si="31"/>
        <v>3135052.8273993069</v>
      </c>
      <c r="K117" s="3"/>
    </row>
    <row r="120" spans="1:13">
      <c r="E120" s="3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Q41"/>
  <sheetViews>
    <sheetView topLeftCell="G7" workbookViewId="0">
      <selection activeCell="O18" sqref="O18"/>
    </sheetView>
  </sheetViews>
  <sheetFormatPr defaultRowHeight="15"/>
  <cols>
    <col min="1" max="1" width="3.42578125" customWidth="1"/>
    <col min="2" max="2" width="8.42578125" bestFit="1" customWidth="1"/>
    <col min="3" max="3" width="11.5703125" customWidth="1"/>
    <col min="4" max="4" width="10.42578125" customWidth="1"/>
    <col min="5" max="5" width="13.42578125" bestFit="1" customWidth="1"/>
    <col min="6" max="6" width="10.5703125" bestFit="1" customWidth="1"/>
    <col min="7" max="7" width="13.7109375" customWidth="1"/>
    <col min="8" max="8" width="16" bestFit="1" customWidth="1"/>
    <col min="9" max="9" width="14.42578125" customWidth="1"/>
    <col min="10" max="10" width="13.7109375" bestFit="1" customWidth="1"/>
    <col min="11" max="11" width="11.5703125" customWidth="1"/>
    <col min="12" max="12" width="12.85546875" customWidth="1"/>
    <col min="13" max="13" width="8.85546875" style="42" customWidth="1"/>
    <col min="14" max="14" width="45.85546875" customWidth="1"/>
    <col min="15" max="15" width="24.7109375" customWidth="1"/>
    <col min="16" max="16" width="10.42578125" bestFit="1" customWidth="1"/>
  </cols>
  <sheetData>
    <row r="2" spans="2:15" ht="19.5" thickBot="1">
      <c r="B2" s="180" t="s">
        <v>73</v>
      </c>
      <c r="C2" s="180"/>
      <c r="D2" s="180"/>
      <c r="E2" s="180"/>
    </row>
    <row r="3" spans="2:15">
      <c r="B3" s="183" t="s">
        <v>44</v>
      </c>
      <c r="C3" s="193" t="s">
        <v>90</v>
      </c>
      <c r="D3" s="194"/>
      <c r="E3" s="185" t="s">
        <v>85</v>
      </c>
      <c r="F3" s="187" t="s">
        <v>86</v>
      </c>
      <c r="G3" s="187" t="s">
        <v>87</v>
      </c>
      <c r="H3" s="187" t="s">
        <v>89</v>
      </c>
      <c r="I3" s="189" t="s">
        <v>88</v>
      </c>
      <c r="J3" s="191" t="s">
        <v>83</v>
      </c>
      <c r="K3" s="191" t="s">
        <v>84</v>
      </c>
      <c r="L3" s="191" t="s">
        <v>80</v>
      </c>
      <c r="M3" s="96"/>
    </row>
    <row r="4" spans="2:15" ht="33.75" customHeight="1" thickBot="1">
      <c r="B4" s="184"/>
      <c r="C4" s="134" t="s">
        <v>91</v>
      </c>
      <c r="D4" s="135" t="s">
        <v>92</v>
      </c>
      <c r="E4" s="186"/>
      <c r="F4" s="188"/>
      <c r="G4" s="188"/>
      <c r="H4" s="188"/>
      <c r="I4" s="190"/>
      <c r="J4" s="192"/>
      <c r="K4" s="192"/>
      <c r="L4" s="192"/>
      <c r="M4" s="96"/>
    </row>
    <row r="5" spans="2:15">
      <c r="B5" s="166">
        <v>43191</v>
      </c>
      <c r="C5" s="136">
        <v>43191</v>
      </c>
      <c r="D5" s="137">
        <v>43220</v>
      </c>
      <c r="E5" s="146">
        <v>5121288</v>
      </c>
      <c r="F5" s="147">
        <v>27528</v>
      </c>
      <c r="G5" s="144">
        <f t="shared" ref="G5:G31" si="0">E5-F5</f>
        <v>5093760</v>
      </c>
      <c r="H5" s="123">
        <v>5093760</v>
      </c>
      <c r="I5" s="124">
        <f>G5/1000</f>
        <v>5093.76</v>
      </c>
      <c r="J5" s="98">
        <v>0.97770000000000001</v>
      </c>
      <c r="K5" s="101">
        <f t="shared" ref="K5:K31" si="1">I5*J5</f>
        <v>4980.1691520000004</v>
      </c>
      <c r="L5" s="104"/>
    </row>
    <row r="6" spans="2:15">
      <c r="B6" s="165">
        <v>43221</v>
      </c>
      <c r="C6" s="136">
        <v>43221</v>
      </c>
      <c r="D6" s="138">
        <v>43251</v>
      </c>
      <c r="E6" s="148">
        <v>5355096</v>
      </c>
      <c r="F6" s="36">
        <v>28128</v>
      </c>
      <c r="G6" s="127">
        <f t="shared" si="0"/>
        <v>5326968</v>
      </c>
      <c r="H6" s="125">
        <v>5326968</v>
      </c>
      <c r="I6" s="126">
        <f t="shared" ref="I6:I31" si="2">G6/1000</f>
        <v>5326.9679999999998</v>
      </c>
      <c r="J6" s="99">
        <v>0.97770000000000001</v>
      </c>
      <c r="K6" s="102">
        <f t="shared" si="1"/>
        <v>5208.1766135999997</v>
      </c>
      <c r="L6" s="105"/>
    </row>
    <row r="7" spans="2:15" ht="15.75" thickBot="1">
      <c r="B7" s="142">
        <v>43252</v>
      </c>
      <c r="C7" s="136">
        <v>43252</v>
      </c>
      <c r="D7" s="138">
        <v>43281</v>
      </c>
      <c r="E7" s="148">
        <v>4791408</v>
      </c>
      <c r="F7" s="36">
        <v>26400</v>
      </c>
      <c r="G7" s="127">
        <f t="shared" si="0"/>
        <v>4765008</v>
      </c>
      <c r="H7" s="125">
        <v>4765008</v>
      </c>
      <c r="I7" s="126">
        <f t="shared" si="2"/>
        <v>4765.0079999999998</v>
      </c>
      <c r="J7" s="99">
        <v>0.97770000000000001</v>
      </c>
      <c r="K7" s="102">
        <f t="shared" si="1"/>
        <v>4658.7483216000001</v>
      </c>
      <c r="L7" s="105"/>
    </row>
    <row r="8" spans="2:15">
      <c r="B8" s="142">
        <v>43282</v>
      </c>
      <c r="C8" s="136">
        <v>43282</v>
      </c>
      <c r="D8" s="137">
        <v>43312</v>
      </c>
      <c r="E8" s="148">
        <v>3659544</v>
      </c>
      <c r="F8" s="36">
        <v>28920</v>
      </c>
      <c r="G8" s="127">
        <f t="shared" si="0"/>
        <v>3630624</v>
      </c>
      <c r="H8" s="127">
        <v>3630624</v>
      </c>
      <c r="I8" s="126">
        <f t="shared" si="2"/>
        <v>3630.6239999999998</v>
      </c>
      <c r="J8" s="99">
        <v>0.97770000000000001</v>
      </c>
      <c r="K8" s="102">
        <f t="shared" si="1"/>
        <v>3549.6610848</v>
      </c>
      <c r="L8" s="105"/>
      <c r="M8" s="97"/>
      <c r="N8" s="119" t="s">
        <v>74</v>
      </c>
      <c r="O8" s="115">
        <v>15625430</v>
      </c>
    </row>
    <row r="9" spans="2:15">
      <c r="B9" s="142">
        <v>43313</v>
      </c>
      <c r="C9" s="136">
        <v>43313</v>
      </c>
      <c r="D9" s="138">
        <v>43343</v>
      </c>
      <c r="E9" s="148">
        <v>3340368</v>
      </c>
      <c r="F9" s="36">
        <v>29976</v>
      </c>
      <c r="G9" s="127">
        <f t="shared" si="0"/>
        <v>3310392</v>
      </c>
      <c r="H9" s="127">
        <v>3310392</v>
      </c>
      <c r="I9" s="126">
        <f t="shared" si="2"/>
        <v>3310.3919999999998</v>
      </c>
      <c r="J9" s="99">
        <v>0.97770000000000001</v>
      </c>
      <c r="K9" s="102">
        <f t="shared" si="1"/>
        <v>3236.5702584000001</v>
      </c>
      <c r="L9" s="105"/>
      <c r="N9" s="120" t="s">
        <v>76</v>
      </c>
      <c r="O9" s="116" t="s">
        <v>77</v>
      </c>
    </row>
    <row r="10" spans="2:15">
      <c r="B10" s="142">
        <v>43344</v>
      </c>
      <c r="C10" s="136">
        <v>43344</v>
      </c>
      <c r="D10" s="138">
        <v>43373</v>
      </c>
      <c r="E10" s="148">
        <v>3964344</v>
      </c>
      <c r="F10" s="36">
        <v>29544</v>
      </c>
      <c r="G10" s="127">
        <f t="shared" si="0"/>
        <v>3934800</v>
      </c>
      <c r="H10" s="127">
        <v>3934800</v>
      </c>
      <c r="I10" s="126">
        <f t="shared" si="2"/>
        <v>3934.8</v>
      </c>
      <c r="J10" s="99">
        <v>0.97770000000000001</v>
      </c>
      <c r="K10" s="102">
        <f t="shared" si="1"/>
        <v>3847.0539600000002</v>
      </c>
      <c r="L10" s="105"/>
      <c r="N10" s="120" t="s">
        <v>78</v>
      </c>
      <c r="O10" s="116" t="s">
        <v>79</v>
      </c>
    </row>
    <row r="11" spans="2:15">
      <c r="B11" s="142">
        <v>43374</v>
      </c>
      <c r="C11" s="136">
        <v>43374</v>
      </c>
      <c r="D11" s="137">
        <v>43404</v>
      </c>
      <c r="E11" s="148">
        <v>4905864</v>
      </c>
      <c r="F11" s="36">
        <v>26304</v>
      </c>
      <c r="G11" s="127">
        <f t="shared" si="0"/>
        <v>4879560</v>
      </c>
      <c r="H11" s="127">
        <v>4879560</v>
      </c>
      <c r="I11" s="126">
        <f t="shared" si="2"/>
        <v>4879.5600000000004</v>
      </c>
      <c r="J11" s="99">
        <v>0.97770000000000001</v>
      </c>
      <c r="K11" s="102">
        <f t="shared" si="1"/>
        <v>4770.7458120000001</v>
      </c>
      <c r="L11" s="105"/>
      <c r="N11" s="120" t="s">
        <v>75</v>
      </c>
      <c r="O11" s="117">
        <v>43070</v>
      </c>
    </row>
    <row r="12" spans="2:15" ht="15.75" thickBot="1">
      <c r="B12" s="142">
        <v>43405</v>
      </c>
      <c r="C12" s="136">
        <v>43405</v>
      </c>
      <c r="D12" s="138">
        <v>43434</v>
      </c>
      <c r="E12" s="148">
        <v>4347192</v>
      </c>
      <c r="F12" s="36">
        <v>28488</v>
      </c>
      <c r="G12" s="127">
        <f t="shared" si="0"/>
        <v>4318704</v>
      </c>
      <c r="H12" s="127">
        <v>4318704</v>
      </c>
      <c r="I12" s="126">
        <f t="shared" si="2"/>
        <v>4318.7039999999997</v>
      </c>
      <c r="J12" s="99">
        <v>0.97770000000000001</v>
      </c>
      <c r="K12" s="102">
        <f t="shared" si="1"/>
        <v>4222.3969007999995</v>
      </c>
      <c r="L12" s="105"/>
      <c r="N12" s="121" t="s">
        <v>82</v>
      </c>
      <c r="O12" s="118">
        <v>44896</v>
      </c>
    </row>
    <row r="13" spans="2:15" ht="15.75" thickBot="1">
      <c r="B13" s="142">
        <v>43435</v>
      </c>
      <c r="C13" s="136">
        <v>43435</v>
      </c>
      <c r="D13" s="138">
        <v>43465</v>
      </c>
      <c r="E13" s="148">
        <v>4471440</v>
      </c>
      <c r="F13" s="36">
        <v>30864</v>
      </c>
      <c r="G13" s="127">
        <f t="shared" si="0"/>
        <v>4440576</v>
      </c>
      <c r="H13" s="127">
        <v>4440576</v>
      </c>
      <c r="I13" s="126">
        <f t="shared" si="2"/>
        <v>4440.576</v>
      </c>
      <c r="J13" s="99">
        <v>0.97770000000000001</v>
      </c>
      <c r="K13" s="102">
        <f t="shared" si="1"/>
        <v>4341.5511551999998</v>
      </c>
      <c r="L13" s="122">
        <f>ROUNDDOWN(SUM(K5:K13),0)</f>
        <v>38815</v>
      </c>
    </row>
    <row r="14" spans="2:15" ht="15.75" thickBot="1">
      <c r="B14" s="142">
        <v>43466</v>
      </c>
      <c r="C14" s="136">
        <v>43466</v>
      </c>
      <c r="D14" s="137">
        <v>43496</v>
      </c>
      <c r="E14" s="149">
        <v>4378772.6399999997</v>
      </c>
      <c r="F14" s="145">
        <v>33388.32</v>
      </c>
      <c r="G14" s="150">
        <f t="shared" si="0"/>
        <v>4345384.3199999994</v>
      </c>
      <c r="H14" s="125">
        <v>4345384.3199999994</v>
      </c>
      <c r="I14" s="126">
        <f t="shared" si="2"/>
        <v>4345.3843199999992</v>
      </c>
      <c r="J14" s="99">
        <v>0.97770000000000001</v>
      </c>
      <c r="K14" s="102">
        <f t="shared" si="1"/>
        <v>4248.482249663999</v>
      </c>
      <c r="L14" s="105"/>
      <c r="N14" s="181" t="s">
        <v>66</v>
      </c>
      <c r="O14" s="182"/>
    </row>
    <row r="15" spans="2:15">
      <c r="B15" s="142">
        <v>43497</v>
      </c>
      <c r="C15" s="136">
        <v>43497</v>
      </c>
      <c r="D15" s="138">
        <v>43524</v>
      </c>
      <c r="E15" s="148">
        <v>4209024</v>
      </c>
      <c r="F15" s="36">
        <v>29352</v>
      </c>
      <c r="G15" s="127">
        <f t="shared" si="0"/>
        <v>4179672</v>
      </c>
      <c r="H15" s="125">
        <v>4179672</v>
      </c>
      <c r="I15" s="126">
        <f t="shared" si="2"/>
        <v>4179.6719999999996</v>
      </c>
      <c r="J15" s="99">
        <v>0.97770000000000001</v>
      </c>
      <c r="K15" s="102">
        <f t="shared" si="1"/>
        <v>4086.4653143999994</v>
      </c>
      <c r="L15" s="105"/>
      <c r="N15" s="112" t="s">
        <v>81</v>
      </c>
      <c r="O15" s="106">
        <v>43191</v>
      </c>
    </row>
    <row r="16" spans="2:15">
      <c r="B16" s="165">
        <v>43525</v>
      </c>
      <c r="C16" s="136">
        <v>43525</v>
      </c>
      <c r="D16" s="138">
        <v>43555</v>
      </c>
      <c r="E16" s="148">
        <v>5438712</v>
      </c>
      <c r="F16" s="36">
        <v>30072</v>
      </c>
      <c r="G16" s="127">
        <f t="shared" si="0"/>
        <v>5408640</v>
      </c>
      <c r="H16" s="125">
        <v>5408640</v>
      </c>
      <c r="I16" s="126">
        <f t="shared" si="2"/>
        <v>5408.64</v>
      </c>
      <c r="J16" s="99">
        <v>0.97770000000000001</v>
      </c>
      <c r="K16" s="102">
        <f t="shared" si="1"/>
        <v>5288.0273280000001</v>
      </c>
      <c r="L16" s="105"/>
      <c r="N16" s="113" t="s">
        <v>67</v>
      </c>
      <c r="O16" s="107">
        <v>44012</v>
      </c>
    </row>
    <row r="17" spans="2:17">
      <c r="B17" s="165">
        <v>43556</v>
      </c>
      <c r="C17" s="136">
        <v>43556</v>
      </c>
      <c r="D17" s="137">
        <v>43585</v>
      </c>
      <c r="E17" s="148">
        <v>5249544</v>
      </c>
      <c r="F17" s="36">
        <v>27024</v>
      </c>
      <c r="G17" s="127">
        <f t="shared" si="0"/>
        <v>5222520</v>
      </c>
      <c r="H17" s="127">
        <v>5222520</v>
      </c>
      <c r="I17" s="126">
        <f t="shared" si="2"/>
        <v>5222.5200000000004</v>
      </c>
      <c r="J17" s="99">
        <v>0.97770000000000001</v>
      </c>
      <c r="K17" s="102">
        <f t="shared" si="1"/>
        <v>5106.0578040000009</v>
      </c>
      <c r="L17" s="105"/>
      <c r="N17" s="113" t="s">
        <v>68</v>
      </c>
      <c r="O17" s="108">
        <f>O16-O15+1</f>
        <v>822</v>
      </c>
    </row>
    <row r="18" spans="2:17">
      <c r="B18" s="165">
        <v>43586</v>
      </c>
      <c r="C18" s="136">
        <v>43586</v>
      </c>
      <c r="D18" s="138">
        <v>43616</v>
      </c>
      <c r="E18" s="148">
        <v>5611392</v>
      </c>
      <c r="F18" s="36">
        <v>26376</v>
      </c>
      <c r="G18" s="127">
        <f t="shared" si="0"/>
        <v>5585016</v>
      </c>
      <c r="H18" s="127">
        <v>5585016</v>
      </c>
      <c r="I18" s="126">
        <f t="shared" si="2"/>
        <v>5585.0159999999996</v>
      </c>
      <c r="J18" s="99">
        <v>0.97770000000000001</v>
      </c>
      <c r="K18" s="102">
        <f t="shared" si="1"/>
        <v>5460.4701431999993</v>
      </c>
      <c r="L18" s="105"/>
      <c r="N18" s="113" t="s">
        <v>69</v>
      </c>
      <c r="O18" s="108">
        <v>46815</v>
      </c>
    </row>
    <row r="19" spans="2:17">
      <c r="B19" s="142">
        <v>43617</v>
      </c>
      <c r="C19" s="136">
        <v>43617</v>
      </c>
      <c r="D19" s="138">
        <v>43646</v>
      </c>
      <c r="E19" s="148">
        <v>4693848</v>
      </c>
      <c r="F19" s="36">
        <v>25320</v>
      </c>
      <c r="G19" s="127">
        <f t="shared" si="0"/>
        <v>4668528</v>
      </c>
      <c r="H19" s="125">
        <v>4668528</v>
      </c>
      <c r="I19" s="126">
        <f t="shared" si="2"/>
        <v>4668.5280000000002</v>
      </c>
      <c r="J19" s="99">
        <v>0.97770000000000001</v>
      </c>
      <c r="K19" s="102">
        <f t="shared" si="1"/>
        <v>4564.4198256</v>
      </c>
      <c r="L19" s="105"/>
      <c r="N19" s="113" t="s">
        <v>70</v>
      </c>
      <c r="O19" s="109">
        <f>O18*O17/365</f>
        <v>105429.94520547945</v>
      </c>
    </row>
    <row r="20" spans="2:17">
      <c r="B20" s="142">
        <v>43647</v>
      </c>
      <c r="C20" s="136">
        <v>43647</v>
      </c>
      <c r="D20" s="137">
        <v>43677</v>
      </c>
      <c r="E20" s="148">
        <v>4182696</v>
      </c>
      <c r="F20" s="36">
        <v>26640</v>
      </c>
      <c r="G20" s="127">
        <f t="shared" si="0"/>
        <v>4156056</v>
      </c>
      <c r="H20" s="127">
        <v>4156056</v>
      </c>
      <c r="I20" s="126">
        <f t="shared" si="2"/>
        <v>4156.0559999999996</v>
      </c>
      <c r="J20" s="99">
        <v>0.97770000000000001</v>
      </c>
      <c r="K20" s="102">
        <f t="shared" si="1"/>
        <v>4063.3759511999997</v>
      </c>
      <c r="L20" s="105"/>
      <c r="M20" s="97"/>
      <c r="N20" s="113" t="s">
        <v>71</v>
      </c>
      <c r="O20" s="110">
        <f>K32</f>
        <v>116591</v>
      </c>
    </row>
    <row r="21" spans="2:17" ht="15.75" thickBot="1">
      <c r="B21" s="142">
        <v>43678</v>
      </c>
      <c r="C21" s="136">
        <v>43678</v>
      </c>
      <c r="D21" s="138">
        <v>43708</v>
      </c>
      <c r="E21" s="148">
        <v>3736104</v>
      </c>
      <c r="F21" s="36">
        <v>29304</v>
      </c>
      <c r="G21" s="127">
        <f t="shared" si="0"/>
        <v>3706800</v>
      </c>
      <c r="H21" s="127">
        <v>3706800</v>
      </c>
      <c r="I21" s="126">
        <f t="shared" si="2"/>
        <v>3706.8</v>
      </c>
      <c r="J21" s="99">
        <v>0.97770000000000001</v>
      </c>
      <c r="K21" s="102">
        <f t="shared" si="1"/>
        <v>3624.1383600000004</v>
      </c>
      <c r="L21" s="105"/>
      <c r="N21" s="114" t="s">
        <v>72</v>
      </c>
      <c r="O21" s="111">
        <f>-(O19-O20)/O19</f>
        <v>0.10586228393430371</v>
      </c>
    </row>
    <row r="22" spans="2:17">
      <c r="B22" s="142">
        <v>43709</v>
      </c>
      <c r="C22" s="136">
        <v>43709</v>
      </c>
      <c r="D22" s="138">
        <v>43738</v>
      </c>
      <c r="E22" s="148">
        <v>3119640</v>
      </c>
      <c r="F22" s="36">
        <v>31800</v>
      </c>
      <c r="G22" s="127">
        <f t="shared" si="0"/>
        <v>3087840</v>
      </c>
      <c r="H22" s="127">
        <v>3087840</v>
      </c>
      <c r="I22" s="126">
        <f t="shared" si="2"/>
        <v>3087.84</v>
      </c>
      <c r="J22" s="99">
        <v>0.97770000000000001</v>
      </c>
      <c r="K22" s="102">
        <f t="shared" si="1"/>
        <v>3018.9811680000003</v>
      </c>
      <c r="L22" s="105"/>
    </row>
    <row r="23" spans="2:17">
      <c r="B23" s="142">
        <v>43739</v>
      </c>
      <c r="C23" s="136">
        <v>43739</v>
      </c>
      <c r="D23" s="137">
        <v>43769</v>
      </c>
      <c r="E23" s="148">
        <v>4300848</v>
      </c>
      <c r="F23" s="36">
        <v>30336</v>
      </c>
      <c r="G23" s="127">
        <f t="shared" si="0"/>
        <v>4270512</v>
      </c>
      <c r="H23" s="127">
        <v>4270512</v>
      </c>
      <c r="I23" s="126">
        <f t="shared" si="2"/>
        <v>4270.5119999999997</v>
      </c>
      <c r="J23" s="99">
        <v>0.97770000000000001</v>
      </c>
      <c r="K23" s="102">
        <f t="shared" si="1"/>
        <v>4175.2795823999995</v>
      </c>
      <c r="L23" s="105"/>
      <c r="M23" s="97"/>
    </row>
    <row r="24" spans="2:17">
      <c r="B24" s="142">
        <v>43770</v>
      </c>
      <c r="C24" s="136">
        <v>43770</v>
      </c>
      <c r="D24" s="138">
        <v>43799</v>
      </c>
      <c r="E24" s="148">
        <v>3909144</v>
      </c>
      <c r="F24" s="36">
        <v>31368</v>
      </c>
      <c r="G24" s="127">
        <f t="shared" si="0"/>
        <v>3877776</v>
      </c>
      <c r="H24" s="127">
        <v>3877776</v>
      </c>
      <c r="I24" s="126">
        <f t="shared" si="2"/>
        <v>3877.7759999999998</v>
      </c>
      <c r="J24" s="99">
        <v>0.97770000000000001</v>
      </c>
      <c r="K24" s="102">
        <f t="shared" si="1"/>
        <v>3791.3015952000001</v>
      </c>
      <c r="L24" s="105"/>
      <c r="M24" s="97"/>
    </row>
    <row r="25" spans="2:17" ht="15.75" thickBot="1">
      <c r="B25" s="142">
        <v>43800</v>
      </c>
      <c r="C25" s="136">
        <v>43800</v>
      </c>
      <c r="D25" s="138">
        <v>43830</v>
      </c>
      <c r="E25" s="148">
        <v>3072480</v>
      </c>
      <c r="F25" s="36">
        <v>35328</v>
      </c>
      <c r="G25" s="127">
        <f t="shared" si="0"/>
        <v>3037152</v>
      </c>
      <c r="H25" s="127">
        <v>3037152</v>
      </c>
      <c r="I25" s="126">
        <f t="shared" si="2"/>
        <v>3037.152</v>
      </c>
      <c r="J25" s="99">
        <v>0.97770000000000001</v>
      </c>
      <c r="K25" s="102">
        <f t="shared" si="1"/>
        <v>2969.4235103999999</v>
      </c>
      <c r="L25" s="105">
        <f>ROUNDDOWN(SUM(K14:K25),0)</f>
        <v>50396</v>
      </c>
      <c r="M25" s="97"/>
    </row>
    <row r="26" spans="2:17" ht="15" customHeight="1">
      <c r="B26" s="142">
        <v>43831</v>
      </c>
      <c r="C26" s="136">
        <v>43831</v>
      </c>
      <c r="D26" s="137">
        <v>43861</v>
      </c>
      <c r="E26" s="148">
        <v>3506040</v>
      </c>
      <c r="F26" s="36">
        <v>34272</v>
      </c>
      <c r="G26" s="127">
        <f t="shared" si="0"/>
        <v>3471768</v>
      </c>
      <c r="H26" s="127">
        <v>3471768</v>
      </c>
      <c r="I26" s="126">
        <f t="shared" si="2"/>
        <v>3471.768</v>
      </c>
      <c r="J26" s="99">
        <v>0.97770000000000001</v>
      </c>
      <c r="K26" s="102">
        <f t="shared" si="1"/>
        <v>3394.3475736</v>
      </c>
      <c r="L26" s="105"/>
      <c r="M26" s="97"/>
      <c r="N26" s="168" t="s">
        <v>101</v>
      </c>
      <c r="O26" s="169"/>
      <c r="P26" s="169"/>
      <c r="Q26" s="170"/>
    </row>
    <row r="27" spans="2:17">
      <c r="B27" s="142">
        <v>43862</v>
      </c>
      <c r="C27" s="136">
        <v>43862</v>
      </c>
      <c r="D27" s="138">
        <v>43890</v>
      </c>
      <c r="E27" s="148">
        <v>4809600</v>
      </c>
      <c r="F27" s="36">
        <v>30864</v>
      </c>
      <c r="G27" s="127">
        <f t="shared" si="0"/>
        <v>4778736</v>
      </c>
      <c r="H27" s="127">
        <v>4778736</v>
      </c>
      <c r="I27" s="126">
        <f t="shared" si="2"/>
        <v>4778.7359999999999</v>
      </c>
      <c r="J27" s="99">
        <v>0.97770000000000001</v>
      </c>
      <c r="K27" s="102">
        <f t="shared" si="1"/>
        <v>4672.1701872000003</v>
      </c>
      <c r="L27" s="105"/>
      <c r="M27" s="97"/>
      <c r="N27" s="171"/>
      <c r="O27" s="172"/>
      <c r="P27" s="172"/>
      <c r="Q27" s="173"/>
    </row>
    <row r="28" spans="2:17">
      <c r="B28" s="164">
        <v>43891</v>
      </c>
      <c r="C28" s="140">
        <v>43891</v>
      </c>
      <c r="D28" s="141">
        <v>43921</v>
      </c>
      <c r="E28" s="151">
        <v>5055360</v>
      </c>
      <c r="F28" s="15">
        <v>29928</v>
      </c>
      <c r="G28" s="127">
        <f t="shared" si="0"/>
        <v>5025432</v>
      </c>
      <c r="H28" s="127">
        <v>5025432</v>
      </c>
      <c r="I28" s="126">
        <f t="shared" si="2"/>
        <v>5025.4319999999998</v>
      </c>
      <c r="J28" s="99">
        <v>0.97770000000000001</v>
      </c>
      <c r="K28" s="102">
        <f t="shared" si="1"/>
        <v>4913.3648664000002</v>
      </c>
      <c r="L28" s="105"/>
      <c r="M28" s="97"/>
      <c r="N28" s="171"/>
      <c r="O28" s="172"/>
      <c r="P28" s="172"/>
      <c r="Q28" s="173"/>
    </row>
    <row r="29" spans="2:17">
      <c r="B29" s="165">
        <v>43922</v>
      </c>
      <c r="C29" s="136">
        <v>43922</v>
      </c>
      <c r="D29" s="137">
        <v>43951</v>
      </c>
      <c r="E29" s="151">
        <v>5143008</v>
      </c>
      <c r="F29" s="15">
        <v>26880</v>
      </c>
      <c r="G29" s="127">
        <f t="shared" si="0"/>
        <v>5116128</v>
      </c>
      <c r="H29" s="127">
        <v>5116128</v>
      </c>
      <c r="I29" s="126">
        <f t="shared" si="2"/>
        <v>5116.1279999999997</v>
      </c>
      <c r="J29" s="99">
        <v>0.97770000000000001</v>
      </c>
      <c r="K29" s="102">
        <f t="shared" si="1"/>
        <v>5002.0383456</v>
      </c>
      <c r="L29" s="105"/>
      <c r="M29" s="97"/>
      <c r="N29" s="171"/>
      <c r="O29" s="172"/>
      <c r="P29" s="172"/>
      <c r="Q29" s="173"/>
    </row>
    <row r="30" spans="2:17">
      <c r="B30" s="165">
        <v>43952</v>
      </c>
      <c r="C30" s="136">
        <v>43952</v>
      </c>
      <c r="D30" s="138">
        <v>43982</v>
      </c>
      <c r="E30" s="151">
        <v>5413824</v>
      </c>
      <c r="F30" s="15">
        <v>26808</v>
      </c>
      <c r="G30" s="127">
        <f t="shared" si="0"/>
        <v>5387016</v>
      </c>
      <c r="H30" s="127">
        <v>5387016</v>
      </c>
      <c r="I30" s="126">
        <f t="shared" si="2"/>
        <v>5387.0159999999996</v>
      </c>
      <c r="J30" s="99">
        <v>0.97770000000000001</v>
      </c>
      <c r="K30" s="102">
        <f t="shared" si="1"/>
        <v>5266.8855432</v>
      </c>
      <c r="L30" s="105"/>
      <c r="M30" s="97"/>
      <c r="N30" s="171"/>
      <c r="O30" s="172"/>
      <c r="P30" s="172"/>
      <c r="Q30" s="173"/>
    </row>
    <row r="31" spans="2:17" ht="15.75" thickBot="1">
      <c r="B31" s="143">
        <v>43983</v>
      </c>
      <c r="C31" s="139">
        <v>43983</v>
      </c>
      <c r="D31" s="141">
        <v>44012</v>
      </c>
      <c r="E31" s="146">
        <v>4250856</v>
      </c>
      <c r="F31" s="147">
        <v>25392</v>
      </c>
      <c r="G31" s="128">
        <f t="shared" si="0"/>
        <v>4225464</v>
      </c>
      <c r="H31" s="128">
        <v>4225464</v>
      </c>
      <c r="I31" s="129">
        <f t="shared" si="2"/>
        <v>4225.4639999999999</v>
      </c>
      <c r="J31" s="99">
        <v>0.97770000000000001</v>
      </c>
      <c r="K31" s="102">
        <f t="shared" si="1"/>
        <v>4131.2361528000001</v>
      </c>
      <c r="L31" s="105">
        <f>ROUNDDOWN(SUM(K26:K31),0)</f>
        <v>27380</v>
      </c>
      <c r="M31" s="97"/>
      <c r="N31" s="171"/>
      <c r="O31" s="172"/>
      <c r="P31" s="172"/>
      <c r="Q31" s="173"/>
    </row>
    <row r="32" spans="2:17" ht="15.75" thickBot="1">
      <c r="B32" s="177" t="s">
        <v>10</v>
      </c>
      <c r="C32" s="178"/>
      <c r="D32" s="179"/>
      <c r="E32" s="130">
        <f>SUM(E5:E31)</f>
        <v>120037436.64</v>
      </c>
      <c r="F32" s="131">
        <f>SUM(F5:F31)</f>
        <v>786604.32000000007</v>
      </c>
      <c r="G32" s="131">
        <f>SUM(G5:G31)</f>
        <v>119250832.31999999</v>
      </c>
      <c r="H32" s="132"/>
      <c r="I32" s="133">
        <f>SUM(I5:I31)</f>
        <v>119250.83232000002</v>
      </c>
      <c r="J32" s="100"/>
      <c r="K32" s="103">
        <f>ROUNDDOWN(SUM(K5:K31),0)</f>
        <v>116591</v>
      </c>
      <c r="L32" s="103">
        <f>SUM(L5:L31)</f>
        <v>116591</v>
      </c>
      <c r="M32" s="41"/>
      <c r="N32" s="171"/>
      <c r="O32" s="172"/>
      <c r="P32" s="172"/>
      <c r="Q32" s="173"/>
    </row>
    <row r="33" spans="7:17" ht="15.75" thickBot="1">
      <c r="N33" s="174"/>
      <c r="O33" s="175"/>
      <c r="P33" s="175"/>
      <c r="Q33" s="176"/>
    </row>
    <row r="34" spans="7:17">
      <c r="G34" s="31"/>
    </row>
    <row r="35" spans="7:17">
      <c r="G35" s="163"/>
    </row>
    <row r="37" spans="7:17">
      <c r="K37" s="86"/>
      <c r="L37" s="86"/>
    </row>
    <row r="38" spans="7:17">
      <c r="K38" s="86"/>
      <c r="L38" s="86"/>
    </row>
    <row r="39" spans="7:17">
      <c r="K39" s="86"/>
      <c r="L39" s="86"/>
    </row>
    <row r="40" spans="7:17">
      <c r="K40" s="86"/>
      <c r="L40" s="86"/>
    </row>
    <row r="41" spans="7:17">
      <c r="K41" s="86"/>
      <c r="L41" s="86"/>
    </row>
  </sheetData>
  <mergeCells count="14">
    <mergeCell ref="N26:Q33"/>
    <mergeCell ref="B32:D32"/>
    <mergeCell ref="B2:E2"/>
    <mergeCell ref="N14:O14"/>
    <mergeCell ref="B3:B4"/>
    <mergeCell ref="E3:E4"/>
    <mergeCell ref="F3:F4"/>
    <mergeCell ref="G3:G4"/>
    <mergeCell ref="H3:H4"/>
    <mergeCell ref="I3:I4"/>
    <mergeCell ref="J3:J4"/>
    <mergeCell ref="K3:K4"/>
    <mergeCell ref="L3:L4"/>
    <mergeCell ref="C3:D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6"/>
  <sheetViews>
    <sheetView tabSelected="1" workbookViewId="0">
      <selection activeCell="D10" sqref="D10"/>
    </sheetView>
  </sheetViews>
  <sheetFormatPr defaultRowHeight="15"/>
  <cols>
    <col min="2" max="2" width="23.85546875" customWidth="1"/>
    <col min="3" max="4" width="32.140625" customWidth="1"/>
    <col min="5" max="5" width="32.5703125" customWidth="1"/>
  </cols>
  <sheetData>
    <row r="1" spans="2:5" ht="15.75" thickBot="1"/>
    <row r="2" spans="2:5" ht="15.75" thickBot="1">
      <c r="B2" s="195" t="s">
        <v>93</v>
      </c>
      <c r="C2" s="196"/>
      <c r="D2" s="196"/>
      <c r="E2" s="197"/>
    </row>
    <row r="3" spans="2:5" ht="30.75" thickBot="1">
      <c r="B3" s="152" t="s">
        <v>94</v>
      </c>
      <c r="C3" s="152" t="s">
        <v>95</v>
      </c>
      <c r="D3" s="153" t="s">
        <v>102</v>
      </c>
      <c r="E3" s="153" t="s">
        <v>96</v>
      </c>
    </row>
    <row r="4" spans="2:5" ht="28.5">
      <c r="B4" s="154" t="s">
        <v>97</v>
      </c>
      <c r="C4" s="155">
        <v>47884</v>
      </c>
      <c r="D4" s="167">
        <v>107837</v>
      </c>
      <c r="E4" s="156">
        <v>119251</v>
      </c>
    </row>
    <row r="5" spans="2:5" ht="28.5">
      <c r="B5" s="157" t="s">
        <v>98</v>
      </c>
      <c r="C5" s="158" t="s">
        <v>99</v>
      </c>
      <c r="D5" s="158" t="s">
        <v>104</v>
      </c>
      <c r="E5" s="159" t="s">
        <v>103</v>
      </c>
    </row>
    <row r="6" spans="2:5" ht="29.25" thickBot="1">
      <c r="B6" s="160" t="s">
        <v>100</v>
      </c>
      <c r="C6" s="161">
        <v>46815</v>
      </c>
      <c r="D6" s="162">
        <v>105430</v>
      </c>
      <c r="E6" s="162">
        <v>116591</v>
      </c>
    </row>
  </sheetData>
  <mergeCells count="1">
    <mergeCell ref="B2:E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2:J31"/>
  <sheetViews>
    <sheetView topLeftCell="A3" workbookViewId="0">
      <selection activeCell="A30" sqref="A30"/>
    </sheetView>
  </sheetViews>
  <sheetFormatPr defaultRowHeight="15"/>
  <cols>
    <col min="1" max="1" width="15.5703125" style="55" bestFit="1" customWidth="1"/>
    <col min="2" max="2" width="9" style="55" customWidth="1"/>
    <col min="3" max="3" width="17.7109375" bestFit="1" customWidth="1"/>
    <col min="4" max="4" width="10.5703125" bestFit="1" customWidth="1"/>
    <col min="5" max="5" width="8" bestFit="1" customWidth="1"/>
    <col min="6" max="6" width="10.5703125" bestFit="1" customWidth="1"/>
    <col min="7" max="7" width="11.5703125" bestFit="1" customWidth="1"/>
    <col min="8" max="8" width="8.85546875" bestFit="1" customWidth="1"/>
    <col min="9" max="9" width="9.85546875" bestFit="1" customWidth="1"/>
    <col min="10" max="10" width="10.85546875" bestFit="1" customWidth="1"/>
  </cols>
  <sheetData>
    <row r="2" spans="1:10" ht="15.75" thickBot="1">
      <c r="A2" s="45"/>
      <c r="B2" s="45"/>
    </row>
    <row r="3" spans="1:10" s="44" customFormat="1" ht="30">
      <c r="A3" s="56" t="s">
        <v>46</v>
      </c>
      <c r="B3" s="57" t="s">
        <v>44</v>
      </c>
      <c r="C3" s="57" t="s">
        <v>45</v>
      </c>
      <c r="D3" s="57" t="s">
        <v>1</v>
      </c>
      <c r="E3" s="57" t="s">
        <v>2</v>
      </c>
      <c r="F3" s="57" t="s">
        <v>3</v>
      </c>
      <c r="G3" s="57" t="s">
        <v>4</v>
      </c>
      <c r="H3" s="57" t="s">
        <v>5</v>
      </c>
      <c r="I3" s="57" t="s">
        <v>6</v>
      </c>
      <c r="J3" s="58"/>
    </row>
    <row r="4" spans="1:10" s="47" customFormat="1">
      <c r="A4" s="59" t="s">
        <v>0</v>
      </c>
      <c r="B4" s="50"/>
      <c r="C4" s="50"/>
      <c r="D4" s="46"/>
      <c r="E4" s="46"/>
      <c r="F4" s="46"/>
      <c r="G4" s="46"/>
      <c r="H4" s="46"/>
      <c r="I4" s="46"/>
      <c r="J4" s="60"/>
    </row>
    <row r="5" spans="1:10">
      <c r="A5" s="61"/>
      <c r="B5" s="54">
        <v>42522</v>
      </c>
      <c r="C5" s="48"/>
      <c r="D5" s="4">
        <v>2110001</v>
      </c>
      <c r="E5" s="5">
        <v>20315</v>
      </c>
      <c r="F5" s="11">
        <f t="shared" ref="F5" si="0">D5-E5</f>
        <v>2089686</v>
      </c>
      <c r="G5" s="11">
        <f t="shared" ref="G5" si="1">F5*15</f>
        <v>31345290</v>
      </c>
      <c r="H5" s="12">
        <v>42559</v>
      </c>
      <c r="I5" s="12">
        <f>H5+30</f>
        <v>42589</v>
      </c>
      <c r="J5" s="62"/>
    </row>
    <row r="6" spans="1:10">
      <c r="A6" s="59" t="s">
        <v>11</v>
      </c>
      <c r="B6" s="54"/>
      <c r="C6" s="50"/>
      <c r="D6" s="2"/>
      <c r="E6" s="2"/>
      <c r="F6" s="2"/>
      <c r="G6" s="2"/>
      <c r="H6" s="2"/>
      <c r="I6" s="2"/>
      <c r="J6" s="62"/>
    </row>
    <row r="7" spans="1:10">
      <c r="A7" s="61"/>
      <c r="B7" s="54">
        <v>42522</v>
      </c>
      <c r="C7" s="2"/>
      <c r="D7" s="14">
        <v>4026100</v>
      </c>
      <c r="E7" s="14">
        <v>30100</v>
      </c>
      <c r="F7" s="11">
        <f t="shared" ref="F7" si="2">D7-E7</f>
        <v>3996000</v>
      </c>
      <c r="G7" s="11">
        <f>D7*8.05</f>
        <v>32410105.000000004</v>
      </c>
      <c r="H7" s="12">
        <v>42553</v>
      </c>
      <c r="I7" s="12">
        <f>H7+30</f>
        <v>42583</v>
      </c>
      <c r="J7" s="62"/>
    </row>
    <row r="8" spans="1:10">
      <c r="A8" s="59" t="s">
        <v>35</v>
      </c>
      <c r="B8" s="54"/>
      <c r="C8" s="2"/>
      <c r="D8" s="2"/>
      <c r="E8" s="2"/>
      <c r="F8" s="2"/>
      <c r="G8" s="2"/>
      <c r="H8" s="2"/>
      <c r="I8" s="2"/>
      <c r="J8" s="62"/>
    </row>
    <row r="9" spans="1:10">
      <c r="A9" s="63"/>
      <c r="B9" s="54">
        <v>42522</v>
      </c>
      <c r="C9" s="2" t="s">
        <v>27</v>
      </c>
      <c r="D9" s="24">
        <v>3710354</v>
      </c>
      <c r="E9" s="24">
        <v>13100</v>
      </c>
      <c r="F9" s="6">
        <f>ROUND(D9-E9,0)</f>
        <v>3697254</v>
      </c>
      <c r="G9" s="8">
        <f t="shared" ref="G9" si="3">F9*5.45</f>
        <v>20150034.300000001</v>
      </c>
      <c r="H9" s="19">
        <v>42557</v>
      </c>
      <c r="I9" s="22">
        <f>H9+60</f>
        <v>42617</v>
      </c>
      <c r="J9" s="62"/>
    </row>
    <row r="10" spans="1:10">
      <c r="A10" s="63"/>
      <c r="B10" s="54">
        <v>42522</v>
      </c>
      <c r="C10" s="2" t="s">
        <v>28</v>
      </c>
      <c r="D10" s="24">
        <v>3671572</v>
      </c>
      <c r="E10" s="24">
        <v>13667</v>
      </c>
      <c r="F10" s="6">
        <f>ROUND(D10-E10,0)</f>
        <v>3657905</v>
      </c>
      <c r="G10" s="8">
        <f t="shared" ref="G10" si="4">F10*5.45</f>
        <v>19935582.25</v>
      </c>
      <c r="H10" s="19">
        <v>42557</v>
      </c>
      <c r="I10" s="22">
        <f>H10+60</f>
        <v>42617</v>
      </c>
      <c r="J10" s="62"/>
    </row>
    <row r="11" spans="1:10">
      <c r="A11" s="63"/>
      <c r="B11" s="54">
        <v>42522</v>
      </c>
      <c r="C11" s="2" t="s">
        <v>29</v>
      </c>
      <c r="D11" s="24">
        <v>3843964</v>
      </c>
      <c r="E11" s="24">
        <v>14482</v>
      </c>
      <c r="F11" s="6">
        <f>ROUND(D11-E11,0)</f>
        <v>3829482</v>
      </c>
      <c r="G11" s="8">
        <f t="shared" ref="G11" si="5">F11*5.45</f>
        <v>20870676.900000002</v>
      </c>
      <c r="H11" s="19">
        <v>42557</v>
      </c>
      <c r="I11" s="22">
        <f>H11+60</f>
        <v>42617</v>
      </c>
      <c r="J11" s="62"/>
    </row>
    <row r="12" spans="1:10">
      <c r="A12" s="63"/>
      <c r="B12" s="54">
        <v>42522</v>
      </c>
      <c r="C12" s="2" t="s">
        <v>30</v>
      </c>
      <c r="D12" s="24">
        <v>3608024</v>
      </c>
      <c r="E12" s="24">
        <v>14846</v>
      </c>
      <c r="F12" s="6">
        <f>ROUND(D12-E12,0)</f>
        <v>3593178</v>
      </c>
      <c r="G12" s="8">
        <f t="shared" ref="G12" si="6">F12*5.45</f>
        <v>19582820.100000001</v>
      </c>
      <c r="H12" s="19">
        <v>42557</v>
      </c>
      <c r="I12" s="22">
        <f>H12+60</f>
        <v>42617</v>
      </c>
      <c r="J12" s="62"/>
    </row>
    <row r="13" spans="1:10">
      <c r="A13" s="63"/>
      <c r="B13" s="54">
        <v>42522</v>
      </c>
      <c r="C13" s="2" t="s">
        <v>31</v>
      </c>
      <c r="D13" s="24">
        <v>3602587</v>
      </c>
      <c r="E13" s="24">
        <v>13638</v>
      </c>
      <c r="F13" s="6">
        <f>ROUND(D13-E13,0)</f>
        <v>3588949</v>
      </c>
      <c r="G13" s="8">
        <f t="shared" ref="G13" si="7">F13*5.45</f>
        <v>19559772.050000001</v>
      </c>
      <c r="H13" s="19">
        <v>42557</v>
      </c>
      <c r="I13" s="22">
        <f>H13+60</f>
        <v>42617</v>
      </c>
      <c r="J13" s="62"/>
    </row>
    <row r="14" spans="1:10">
      <c r="A14" s="59" t="s">
        <v>32</v>
      </c>
      <c r="B14" s="54"/>
      <c r="C14" s="2"/>
      <c r="D14" s="2"/>
      <c r="E14" s="2"/>
      <c r="F14" s="2"/>
      <c r="G14" s="2"/>
      <c r="H14" s="2"/>
      <c r="I14" s="2"/>
      <c r="J14" s="62"/>
    </row>
    <row r="15" spans="1:10">
      <c r="A15" s="63"/>
      <c r="B15" s="54">
        <v>42522</v>
      </c>
      <c r="C15" s="17"/>
      <c r="D15" s="15">
        <f>3962.62*1000</f>
        <v>3962620</v>
      </c>
      <c r="E15" s="14">
        <f>24.21*1000</f>
        <v>24210</v>
      </c>
      <c r="F15" s="11">
        <f t="shared" ref="F15" si="8">D15-E15</f>
        <v>3938410</v>
      </c>
      <c r="G15" s="11">
        <f t="shared" ref="G15" si="9">F15*7.28</f>
        <v>28671624.800000001</v>
      </c>
      <c r="H15" s="12"/>
      <c r="I15" s="12"/>
      <c r="J15" s="62" t="s">
        <v>26</v>
      </c>
    </row>
    <row r="16" spans="1:10">
      <c r="A16" s="59" t="s">
        <v>33</v>
      </c>
      <c r="B16" s="54"/>
      <c r="C16" s="2"/>
      <c r="D16" s="2"/>
      <c r="E16" s="2"/>
      <c r="F16" s="2"/>
      <c r="G16" s="2"/>
      <c r="H16" s="2"/>
      <c r="I16" s="2"/>
      <c r="J16" s="62"/>
    </row>
    <row r="17" spans="1:10">
      <c r="A17" s="63"/>
      <c r="B17" s="54">
        <v>42522</v>
      </c>
      <c r="C17" s="17"/>
      <c r="D17" s="14">
        <v>4033450</v>
      </c>
      <c r="E17" s="14">
        <v>0</v>
      </c>
      <c r="F17" s="6">
        <f t="shared" ref="F17" si="10">D17</f>
        <v>4033450</v>
      </c>
      <c r="G17" s="6">
        <f t="shared" ref="G17" si="11">F17*6.46</f>
        <v>26056087</v>
      </c>
      <c r="H17" s="28">
        <v>42555</v>
      </c>
      <c r="I17" s="7">
        <f>H17+60</f>
        <v>42615</v>
      </c>
      <c r="J17" s="62"/>
    </row>
    <row r="18" spans="1:10">
      <c r="A18" s="59" t="s">
        <v>34</v>
      </c>
      <c r="B18" s="54"/>
      <c r="C18" s="2"/>
      <c r="D18" s="2"/>
      <c r="E18" s="2"/>
      <c r="F18" s="2"/>
      <c r="G18" s="2"/>
      <c r="H18" s="2"/>
      <c r="I18" s="2"/>
      <c r="J18" s="62"/>
    </row>
    <row r="19" spans="1:10">
      <c r="A19" s="63"/>
      <c r="B19" s="54">
        <v>42522</v>
      </c>
      <c r="C19" s="51" t="s">
        <v>20</v>
      </c>
      <c r="D19" s="14">
        <v>3169100</v>
      </c>
      <c r="E19" s="14">
        <v>20500</v>
      </c>
      <c r="F19" s="6">
        <f t="shared" ref="F19:F24" si="12">D19-E19</f>
        <v>3148600</v>
      </c>
      <c r="G19" s="6">
        <f>F19*7.06</f>
        <v>22229116</v>
      </c>
      <c r="H19" s="28">
        <v>42553</v>
      </c>
      <c r="I19" s="28">
        <f t="shared" ref="I19:I21" si="13">H19+60</f>
        <v>42613</v>
      </c>
      <c r="J19" s="62"/>
    </row>
    <row r="20" spans="1:10">
      <c r="A20" s="63"/>
      <c r="B20" s="54">
        <v>42522</v>
      </c>
      <c r="C20" s="51" t="s">
        <v>21</v>
      </c>
      <c r="D20" s="14">
        <v>3165100</v>
      </c>
      <c r="E20" s="14">
        <v>19900</v>
      </c>
      <c r="F20" s="6">
        <f t="shared" si="12"/>
        <v>3145200</v>
      </c>
      <c r="G20" s="6">
        <f>F20*7.06</f>
        <v>22205112</v>
      </c>
      <c r="H20" s="28">
        <v>42553</v>
      </c>
      <c r="I20" s="28">
        <f t="shared" si="13"/>
        <v>42613</v>
      </c>
      <c r="J20" s="62"/>
    </row>
    <row r="21" spans="1:10">
      <c r="A21" s="63"/>
      <c r="B21" s="54">
        <v>42522</v>
      </c>
      <c r="C21" s="51" t="s">
        <v>22</v>
      </c>
      <c r="D21" s="14">
        <v>3178400</v>
      </c>
      <c r="E21" s="14">
        <v>13100</v>
      </c>
      <c r="F21" s="6">
        <f t="shared" si="12"/>
        <v>3165300</v>
      </c>
      <c r="G21" s="6">
        <f t="shared" ref="G21" si="14">F21*7.16</f>
        <v>22663548</v>
      </c>
      <c r="H21" s="28">
        <v>42553</v>
      </c>
      <c r="I21" s="28">
        <f t="shared" si="13"/>
        <v>42613</v>
      </c>
      <c r="J21" s="62"/>
    </row>
    <row r="22" spans="1:10">
      <c r="A22" s="59" t="s">
        <v>36</v>
      </c>
      <c r="B22" s="54"/>
      <c r="C22" s="52"/>
      <c r="D22" s="43"/>
      <c r="E22" s="43"/>
      <c r="F22" s="6"/>
      <c r="G22" s="6"/>
      <c r="H22" s="28"/>
      <c r="I22" s="28"/>
      <c r="J22" s="62"/>
    </row>
    <row r="23" spans="1:10">
      <c r="A23" s="63"/>
      <c r="B23" s="54">
        <v>42522</v>
      </c>
      <c r="C23" s="52" t="s">
        <v>23</v>
      </c>
      <c r="D23" s="43">
        <v>1001700</v>
      </c>
      <c r="E23" s="43">
        <v>9000</v>
      </c>
      <c r="F23" s="6">
        <f t="shared" si="12"/>
        <v>992700</v>
      </c>
      <c r="G23" s="6">
        <f t="shared" ref="G23" si="15">F23*7.57</f>
        <v>7514739</v>
      </c>
      <c r="H23" s="28">
        <v>42552</v>
      </c>
      <c r="I23" s="28">
        <f>H23+60</f>
        <v>42612</v>
      </c>
      <c r="J23" s="62"/>
    </row>
    <row r="24" spans="1:10">
      <c r="A24" s="63"/>
      <c r="B24" s="54">
        <v>42522</v>
      </c>
      <c r="C24" s="51" t="s">
        <v>24</v>
      </c>
      <c r="D24" s="14">
        <v>729000</v>
      </c>
      <c r="E24" s="14">
        <v>9000</v>
      </c>
      <c r="F24" s="6">
        <f t="shared" si="12"/>
        <v>720000</v>
      </c>
      <c r="G24" s="6">
        <f>F24*7.59</f>
        <v>5464800</v>
      </c>
      <c r="H24" s="28">
        <v>42553</v>
      </c>
      <c r="I24" s="28">
        <f>H24+60</f>
        <v>42613</v>
      </c>
      <c r="J24" s="62"/>
    </row>
    <row r="25" spans="1:10">
      <c r="A25" s="64" t="s">
        <v>40</v>
      </c>
      <c r="B25" s="54"/>
      <c r="C25" s="49"/>
      <c r="D25" s="49"/>
      <c r="E25" s="49"/>
      <c r="F25" s="49"/>
      <c r="G25" s="49"/>
      <c r="H25" s="49"/>
      <c r="I25" s="49"/>
      <c r="J25" s="62"/>
    </row>
    <row r="26" spans="1:10">
      <c r="A26" s="63"/>
      <c r="B26" s="54">
        <v>42522</v>
      </c>
      <c r="C26" s="53" t="s">
        <v>37</v>
      </c>
      <c r="D26" s="24">
        <v>6236000</v>
      </c>
      <c r="E26" s="24">
        <v>33000</v>
      </c>
      <c r="F26" s="6">
        <f>ROUND(D26-E26,0)</f>
        <v>6203000</v>
      </c>
      <c r="G26" s="8">
        <f>F26*5.63</f>
        <v>34922890</v>
      </c>
      <c r="H26" s="19">
        <v>42559</v>
      </c>
      <c r="I26" s="22">
        <f>H26+30</f>
        <v>42589</v>
      </c>
      <c r="J26" s="62"/>
    </row>
    <row r="27" spans="1:10">
      <c r="A27" s="63"/>
      <c r="B27" s="54">
        <v>42522</v>
      </c>
      <c r="C27" s="52" t="s">
        <v>38</v>
      </c>
      <c r="D27" s="43">
        <v>1146400</v>
      </c>
      <c r="E27" s="43">
        <v>6300</v>
      </c>
      <c r="F27" s="6">
        <f t="shared" ref="F27:F30" si="16">D27-E27</f>
        <v>1140100</v>
      </c>
      <c r="G27" s="8">
        <f>F27*5.63</f>
        <v>6418763</v>
      </c>
      <c r="H27" s="19">
        <v>42556</v>
      </c>
      <c r="I27" s="22">
        <f t="shared" ref="I27:I31" si="17">H27+30</f>
        <v>42586</v>
      </c>
      <c r="J27" s="62"/>
    </row>
    <row r="28" spans="1:10">
      <c r="A28" s="63"/>
      <c r="B28" s="54">
        <v>42522</v>
      </c>
      <c r="C28" s="52" t="s">
        <v>39</v>
      </c>
      <c r="D28" s="24">
        <v>715350</v>
      </c>
      <c r="E28" s="24">
        <v>5850</v>
      </c>
      <c r="F28" s="6">
        <f t="shared" si="16"/>
        <v>709500</v>
      </c>
      <c r="G28" s="8">
        <f>F28*5.63</f>
        <v>3994485</v>
      </c>
      <c r="H28" s="19">
        <v>42556</v>
      </c>
      <c r="I28" s="22">
        <f t="shared" si="17"/>
        <v>42586</v>
      </c>
      <c r="J28" s="62"/>
    </row>
    <row r="29" spans="1:10">
      <c r="A29" s="63"/>
      <c r="B29" s="54">
        <v>42522</v>
      </c>
      <c r="C29" s="52" t="s">
        <v>41</v>
      </c>
      <c r="D29" s="43">
        <v>1034900</v>
      </c>
      <c r="E29" s="43">
        <v>3900</v>
      </c>
      <c r="F29" s="6">
        <f t="shared" si="16"/>
        <v>1031000</v>
      </c>
      <c r="G29" s="4">
        <f>F29*5.71</f>
        <v>5887010</v>
      </c>
      <c r="H29" s="19">
        <v>42556</v>
      </c>
      <c r="I29" s="22">
        <f t="shared" si="17"/>
        <v>42586</v>
      </c>
      <c r="J29" s="62"/>
    </row>
    <row r="30" spans="1:10">
      <c r="A30" s="63"/>
      <c r="B30" s="54">
        <v>42522</v>
      </c>
      <c r="C30" s="52" t="s">
        <v>42</v>
      </c>
      <c r="D30" s="43">
        <v>1079400</v>
      </c>
      <c r="E30" s="43">
        <v>4900</v>
      </c>
      <c r="F30" s="6">
        <f t="shared" si="16"/>
        <v>1074500</v>
      </c>
      <c r="G30" s="4">
        <f>F30*5.71</f>
        <v>6135395</v>
      </c>
      <c r="H30" s="19">
        <v>42556</v>
      </c>
      <c r="I30" s="22">
        <f t="shared" si="17"/>
        <v>42586</v>
      </c>
      <c r="J30" s="62"/>
    </row>
    <row r="31" spans="1:10" ht="15.75" thickBot="1">
      <c r="A31" s="65"/>
      <c r="B31" s="66">
        <v>42522</v>
      </c>
      <c r="C31" s="67" t="s">
        <v>43</v>
      </c>
      <c r="D31" s="68">
        <v>5449000</v>
      </c>
      <c r="E31" s="68">
        <v>33000</v>
      </c>
      <c r="F31" s="69">
        <f>D31-E31</f>
        <v>5416000</v>
      </c>
      <c r="G31" s="70">
        <f>F31*5.97</f>
        <v>32333520</v>
      </c>
      <c r="H31" s="71">
        <v>42557</v>
      </c>
      <c r="I31" s="72">
        <f t="shared" si="17"/>
        <v>42587</v>
      </c>
      <c r="J31" s="73"/>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L47"/>
  <sheetViews>
    <sheetView topLeftCell="A19" workbookViewId="0">
      <selection activeCell="C35" sqref="C35"/>
    </sheetView>
  </sheetViews>
  <sheetFormatPr defaultRowHeight="15"/>
  <cols>
    <col min="1" max="1" width="16" customWidth="1"/>
    <col min="2" max="2" width="10.140625" bestFit="1" customWidth="1"/>
    <col min="3" max="3" width="14.28515625" bestFit="1" customWidth="1"/>
    <col min="4" max="6" width="15.7109375" customWidth="1"/>
    <col min="7" max="7" width="10.140625" bestFit="1" customWidth="1"/>
    <col min="8" max="8" width="15" bestFit="1" customWidth="1"/>
    <col min="9" max="9" width="10.5703125" bestFit="1" customWidth="1"/>
    <col min="10" max="10" width="17.28515625" customWidth="1"/>
    <col min="11" max="11" width="12.28515625" bestFit="1" customWidth="1"/>
    <col min="12" max="12" width="13.85546875" style="79" bestFit="1" customWidth="1"/>
    <col min="13" max="13" width="10.5703125" bestFit="1" customWidth="1"/>
    <col min="14" max="15" width="14.28515625" bestFit="1" customWidth="1"/>
    <col min="16" max="16" width="12.28515625" bestFit="1" customWidth="1"/>
  </cols>
  <sheetData>
    <row r="2" spans="1:12" ht="18.75">
      <c r="A2" s="88" t="s">
        <v>48</v>
      </c>
      <c r="B2" s="88"/>
      <c r="F2" s="31">
        <f>F6*0.4</f>
        <v>2357414.2800000003</v>
      </c>
    </row>
    <row r="3" spans="1:12">
      <c r="C3" s="31">
        <f>C6*0.4</f>
        <v>271200</v>
      </c>
      <c r="D3" s="31">
        <f>D6*0.4</f>
        <v>1164</v>
      </c>
    </row>
    <row r="4" spans="1:12" s="76" customFormat="1" ht="30">
      <c r="A4" s="74" t="s">
        <v>25</v>
      </c>
      <c r="B4" s="74" t="s">
        <v>63</v>
      </c>
      <c r="C4" s="74" t="s">
        <v>1</v>
      </c>
      <c r="D4" s="74" t="s">
        <v>2</v>
      </c>
      <c r="E4" s="74" t="s">
        <v>3</v>
      </c>
      <c r="F4" s="74" t="s">
        <v>4</v>
      </c>
      <c r="G4" s="74" t="s">
        <v>5</v>
      </c>
      <c r="H4" s="75" t="s">
        <v>47</v>
      </c>
      <c r="I4" s="74" t="s">
        <v>6</v>
      </c>
      <c r="J4" s="74" t="s">
        <v>7</v>
      </c>
      <c r="K4" s="74" t="s">
        <v>8</v>
      </c>
      <c r="L4" s="75" t="s">
        <v>9</v>
      </c>
    </row>
    <row r="5" spans="1:12" s="76" customFormat="1">
      <c r="A5" s="17">
        <v>42522</v>
      </c>
      <c r="B5" s="17" t="s">
        <v>64</v>
      </c>
      <c r="C5" s="91">
        <v>3240</v>
      </c>
      <c r="D5" s="91">
        <v>888</v>
      </c>
      <c r="E5" s="6">
        <f>C5-D5</f>
        <v>2352</v>
      </c>
      <c r="F5" s="8">
        <f>E5*8.73</f>
        <v>20532.960000000003</v>
      </c>
      <c r="G5" s="19">
        <v>42620</v>
      </c>
      <c r="H5" s="19">
        <v>42622</v>
      </c>
      <c r="I5" s="89">
        <f>H5+30</f>
        <v>42652</v>
      </c>
      <c r="J5" s="8"/>
      <c r="K5" s="8"/>
      <c r="L5" s="80"/>
    </row>
    <row r="6" spans="1:12">
      <c r="A6" s="17">
        <v>42552</v>
      </c>
      <c r="B6" s="17" t="s">
        <v>64</v>
      </c>
      <c r="C6" s="24">
        <v>678000</v>
      </c>
      <c r="D6" s="24">
        <v>2910</v>
      </c>
      <c r="E6" s="6">
        <f>ROUND(C6-D6,0)</f>
        <v>675090</v>
      </c>
      <c r="F6" s="8">
        <f>E6*8.73</f>
        <v>5893535.7000000002</v>
      </c>
      <c r="G6" s="19">
        <v>42584</v>
      </c>
      <c r="H6" s="19">
        <v>42584</v>
      </c>
      <c r="I6" s="89">
        <v>42612</v>
      </c>
      <c r="J6" s="198">
        <v>9087228</v>
      </c>
      <c r="K6" s="198">
        <f>F7+F6-J6</f>
        <v>581648.58000000007</v>
      </c>
      <c r="L6" s="84">
        <v>42642</v>
      </c>
    </row>
    <row r="7" spans="1:12">
      <c r="A7" s="17">
        <v>42583</v>
      </c>
      <c r="B7" s="17" t="s">
        <v>64</v>
      </c>
      <c r="C7" s="24">
        <v>434052</v>
      </c>
      <c r="D7" s="24">
        <v>1596</v>
      </c>
      <c r="E7" s="6">
        <f>ROUND(C7-D7,0)</f>
        <v>432456</v>
      </c>
      <c r="F7" s="93">
        <f>E7*8.73</f>
        <v>3775340.8800000004</v>
      </c>
      <c r="G7" s="19">
        <v>42618</v>
      </c>
      <c r="H7" s="19">
        <v>42621</v>
      </c>
      <c r="I7" s="89">
        <v>42643</v>
      </c>
      <c r="J7" s="199"/>
      <c r="K7" s="199"/>
      <c r="L7" s="84">
        <v>42642</v>
      </c>
    </row>
    <row r="8" spans="1:12">
      <c r="A8" s="17">
        <v>42614</v>
      </c>
      <c r="B8" s="17" t="s">
        <v>64</v>
      </c>
      <c r="C8" s="24"/>
      <c r="D8" s="24"/>
      <c r="E8" s="6">
        <f>ROUND(C8-D8,0)</f>
        <v>0</v>
      </c>
      <c r="F8" s="93">
        <f>E8*8.73</f>
        <v>0</v>
      </c>
      <c r="G8" s="19"/>
      <c r="H8" s="19"/>
      <c r="I8" s="89"/>
      <c r="J8" s="8"/>
      <c r="K8" s="8"/>
      <c r="L8" s="80"/>
    </row>
    <row r="9" spans="1:12">
      <c r="A9" s="17"/>
      <c r="B9" s="17"/>
      <c r="C9" s="91"/>
      <c r="D9" s="91"/>
      <c r="E9" s="6"/>
      <c r="F9" s="8"/>
      <c r="G9" s="19"/>
      <c r="H9" s="19"/>
      <c r="I9" s="89"/>
      <c r="J9" s="8"/>
      <c r="K9" s="8"/>
      <c r="L9" s="80"/>
    </row>
    <row r="10" spans="1:12">
      <c r="A10" s="17"/>
      <c r="B10" s="17"/>
      <c r="C10" s="91"/>
      <c r="D10" s="91"/>
      <c r="E10" s="6"/>
      <c r="F10" s="8"/>
      <c r="G10" s="19"/>
      <c r="H10" s="19"/>
      <c r="I10" s="89"/>
      <c r="J10" s="8"/>
      <c r="K10" s="8"/>
      <c r="L10" s="80"/>
    </row>
    <row r="11" spans="1:12">
      <c r="A11" s="17">
        <v>42522</v>
      </c>
      <c r="B11" s="17" t="s">
        <v>65</v>
      </c>
      <c r="C11" s="91">
        <v>4860</v>
      </c>
      <c r="D11" s="91">
        <v>1332</v>
      </c>
      <c r="E11" s="6">
        <f>C11-D11</f>
        <v>3528</v>
      </c>
      <c r="F11" s="8">
        <f>E11*8.73</f>
        <v>30799.440000000002</v>
      </c>
      <c r="G11" s="19">
        <v>42620</v>
      </c>
      <c r="H11" s="19">
        <v>42622</v>
      </c>
      <c r="I11" s="89">
        <f>H11+30</f>
        <v>42652</v>
      </c>
      <c r="J11" s="8"/>
      <c r="K11" s="8"/>
      <c r="L11" s="80"/>
    </row>
    <row r="12" spans="1:12">
      <c r="A12" s="17">
        <v>42552</v>
      </c>
      <c r="B12" s="17" t="s">
        <v>65</v>
      </c>
      <c r="C12" s="91"/>
      <c r="D12" s="91"/>
      <c r="E12" s="6">
        <f>ROUND(C12-D12,0)</f>
        <v>0</v>
      </c>
      <c r="F12" s="8">
        <f>E12*8.73</f>
        <v>0</v>
      </c>
      <c r="G12" s="19">
        <v>42584</v>
      </c>
      <c r="H12" s="19"/>
      <c r="I12" s="89">
        <v>42612</v>
      </c>
      <c r="J12" s="198"/>
      <c r="K12" s="198"/>
      <c r="L12" s="84"/>
    </row>
    <row r="13" spans="1:12">
      <c r="A13" s="17">
        <v>42583</v>
      </c>
      <c r="B13" s="17" t="s">
        <v>65</v>
      </c>
      <c r="C13" s="91"/>
      <c r="D13" s="91"/>
      <c r="E13" s="6">
        <f>F13/8.73</f>
        <v>648683.96334478806</v>
      </c>
      <c r="F13" s="93">
        <v>5663011</v>
      </c>
      <c r="G13" s="19">
        <v>42618</v>
      </c>
      <c r="H13" s="19">
        <v>42621</v>
      </c>
      <c r="I13" s="89">
        <v>42643</v>
      </c>
      <c r="J13" s="199"/>
      <c r="K13" s="199"/>
      <c r="L13" s="84"/>
    </row>
    <row r="14" spans="1:12">
      <c r="A14" s="17">
        <v>42614</v>
      </c>
      <c r="B14" s="17" t="s">
        <v>65</v>
      </c>
      <c r="C14" s="91"/>
      <c r="D14" s="91"/>
      <c r="E14" s="6">
        <f>ROUND(C14-D14,0)</f>
        <v>0</v>
      </c>
      <c r="F14" s="93">
        <f>E14*8.73</f>
        <v>0</v>
      </c>
      <c r="G14" s="19"/>
      <c r="H14" s="19"/>
      <c r="I14" s="89"/>
      <c r="J14" s="8"/>
      <c r="K14" s="8"/>
      <c r="L14" s="80"/>
    </row>
    <row r="15" spans="1:12">
      <c r="A15" s="17"/>
      <c r="B15" s="17"/>
      <c r="C15" s="91"/>
      <c r="D15" s="91"/>
      <c r="E15" s="6"/>
      <c r="F15" s="8"/>
      <c r="G15" s="19"/>
      <c r="H15" s="19"/>
      <c r="I15" s="89"/>
      <c r="J15" s="8"/>
      <c r="K15" s="8"/>
      <c r="L15" s="80"/>
    </row>
    <row r="16" spans="1:12">
      <c r="A16" s="2" t="s">
        <v>10</v>
      </c>
      <c r="B16" s="2"/>
      <c r="C16" s="3">
        <f>SUM(C5:C15)</f>
        <v>1120152</v>
      </c>
      <c r="D16" s="3">
        <f t="shared" ref="D16:F16" si="0">SUM(D5:D15)</f>
        <v>6726</v>
      </c>
      <c r="E16" s="3">
        <f t="shared" si="0"/>
        <v>1762109.9633447882</v>
      </c>
      <c r="F16" s="3">
        <f t="shared" si="0"/>
        <v>15383219.98</v>
      </c>
      <c r="G16" s="3"/>
      <c r="H16" s="3"/>
      <c r="I16" s="3"/>
      <c r="J16" s="3">
        <f t="shared" ref="J16:K16" si="1">SUM(J5:J15)</f>
        <v>9087228</v>
      </c>
      <c r="K16" s="3">
        <f t="shared" si="1"/>
        <v>581648.58000000007</v>
      </c>
      <c r="L16" s="13"/>
    </row>
    <row r="17" spans="1:12">
      <c r="I17" s="25"/>
      <c r="J17" s="26"/>
      <c r="L17" s="81"/>
    </row>
    <row r="18" spans="1:12">
      <c r="A18" s="1" t="s">
        <v>52</v>
      </c>
      <c r="B18" s="1"/>
      <c r="C18" t="s">
        <v>56</v>
      </c>
      <c r="I18" t="s">
        <v>55</v>
      </c>
      <c r="J18" s="26"/>
      <c r="L18" s="81"/>
    </row>
    <row r="19" spans="1:12">
      <c r="A19" s="1"/>
      <c r="B19" s="1"/>
      <c r="C19" t="s">
        <v>57</v>
      </c>
      <c r="I19" t="s">
        <v>61</v>
      </c>
      <c r="J19" s="26"/>
      <c r="L19" s="81"/>
    </row>
    <row r="20" spans="1:12">
      <c r="A20" s="1" t="s">
        <v>53</v>
      </c>
      <c r="B20" s="1"/>
      <c r="C20" t="s">
        <v>59</v>
      </c>
      <c r="J20" s="26"/>
      <c r="L20" s="81"/>
    </row>
    <row r="21" spans="1:12">
      <c r="A21" s="1"/>
      <c r="B21" s="1"/>
      <c r="C21" t="s">
        <v>60</v>
      </c>
      <c r="J21" s="26"/>
      <c r="L21" s="81"/>
    </row>
    <row r="22" spans="1:12">
      <c r="A22" s="1" t="s">
        <v>54</v>
      </c>
      <c r="B22" s="1"/>
      <c r="C22" t="s">
        <v>58</v>
      </c>
      <c r="J22" s="26"/>
      <c r="L22" s="81"/>
    </row>
    <row r="23" spans="1:12">
      <c r="A23" s="1"/>
      <c r="B23" s="1"/>
      <c r="J23" s="26"/>
      <c r="L23" s="81"/>
    </row>
    <row r="24" spans="1:12" ht="18.75">
      <c r="A24" s="88" t="s">
        <v>49</v>
      </c>
      <c r="B24" s="88"/>
    </row>
    <row r="26" spans="1:12" ht="30">
      <c r="A26" s="3" t="s">
        <v>25</v>
      </c>
      <c r="B26" s="74" t="s">
        <v>63</v>
      </c>
      <c r="C26" s="3" t="s">
        <v>1</v>
      </c>
      <c r="D26" s="3" t="s">
        <v>2</v>
      </c>
      <c r="E26" s="3" t="s">
        <v>3</v>
      </c>
      <c r="F26" s="3" t="s">
        <v>4</v>
      </c>
      <c r="G26" s="3" t="s">
        <v>5</v>
      </c>
      <c r="H26" s="75" t="s">
        <v>47</v>
      </c>
      <c r="I26" s="3" t="s">
        <v>6</v>
      </c>
      <c r="J26" s="3" t="s">
        <v>7</v>
      </c>
      <c r="K26" s="3" t="s">
        <v>8</v>
      </c>
      <c r="L26" s="13" t="s">
        <v>9</v>
      </c>
    </row>
    <row r="27" spans="1:12" s="42" customFormat="1">
      <c r="A27" s="17">
        <v>42522</v>
      </c>
      <c r="B27" s="17" t="s">
        <v>64</v>
      </c>
      <c r="C27" s="91">
        <v>558</v>
      </c>
      <c r="D27" s="91">
        <v>1404</v>
      </c>
      <c r="E27" s="6">
        <f>ROUND(C27-D27,0)</f>
        <v>-846</v>
      </c>
      <c r="F27" s="8">
        <f>E27*8.73</f>
        <v>-7385.58</v>
      </c>
      <c r="G27" s="19">
        <v>42620</v>
      </c>
      <c r="H27" s="19">
        <v>42622</v>
      </c>
      <c r="I27" s="89">
        <f>H27+30</f>
        <v>42652</v>
      </c>
      <c r="J27" s="94"/>
      <c r="K27" s="94"/>
      <c r="L27" s="95"/>
    </row>
    <row r="28" spans="1:12">
      <c r="A28" s="17">
        <v>42552</v>
      </c>
      <c r="B28" s="17" t="s">
        <v>64</v>
      </c>
      <c r="C28" s="24">
        <v>671310</v>
      </c>
      <c r="D28" s="24">
        <v>4365</v>
      </c>
      <c r="E28" s="6">
        <f>ROUND(C28-D28,0)</f>
        <v>666945</v>
      </c>
      <c r="F28" s="8">
        <f>E28*8.73</f>
        <v>5822429.8500000006</v>
      </c>
      <c r="G28" s="19">
        <v>42584</v>
      </c>
      <c r="H28" s="19">
        <v>42584</v>
      </c>
      <c r="I28" s="89">
        <v>42612</v>
      </c>
      <c r="J28" s="198">
        <v>10620824</v>
      </c>
      <c r="K28" s="198">
        <f>F29+F28-J28</f>
        <v>45760.63000000082</v>
      </c>
      <c r="L28" s="84">
        <v>42642</v>
      </c>
    </row>
    <row r="29" spans="1:12">
      <c r="A29" s="17">
        <v>42583</v>
      </c>
      <c r="B29" s="17" t="s">
        <v>64</v>
      </c>
      <c r="C29" s="77">
        <v>557928</v>
      </c>
      <c r="D29" s="77">
        <v>3042</v>
      </c>
      <c r="E29" s="6">
        <f>ROUND(C29-D29,0)</f>
        <v>554886</v>
      </c>
      <c r="F29" s="93">
        <f>E29*8.73</f>
        <v>4844154.78</v>
      </c>
      <c r="G29" s="19">
        <v>42618</v>
      </c>
      <c r="H29" s="19">
        <v>42621</v>
      </c>
      <c r="I29" s="89">
        <v>42643</v>
      </c>
      <c r="J29" s="199"/>
      <c r="K29" s="199"/>
      <c r="L29" s="84">
        <v>42642</v>
      </c>
    </row>
    <row r="30" spans="1:12">
      <c r="A30" s="17">
        <v>42614</v>
      </c>
      <c r="B30" s="17" t="s">
        <v>64</v>
      </c>
      <c r="C30" s="90"/>
      <c r="D30" s="90"/>
      <c r="E30" s="6">
        <f>ROUND(C30-D30,0)</f>
        <v>0</v>
      </c>
      <c r="F30" s="93">
        <f>E30*8.73</f>
        <v>0</v>
      </c>
      <c r="G30" s="19"/>
      <c r="H30" s="19"/>
      <c r="I30" s="89"/>
      <c r="J30" s="92"/>
      <c r="K30" s="92"/>
      <c r="L30" s="84"/>
    </row>
    <row r="31" spans="1:12">
      <c r="A31" s="17"/>
      <c r="B31" s="38"/>
      <c r="C31" s="90"/>
      <c r="D31" s="90"/>
      <c r="E31" s="6"/>
      <c r="F31" s="93"/>
      <c r="G31" s="19"/>
      <c r="H31" s="19"/>
      <c r="I31" s="89"/>
      <c r="J31" s="92"/>
      <c r="K31" s="92"/>
      <c r="L31" s="84"/>
    </row>
    <row r="32" spans="1:12">
      <c r="A32" s="17"/>
      <c r="B32" s="38"/>
      <c r="C32" s="90"/>
      <c r="D32" s="90"/>
      <c r="E32" s="6"/>
      <c r="F32" s="93"/>
      <c r="G32" s="19"/>
      <c r="H32" s="19"/>
      <c r="I32" s="89"/>
      <c r="J32" s="92"/>
      <c r="K32" s="92"/>
      <c r="L32" s="84"/>
    </row>
    <row r="33" spans="1:12">
      <c r="A33" s="17"/>
      <c r="B33" s="38"/>
      <c r="C33" s="90"/>
      <c r="D33" s="90"/>
      <c r="E33" s="6"/>
      <c r="F33" s="93"/>
      <c r="G33" s="19"/>
      <c r="H33" s="19"/>
      <c r="I33" s="89"/>
      <c r="J33" s="92"/>
      <c r="K33" s="92"/>
      <c r="L33" s="84"/>
    </row>
    <row r="34" spans="1:12">
      <c r="A34" s="17">
        <v>42522</v>
      </c>
      <c r="B34" s="17" t="s">
        <v>65</v>
      </c>
      <c r="C34" s="90">
        <v>837</v>
      </c>
      <c r="D34" s="90">
        <v>2106</v>
      </c>
      <c r="E34" s="6">
        <f>ROUND(C34-D34,0)</f>
        <v>-1269</v>
      </c>
      <c r="F34" s="8">
        <f>E34*8.73</f>
        <v>-11078.37</v>
      </c>
      <c r="G34" s="19">
        <v>42620</v>
      </c>
      <c r="H34" s="19">
        <v>42622</v>
      </c>
      <c r="I34" s="89">
        <f>H34+30</f>
        <v>42652</v>
      </c>
      <c r="J34" s="92"/>
      <c r="K34" s="92"/>
      <c r="L34" s="84"/>
    </row>
    <row r="35" spans="1:12">
      <c r="A35" s="17">
        <v>42552</v>
      </c>
      <c r="B35" s="17" t="s">
        <v>65</v>
      </c>
      <c r="C35" s="91"/>
      <c r="D35" s="91"/>
      <c r="E35" s="6">
        <f>ROUND(C35-D35,0)</f>
        <v>0</v>
      </c>
      <c r="F35" s="8">
        <f>E35*8.73</f>
        <v>0</v>
      </c>
      <c r="G35" s="19">
        <v>42584</v>
      </c>
      <c r="H35" s="19"/>
      <c r="I35" s="89">
        <v>42612</v>
      </c>
      <c r="J35" s="198"/>
      <c r="K35" s="198"/>
      <c r="L35" s="84" t="s">
        <v>62</v>
      </c>
    </row>
    <row r="36" spans="1:12">
      <c r="A36" s="17">
        <v>42583</v>
      </c>
      <c r="B36" s="17" t="s">
        <v>65</v>
      </c>
      <c r="C36" s="90"/>
      <c r="D36" s="90"/>
      <c r="E36" s="6">
        <f>F36/8.73</f>
        <v>832328.98052691866</v>
      </c>
      <c r="F36" s="93">
        <v>7266232</v>
      </c>
      <c r="G36" s="19">
        <v>42618</v>
      </c>
      <c r="H36" s="19">
        <v>42621</v>
      </c>
      <c r="I36" s="89">
        <v>42643</v>
      </c>
      <c r="J36" s="199"/>
      <c r="K36" s="199"/>
      <c r="L36" s="84" t="s">
        <v>62</v>
      </c>
    </row>
    <row r="37" spans="1:12">
      <c r="A37" s="17">
        <v>42614</v>
      </c>
      <c r="B37" s="17" t="s">
        <v>65</v>
      </c>
      <c r="C37" s="90"/>
      <c r="D37" s="90"/>
      <c r="E37" s="6">
        <f>ROUND(C37-D37,0)</f>
        <v>0</v>
      </c>
      <c r="F37" s="93">
        <f>E37*8.73</f>
        <v>0</v>
      </c>
      <c r="G37" s="19"/>
      <c r="H37" s="19"/>
      <c r="I37" s="89"/>
      <c r="J37" s="92"/>
      <c r="K37" s="92"/>
      <c r="L37" s="84"/>
    </row>
    <row r="38" spans="1:12">
      <c r="A38" s="17"/>
      <c r="B38" s="38"/>
      <c r="C38" s="90"/>
      <c r="D38" s="90"/>
      <c r="E38" s="6"/>
      <c r="F38" s="93"/>
      <c r="G38" s="19"/>
      <c r="H38" s="19"/>
      <c r="I38" s="89"/>
      <c r="J38" s="92"/>
      <c r="K38" s="92"/>
      <c r="L38" s="84"/>
    </row>
    <row r="39" spans="1:12">
      <c r="A39" s="17"/>
      <c r="B39" s="17"/>
      <c r="C39" s="24"/>
      <c r="D39" s="24"/>
      <c r="E39" s="6"/>
      <c r="F39" s="8"/>
      <c r="G39" s="19"/>
      <c r="H39" s="19"/>
      <c r="I39" s="89"/>
      <c r="J39" s="78"/>
      <c r="K39" s="78"/>
      <c r="L39" s="82"/>
    </row>
    <row r="40" spans="1:12">
      <c r="A40" s="2" t="s">
        <v>10</v>
      </c>
      <c r="B40" s="2"/>
      <c r="C40" s="3">
        <f>SUM(C27:C39)</f>
        <v>1230633</v>
      </c>
      <c r="D40" s="3">
        <f t="shared" ref="D40:F40" si="2">SUM(D27:D39)</f>
        <v>10917</v>
      </c>
      <c r="E40" s="3">
        <f t="shared" si="2"/>
        <v>2052044.9805269185</v>
      </c>
      <c r="F40" s="3">
        <f t="shared" si="2"/>
        <v>17914352.68</v>
      </c>
      <c r="G40" s="3"/>
      <c r="H40" s="3"/>
      <c r="I40" s="3"/>
      <c r="J40" s="3">
        <f t="shared" ref="J40:K40" si="3">SUM(J27:J39)</f>
        <v>10620824</v>
      </c>
      <c r="K40" s="3">
        <f t="shared" si="3"/>
        <v>45760.63000000082</v>
      </c>
      <c r="L40" s="13"/>
    </row>
    <row r="41" spans="1:12" s="42" customFormat="1">
      <c r="A41" s="40"/>
      <c r="B41" s="40"/>
      <c r="C41" s="41"/>
      <c r="D41" s="41"/>
      <c r="E41" s="41"/>
      <c r="F41" s="41"/>
      <c r="G41" s="41"/>
      <c r="H41" s="41"/>
      <c r="I41" s="41"/>
      <c r="J41" s="41"/>
      <c r="K41" s="41"/>
      <c r="L41" s="83"/>
    </row>
    <row r="42" spans="1:12">
      <c r="F42" s="37"/>
    </row>
    <row r="43" spans="1:12">
      <c r="A43" s="1" t="s">
        <v>52</v>
      </c>
      <c r="B43" s="1"/>
      <c r="C43" t="s">
        <v>56</v>
      </c>
      <c r="I43" t="s">
        <v>55</v>
      </c>
    </row>
    <row r="44" spans="1:12">
      <c r="A44" s="1"/>
      <c r="B44" s="1"/>
      <c r="C44" t="s">
        <v>57</v>
      </c>
      <c r="I44" t="s">
        <v>61</v>
      </c>
    </row>
    <row r="45" spans="1:12">
      <c r="A45" s="1" t="s">
        <v>53</v>
      </c>
      <c r="B45" s="1"/>
      <c r="C45" t="s">
        <v>59</v>
      </c>
    </row>
    <row r="46" spans="1:12">
      <c r="A46" s="1"/>
      <c r="B46" s="1"/>
      <c r="C46" t="s">
        <v>60</v>
      </c>
    </row>
    <row r="47" spans="1:12">
      <c r="A47" s="1" t="s">
        <v>54</v>
      </c>
      <c r="B47" s="1"/>
      <c r="C47" t="s">
        <v>58</v>
      </c>
    </row>
  </sheetData>
  <mergeCells count="8">
    <mergeCell ref="J35:J36"/>
    <mergeCell ref="K35:K36"/>
    <mergeCell ref="J6:J7"/>
    <mergeCell ref="K6:K7"/>
    <mergeCell ref="J28:J29"/>
    <mergeCell ref="K28:K29"/>
    <mergeCell ref="J12:J13"/>
    <mergeCell ref="K12:K13"/>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SECI</vt:lpstr>
      <vt:lpstr>GS VER calculations</vt:lpstr>
      <vt:lpstr>SDG Summary</vt:lpstr>
      <vt:lpstr>June Month Billing</vt:lpstr>
      <vt:lpstr>Bihar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2021-09-13T10:02:47Z</dcterms:modified>
</cp:coreProperties>
</file>