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31393731-A58B-413B-9BE9-53AA7258609F}" xr6:coauthVersionLast="47" xr6:coauthVersionMax="47" xr10:uidLastSave="{00000000-0000-0000-0000-000000000000}"/>
  <bookViews>
    <workbookView xWindow="-108" yWindow="-108" windowWidth="23256" windowHeight="12456" firstSheet="1" activeTab="4" xr2:uid="{00000000-000D-0000-FFFF-FFFF00000000}"/>
  </bookViews>
  <sheets>
    <sheet name="SECI" sheetId="3" state="hidden" r:id="rId1"/>
    <sheet name="ER calculation" sheetId="16" r:id="rId2"/>
    <sheet name="Generation Record" sheetId="17" r:id="rId3"/>
    <sheet name="DGR" sheetId="19" r:id="rId4"/>
    <sheet name="PLF justification" sheetId="18" r:id="rId5"/>
    <sheet name="June Month Billing" sheetId="10" state="hidden" r:id="rId6"/>
    <sheet name="Bihar" sheetId="12"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6" l="1"/>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9" i="17"/>
  <c r="G10" i="17"/>
  <c r="K10" i="17" s="1"/>
  <c r="G11" i="17"/>
  <c r="G12" i="17"/>
  <c r="G13" i="17"/>
  <c r="K13" i="17" s="1"/>
  <c r="G14" i="17"/>
  <c r="K14" i="17" s="1"/>
  <c r="G15" i="17"/>
  <c r="G16" i="17"/>
  <c r="G17" i="17"/>
  <c r="G18" i="17"/>
  <c r="K18" i="17" s="1"/>
  <c r="G19" i="17"/>
  <c r="G20" i="17"/>
  <c r="G21" i="17"/>
  <c r="K21" i="17" s="1"/>
  <c r="G22" i="17"/>
  <c r="K22" i="17" s="1"/>
  <c r="G23" i="17"/>
  <c r="G24" i="17"/>
  <c r="G25" i="17"/>
  <c r="G26" i="17"/>
  <c r="K26" i="17" s="1"/>
  <c r="G27" i="17"/>
  <c r="G28" i="17"/>
  <c r="G29" i="17"/>
  <c r="K29" i="17" s="1"/>
  <c r="G30" i="17"/>
  <c r="K30" i="17" s="1"/>
  <c r="G31" i="17"/>
  <c r="G32" i="17"/>
  <c r="G33" i="17"/>
  <c r="G34" i="17"/>
  <c r="K34" i="17" s="1"/>
  <c r="G35" i="17"/>
  <c r="G36" i="17"/>
  <c r="G37" i="17"/>
  <c r="K37" i="17" s="1"/>
  <c r="G38" i="17"/>
  <c r="K38" i="17" s="1"/>
  <c r="G39" i="17"/>
  <c r="G40" i="17"/>
  <c r="G41" i="17"/>
  <c r="G42" i="17"/>
  <c r="K42" i="17" s="1"/>
  <c r="H43" i="17"/>
  <c r="I43" i="17"/>
  <c r="K17" i="17" l="1"/>
  <c r="K25" i="17"/>
  <c r="K41" i="17"/>
  <c r="K36" i="17"/>
  <c r="K28" i="17"/>
  <c r="K20" i="17"/>
  <c r="K12" i="17"/>
  <c r="K33" i="17"/>
  <c r="K35" i="17"/>
  <c r="K27" i="17"/>
  <c r="K19" i="17"/>
  <c r="K11" i="17"/>
  <c r="K39" i="17"/>
  <c r="K31" i="17"/>
  <c r="K23" i="17"/>
  <c r="K15" i="17"/>
  <c r="K40" i="17"/>
  <c r="K32" i="17"/>
  <c r="K24" i="17"/>
  <c r="K16" i="17"/>
  <c r="J43" i="17"/>
  <c r="E9" i="17"/>
  <c r="G9" i="17" s="1"/>
  <c r="K9" i="17" s="1"/>
  <c r="M9" i="17" s="1"/>
  <c r="G37" i="19" l="1"/>
  <c r="D34" i="19"/>
  <c r="G38" i="19" l="1"/>
  <c r="B5" i="18" l="1"/>
  <c r="B6" i="18"/>
  <c r="B7" i="18"/>
  <c r="B4" i="18"/>
  <c r="C38" i="16" l="1"/>
  <c r="N43" i="17" l="1"/>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F43" i="17"/>
  <c r="E43" i="17"/>
  <c r="H9" i="16"/>
  <c r="H8" i="16"/>
  <c r="G8" i="16"/>
  <c r="G10" i="16" s="1"/>
  <c r="F8" i="16"/>
  <c r="F10" i="16" s="1"/>
  <c r="E8" i="16"/>
  <c r="E10" i="16" s="1"/>
  <c r="D10" i="16"/>
  <c r="M25" i="17" l="1"/>
  <c r="M13" i="17"/>
  <c r="O13" i="17" s="1"/>
  <c r="M37" i="17"/>
  <c r="D17" i="16"/>
  <c r="C4" i="18"/>
  <c r="F17" i="16"/>
  <c r="C6" i="18"/>
  <c r="E17" i="16"/>
  <c r="E18" i="16" s="1"/>
  <c r="C26" i="16" s="1"/>
  <c r="C5" i="18"/>
  <c r="G17" i="16"/>
  <c r="C7" i="18"/>
  <c r="O9" i="17"/>
  <c r="M21" i="17"/>
  <c r="G43" i="17"/>
  <c r="H10" i="16"/>
  <c r="H17" i="16" s="1"/>
  <c r="M16" i="17" l="1"/>
  <c r="O16" i="17" s="1"/>
  <c r="M31" i="17"/>
  <c r="O31" i="17" s="1"/>
  <c r="M10" i="17"/>
  <c r="O10" i="17" s="1"/>
  <c r="Q37" i="17"/>
  <c r="M35" i="17"/>
  <c r="O35" i="17" s="1"/>
  <c r="G18" i="16"/>
  <c r="C28" i="16" s="1"/>
  <c r="E28" i="16"/>
  <c r="F18" i="16"/>
  <c r="C27" i="16" s="1"/>
  <c r="E27" i="16"/>
  <c r="E26" i="16"/>
  <c r="C8" i="18"/>
  <c r="E25" i="16"/>
  <c r="D18" i="16"/>
  <c r="C25" i="16" s="1"/>
  <c r="M23" i="17"/>
  <c r="O23" i="17" s="1"/>
  <c r="M22" i="17"/>
  <c r="O22" i="17" s="1"/>
  <c r="M42" i="17"/>
  <c r="O42" i="17" s="1"/>
  <c r="M17" i="17"/>
  <c r="O17" i="17" s="1"/>
  <c r="M34" i="17"/>
  <c r="O34" i="17" s="1"/>
  <c r="M33" i="17"/>
  <c r="O33" i="17" s="1"/>
  <c r="M41" i="17"/>
  <c r="O41" i="17" s="1"/>
  <c r="M15" i="17"/>
  <c r="O15" i="17" s="1"/>
  <c r="M27" i="17"/>
  <c r="O27" i="17" s="1"/>
  <c r="M12" i="17"/>
  <c r="O12" i="17" s="1"/>
  <c r="M14" i="17"/>
  <c r="O14" i="17" s="1"/>
  <c r="M24" i="17"/>
  <c r="O24" i="17" s="1"/>
  <c r="M36" i="17"/>
  <c r="O36" i="17" s="1"/>
  <c r="M39" i="17"/>
  <c r="O39" i="17" s="1"/>
  <c r="M18" i="17"/>
  <c r="M29" i="17"/>
  <c r="O29" i="17" s="1"/>
  <c r="M26" i="17"/>
  <c r="O26" i="17" s="1"/>
  <c r="M19" i="17"/>
  <c r="O19" i="17" s="1"/>
  <c r="M32" i="17"/>
  <c r="O32" i="17" s="1"/>
  <c r="M11" i="17"/>
  <c r="O11" i="17" s="1"/>
  <c r="M20" i="17"/>
  <c r="O20" i="17" s="1"/>
  <c r="M28" i="17"/>
  <c r="O28" i="17" s="1"/>
  <c r="M30" i="17"/>
  <c r="O30" i="17" s="1"/>
  <c r="M40" i="17"/>
  <c r="O40" i="17" s="1"/>
  <c r="O21" i="17"/>
  <c r="Q13" i="17"/>
  <c r="O37" i="17"/>
  <c r="O25" i="17"/>
  <c r="H18" i="16"/>
  <c r="C29" i="16" s="1"/>
  <c r="E29" i="16"/>
  <c r="Q9" i="17" l="1"/>
  <c r="D14" i="16" s="1"/>
  <c r="D25" i="16" s="1"/>
  <c r="D4" i="18" s="1"/>
  <c r="E4" i="18" s="1"/>
  <c r="G4" i="18" s="1"/>
  <c r="I4" i="18" s="1"/>
  <c r="M38" i="17"/>
  <c r="O38" i="17" s="1"/>
  <c r="P37" i="17" s="1"/>
  <c r="G19" i="16" s="1"/>
  <c r="K43" i="17"/>
  <c r="Q25" i="17"/>
  <c r="P9" i="17"/>
  <c r="D19" i="16" s="1"/>
  <c r="O18" i="17"/>
  <c r="P25" i="17"/>
  <c r="F19" i="16" s="1"/>
  <c r="E14" i="16"/>
  <c r="G14" i="16"/>
  <c r="P13" i="17" l="1"/>
  <c r="E19" i="16" s="1"/>
  <c r="M43" i="17"/>
  <c r="Q43" i="17"/>
  <c r="H14" i="16" s="1"/>
  <c r="F14" i="16"/>
  <c r="D27" i="16" s="1"/>
  <c r="D6" i="18" s="1"/>
  <c r="E6" i="18" s="1"/>
  <c r="G6" i="18" s="1"/>
  <c r="I6" i="18" s="1"/>
  <c r="O43" i="17"/>
  <c r="G15" i="16"/>
  <c r="D28" i="16"/>
  <c r="D7" i="18" s="1"/>
  <c r="E7" i="18" s="1"/>
  <c r="G7" i="18" s="1"/>
  <c r="I7" i="18" s="1"/>
  <c r="E15" i="16"/>
  <c r="D26" i="16"/>
  <c r="D5" i="18" s="1"/>
  <c r="E5" i="18" s="1"/>
  <c r="G5" i="18" s="1"/>
  <c r="I5" i="18" s="1"/>
  <c r="D15" i="16"/>
  <c r="P43" i="17" l="1"/>
  <c r="H19" i="16" s="1"/>
  <c r="F15" i="16"/>
  <c r="D8" i="18"/>
  <c r="E8" i="18" s="1"/>
  <c r="G8" i="18" s="1"/>
  <c r="I8" i="18" s="1"/>
  <c r="G20" i="16"/>
  <c r="F28" i="16"/>
  <c r="F20" i="16"/>
  <c r="F27" i="16"/>
  <c r="E20" i="16"/>
  <c r="F26" i="16"/>
  <c r="H15" i="16"/>
  <c r="D29" i="16"/>
  <c r="D20" i="16"/>
  <c r="F25" i="16"/>
  <c r="D3" i="12"/>
  <c r="C3" i="12"/>
  <c r="E34" i="12"/>
  <c r="F34" i="12" s="1"/>
  <c r="E11" i="12"/>
  <c r="F11" i="12" s="1"/>
  <c r="E27" i="12"/>
  <c r="F27" i="12" s="1"/>
  <c r="E5" i="12"/>
  <c r="F5" i="12" s="1"/>
  <c r="E36" i="12"/>
  <c r="E13" i="12"/>
  <c r="E8" i="12"/>
  <c r="F8" i="12" s="1"/>
  <c r="E14" i="12"/>
  <c r="F14" i="12" s="1"/>
  <c r="E37" i="12"/>
  <c r="F37" i="12" s="1"/>
  <c r="E30" i="12"/>
  <c r="F30" i="12" s="1"/>
  <c r="J40" i="12"/>
  <c r="D40" i="12"/>
  <c r="C40" i="12"/>
  <c r="J16" i="12"/>
  <c r="D16" i="12"/>
  <c r="C16" i="12"/>
  <c r="I5" i="12"/>
  <c r="I27" i="12"/>
  <c r="I34" i="12"/>
  <c r="I11" i="12"/>
  <c r="E35" i="12"/>
  <c r="F35" i="12" s="1"/>
  <c r="E12" i="12"/>
  <c r="F12" i="12" s="1"/>
  <c r="E7" i="12"/>
  <c r="F7" i="12" s="1"/>
  <c r="E29" i="12"/>
  <c r="F29" i="12" s="1"/>
  <c r="M100" i="3"/>
  <c r="M101" i="3"/>
  <c r="M102" i="3"/>
  <c r="M103" i="3"/>
  <c r="M105" i="3"/>
  <c r="M107" i="3"/>
  <c r="M108" i="3"/>
  <c r="M109" i="3"/>
  <c r="M110" i="3"/>
  <c r="M111" i="3"/>
  <c r="M112" i="3"/>
  <c r="M113" i="3"/>
  <c r="L114" i="3"/>
  <c r="L113" i="3"/>
  <c r="L112" i="3"/>
  <c r="L111" i="3"/>
  <c r="L110" i="3"/>
  <c r="L109" i="3"/>
  <c r="L108" i="3"/>
  <c r="L107" i="3"/>
  <c r="L106" i="3"/>
  <c r="L105" i="3"/>
  <c r="L104" i="3"/>
  <c r="L103" i="3"/>
  <c r="L102" i="3"/>
  <c r="L101" i="3"/>
  <c r="L100" i="3"/>
  <c r="L99" i="3"/>
  <c r="E28" i="12"/>
  <c r="F28" i="12" s="1"/>
  <c r="E6" i="12"/>
  <c r="F6" i="12" s="1"/>
  <c r="F2" i="12" s="1"/>
  <c r="C117" i="3"/>
  <c r="C94" i="3"/>
  <c r="C71" i="3"/>
  <c r="C47" i="3"/>
  <c r="C24" i="3"/>
  <c r="B117" i="3"/>
  <c r="B94" i="3"/>
  <c r="B71" i="3"/>
  <c r="B47" i="3"/>
  <c r="B24" i="3"/>
  <c r="H115" i="3"/>
  <c r="D115" i="3"/>
  <c r="E115" i="3"/>
  <c r="H92" i="3"/>
  <c r="D92" i="3"/>
  <c r="E92" i="3" s="1"/>
  <c r="H69" i="3"/>
  <c r="D69" i="3"/>
  <c r="E69" i="3" s="1"/>
  <c r="H45" i="3"/>
  <c r="D45" i="3"/>
  <c r="E45" i="3" s="1"/>
  <c r="H22" i="3"/>
  <c r="D22" i="3"/>
  <c r="E22" i="3"/>
  <c r="I31" i="10"/>
  <c r="F31" i="10"/>
  <c r="G31" i="10"/>
  <c r="I30" i="10"/>
  <c r="F30" i="10"/>
  <c r="G30" i="10" s="1"/>
  <c r="I29" i="10"/>
  <c r="F29" i="10"/>
  <c r="G29" i="10" s="1"/>
  <c r="I28" i="10"/>
  <c r="F28" i="10"/>
  <c r="G28" i="10"/>
  <c r="I27" i="10"/>
  <c r="F27" i="10"/>
  <c r="G27" i="10"/>
  <c r="I26" i="10"/>
  <c r="F26" i="10"/>
  <c r="G26" i="10" s="1"/>
  <c r="I24" i="10"/>
  <c r="F24" i="10"/>
  <c r="G24" i="10" s="1"/>
  <c r="I23" i="10"/>
  <c r="F23" i="10"/>
  <c r="G23" i="10" s="1"/>
  <c r="I21" i="10"/>
  <c r="F21" i="10"/>
  <c r="G21" i="10"/>
  <c r="I20" i="10"/>
  <c r="F20" i="10"/>
  <c r="G20" i="10" s="1"/>
  <c r="I19" i="10"/>
  <c r="F19" i="10"/>
  <c r="G19" i="10" s="1"/>
  <c r="I17" i="10"/>
  <c r="F17" i="10"/>
  <c r="G17" i="10"/>
  <c r="E15" i="10"/>
  <c r="D15" i="10"/>
  <c r="F15" i="10" s="1"/>
  <c r="G15" i="10" s="1"/>
  <c r="I13" i="10"/>
  <c r="F13" i="10"/>
  <c r="G13" i="10"/>
  <c r="I12" i="10"/>
  <c r="F12" i="10"/>
  <c r="G12" i="10" s="1"/>
  <c r="I11" i="10"/>
  <c r="F11" i="10"/>
  <c r="G11" i="10" s="1"/>
  <c r="I10" i="10"/>
  <c r="F10" i="10"/>
  <c r="G10" i="10"/>
  <c r="I9" i="10"/>
  <c r="F9" i="10"/>
  <c r="G9" i="10" s="1"/>
  <c r="I7" i="10"/>
  <c r="G7" i="10"/>
  <c r="F7" i="10"/>
  <c r="I5" i="10"/>
  <c r="F5" i="10"/>
  <c r="G5" i="10" s="1"/>
  <c r="H114" i="3"/>
  <c r="D114" i="3"/>
  <c r="E114" i="3" s="1"/>
  <c r="H91" i="3"/>
  <c r="D91" i="3"/>
  <c r="E91" i="3" s="1"/>
  <c r="H68" i="3"/>
  <c r="D68" i="3"/>
  <c r="E68" i="3" s="1"/>
  <c r="H44" i="3"/>
  <c r="D44" i="3"/>
  <c r="E44" i="3" s="1"/>
  <c r="H21" i="3"/>
  <c r="D21" i="3"/>
  <c r="E21" i="3"/>
  <c r="H113" i="3"/>
  <c r="D113" i="3"/>
  <c r="E113" i="3"/>
  <c r="J113" i="3"/>
  <c r="H90" i="3"/>
  <c r="D90" i="3"/>
  <c r="E90" i="3"/>
  <c r="J90" i="3"/>
  <c r="H67" i="3"/>
  <c r="D67" i="3"/>
  <c r="E67" i="3"/>
  <c r="J67" i="3"/>
  <c r="H43" i="3"/>
  <c r="D43" i="3"/>
  <c r="E43" i="3"/>
  <c r="J43" i="3"/>
  <c r="H20" i="3"/>
  <c r="D20" i="3"/>
  <c r="E20" i="3"/>
  <c r="J20" i="3"/>
  <c r="J106" i="3"/>
  <c r="J104" i="3"/>
  <c r="J83" i="3"/>
  <c r="J81" i="3"/>
  <c r="J60" i="3"/>
  <c r="J58" i="3"/>
  <c r="J54" i="3"/>
  <c r="J36" i="3"/>
  <c r="J34" i="3"/>
  <c r="J13" i="3"/>
  <c r="J11" i="3"/>
  <c r="H112" i="3"/>
  <c r="D112" i="3"/>
  <c r="E112" i="3" s="1"/>
  <c r="H111" i="3"/>
  <c r="D111" i="3"/>
  <c r="E111" i="3" s="1"/>
  <c r="D110" i="3"/>
  <c r="E110" i="3" s="1"/>
  <c r="J110" i="3" s="1"/>
  <c r="D109" i="3"/>
  <c r="E109" i="3"/>
  <c r="J109" i="3"/>
  <c r="D108" i="3"/>
  <c r="E108" i="3" s="1"/>
  <c r="J108" i="3" s="1"/>
  <c r="D107" i="3"/>
  <c r="E107" i="3" s="1"/>
  <c r="J107" i="3" s="1"/>
  <c r="D105" i="3"/>
  <c r="E105" i="3"/>
  <c r="J105" i="3" s="1"/>
  <c r="D103" i="3"/>
  <c r="E103" i="3" s="1"/>
  <c r="J103" i="3" s="1"/>
  <c r="I102" i="3"/>
  <c r="D102" i="3"/>
  <c r="E102" i="3" s="1"/>
  <c r="J102" i="3" s="1"/>
  <c r="I101" i="3"/>
  <c r="D101" i="3"/>
  <c r="E101" i="3" s="1"/>
  <c r="J101" i="3" s="1"/>
  <c r="D100" i="3"/>
  <c r="E100" i="3" s="1"/>
  <c r="J100" i="3" s="1"/>
  <c r="D99" i="3"/>
  <c r="E99" i="3" s="1"/>
  <c r="H89" i="3"/>
  <c r="D89" i="3"/>
  <c r="E89" i="3" s="1"/>
  <c r="H88" i="3"/>
  <c r="D88" i="3"/>
  <c r="E88" i="3" s="1"/>
  <c r="D87" i="3"/>
  <c r="E87" i="3" s="1"/>
  <c r="J87" i="3" s="1"/>
  <c r="D86" i="3"/>
  <c r="E86" i="3"/>
  <c r="J86" i="3"/>
  <c r="D85" i="3"/>
  <c r="E85" i="3" s="1"/>
  <c r="J85" i="3" s="1"/>
  <c r="D84" i="3"/>
  <c r="D82" i="3"/>
  <c r="E82" i="3" s="1"/>
  <c r="J82" i="3" s="1"/>
  <c r="D80" i="3"/>
  <c r="E80" i="3"/>
  <c r="J80" i="3"/>
  <c r="I79" i="3"/>
  <c r="D79" i="3"/>
  <c r="E79" i="3" s="1"/>
  <c r="J79" i="3" s="1"/>
  <c r="I78" i="3"/>
  <c r="D78" i="3"/>
  <c r="E78" i="3" s="1"/>
  <c r="D77" i="3"/>
  <c r="E77" i="3"/>
  <c r="J77" i="3" s="1"/>
  <c r="D76" i="3"/>
  <c r="E76" i="3" s="1"/>
  <c r="J76" i="3" s="1"/>
  <c r="H66" i="3"/>
  <c r="D66" i="3"/>
  <c r="E66" i="3" s="1"/>
  <c r="H65" i="3"/>
  <c r="D65" i="3"/>
  <c r="E65" i="3" s="1"/>
  <c r="D64" i="3"/>
  <c r="E64" i="3" s="1"/>
  <c r="J64" i="3" s="1"/>
  <c r="D63" i="3"/>
  <c r="E63" i="3"/>
  <c r="J63" i="3"/>
  <c r="D62" i="3"/>
  <c r="E62" i="3" s="1"/>
  <c r="J62" i="3" s="1"/>
  <c r="D61" i="3"/>
  <c r="E61" i="3" s="1"/>
  <c r="J61" i="3" s="1"/>
  <c r="D59" i="3"/>
  <c r="E59" i="3" s="1"/>
  <c r="J59" i="3" s="1"/>
  <c r="D57" i="3"/>
  <c r="E57" i="3"/>
  <c r="J57" i="3"/>
  <c r="D56" i="3"/>
  <c r="E56" i="3" s="1"/>
  <c r="J56" i="3" s="1"/>
  <c r="D55" i="3"/>
  <c r="D53" i="3"/>
  <c r="E53" i="3"/>
  <c r="J53" i="3" s="1"/>
  <c r="D52" i="3"/>
  <c r="H42" i="3"/>
  <c r="D42" i="3"/>
  <c r="E42" i="3" s="1"/>
  <c r="H41" i="3"/>
  <c r="D41" i="3"/>
  <c r="E41" i="3" s="1"/>
  <c r="D40" i="3"/>
  <c r="E40" i="3"/>
  <c r="J40" i="3" s="1"/>
  <c r="D39" i="3"/>
  <c r="E39" i="3" s="1"/>
  <c r="J39" i="3" s="1"/>
  <c r="D38" i="3"/>
  <c r="E38" i="3" s="1"/>
  <c r="J38" i="3" s="1"/>
  <c r="D37" i="3"/>
  <c r="E37" i="3"/>
  <c r="J37" i="3" s="1"/>
  <c r="D35" i="3"/>
  <c r="E35" i="3" s="1"/>
  <c r="J35" i="3" s="1"/>
  <c r="D33" i="3"/>
  <c r="E33" i="3" s="1"/>
  <c r="J33" i="3" s="1"/>
  <c r="D32" i="3"/>
  <c r="E32" i="3" s="1"/>
  <c r="J32" i="3" s="1"/>
  <c r="D31" i="3"/>
  <c r="E31" i="3"/>
  <c r="J31" i="3" s="1"/>
  <c r="D30" i="3"/>
  <c r="E30" i="3" s="1"/>
  <c r="J30" i="3" s="1"/>
  <c r="D29" i="3"/>
  <c r="E29" i="3" s="1"/>
  <c r="H19" i="3"/>
  <c r="D19" i="3"/>
  <c r="E19" i="3" s="1"/>
  <c r="H18" i="3"/>
  <c r="D18" i="3"/>
  <c r="E18" i="3"/>
  <c r="I18" i="3" s="1"/>
  <c r="D17" i="3"/>
  <c r="E17" i="3" s="1"/>
  <c r="J17" i="3" s="1"/>
  <c r="D16" i="3"/>
  <c r="E16" i="3" s="1"/>
  <c r="J16" i="3" s="1"/>
  <c r="D15" i="3"/>
  <c r="E15" i="3" s="1"/>
  <c r="J15" i="3" s="1"/>
  <c r="D14" i="3"/>
  <c r="E14" i="3"/>
  <c r="J14" i="3"/>
  <c r="D12" i="3"/>
  <c r="E12" i="3" s="1"/>
  <c r="J12" i="3" s="1"/>
  <c r="D10" i="3"/>
  <c r="E10" i="3" s="1"/>
  <c r="J10" i="3" s="1"/>
  <c r="D9" i="3"/>
  <c r="E9" i="3"/>
  <c r="J9" i="3" s="1"/>
  <c r="D8" i="3"/>
  <c r="E8" i="3"/>
  <c r="J8" i="3"/>
  <c r="D7" i="3"/>
  <c r="E7" i="3" s="1"/>
  <c r="J7" i="3" s="1"/>
  <c r="D6" i="3"/>
  <c r="E6" i="3" s="1"/>
  <c r="E16" i="12"/>
  <c r="E52" i="3"/>
  <c r="J52" i="3"/>
  <c r="H20" i="16" l="1"/>
  <c r="F29" i="16"/>
  <c r="D94" i="3"/>
  <c r="K6" i="12"/>
  <c r="K16" i="12" s="1"/>
  <c r="D71" i="3"/>
  <c r="D47" i="3"/>
  <c r="K28" i="12"/>
  <c r="K40" i="12" s="1"/>
  <c r="I19" i="3"/>
  <c r="J19" i="3" s="1"/>
  <c r="J29" i="3"/>
  <c r="E47" i="3"/>
  <c r="I42" i="3"/>
  <c r="J42" i="3" s="1"/>
  <c r="I111" i="3"/>
  <c r="J111" i="3"/>
  <c r="F40" i="12"/>
  <c r="I66" i="3"/>
  <c r="J66" i="3"/>
  <c r="I89" i="3"/>
  <c r="J89" i="3" s="1"/>
  <c r="J6" i="3"/>
  <c r="E24" i="3"/>
  <c r="J18" i="3"/>
  <c r="J78" i="3"/>
  <c r="I112" i="3"/>
  <c r="J112" i="3" s="1"/>
  <c r="I65" i="3"/>
  <c r="J65" i="3" s="1"/>
  <c r="I94" i="3"/>
  <c r="J88" i="3"/>
  <c r="I88" i="3"/>
  <c r="E117" i="3"/>
  <c r="J99" i="3"/>
  <c r="F16" i="12"/>
  <c r="D24" i="3"/>
  <c r="D117" i="3"/>
  <c r="I41" i="3"/>
  <c r="I47" i="3" s="1"/>
  <c r="E55" i="3"/>
  <c r="E71" i="3" s="1"/>
  <c r="E84" i="3"/>
  <c r="J84" i="3" s="1"/>
  <c r="E40" i="12"/>
  <c r="J94" i="3" l="1"/>
  <c r="I24" i="3"/>
  <c r="J24" i="3"/>
  <c r="E94" i="3"/>
  <c r="J117" i="3"/>
  <c r="I117" i="3"/>
  <c r="J41" i="3"/>
  <c r="J47" i="3" s="1"/>
  <c r="I55" i="3"/>
  <c r="I71" i="3" s="1"/>
  <c r="J55" i="3"/>
  <c r="J7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tc={6156A72D-5D04-43E9-8397-DF9D6F929014}</author>
  </authors>
  <commentList>
    <comment ref="B40" authorId="0" shapeId="0" xr:uid="{6156A72D-5D04-43E9-8397-DF9D6F929014}">
      <text>
        <t>[Threaded comment]
Your version of Excel allows you to read this threaded comment; however, any edits to it will get removed if the file is opened in a newer version of Excel. Learn more: https://go.microsoft.com/fwlink/?linkid=870924
Comment:
    The no. of trainings mentioned in this cell are inconsistent with above details. Kindly check?
Reply:
    Vipul: Typo error are being corrected and mentioned in revised ER and MR.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tc={B4D1AD4B-CA1A-473C-986C-5E203267430A}</author>
    <author>Author</author>
    <author>tc={37BCE338-4B5A-4982-B2C9-252ECD7C798E}</author>
    <author>tc={E18542F9-6070-4281-B936-9746F4B04E36}</author>
    <author>tc={66DF2AC3-4090-47D7-A12E-632EC9981155}</author>
    <author>tc={E45AA30F-94F6-40E0-94AF-6527AC4A05FE}</author>
  </authors>
  <commentList>
    <comment ref="K7" authorId="0" shapeId="0" xr:uid="{B4D1AD4B-CA1A-473C-986C-5E203267430A}">
      <text>
        <t>[Threaded comment]
Your version of Excel allows you to read this threaded comment; however, any edits to it will get removed if the file is opened in a newer version of Excel. Learn more: https://go.microsoft.com/fwlink/?linkid=870924
Comment:
    Minimum values has been consider as per conservative approach. 
Reply:
    Vipul: As per conservative approach PD used the Minimum value b/w net generation from JMR and Invoice</t>
      </text>
    </comment>
    <comment ref="K8" authorId="1" shapeId="0" xr:uid="{87A224E8-3A8E-437C-AF60-BB6818673D78}">
      <text>
        <r>
          <rPr>
            <b/>
            <sz val="9"/>
            <color indexed="81"/>
            <rFont val="宋体"/>
            <family val="3"/>
            <charset val="134"/>
          </rPr>
          <t>Author:</t>
        </r>
        <r>
          <rPr>
            <sz val="9"/>
            <color indexed="81"/>
            <rFont val="宋体"/>
            <family val="3"/>
            <charset val="134"/>
          </rPr>
          <t xml:space="preserve">
Please separate the crosscheck process for both electricty export and import.
</t>
        </r>
        <r>
          <rPr>
            <b/>
            <sz val="9"/>
            <color indexed="81"/>
            <rFont val="宋体"/>
          </rPr>
          <t>Vipul:</t>
        </r>
        <r>
          <rPr>
            <sz val="9"/>
            <color indexed="81"/>
            <rFont val="宋体"/>
            <family val="3"/>
            <charset val="134"/>
          </rPr>
          <t xml:space="preserve"> Seprate JMR amd Invoice values are considered and minimum values are used for Calculations.</t>
        </r>
      </text>
    </comment>
    <comment ref="M8" authorId="2" shapeId="0" xr:uid="{37BCE338-4B5A-4982-B2C9-252ECD7C798E}">
      <text>
        <t>[Threaded comment]
Your version of Excel allows you to read this threaded comment; however, any edits to it will get removed if the file is opened in a newer version of Excel. Learn more: https://go.microsoft.com/fwlink/?linkid=870924
Comment:
    Kindly use the unit as "tCO2e".
Reply:
    Vipul : done</t>
      </text>
    </comment>
    <comment ref="N8" authorId="3" shapeId="0" xr:uid="{E18542F9-6070-4281-B936-9746F4B04E36}">
      <text>
        <t>[Threaded comment]
Your version of Excel allows you to read this threaded comment; however, any edits to it will get removed if the file is opened in a newer version of Excel. Learn more: https://go.microsoft.com/fwlink/?linkid=870924
Comment:
    Kindly use the unit as "tCO2e".
Reply:
    Vipul : done</t>
      </text>
    </comment>
    <comment ref="O8" authorId="4" shapeId="0" xr:uid="{66DF2AC3-4090-47D7-A12E-632EC9981155}">
      <text>
        <t>[Threaded comment]
Your version of Excel allows you to read this threaded comment; however, any edits to it will get removed if the file is opened in a newer version of Excel. Learn more: https://go.microsoft.com/fwlink/?linkid=870924
Comment:
    Kindly use the unit as "tCO2e".
Reply:
    Vipul : done</t>
      </text>
    </comment>
    <comment ref="P8" authorId="5" shapeId="0" xr:uid="{E45AA30F-94F6-40E0-94AF-6527AC4A05FE}">
      <text>
        <t>[Threaded comment]
Your version of Excel allows you to read this threaded comment; however, any edits to it will get removed if the file is opened in a newer version of Excel. Learn more: https://go.microsoft.com/fwlink/?linkid=870924
Comment:
    Kindly use the unit as "tCO2e".
Reply:
    Vipul : done</t>
      </text>
    </comment>
    <comment ref="E9" authorId="1" shapeId="0" xr:uid="{47D136EA-63DC-4F26-96ED-C0A80FC86A80}">
      <text>
        <r>
          <rPr>
            <b/>
            <sz val="9"/>
            <color indexed="81"/>
            <rFont val="宋体"/>
            <family val="3"/>
            <charset val="134"/>
          </rPr>
          <t>Author:</t>
        </r>
        <r>
          <rPr>
            <sz val="9"/>
            <color indexed="81"/>
            <rFont val="宋体"/>
            <family val="3"/>
            <charset val="134"/>
          </rPr>
          <t xml:space="preserve">
what is 3913464 refer to？
</t>
        </r>
        <r>
          <rPr>
            <b/>
            <sz val="9"/>
            <color indexed="81"/>
            <rFont val="宋体"/>
          </rPr>
          <t>Vipul:</t>
        </r>
        <r>
          <rPr>
            <sz val="9"/>
            <color indexed="81"/>
            <rFont val="宋体"/>
            <family val="3"/>
            <charset val="134"/>
          </rPr>
          <t xml:space="preserve"> DGR Value: Due to mismatch in meter reading date and start date of Monitoring period, the Export values have been apportionate using the DGR values. As an conservative approach, full month import values has been considered. The respective cells have been highlighted using light blue colour. </t>
        </r>
      </text>
    </comment>
  </commentList>
</comments>
</file>

<file path=xl/sharedStrings.xml><?xml version="1.0" encoding="utf-8"?>
<sst xmlns="http://schemas.openxmlformats.org/spreadsheetml/2006/main" count="288" uniqueCount="141">
  <si>
    <t>Gujarat 15 MW</t>
  </si>
  <si>
    <t>Export Unit</t>
  </si>
  <si>
    <t>Import Unit</t>
  </si>
  <si>
    <t>Net Unit Billed</t>
  </si>
  <si>
    <t>Bill Amount</t>
  </si>
  <si>
    <t>Bill Date</t>
  </si>
  <si>
    <t>Due Date</t>
  </si>
  <si>
    <t>Received Amount</t>
  </si>
  <si>
    <t>Deduction</t>
  </si>
  <si>
    <t>Payment Received Date</t>
  </si>
  <si>
    <t>Total</t>
  </si>
  <si>
    <t>MP 25 MW</t>
  </si>
  <si>
    <t>ACME Gurgaon Power P Ltd 20 MW</t>
  </si>
  <si>
    <t>Not received</t>
  </si>
  <si>
    <t>Not Due</t>
  </si>
  <si>
    <t>ACME Mumbai Power P Ltd 20 MW</t>
  </si>
  <si>
    <t xml:space="preserve">                                                                                                                                                                                                                                                                                                                                                                                                                                                                                                                                                                                                                                                                                                                                                                                                                                                                                                                                                                                                                                                                                                                                                                                                                                                                                                                                                                                                                                                                                                                                                                                                                                                                                                                              </t>
  </si>
  <si>
    <t>ACME Rajdhani Power P Ltd 20 MW</t>
  </si>
  <si>
    <t>Medha Energy P Ltd 20 MW</t>
  </si>
  <si>
    <t>Ranji Solar Energy P Ltd 20 MW</t>
  </si>
  <si>
    <t>Khairakurd</t>
  </si>
  <si>
    <t>Mankhera</t>
  </si>
  <si>
    <t>Jhandekalan</t>
  </si>
  <si>
    <t>Nangla</t>
  </si>
  <si>
    <t>Junair</t>
  </si>
  <si>
    <t>Period</t>
  </si>
  <si>
    <t>Provisional</t>
  </si>
  <si>
    <t>Gurgaon</t>
  </si>
  <si>
    <t>Mumbai</t>
  </si>
  <si>
    <t>Rajdhani</t>
  </si>
  <si>
    <t>Medha</t>
  </si>
  <si>
    <t>Ranji</t>
  </si>
  <si>
    <t>Odisha</t>
  </si>
  <si>
    <t>Chattisgarh</t>
  </si>
  <si>
    <t>Punjab- MIHIT</t>
  </si>
  <si>
    <t>SECI Rajasthan</t>
  </si>
  <si>
    <t>Punjab- Rooftop</t>
  </si>
  <si>
    <t>Aarohi</t>
  </si>
  <si>
    <t>Jaisalmer Feeder 1</t>
  </si>
  <si>
    <t>Jaisalmer Feeder 2</t>
  </si>
  <si>
    <t>AP</t>
  </si>
  <si>
    <t>Niranjana BAY 01</t>
  </si>
  <si>
    <t>Niranjana BAY 02</t>
  </si>
  <si>
    <t>Dayanidhi</t>
  </si>
  <si>
    <t>Month</t>
  </si>
  <si>
    <t>Location</t>
  </si>
  <si>
    <t>Project</t>
  </si>
  <si>
    <t>Bill Submission Date</t>
  </si>
  <si>
    <t>ACME MAGADH SOLAR  10 MW</t>
  </si>
  <si>
    <t>ACME NALANDA SOLAR  15 MW</t>
  </si>
  <si>
    <t>Billing to be made</t>
  </si>
  <si>
    <t>Date of Commission (COD):</t>
  </si>
  <si>
    <t>Payment Terms :</t>
  </si>
  <si>
    <t>Rebate :</t>
  </si>
  <si>
    <t xml:space="preserve">Late payment: </t>
  </si>
  <si>
    <t>Last day of bill submission month</t>
  </si>
  <si>
    <t xml:space="preserve">if Bill submit with in 10 days, due date will be </t>
  </si>
  <si>
    <t xml:space="preserve">if Bill submit after 10th day of the month Due date will be </t>
  </si>
  <si>
    <t>1.25% Per month - on daily Basis (day or part thereof) if Paid after 60 days from bill due date</t>
  </si>
  <si>
    <t>2%  if Paid within 3 days from bill submission date</t>
  </si>
  <si>
    <t>1%  if Paid after 3 days and before due date</t>
  </si>
  <si>
    <t xml:space="preserve">30th days from  of bill submission date </t>
  </si>
  <si>
    <t>29-09-20916</t>
  </si>
  <si>
    <t>Devision</t>
  </si>
  <si>
    <t>North 40 %</t>
  </si>
  <si>
    <t>South 60 %</t>
  </si>
  <si>
    <t>Export (KWh)</t>
  </si>
  <si>
    <t>Import (KWh)</t>
  </si>
  <si>
    <t>Billing Cycle</t>
  </si>
  <si>
    <t>From</t>
  </si>
  <si>
    <t>To</t>
  </si>
  <si>
    <t>Date</t>
  </si>
  <si>
    <t>Parameter</t>
  </si>
  <si>
    <t xml:space="preserve">ER sheet </t>
  </si>
  <si>
    <t>Project Title</t>
  </si>
  <si>
    <t>Monitoring Period</t>
  </si>
  <si>
    <t>Vintage year 2022</t>
  </si>
  <si>
    <t>Vintage year 2023</t>
  </si>
  <si>
    <t xml:space="preserve">SDG Outcomes Vintages </t>
  </si>
  <si>
    <t>Year</t>
  </si>
  <si>
    <t>SDG 07 (MWh)</t>
  </si>
  <si>
    <t>SDG 13 (tCO2e)</t>
  </si>
  <si>
    <t>SDG 08-Employment (Number)</t>
  </si>
  <si>
    <t>SDG 08-Training (Number)</t>
  </si>
  <si>
    <t>Estimated</t>
  </si>
  <si>
    <t>Actual</t>
  </si>
  <si>
    <t xml:space="preserve">During Monitoring Period </t>
  </si>
  <si>
    <t>Vintage year 2021</t>
  </si>
  <si>
    <t>Vintage year 2024</t>
  </si>
  <si>
    <t>30 MW Solar PV Project by Nirosha Solar Power Private Limited</t>
  </si>
  <si>
    <t>20/09/21 – 30/06/2024 (inclusive of both dates)</t>
  </si>
  <si>
    <t>Unit</t>
  </si>
  <si>
    <t>Start Date of Monitoring Period</t>
  </si>
  <si>
    <t>date</t>
  </si>
  <si>
    <t>End Date of Monitoring Period</t>
  </si>
  <si>
    <t>Number</t>
  </si>
  <si>
    <t>Baseline Emission Factor</t>
  </si>
  <si>
    <r>
      <t>tCO</t>
    </r>
    <r>
      <rPr>
        <vertAlign val="subscript"/>
        <sz val="12"/>
        <color theme="1"/>
        <rFont val="Calibri"/>
        <family val="2"/>
        <scheme val="minor"/>
      </rPr>
      <t>2</t>
    </r>
    <r>
      <rPr>
        <sz val="12"/>
        <color theme="1"/>
        <rFont val="Calibri"/>
        <family val="2"/>
        <scheme val="minor"/>
      </rPr>
      <t>e/MWh</t>
    </r>
  </si>
  <si>
    <r>
      <t>tCO</t>
    </r>
    <r>
      <rPr>
        <vertAlign val="subscript"/>
        <sz val="12"/>
        <color theme="1"/>
        <rFont val="Calibri"/>
        <family val="2"/>
        <scheme val="minor"/>
      </rPr>
      <t>2</t>
    </r>
    <r>
      <rPr>
        <sz val="12"/>
        <color theme="1"/>
        <rFont val="Calibri"/>
        <family val="2"/>
        <scheme val="minor"/>
      </rPr>
      <t>e</t>
    </r>
  </si>
  <si>
    <t>MWh</t>
  </si>
  <si>
    <t xml:space="preserve">Baseline Emissions </t>
  </si>
  <si>
    <t xml:space="preserve">Project Emissions </t>
  </si>
  <si>
    <t xml:space="preserve">ER Estimation for Current Monitoring Period </t>
  </si>
  <si>
    <t xml:space="preserve">Actual ER for Current Monitoring Period </t>
  </si>
  <si>
    <t>Variation in Actual Vs Estimated ER</t>
  </si>
  <si>
    <t>%</t>
  </si>
  <si>
    <t>Actual Generation achieved during current monitoring period</t>
  </si>
  <si>
    <t xml:space="preserve">Estimated Generation for Current Monitoring Period </t>
  </si>
  <si>
    <t>Annual Estimated Emission Reduction as per the registererd PDD</t>
  </si>
  <si>
    <t>Number of operational Days for Current Monitoring Period (Days)</t>
  </si>
  <si>
    <t>Estimated Renewable energy generated as per the registererd PDD</t>
  </si>
  <si>
    <t>As per Joint Meter Reading</t>
  </si>
  <si>
    <t>As per Invoice</t>
  </si>
  <si>
    <t>Net Generation (MWh)</t>
  </si>
  <si>
    <t xml:space="preserve">Net Generation (MWh) </t>
  </si>
  <si>
    <t>Grid Emisison Factor</t>
  </si>
  <si>
    <t xml:space="preserve"> tCO2/MWh</t>
  </si>
  <si>
    <t>Project Emissions</t>
  </si>
  <si>
    <t>Emission Reduction</t>
  </si>
  <si>
    <t>Vintage Wise Bifurcation</t>
  </si>
  <si>
    <t>Vintage Wise  Generation (In MWh)</t>
  </si>
  <si>
    <t>PLF Variations  (%)</t>
  </si>
  <si>
    <t>PLF Additionality Breaching Values as per sensitivity analysis  (%)</t>
  </si>
  <si>
    <t>Additionality breached due to increased PLF  (%)</t>
  </si>
  <si>
    <t xml:space="preserve">Days </t>
  </si>
  <si>
    <t>Vintage Year</t>
  </si>
  <si>
    <t>Generation Export (kWh)</t>
  </si>
  <si>
    <t>Controller data from 01/09/2021 to 30/09/2021 (KWh)</t>
  </si>
  <si>
    <t>Generation Ratio (KWh)</t>
  </si>
  <si>
    <t>Controller Data from 20/09/2021 to 30/09/2021 (KWh)</t>
  </si>
  <si>
    <t>Actul PLF observed  (%)</t>
  </si>
  <si>
    <t>Estimated PLF at the time of Validation (%)</t>
  </si>
  <si>
    <t>Net Export of electriciry (MWh)</t>
  </si>
  <si>
    <t>Export Electricity to UPPCL (KWh)</t>
  </si>
  <si>
    <t>A total of 1.24 % higher generation and emission reduction achieved with respect to estimated values due to higher shine hours. Despite the higher emission reductions observed during the current monitoring period the additionality of the project remains unaffected. The Plant Load Factor (PLF) remains within the sensitivity analysis limits defined in the registered PDD and does not exceed the breaching benchmark values. Further the vintage-wise PLF variation remains within acceptable limits, thereby justifying the observed increase in emission reductions.</t>
  </si>
  <si>
    <t xml:space="preserve">Due to mismatch in month of september 2021, meter reading date and start date of Monitoring period, the Export values have been apportionate using the DGR values. As an conservative approach, full month import values has been considered. The respective cells have been highlighted using light blue colour. </t>
  </si>
  <si>
    <t>Minimum Value (Using Conservative value for baseline calculation In Column K)</t>
  </si>
  <si>
    <t>tCO2e</t>
  </si>
  <si>
    <t>Emission Reduction (tCO2e)</t>
  </si>
  <si>
    <t>Version 04</t>
  </si>
  <si>
    <t>Note: Total 10 Employees are working at site and 69 trainings are provided during current monitoring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</si>
</sst>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_(* #,##0_);_(* \(#,##0\);_(* &quot;-&quot;??_);_(@_)"/>
    <numFmt numFmtId="166" formatCode="_-* #,##0_-;\-* #,##0_-;_-* &quot;-&quot;??_-;_-@_-"/>
    <numFmt numFmtId="167" formatCode="_-* #,##0.00_-;\-* #,##0.00_-;_-* &quot;-&quot;??_-;_-@_-"/>
    <numFmt numFmtId="168" formatCode="[$-409]d/mmm/yy;@"/>
    <numFmt numFmtId="169" formatCode="dd\/mm\/yy"/>
    <numFmt numFmtId="170" formatCode="0.0000"/>
    <numFmt numFmtId="171" formatCode="_ * #,##0_ ;_ * \-#,##0_ ;_ * &quot;-&quot;??_ ;_ @_ "/>
  </numFmts>
  <fonts count="2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u/>
      <sz val="11"/>
      <color theme="1"/>
      <name val="Calibri"/>
      <family val="2"/>
      <scheme val="minor"/>
    </font>
    <font>
      <b/>
      <u/>
      <sz val="14"/>
      <color rgb="FFFF0000"/>
      <name val="Calibri"/>
      <family val="2"/>
      <scheme val="minor"/>
    </font>
    <font>
      <sz val="10"/>
      <name val="Arial"/>
      <family val="2"/>
    </font>
    <font>
      <sz val="8"/>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indexed="8"/>
      <name val="Calibri"/>
      <family val="2"/>
      <scheme val="minor"/>
    </font>
    <font>
      <vertAlign val="subscript"/>
      <sz val="12"/>
      <color theme="1"/>
      <name val="Calibri"/>
      <family val="2"/>
      <scheme val="minor"/>
    </font>
    <font>
      <b/>
      <u/>
      <sz val="12"/>
      <color rgb="FFFF0000"/>
      <name val="Arial"/>
      <family val="2"/>
    </font>
    <font>
      <b/>
      <sz val="12"/>
      <color theme="1"/>
      <name val="Arial"/>
      <family val="2"/>
    </font>
    <font>
      <sz val="12"/>
      <color theme="1"/>
      <name val="Arial"/>
      <family val="2"/>
    </font>
    <font>
      <sz val="12"/>
      <name val="Arial"/>
      <family val="2"/>
    </font>
    <font>
      <sz val="9"/>
      <name val="Calibri"/>
      <family val="3"/>
      <charset val="134"/>
      <scheme val="minor"/>
    </font>
    <font>
      <sz val="9"/>
      <color indexed="81"/>
      <name val="宋体"/>
      <family val="3"/>
      <charset val="134"/>
    </font>
    <font>
      <b/>
      <sz val="9"/>
      <color indexed="81"/>
      <name val="宋体"/>
      <family val="3"/>
      <charset val="134"/>
    </font>
    <font>
      <b/>
      <sz val="9"/>
      <color indexed="81"/>
      <name val="宋体"/>
    </font>
    <font>
      <b/>
      <sz val="10"/>
      <color theme="1"/>
      <name val="Franklin Gothic Book"/>
      <family val="2"/>
    </font>
  </fonts>
  <fills count="10">
    <fill>
      <patternFill patternType="none"/>
    </fill>
    <fill>
      <patternFill patternType="gray125"/>
    </fill>
    <fill>
      <patternFill patternType="solid">
        <fgColor theme="6" tint="0.59999389629810485"/>
        <bgColor indexed="64"/>
      </patternFill>
    </fill>
    <fill>
      <patternFill patternType="solid">
        <fgColor theme="5" tint="0.39997558519241921"/>
        <bgColor indexed="64"/>
      </patternFill>
    </fill>
    <fill>
      <patternFill patternType="solid">
        <fgColor indexed="6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51">
    <xf numFmtId="0" fontId="0" fillId="0" borderId="0" xfId="0"/>
    <xf numFmtId="0" fontId="4" fillId="0" borderId="0" xfId="0" applyFont="1"/>
    <xf numFmtId="0" fontId="0" fillId="0" borderId="1" xfId="0" applyBorder="1"/>
    <xf numFmtId="165" fontId="3" fillId="2" borderId="1" xfId="1" applyNumberFormat="1" applyFont="1" applyFill="1" applyBorder="1"/>
    <xf numFmtId="165" fontId="5" fillId="0" borderId="1" xfId="1" applyNumberFormat="1" applyFont="1" applyFill="1" applyBorder="1"/>
    <xf numFmtId="165" fontId="5" fillId="0" borderId="1" xfId="1" applyNumberFormat="1" applyFont="1" applyFill="1" applyBorder="1" applyAlignment="1">
      <alignment horizontal="right"/>
    </xf>
    <xf numFmtId="165" fontId="0" fillId="0" borderId="1" xfId="1" applyNumberFormat="1" applyFont="1" applyBorder="1"/>
    <xf numFmtId="15" fontId="0" fillId="0" borderId="1" xfId="0" applyNumberFormat="1" applyBorder="1"/>
    <xf numFmtId="165" fontId="0" fillId="0" borderId="1" xfId="1" applyNumberFormat="1" applyFont="1" applyFill="1" applyBorder="1"/>
    <xf numFmtId="15" fontId="0" fillId="0" borderId="1" xfId="0" applyNumberFormat="1" applyBorder="1" applyAlignment="1">
      <alignment horizontal="left"/>
    </xf>
    <xf numFmtId="15" fontId="5" fillId="0" borderId="1" xfId="0" applyNumberFormat="1" applyFont="1" applyBorder="1" applyAlignment="1">
      <alignment horizontal="left"/>
    </xf>
    <xf numFmtId="165" fontId="5" fillId="0" borderId="1" xfId="1" applyNumberFormat="1" applyFont="1" applyBorder="1"/>
    <xf numFmtId="15" fontId="5" fillId="0" borderId="1" xfId="0" applyNumberFormat="1" applyFont="1" applyBorder="1"/>
    <xf numFmtId="165" fontId="3" fillId="2" borderId="1" xfId="1" applyNumberFormat="1" applyFont="1" applyFill="1" applyBorder="1" applyAlignment="1">
      <alignment wrapText="1"/>
    </xf>
    <xf numFmtId="165" fontId="5" fillId="0" borderId="1" xfId="1" applyNumberFormat="1" applyFont="1" applyBorder="1" applyAlignment="1">
      <alignment horizontal="center" vertical="center"/>
    </xf>
    <xf numFmtId="165" fontId="5" fillId="0" borderId="1" xfId="1" applyNumberFormat="1" applyFont="1" applyFill="1" applyBorder="1" applyAlignment="1">
      <alignment horizontal="center" vertical="center"/>
    </xf>
    <xf numFmtId="0" fontId="2" fillId="0" borderId="1" xfId="0" applyFont="1" applyBorder="1" applyAlignment="1">
      <alignment horizontal="left"/>
    </xf>
    <xf numFmtId="17" fontId="3" fillId="0" borderId="1" xfId="0" applyNumberFormat="1" applyFont="1" applyBorder="1"/>
    <xf numFmtId="165" fontId="5" fillId="0" borderId="2" xfId="1" applyNumberFormat="1" applyFont="1" applyBorder="1" applyAlignment="1">
      <alignment horizontal="center" vertical="center"/>
    </xf>
    <xf numFmtId="15" fontId="0" fillId="0" borderId="1" xfId="0" applyNumberFormat="1" applyBorder="1" applyAlignment="1">
      <alignment horizontal="right"/>
    </xf>
    <xf numFmtId="165" fontId="0" fillId="0" borderId="1" xfId="1" applyNumberFormat="1" applyFont="1" applyFill="1" applyBorder="1" applyAlignment="1">
      <alignment horizontal="right"/>
    </xf>
    <xf numFmtId="165" fontId="0" fillId="0" borderId="1" xfId="1" applyNumberFormat="1" applyFont="1" applyBorder="1" applyAlignment="1">
      <alignment horizontal="center" vertical="center"/>
    </xf>
    <xf numFmtId="0" fontId="3" fillId="0" borderId="0" xfId="0" applyFont="1"/>
    <xf numFmtId="165" fontId="3" fillId="0" borderId="0" xfId="0" applyNumberFormat="1" applyFont="1"/>
    <xf numFmtId="4" fontId="0" fillId="0" borderId="0" xfId="0" applyNumberFormat="1"/>
    <xf numFmtId="165" fontId="0" fillId="0" borderId="1" xfId="1" applyNumberFormat="1" applyFont="1" applyBorder="1" applyAlignment="1">
      <alignment horizontal="right"/>
    </xf>
    <xf numFmtId="166" fontId="0" fillId="0" borderId="1" xfId="0" applyNumberFormat="1" applyBorder="1" applyAlignment="1">
      <alignment horizontal="center" vertical="center"/>
    </xf>
    <xf numFmtId="43" fontId="0" fillId="0" borderId="0" xfId="0" applyNumberFormat="1"/>
    <xf numFmtId="166" fontId="5" fillId="0" borderId="2" xfId="1" applyNumberFormat="1" applyFont="1" applyBorder="1" applyAlignment="1">
      <alignment horizontal="center" vertical="center"/>
    </xf>
    <xf numFmtId="166" fontId="0" fillId="0" borderId="1" xfId="1" applyNumberFormat="1" applyFont="1" applyBorder="1"/>
    <xf numFmtId="166" fontId="0" fillId="0" borderId="1" xfId="1" applyNumberFormat="1" applyFont="1" applyFill="1" applyBorder="1"/>
    <xf numFmtId="167" fontId="0" fillId="0" borderId="1" xfId="0" applyNumberFormat="1" applyBorder="1" applyAlignment="1">
      <alignment horizontal="center" vertical="center"/>
    </xf>
    <xf numFmtId="165" fontId="0" fillId="0" borderId="0" xfId="0" applyNumberFormat="1"/>
    <xf numFmtId="17" fontId="3" fillId="0" borderId="2" xfId="0" applyNumberFormat="1" applyFont="1" applyBorder="1"/>
    <xf numFmtId="165" fontId="3" fillId="0" borderId="0" xfId="1" applyNumberFormat="1" applyFont="1" applyFill="1" applyBorder="1"/>
    <xf numFmtId="0" fontId="0" fillId="0" borderId="0" xfId="0" applyAlignment="1">
      <alignment horizontal="center" vertical="center" wrapText="1"/>
    </xf>
    <xf numFmtId="0" fontId="6" fillId="0" borderId="0" xfId="0" applyFont="1"/>
    <xf numFmtId="165" fontId="3" fillId="0" borderId="1" xfId="1" applyNumberFormat="1" applyFont="1" applyFill="1" applyBorder="1" applyAlignment="1">
      <alignment horizontal="center" vertical="center" wrapText="1"/>
    </xf>
    <xf numFmtId="17" fontId="3" fillId="0" borderId="1" xfId="0" applyNumberFormat="1" applyFont="1" applyBorder="1" applyAlignment="1">
      <alignment horizontal="right"/>
    </xf>
    <xf numFmtId="0" fontId="6" fillId="0" borderId="1" xfId="0" applyFont="1" applyBorder="1"/>
    <xf numFmtId="17" fontId="0" fillId="0" borderId="1" xfId="0" applyNumberFormat="1" applyBorder="1"/>
    <xf numFmtId="17" fontId="0" fillId="0" borderId="2" xfId="0" applyNumberFormat="1" applyBorder="1"/>
    <xf numFmtId="165" fontId="0" fillId="0" borderId="1" xfId="1" applyNumberFormat="1" applyFont="1" applyBorder="1" applyAlignment="1">
      <alignment horizontal="left" vertical="center"/>
    </xf>
    <xf numFmtId="17" fontId="0" fillId="0" borderId="1" xfId="0" applyNumberFormat="1" applyBorder="1" applyAlignment="1">
      <alignment horizontal="right"/>
    </xf>
    <xf numFmtId="165" fontId="3" fillId="2" borderId="4" xfId="1" applyNumberFormat="1" applyFont="1" applyFill="1" applyBorder="1" applyAlignment="1">
      <alignment horizontal="center" vertical="center" wrapText="1"/>
    </xf>
    <xf numFmtId="165" fontId="3" fillId="2" borderId="5" xfId="1" applyNumberFormat="1" applyFont="1" applyFill="1" applyBorder="1" applyAlignment="1">
      <alignment horizontal="center" vertical="center" wrapText="1"/>
    </xf>
    <xf numFmtId="0" fontId="0" fillId="0" borderId="6" xfId="0" applyBorder="1" applyAlignment="1">
      <alignment horizontal="center" vertical="center" wrapText="1"/>
    </xf>
    <xf numFmtId="0" fontId="6" fillId="0" borderId="7" xfId="0" applyFont="1" applyBorder="1"/>
    <xf numFmtId="0" fontId="0" fillId="0" borderId="8" xfId="0" applyBorder="1" applyAlignment="1">
      <alignment horizontal="center" vertical="center" wrapText="1"/>
    </xf>
    <xf numFmtId="17" fontId="0" fillId="0" borderId="7" xfId="0" applyNumberFormat="1" applyBorder="1" applyAlignment="1">
      <alignment horizontal="right"/>
    </xf>
    <xf numFmtId="0" fontId="0" fillId="0" borderId="8" xfId="0" applyBorder="1"/>
    <xf numFmtId="17" fontId="0" fillId="0" borderId="7" xfId="0" applyNumberFormat="1" applyBorder="1"/>
    <xf numFmtId="0" fontId="6" fillId="0" borderId="9" xfId="0" applyFont="1" applyBorder="1"/>
    <xf numFmtId="17" fontId="0" fillId="0" borderId="10" xfId="0" applyNumberFormat="1" applyBorder="1"/>
    <xf numFmtId="17" fontId="0" fillId="0" borderId="11" xfId="0" applyNumberFormat="1" applyBorder="1" applyAlignment="1">
      <alignment horizontal="right"/>
    </xf>
    <xf numFmtId="17" fontId="0" fillId="0" borderId="11" xfId="0" applyNumberFormat="1" applyBorder="1"/>
    <xf numFmtId="165" fontId="0" fillId="0" borderId="11" xfId="1" applyNumberFormat="1" applyFont="1" applyBorder="1" applyAlignment="1">
      <alignment horizontal="center" vertical="center"/>
    </xf>
    <xf numFmtId="165" fontId="0" fillId="0" borderId="11" xfId="1" applyNumberFormat="1" applyFont="1" applyBorder="1"/>
    <xf numFmtId="165" fontId="0" fillId="0" borderId="11" xfId="1" applyNumberFormat="1" applyFont="1" applyFill="1" applyBorder="1"/>
    <xf numFmtId="15" fontId="0" fillId="0" borderId="11" xfId="0" applyNumberFormat="1" applyBorder="1"/>
    <xf numFmtId="15" fontId="0" fillId="0" borderId="11" xfId="0" applyNumberFormat="1" applyBorder="1" applyAlignment="1">
      <alignment horizontal="right"/>
    </xf>
    <xf numFmtId="0" fontId="0" fillId="0" borderId="12" xfId="0" applyBorder="1"/>
    <xf numFmtId="165" fontId="3" fillId="2" borderId="1" xfId="1" applyNumberFormat="1" applyFont="1" applyFill="1" applyBorder="1" applyAlignment="1">
      <alignment vertical="center"/>
    </xf>
    <xf numFmtId="165" fontId="3" fillId="2" borderId="1" xfId="1" applyNumberFormat="1" applyFont="1" applyFill="1" applyBorder="1" applyAlignment="1">
      <alignment vertical="center" wrapText="1"/>
    </xf>
    <xf numFmtId="0" fontId="0" fillId="0" borderId="0" xfId="0" applyAlignment="1">
      <alignment vertical="center"/>
    </xf>
    <xf numFmtId="165" fontId="0" fillId="0" borderId="3" xfId="1" applyNumberFormat="1" applyFont="1" applyFill="1" applyBorder="1" applyAlignment="1">
      <alignment horizontal="center"/>
    </xf>
    <xf numFmtId="0" fontId="0" fillId="0" borderId="0" xfId="0" applyAlignment="1">
      <alignment wrapText="1"/>
    </xf>
    <xf numFmtId="168" fontId="5" fillId="0" borderId="1" xfId="0" applyNumberFormat="1" applyFont="1" applyBorder="1" applyAlignment="1">
      <alignment horizontal="left" wrapText="1"/>
    </xf>
    <xf numFmtId="4" fontId="0" fillId="0" borderId="0" xfId="0" applyNumberFormat="1" applyAlignment="1">
      <alignment wrapText="1"/>
    </xf>
    <xf numFmtId="14" fontId="5" fillId="0" borderId="1" xfId="0" applyNumberFormat="1" applyFont="1" applyBorder="1" applyAlignment="1">
      <alignment horizontal="left" wrapText="1"/>
    </xf>
    <xf numFmtId="165" fontId="3" fillId="0" borderId="0" xfId="1" applyNumberFormat="1" applyFont="1" applyFill="1" applyBorder="1" applyAlignment="1">
      <alignment wrapText="1"/>
    </xf>
    <xf numFmtId="168" fontId="2" fillId="0" borderId="1" xfId="0" applyNumberFormat="1" applyFont="1" applyBorder="1" applyAlignment="1">
      <alignment horizontal="left" wrapText="1"/>
    </xf>
    <xf numFmtId="15" fontId="0" fillId="0" borderId="0" xfId="0" applyNumberFormat="1"/>
    <xf numFmtId="14" fontId="0" fillId="0" borderId="0" xfId="0" applyNumberFormat="1"/>
    <xf numFmtId="15" fontId="0" fillId="0" borderId="1" xfId="0" applyNumberFormat="1" applyBorder="1" applyAlignment="1">
      <alignment wrapText="1"/>
    </xf>
    <xf numFmtId="0" fontId="7" fillId="0" borderId="0" xfId="0" applyFont="1"/>
    <xf numFmtId="15" fontId="3" fillId="0" borderId="1" xfId="0" applyNumberFormat="1" applyFont="1" applyBorder="1" applyAlignment="1">
      <alignment horizontal="right"/>
    </xf>
    <xf numFmtId="165" fontId="2" fillId="0" borderId="1" xfId="1" applyNumberFormat="1" applyFont="1" applyFill="1" applyBorder="1"/>
    <xf numFmtId="165" fontId="3" fillId="0" borderId="2" xfId="1" applyNumberFormat="1" applyFont="1" applyFill="1" applyBorder="1"/>
    <xf numFmtId="165" fontId="3" fillId="0" borderId="1" xfId="1" applyNumberFormat="1" applyFont="1" applyFill="1" applyBorder="1" applyAlignment="1">
      <alignment wrapText="1"/>
    </xf>
    <xf numFmtId="0" fontId="12" fillId="0" borderId="0" xfId="0" applyFont="1" applyAlignment="1">
      <alignment vertical="top"/>
    </xf>
    <xf numFmtId="0" fontId="13" fillId="0" borderId="0" xfId="7" applyFont="1" applyAlignment="1">
      <alignment horizontal="left" vertical="top"/>
    </xf>
    <xf numFmtId="0" fontId="11" fillId="3" borderId="1" xfId="0" applyFont="1" applyFill="1" applyBorder="1" applyAlignment="1">
      <alignment horizontal="center" vertical="top"/>
    </xf>
    <xf numFmtId="43" fontId="12" fillId="0" borderId="1" xfId="1" applyFont="1" applyBorder="1" applyAlignment="1">
      <alignment horizontal="right" vertical="top"/>
    </xf>
    <xf numFmtId="0" fontId="12" fillId="0" borderId="0" xfId="0" applyFont="1"/>
    <xf numFmtId="0" fontId="12" fillId="0" borderId="1" xfId="0" applyFont="1" applyBorder="1" applyAlignment="1">
      <alignment horizontal="left" vertical="top"/>
    </xf>
    <xf numFmtId="1" fontId="13" fillId="0" borderId="0" xfId="0" applyNumberFormat="1" applyFont="1" applyAlignment="1">
      <alignment horizontal="left" vertical="top" wrapText="1"/>
    </xf>
    <xf numFmtId="9" fontId="14" fillId="4" borderId="0" xfId="11" applyFont="1" applyFill="1" applyBorder="1" applyAlignment="1">
      <alignment horizontal="right" vertical="top"/>
    </xf>
    <xf numFmtId="10" fontId="14" fillId="4" borderId="0" xfId="5" applyNumberFormat="1" applyFont="1" applyFill="1" applyBorder="1" applyAlignment="1">
      <alignment horizontal="right" vertical="top"/>
    </xf>
    <xf numFmtId="0" fontId="10" fillId="3" borderId="4" xfId="7" applyFont="1" applyFill="1" applyBorder="1" applyAlignment="1">
      <alignment vertical="top"/>
    </xf>
    <xf numFmtId="0" fontId="10" fillId="3" borderId="5" xfId="7" applyFont="1" applyFill="1" applyBorder="1" applyAlignment="1">
      <alignment horizontal="left" vertical="top"/>
    </xf>
    <xf numFmtId="0" fontId="10" fillId="3" borderId="5" xfId="7" applyFont="1" applyFill="1" applyBorder="1" applyAlignment="1">
      <alignment horizontal="center" vertical="top"/>
    </xf>
    <xf numFmtId="0" fontId="10" fillId="3" borderId="13" xfId="7" applyFont="1" applyFill="1" applyBorder="1" applyAlignment="1">
      <alignment horizontal="center" vertical="top"/>
    </xf>
    <xf numFmtId="165" fontId="14" fillId="0" borderId="1" xfId="1" applyNumberFormat="1" applyFont="1" applyFill="1" applyBorder="1" applyAlignment="1">
      <alignment horizontal="right" vertical="top"/>
    </xf>
    <xf numFmtId="0" fontId="13" fillId="0" borderId="19" xfId="4" applyFont="1" applyBorder="1" applyAlignment="1">
      <alignment vertical="top"/>
    </xf>
    <xf numFmtId="0" fontId="13" fillId="0" borderId="19" xfId="4" applyFont="1" applyBorder="1" applyAlignment="1">
      <alignment horizontal="left" vertical="top"/>
    </xf>
    <xf numFmtId="1" fontId="12" fillId="0" borderId="1" xfId="0" applyNumberFormat="1" applyFont="1" applyBorder="1" applyAlignment="1">
      <alignment horizontal="right" vertical="top"/>
    </xf>
    <xf numFmtId="1" fontId="12" fillId="0" borderId="18" xfId="0" applyNumberFormat="1" applyFont="1" applyBorder="1" applyAlignment="1">
      <alignment horizontal="right" vertical="top"/>
    </xf>
    <xf numFmtId="170" fontId="12" fillId="0" borderId="1" xfId="0" applyNumberFormat="1" applyFont="1" applyBorder="1" applyAlignment="1">
      <alignment horizontal="right" vertical="top"/>
    </xf>
    <xf numFmtId="170" fontId="12" fillId="0" borderId="18" xfId="0" applyNumberFormat="1" applyFont="1" applyBorder="1" applyAlignment="1">
      <alignment horizontal="right" vertical="top"/>
    </xf>
    <xf numFmtId="0" fontId="13" fillId="0" borderId="19" xfId="4" applyFont="1" applyBorder="1" applyAlignment="1">
      <alignment vertical="top" wrapText="1"/>
    </xf>
    <xf numFmtId="0" fontId="12" fillId="0" borderId="11" xfId="0" applyFont="1" applyBorder="1" applyAlignment="1">
      <alignment horizontal="left" vertical="top"/>
    </xf>
    <xf numFmtId="10" fontId="12" fillId="0" borderId="11" xfId="11" applyNumberFormat="1" applyFont="1" applyBorder="1" applyAlignment="1">
      <alignment horizontal="right" vertical="top"/>
    </xf>
    <xf numFmtId="10" fontId="12" fillId="0" borderId="14" xfId="11" applyNumberFormat="1" applyFont="1" applyBorder="1" applyAlignment="1">
      <alignment horizontal="right" vertical="top"/>
    </xf>
    <xf numFmtId="0" fontId="13" fillId="0" borderId="19" xfId="4" applyFont="1" applyBorder="1" applyAlignment="1">
      <alignment horizontal="left" vertical="top" wrapText="1"/>
    </xf>
    <xf numFmtId="165" fontId="14" fillId="0" borderId="18" xfId="1" applyNumberFormat="1" applyFont="1" applyFill="1" applyBorder="1" applyAlignment="1">
      <alignment horizontal="right" vertical="top"/>
    </xf>
    <xf numFmtId="0" fontId="13" fillId="0" borderId="20" xfId="4" applyFont="1" applyBorder="1" applyAlignment="1">
      <alignment horizontal="left" vertical="top"/>
    </xf>
    <xf numFmtId="43" fontId="12" fillId="0" borderId="0" xfId="0" applyNumberFormat="1" applyFont="1" applyAlignment="1">
      <alignment vertical="top"/>
    </xf>
    <xf numFmtId="43" fontId="12" fillId="0" borderId="18" xfId="1" applyFont="1" applyBorder="1" applyAlignment="1">
      <alignment horizontal="right" vertical="top"/>
    </xf>
    <xf numFmtId="165" fontId="12" fillId="0" borderId="1" xfId="1" applyNumberFormat="1" applyFont="1" applyBorder="1" applyAlignment="1">
      <alignment horizontal="right" vertical="top"/>
    </xf>
    <xf numFmtId="165" fontId="12" fillId="0" borderId="18" xfId="1" applyNumberFormat="1" applyFont="1" applyBorder="1" applyAlignment="1">
      <alignment horizontal="right" vertical="top"/>
    </xf>
    <xf numFmtId="43" fontId="12" fillId="0" borderId="1" xfId="1" applyFont="1" applyBorder="1" applyAlignment="1">
      <alignment horizontal="center" vertical="top"/>
    </xf>
    <xf numFmtId="169" fontId="13" fillId="5" borderId="1" xfId="2" applyNumberFormat="1" applyFont="1" applyFill="1" applyBorder="1" applyAlignment="1">
      <alignment horizontal="right" vertical="top"/>
    </xf>
    <xf numFmtId="165" fontId="13" fillId="0" borderId="1" xfId="1" applyNumberFormat="1" applyFont="1" applyBorder="1" applyAlignment="1">
      <alignment horizontal="center" vertical="top"/>
    </xf>
    <xf numFmtId="0" fontId="16" fillId="0" borderId="0" xfId="0" applyFont="1" applyAlignment="1">
      <alignment horizontal="left"/>
    </xf>
    <xf numFmtId="165" fontId="17" fillId="0" borderId="1" xfId="1" applyNumberFormat="1" applyFont="1" applyFill="1" applyBorder="1" applyAlignment="1">
      <alignment horizontal="center" vertical="top"/>
    </xf>
    <xf numFmtId="43" fontId="19" fillId="0" borderId="1" xfId="1" applyFont="1" applyFill="1" applyBorder="1" applyAlignment="1">
      <alignment horizontal="center" vertical="top"/>
    </xf>
    <xf numFmtId="43" fontId="18" fillId="0" borderId="1" xfId="1" applyFont="1" applyFill="1" applyBorder="1" applyAlignment="1">
      <alignment horizontal="center" vertical="top"/>
    </xf>
    <xf numFmtId="0" fontId="18" fillId="0" borderId="0" xfId="0" applyFont="1"/>
    <xf numFmtId="0" fontId="17" fillId="0" borderId="0" xfId="0" applyFont="1" applyAlignment="1">
      <alignment vertical="center"/>
    </xf>
    <xf numFmtId="43" fontId="18" fillId="0" borderId="0" xfId="1" applyFont="1" applyFill="1"/>
    <xf numFmtId="0" fontId="18" fillId="0" borderId="0" xfId="0" applyFont="1" applyAlignment="1">
      <alignment horizontal="center"/>
    </xf>
    <xf numFmtId="0" fontId="11" fillId="3" borderId="18" xfId="0" applyFont="1" applyFill="1" applyBorder="1" applyAlignment="1">
      <alignment horizontal="center" vertical="top"/>
    </xf>
    <xf numFmtId="1" fontId="13" fillId="0" borderId="7" xfId="1" applyNumberFormat="1" applyFont="1" applyBorder="1" applyAlignment="1">
      <alignment horizontal="left" vertical="top"/>
    </xf>
    <xf numFmtId="0" fontId="12" fillId="0" borderId="10" xfId="0" applyFont="1" applyBorder="1" applyAlignment="1">
      <alignment horizontal="left" vertical="top"/>
    </xf>
    <xf numFmtId="43" fontId="12" fillId="0" borderId="11" xfId="1" applyFont="1" applyBorder="1" applyAlignment="1">
      <alignment horizontal="center" vertical="top"/>
    </xf>
    <xf numFmtId="165" fontId="12" fillId="0" borderId="11" xfId="1" applyNumberFormat="1" applyFont="1" applyBorder="1" applyAlignment="1">
      <alignment horizontal="center" vertical="top"/>
    </xf>
    <xf numFmtId="0" fontId="10" fillId="3" borderId="4" xfId="7" applyFont="1" applyFill="1" applyBorder="1" applyAlignment="1">
      <alignment horizontal="left" vertical="top" wrapText="1"/>
    </xf>
    <xf numFmtId="0" fontId="10" fillId="3" borderId="7" xfId="7" applyFont="1" applyFill="1" applyBorder="1" applyAlignment="1">
      <alignment horizontal="left" vertical="top" wrapText="1"/>
    </xf>
    <xf numFmtId="1" fontId="17" fillId="0" borderId="1" xfId="1" applyNumberFormat="1" applyFont="1" applyFill="1" applyBorder="1" applyAlignment="1">
      <alignment horizontal="center" vertical="top"/>
    </xf>
    <xf numFmtId="165" fontId="17" fillId="6" borderId="1" xfId="1" applyNumberFormat="1" applyFont="1" applyFill="1" applyBorder="1" applyAlignment="1">
      <alignment horizontal="center" vertical="center"/>
    </xf>
    <xf numFmtId="165" fontId="17" fillId="6" borderId="1" xfId="1" applyNumberFormat="1" applyFont="1" applyFill="1" applyBorder="1" applyAlignment="1">
      <alignment horizontal="center" vertical="center" wrapText="1"/>
    </xf>
    <xf numFmtId="1" fontId="13" fillId="5" borderId="1" xfId="7" applyNumberFormat="1" applyFont="1" applyFill="1" applyBorder="1" applyAlignment="1">
      <alignment horizontal="center" vertical="top"/>
    </xf>
    <xf numFmtId="165" fontId="13" fillId="5" borderId="18" xfId="1" applyNumberFormat="1" applyFont="1" applyFill="1" applyBorder="1" applyAlignment="1">
      <alignment horizontal="center" vertical="top"/>
    </xf>
    <xf numFmtId="0" fontId="10" fillId="3" borderId="28" xfId="7" applyFont="1" applyFill="1" applyBorder="1" applyAlignment="1">
      <alignment horizontal="left" vertical="top"/>
    </xf>
    <xf numFmtId="0" fontId="10" fillId="3" borderId="29" xfId="7" applyFont="1" applyFill="1" applyBorder="1" applyAlignment="1">
      <alignment horizontal="left" vertical="top"/>
    </xf>
    <xf numFmtId="165" fontId="13" fillId="5" borderId="1" xfId="1" applyNumberFormat="1" applyFont="1" applyFill="1" applyBorder="1" applyAlignment="1">
      <alignment horizontal="center" vertical="top"/>
    </xf>
    <xf numFmtId="165" fontId="12" fillId="7" borderId="14" xfId="1" applyNumberFormat="1" applyFont="1" applyFill="1" applyBorder="1" applyAlignment="1">
      <alignment horizontal="center" vertical="top"/>
    </xf>
    <xf numFmtId="1" fontId="13" fillId="7" borderId="11" xfId="1" applyNumberFormat="1" applyFont="1" applyFill="1" applyBorder="1" applyAlignment="1">
      <alignment horizontal="center" vertical="top"/>
    </xf>
    <xf numFmtId="43" fontId="10" fillId="0" borderId="18" xfId="1" applyFont="1" applyBorder="1" applyAlignment="1">
      <alignment horizontal="right" vertical="top"/>
    </xf>
    <xf numFmtId="165" fontId="11" fillId="0" borderId="18" xfId="1" applyNumberFormat="1" applyFont="1" applyBorder="1" applyAlignment="1">
      <alignment horizontal="right" vertical="top"/>
    </xf>
    <xf numFmtId="1" fontId="0" fillId="0" borderId="1" xfId="0" applyNumberFormat="1" applyBorder="1" applyAlignment="1">
      <alignment horizontal="center" vertical="center"/>
    </xf>
    <xf numFmtId="10" fontId="0" fillId="0" borderId="1" xfId="0" applyNumberFormat="1" applyBorder="1" applyAlignment="1">
      <alignment horizontal="center" vertical="center"/>
    </xf>
    <xf numFmtId="43" fontId="0" fillId="0" borderId="1" xfId="1" applyFont="1" applyBorder="1" applyAlignment="1">
      <alignment horizontal="center" vertical="center"/>
    </xf>
    <xf numFmtId="0" fontId="3" fillId="0" borderId="1" xfId="0" applyFont="1" applyBorder="1" applyAlignment="1">
      <alignment horizontal="center" vertical="center"/>
    </xf>
    <xf numFmtId="10" fontId="0" fillId="0" borderId="1" xfId="11" applyNumberFormat="1" applyFont="1" applyBorder="1" applyAlignment="1">
      <alignment horizontal="center" vertical="center"/>
    </xf>
    <xf numFmtId="0" fontId="3" fillId="0" borderId="31" xfId="0" applyFont="1" applyBorder="1" applyAlignment="1">
      <alignment horizontal="center"/>
    </xf>
    <xf numFmtId="14" fontId="0" fillId="0" borderId="33" xfId="0" applyNumberFormat="1" applyBorder="1" applyAlignment="1">
      <alignment horizontal="center"/>
    </xf>
    <xf numFmtId="0" fontId="0" fillId="0" borderId="34" xfId="0" applyBorder="1" applyAlignment="1">
      <alignment horizontal="center"/>
    </xf>
    <xf numFmtId="14" fontId="0" fillId="0" borderId="35" xfId="0" applyNumberFormat="1" applyBorder="1" applyAlignment="1">
      <alignment horizontal="center"/>
    </xf>
    <xf numFmtId="0" fontId="0" fillId="0" borderId="23" xfId="0" applyBorder="1" applyAlignment="1">
      <alignment horizontal="center"/>
    </xf>
    <xf numFmtId="14" fontId="0" fillId="0" borderId="36" xfId="0" applyNumberFormat="1" applyBorder="1" applyAlignment="1">
      <alignment horizontal="center"/>
    </xf>
    <xf numFmtId="0" fontId="0" fillId="0" borderId="37" xfId="0" applyBorder="1" applyAlignment="1">
      <alignment horizontal="center"/>
    </xf>
    <xf numFmtId="0" fontId="3" fillId="0" borderId="32" xfId="0" applyFont="1" applyBorder="1" applyAlignment="1">
      <alignment horizontal="center"/>
    </xf>
    <xf numFmtId="0" fontId="0" fillId="0" borderId="24" xfId="0" applyBorder="1" applyAlignment="1">
      <alignment horizontal="center"/>
    </xf>
    <xf numFmtId="0" fontId="10" fillId="3" borderId="28" xfId="7" applyFont="1" applyFill="1" applyBorder="1" applyAlignment="1">
      <alignment horizontal="left" vertical="top" wrapText="1"/>
    </xf>
    <xf numFmtId="0" fontId="12" fillId="0" borderId="40" xfId="0" applyFont="1" applyBorder="1" applyAlignment="1">
      <alignment vertical="top"/>
    </xf>
    <xf numFmtId="0" fontId="12" fillId="0" borderId="41" xfId="0" applyFont="1" applyBorder="1" applyAlignment="1">
      <alignment vertical="top"/>
    </xf>
    <xf numFmtId="0" fontId="12" fillId="0" borderId="41" xfId="0" applyFont="1" applyBorder="1" applyAlignment="1">
      <alignment horizontal="center" vertical="top"/>
    </xf>
    <xf numFmtId="0" fontId="12" fillId="0" borderId="6" xfId="0" applyFont="1" applyBorder="1" applyAlignment="1">
      <alignment vertical="top"/>
    </xf>
    <xf numFmtId="169" fontId="13" fillId="5" borderId="18" xfId="2" applyNumberFormat="1" applyFont="1" applyFill="1" applyBorder="1" applyAlignment="1">
      <alignment horizontal="right" vertical="top"/>
    </xf>
    <xf numFmtId="43" fontId="0" fillId="0" borderId="38" xfId="1" applyFont="1" applyBorder="1" applyAlignment="1">
      <alignment horizontal="center"/>
    </xf>
    <xf numFmtId="43" fontId="0" fillId="0" borderId="23" xfId="1" applyFont="1" applyBorder="1" applyAlignment="1">
      <alignment horizontal="center"/>
    </xf>
    <xf numFmtId="165" fontId="13" fillId="0" borderId="18" xfId="1" applyNumberFormat="1" applyFont="1" applyFill="1" applyBorder="1" applyAlignment="1">
      <alignment horizontal="center" vertical="top"/>
    </xf>
    <xf numFmtId="43" fontId="10" fillId="0" borderId="1" xfId="1" applyFont="1" applyBorder="1" applyAlignment="1">
      <alignment horizontal="right" vertical="top"/>
    </xf>
    <xf numFmtId="165" fontId="11" fillId="0" borderId="1" xfId="1" applyNumberFormat="1" applyFont="1" applyBorder="1" applyAlignment="1">
      <alignment horizontal="right" vertical="top"/>
    </xf>
    <xf numFmtId="165" fontId="11" fillId="0" borderId="11" xfId="1" applyNumberFormat="1" applyFont="1" applyBorder="1" applyAlignment="1">
      <alignment horizontal="center" vertical="top"/>
    </xf>
    <xf numFmtId="17" fontId="18" fillId="0" borderId="1" xfId="0" applyNumberFormat="1" applyFont="1" applyBorder="1" applyAlignment="1">
      <alignment horizontal="center"/>
    </xf>
    <xf numFmtId="14" fontId="18" fillId="0" borderId="1" xfId="0" applyNumberFormat="1" applyFont="1" applyBorder="1" applyAlignment="1">
      <alignment horizontal="center"/>
    </xf>
    <xf numFmtId="0" fontId="18" fillId="0" borderId="1" xfId="0" applyFont="1" applyBorder="1" applyAlignment="1">
      <alignment horizontal="center" vertical="top"/>
    </xf>
    <xf numFmtId="171" fontId="18" fillId="0" borderId="1" xfId="0" applyNumberFormat="1" applyFont="1" applyBorder="1" applyAlignment="1">
      <alignment horizontal="center" vertical="top"/>
    </xf>
    <xf numFmtId="165" fontId="17" fillId="6" borderId="15" xfId="1" applyNumberFormat="1" applyFont="1" applyFill="1" applyBorder="1" applyAlignment="1">
      <alignment horizontal="center" vertical="center"/>
    </xf>
    <xf numFmtId="14" fontId="18" fillId="0" borderId="15" xfId="0" applyNumberFormat="1" applyFont="1" applyBorder="1" applyAlignment="1">
      <alignment horizontal="center"/>
    </xf>
    <xf numFmtId="165" fontId="17" fillId="6" borderId="17" xfId="1" applyNumberFormat="1" applyFont="1" applyFill="1" applyBorder="1" applyAlignment="1">
      <alignment horizontal="center" vertical="center" wrapText="1"/>
    </xf>
    <xf numFmtId="165" fontId="17" fillId="6" borderId="7" xfId="1" applyNumberFormat="1" applyFont="1" applyFill="1" applyBorder="1" applyAlignment="1">
      <alignment horizontal="center" vertical="center"/>
    </xf>
    <xf numFmtId="165" fontId="17" fillId="6" borderId="18" xfId="1" applyNumberFormat="1" applyFont="1" applyFill="1" applyBorder="1" applyAlignment="1">
      <alignment horizontal="center" vertical="center" wrapText="1"/>
    </xf>
    <xf numFmtId="43" fontId="19" fillId="9" borderId="7" xfId="1" applyFont="1" applyFill="1" applyBorder="1" applyAlignment="1">
      <alignment horizontal="center" vertical="top"/>
    </xf>
    <xf numFmtId="43" fontId="18" fillId="0" borderId="18" xfId="1" applyFont="1" applyFill="1" applyBorder="1" applyAlignment="1">
      <alignment horizontal="center" vertical="top"/>
    </xf>
    <xf numFmtId="43" fontId="19" fillId="0" borderId="7" xfId="1" applyFont="1" applyFill="1" applyBorder="1" applyAlignment="1">
      <alignment horizontal="center" vertical="top"/>
    </xf>
    <xf numFmtId="43" fontId="18" fillId="0" borderId="7" xfId="1" applyFont="1" applyFill="1" applyBorder="1" applyAlignment="1">
      <alignment horizontal="center" vertical="top"/>
    </xf>
    <xf numFmtId="43" fontId="17" fillId="0" borderId="10" xfId="1" applyFont="1" applyFill="1" applyBorder="1" applyAlignment="1">
      <alignment horizontal="center" vertical="top"/>
    </xf>
    <xf numFmtId="43" fontId="17" fillId="0" borderId="11" xfId="1" applyFont="1" applyFill="1" applyBorder="1" applyAlignment="1">
      <alignment horizontal="center" vertical="top"/>
    </xf>
    <xf numFmtId="43" fontId="17" fillId="0" borderId="14" xfId="1" applyFont="1" applyFill="1" applyBorder="1" applyAlignment="1">
      <alignment horizontal="center" vertical="top"/>
    </xf>
    <xf numFmtId="165" fontId="17" fillId="6" borderId="7" xfId="1" applyNumberFormat="1"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8" fillId="0" borderId="0" xfId="0" applyFont="1" applyAlignment="1">
      <alignment horizontal="center" vertical="center"/>
    </xf>
    <xf numFmtId="0" fontId="18" fillId="0" borderId="17" xfId="0" applyFont="1" applyBorder="1" applyAlignment="1">
      <alignment horizontal="center" vertical="top"/>
    </xf>
    <xf numFmtId="43" fontId="17" fillId="0" borderId="42" xfId="1" applyFont="1" applyFill="1" applyBorder="1" applyAlignment="1">
      <alignment horizontal="center" vertical="top"/>
    </xf>
    <xf numFmtId="43" fontId="17" fillId="0" borderId="35" xfId="1" applyFont="1" applyFill="1" applyBorder="1" applyAlignment="1">
      <alignment horizontal="center" vertical="top"/>
    </xf>
    <xf numFmtId="0" fontId="17" fillId="6" borderId="1" xfId="0" applyFont="1" applyFill="1" applyBorder="1" applyAlignment="1">
      <alignment horizontal="right" vertical="center" wrapText="1"/>
    </xf>
    <xf numFmtId="165" fontId="17" fillId="6" borderId="1" xfId="1" applyNumberFormat="1" applyFont="1" applyFill="1" applyBorder="1" applyAlignment="1">
      <alignment horizontal="right" vertical="center" wrapText="1"/>
    </xf>
    <xf numFmtId="171" fontId="17" fillId="0" borderId="1" xfId="0" applyNumberFormat="1" applyFont="1" applyBorder="1" applyAlignment="1">
      <alignment horizontal="right" vertical="top"/>
    </xf>
    <xf numFmtId="165" fontId="17" fillId="0" borderId="1" xfId="1" applyNumberFormat="1" applyFont="1" applyFill="1" applyBorder="1" applyAlignment="1">
      <alignment horizontal="right" vertical="top"/>
    </xf>
    <xf numFmtId="0" fontId="16" fillId="0" borderId="0" xfId="0" applyFont="1" applyAlignment="1">
      <alignment horizontal="left" vertical="center"/>
    </xf>
    <xf numFmtId="165" fontId="17" fillId="0" borderId="1" xfId="1" applyNumberFormat="1" applyFont="1" applyFill="1" applyBorder="1" applyAlignment="1">
      <alignment horizontal="right" vertical="center"/>
    </xf>
    <xf numFmtId="43" fontId="17" fillId="0" borderId="1" xfId="1" applyFont="1" applyFill="1" applyBorder="1" applyAlignment="1">
      <alignment horizontal="right" vertical="center"/>
    </xf>
    <xf numFmtId="0" fontId="18" fillId="0" borderId="0" xfId="0" applyFont="1" applyAlignment="1">
      <alignment vertical="center"/>
    </xf>
    <xf numFmtId="43" fontId="11" fillId="0" borderId="11" xfId="1" applyFont="1" applyBorder="1" applyAlignment="1">
      <alignment horizontal="center" vertical="top"/>
    </xf>
    <xf numFmtId="14" fontId="18" fillId="8" borderId="1" xfId="0" applyNumberFormat="1" applyFont="1" applyFill="1" applyBorder="1" applyAlignment="1">
      <alignment horizontal="center"/>
    </xf>
    <xf numFmtId="14" fontId="18" fillId="8" borderId="15" xfId="0" applyNumberFormat="1" applyFont="1" applyFill="1" applyBorder="1" applyAlignment="1">
      <alignment horizontal="center"/>
    </xf>
    <xf numFmtId="165" fontId="17" fillId="6" borderId="43" xfId="1" applyNumberFormat="1" applyFont="1" applyFill="1" applyBorder="1" applyAlignment="1">
      <alignment horizontal="center" vertical="center" wrapText="1"/>
    </xf>
    <xf numFmtId="165" fontId="17" fillId="6" borderId="31" xfId="1" applyNumberFormat="1" applyFont="1" applyFill="1" applyBorder="1" applyAlignment="1">
      <alignment horizontal="center" vertical="center" wrapText="1"/>
    </xf>
    <xf numFmtId="0" fontId="3" fillId="7" borderId="31" xfId="0" applyFont="1" applyFill="1" applyBorder="1" applyAlignment="1">
      <alignment horizontal="center"/>
    </xf>
    <xf numFmtId="0" fontId="3" fillId="7" borderId="32" xfId="0" applyFont="1" applyFill="1" applyBorder="1" applyAlignment="1">
      <alignment horizontal="center" vertical="center"/>
    </xf>
    <xf numFmtId="0" fontId="24" fillId="7" borderId="1" xfId="0" applyFont="1" applyFill="1" applyBorder="1" applyAlignment="1">
      <alignment horizontal="center" vertical="center"/>
    </xf>
    <xf numFmtId="0" fontId="24" fillId="7" borderId="1" xfId="0" applyFont="1" applyFill="1" applyBorder="1" applyAlignment="1">
      <alignment horizontal="center" vertical="center" wrapText="1"/>
    </xf>
    <xf numFmtId="0" fontId="10" fillId="3" borderId="25" xfId="7" applyFont="1" applyFill="1" applyBorder="1" applyAlignment="1">
      <alignment horizontal="center" vertical="top"/>
    </xf>
    <xf numFmtId="0" fontId="10" fillId="3" borderId="26" xfId="7" applyFont="1" applyFill="1" applyBorder="1" applyAlignment="1">
      <alignment horizontal="center" vertical="top"/>
    </xf>
    <xf numFmtId="0" fontId="10" fillId="3" borderId="27" xfId="7" applyFont="1" applyFill="1" applyBorder="1" applyAlignment="1">
      <alignment horizontal="center" vertical="top"/>
    </xf>
    <xf numFmtId="0" fontId="11" fillId="7" borderId="1" xfId="0" applyFont="1" applyFill="1" applyBorder="1" applyAlignment="1">
      <alignment horizontal="left" vertical="top"/>
    </xf>
    <xf numFmtId="0" fontId="10" fillId="3" borderId="7" xfId="7" applyFont="1" applyFill="1" applyBorder="1" applyAlignment="1">
      <alignment horizontal="left" vertical="top"/>
    </xf>
    <xf numFmtId="0" fontId="10" fillId="3" borderId="1" xfId="7" applyFont="1" applyFill="1" applyBorder="1" applyAlignment="1">
      <alignment horizontal="center" vertical="top"/>
    </xf>
    <xf numFmtId="0" fontId="10" fillId="3" borderId="15" xfId="7" applyFont="1" applyFill="1" applyBorder="1" applyAlignment="1">
      <alignment horizontal="center" vertical="top"/>
    </xf>
    <xf numFmtId="0" fontId="10" fillId="3" borderId="23" xfId="7" applyFont="1" applyFill="1" applyBorder="1" applyAlignment="1">
      <alignment horizontal="center" vertical="top"/>
    </xf>
    <xf numFmtId="0" fontId="13" fillId="0" borderId="5" xfId="0" applyFont="1" applyBorder="1" applyAlignment="1">
      <alignment horizontal="left" vertical="top"/>
    </xf>
    <xf numFmtId="0" fontId="13" fillId="0" borderId="13" xfId="0" applyFont="1" applyBorder="1" applyAlignment="1">
      <alignment horizontal="left" vertical="top"/>
    </xf>
    <xf numFmtId="14" fontId="13" fillId="0" borderId="21" xfId="0" applyNumberFormat="1" applyFont="1" applyBorder="1" applyAlignment="1">
      <alignment horizontal="left" vertical="top"/>
    </xf>
    <xf numFmtId="14" fontId="13" fillId="0" borderId="22" xfId="0" applyNumberFormat="1" applyFont="1" applyBorder="1" applyAlignment="1">
      <alignment horizontal="left" vertical="top"/>
    </xf>
    <xf numFmtId="14" fontId="13" fillId="0" borderId="24" xfId="0" applyNumberFormat="1" applyFont="1" applyBorder="1" applyAlignment="1">
      <alignment horizontal="left" vertical="top"/>
    </xf>
    <xf numFmtId="0" fontId="13" fillId="0" borderId="15" xfId="0" applyFont="1" applyBorder="1" applyAlignment="1">
      <alignment horizontal="left" vertical="top"/>
    </xf>
    <xf numFmtId="0" fontId="13" fillId="0" borderId="16" xfId="0" applyFont="1" applyBorder="1" applyAlignment="1">
      <alignment horizontal="left" vertical="top"/>
    </xf>
    <xf numFmtId="0" fontId="13" fillId="0" borderId="23" xfId="0" applyFont="1" applyBorder="1" applyAlignment="1">
      <alignment horizontal="left" vertical="top"/>
    </xf>
    <xf numFmtId="0" fontId="13" fillId="0" borderId="39" xfId="0" applyFont="1" applyBorder="1" applyAlignment="1">
      <alignment horizontal="left" vertical="top"/>
    </xf>
    <xf numFmtId="0" fontId="13" fillId="0" borderId="30" xfId="0" applyFont="1" applyBorder="1" applyAlignment="1">
      <alignment horizontal="left" vertical="top"/>
    </xf>
    <xf numFmtId="0" fontId="13" fillId="0" borderId="37" xfId="0" applyFont="1" applyBorder="1" applyAlignment="1">
      <alignment horizontal="left" vertical="top"/>
    </xf>
    <xf numFmtId="0" fontId="11" fillId="8" borderId="1" xfId="0" applyFont="1" applyFill="1" applyBorder="1" applyAlignment="1">
      <alignment horizontal="left" vertical="top" wrapText="1"/>
    </xf>
    <xf numFmtId="165" fontId="17" fillId="0" borderId="1" xfId="1" applyNumberFormat="1" applyFont="1" applyFill="1" applyBorder="1" applyAlignment="1">
      <alignment horizontal="center" wrapText="1"/>
    </xf>
    <xf numFmtId="165" fontId="17" fillId="0" borderId="15" xfId="1" applyNumberFormat="1" applyFont="1" applyFill="1" applyBorder="1" applyAlignment="1">
      <alignment horizontal="center" wrapText="1"/>
    </xf>
    <xf numFmtId="165" fontId="17" fillId="0" borderId="1" xfId="0" applyNumberFormat="1" applyFont="1" applyBorder="1" applyAlignment="1">
      <alignment horizontal="right" vertical="center"/>
    </xf>
    <xf numFmtId="0" fontId="17" fillId="6" borderId="25" xfId="0" applyFont="1" applyFill="1" applyBorder="1" applyAlignment="1">
      <alignment horizontal="center" vertical="center"/>
    </xf>
    <xf numFmtId="0" fontId="17" fillId="6" borderId="26" xfId="0" applyFont="1" applyFill="1" applyBorder="1" applyAlignment="1">
      <alignment horizontal="center" vertical="center"/>
    </xf>
    <xf numFmtId="0" fontId="17" fillId="6" borderId="38" xfId="0" applyFont="1" applyFill="1" applyBorder="1" applyAlignment="1">
      <alignment horizontal="center" vertical="center"/>
    </xf>
    <xf numFmtId="165" fontId="17" fillId="6" borderId="1" xfId="1" applyNumberFormat="1" applyFont="1" applyFill="1" applyBorder="1" applyAlignment="1">
      <alignment horizontal="center" vertical="center"/>
    </xf>
    <xf numFmtId="165" fontId="17" fillId="6" borderId="15" xfId="1" applyNumberFormat="1" applyFont="1" applyFill="1" applyBorder="1" applyAlignment="1">
      <alignment horizontal="center" vertical="center"/>
    </xf>
    <xf numFmtId="0" fontId="17" fillId="6" borderId="15" xfId="0" applyFont="1" applyFill="1" applyBorder="1" applyAlignment="1">
      <alignment horizontal="right" vertical="center"/>
    </xf>
    <xf numFmtId="0" fontId="17" fillId="6" borderId="17" xfId="0" applyFont="1" applyFill="1" applyBorder="1" applyAlignment="1">
      <alignment horizontal="right" vertical="center"/>
    </xf>
    <xf numFmtId="171" fontId="17" fillId="0" borderId="1" xfId="0" applyNumberFormat="1" applyFont="1" applyBorder="1" applyAlignment="1">
      <alignment horizontal="right" vertical="center"/>
    </xf>
    <xf numFmtId="164" fontId="17" fillId="0" borderId="1" xfId="0" applyNumberFormat="1" applyFont="1" applyBorder="1" applyAlignment="1">
      <alignment horizontal="right" vertical="center"/>
    </xf>
    <xf numFmtId="0" fontId="17" fillId="0" borderId="1" xfId="0" applyFont="1" applyBorder="1" applyAlignment="1">
      <alignment horizontal="right" vertical="center"/>
    </xf>
    <xf numFmtId="0" fontId="0" fillId="0" borderId="4" xfId="0" applyBorder="1" applyAlignment="1">
      <alignment horizontal="left"/>
    </xf>
    <xf numFmtId="0" fontId="0" fillId="0" borderId="5" xfId="0" applyBorder="1" applyAlignment="1">
      <alignment horizontal="left"/>
    </xf>
    <xf numFmtId="0" fontId="0" fillId="0" borderId="13" xfId="0"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0" borderId="18"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1" fontId="0" fillId="0" borderId="1" xfId="0" applyNumberFormat="1" applyBorder="1" applyAlignment="1">
      <alignment vertical="center" wrapText="1"/>
    </xf>
    <xf numFmtId="165" fontId="0" fillId="0" borderId="2" xfId="1" applyNumberFormat="1" applyFont="1" applyFill="1" applyBorder="1" applyAlignment="1">
      <alignment horizontal="center"/>
    </xf>
    <xf numFmtId="165" fontId="0" fillId="0" borderId="3" xfId="1" applyNumberFormat="1" applyFont="1" applyFill="1" applyBorder="1" applyAlignment="1">
      <alignment horizontal="center"/>
    </xf>
  </cellXfs>
  <cellStyles count="12">
    <cellStyle name="Comma" xfId="1" builtinId="3"/>
    <cellStyle name="Comma 2" xfId="3" xr:uid="{00000000-0005-0000-0000-000001000000}"/>
    <cellStyle name="Comma 2 2" xfId="8" xr:uid="{91A781ED-887B-4FFE-A1B8-2E18AC0ABF5A}"/>
    <cellStyle name="Comma 3" xfId="10" xr:uid="{52AB7983-B514-4725-BB0D-3580C0984E49}"/>
    <cellStyle name="Normal" xfId="0" builtinId="0"/>
    <cellStyle name="Normal 2" xfId="2" xr:uid="{00000000-0005-0000-0000-000003000000}"/>
    <cellStyle name="Normal 3" xfId="4" xr:uid="{00000000-0005-0000-0000-000004000000}"/>
    <cellStyle name="Normal 3 2" xfId="7" xr:uid="{00000000-0005-0000-0000-000005000000}"/>
    <cellStyle name="Normal 7" xfId="6" xr:uid="{00000000-0005-0000-0000-000006000000}"/>
    <cellStyle name="Percent" xfId="11" builtinId="5"/>
    <cellStyle name="Percent 2" xfId="5" xr:uid="{00000000-0005-0000-0000-000008000000}"/>
    <cellStyle name="Percent 2 2" xfId="9" xr:uid="{4D755C5E-E223-4462-8C27-F259F2275B9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0" dT="2025-05-05T07:58:30.01" personId="{00000000-0000-0000-0000-000000000000}" id="{6156A72D-5D04-43E9-8397-DF9D6F929014}">
    <text>The no. of trainings mentioned in this cell are inconsistent with above details. Kindly check?</text>
  </threadedComment>
  <threadedComment ref="B40" dT="2025-05-20T07:56:35.03" personId="{00000000-0000-0000-0000-000000000000}" id="{CDC3A531-DC36-4B5F-A1E3-5737082E1529}" parentId="{6156A72D-5D04-43E9-8397-DF9D6F929014}">
    <text>Vipul: Typo error are being corrected and mentioned in revised ER and MR.</text>
  </threadedComment>
</ThreadedComments>
</file>

<file path=xl/threadedComments/threadedComment2.xml><?xml version="1.0" encoding="utf-8"?>
<ThreadedComments xmlns="http://schemas.microsoft.com/office/spreadsheetml/2018/threadedcomments" xmlns:x="http://schemas.openxmlformats.org/spreadsheetml/2006/main">
  <threadedComment ref="K7" dT="2025-04-16T07:12:24.13" personId="{00000000-0000-0000-0000-000000000000}" id="{B4D1AD4B-CA1A-473C-986C-5E203267430A}">
    <text xml:space="preserve">Minimum values has been consider as per conservative approach. </text>
  </threadedComment>
  <threadedComment ref="K7" dT="2025-05-20T09:21:52.70" personId="{00000000-0000-0000-0000-000000000000}" id="{AE5DAD77-2D81-4214-A400-676F6C1A5D7E}" parentId="{B4D1AD4B-CA1A-473C-986C-5E203267430A}">
    <text>Vipul: As per conservative approach PD used the Minimum value b/w net generation from JMR and Invoice</text>
  </threadedComment>
  <threadedComment ref="M8" dT="2025-05-05T08:42:14.75" personId="{00000000-0000-0000-0000-000000000000}" id="{37BCE338-4B5A-4982-B2C9-252ECD7C798E}">
    <text>Kindly use the unit as "tCO2e".</text>
  </threadedComment>
  <threadedComment ref="M8" dT="2025-05-20T09:31:48.90" personId="{00000000-0000-0000-0000-000000000000}" id="{460507AD-D1C1-4106-814B-BDC5EB902EDC}" parentId="{37BCE338-4B5A-4982-B2C9-252ECD7C798E}">
    <text>Vipul : done</text>
  </threadedComment>
  <threadedComment ref="N8" dT="2025-05-05T08:42:18.28" personId="{00000000-0000-0000-0000-000000000000}" id="{E18542F9-6070-4281-B936-9746F4B04E36}">
    <text>Kindly use the unit as "tCO2e".</text>
  </threadedComment>
  <threadedComment ref="N8" dT="2025-05-20T09:31:58.63" personId="{00000000-0000-0000-0000-000000000000}" id="{3CEF206F-1F80-40CC-A406-6787C48ED41B}" parentId="{E18542F9-6070-4281-B936-9746F4B04E36}">
    <text>Vipul : done</text>
  </threadedComment>
  <threadedComment ref="O8" dT="2025-05-05T08:42:23.86" personId="{00000000-0000-0000-0000-000000000000}" id="{66DF2AC3-4090-47D7-A12E-632EC9981155}">
    <text>Kindly use the unit as "tCO2e".</text>
  </threadedComment>
  <threadedComment ref="O8" dT="2025-05-20T09:32:05.93" personId="{00000000-0000-0000-0000-000000000000}" id="{A919D334-8065-420F-9896-662458DB4092}" parentId="{66DF2AC3-4090-47D7-A12E-632EC9981155}">
    <text>Vipul : done</text>
  </threadedComment>
  <threadedComment ref="P8" dT="2025-05-05T08:42:28.07" personId="{00000000-0000-0000-0000-000000000000}" id="{E45AA30F-94F6-40E0-94AF-6527AC4A05FE}">
    <text>Kindly use the unit as "tCO2e".</text>
  </threadedComment>
  <threadedComment ref="P8" dT="2025-05-20T09:32:28.56" personId="{00000000-0000-0000-0000-000000000000}" id="{952DD723-6D68-4D54-BE30-E12A805535EF}" parentId="{E45AA30F-94F6-40E0-94AF-6527AC4A05FE}">
    <text>Vipul : done</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3:M120"/>
  <sheetViews>
    <sheetView workbookViewId="0">
      <selection activeCell="G6" sqref="G6"/>
    </sheetView>
  </sheetViews>
  <sheetFormatPr defaultRowHeight="14.4"/>
  <cols>
    <col min="1" max="1" width="10.109375" customWidth="1"/>
    <col min="2" max="2" width="12.44140625" bestFit="1" customWidth="1"/>
    <col min="3" max="5" width="15.77734375" customWidth="1"/>
    <col min="6" max="6" width="10.109375" bestFit="1" customWidth="1"/>
    <col min="7" max="7" width="11.5546875" style="66" customWidth="1"/>
    <col min="8" max="8" width="10.5546875" bestFit="1" customWidth="1"/>
    <col min="9" max="9" width="17.21875" customWidth="1"/>
    <col min="10" max="10" width="11.5546875" bestFit="1" customWidth="1"/>
    <col min="11" max="11" width="23.88671875" bestFit="1" customWidth="1"/>
    <col min="12" max="12" width="9.88671875" bestFit="1" customWidth="1"/>
  </cols>
  <sheetData>
    <row r="3" spans="1:11">
      <c r="A3" s="1" t="s">
        <v>12</v>
      </c>
      <c r="I3" t="s">
        <v>51</v>
      </c>
      <c r="K3" s="73">
        <v>42142</v>
      </c>
    </row>
    <row r="5" spans="1:11" ht="43.2">
      <c r="A5" s="2"/>
      <c r="B5" s="3" t="s">
        <v>1</v>
      </c>
      <c r="C5" s="3" t="s">
        <v>2</v>
      </c>
      <c r="D5" s="3" t="s">
        <v>3</v>
      </c>
      <c r="E5" s="3" t="s">
        <v>4</v>
      </c>
      <c r="F5" s="3" t="s">
        <v>5</v>
      </c>
      <c r="G5" s="13" t="s">
        <v>47</v>
      </c>
      <c r="H5" s="3" t="s">
        <v>6</v>
      </c>
      <c r="I5" s="3" t="s">
        <v>7</v>
      </c>
      <c r="J5" s="3" t="s">
        <v>8</v>
      </c>
      <c r="K5" s="3" t="s">
        <v>9</v>
      </c>
    </row>
    <row r="6" spans="1:11">
      <c r="A6" s="17">
        <v>42125</v>
      </c>
      <c r="B6" s="18">
        <v>565359.46213113982</v>
      </c>
      <c r="C6" s="18">
        <v>8509.7258103241293</v>
      </c>
      <c r="D6" s="6">
        <f t="shared" ref="D6:D16" si="0">B6-C6</f>
        <v>556849.73632081575</v>
      </c>
      <c r="E6" s="8">
        <f t="shared" ref="E6:E18" si="1">D6*5.45</f>
        <v>3034831.0629484458</v>
      </c>
      <c r="F6" s="7">
        <v>42199</v>
      </c>
      <c r="G6" s="74"/>
      <c r="H6" s="7">
        <v>42261</v>
      </c>
      <c r="I6" s="8">
        <v>0</v>
      </c>
      <c r="J6" s="8">
        <f t="shared" ref="J6:J20" si="2">E6-I6</f>
        <v>3034831.0629484458</v>
      </c>
      <c r="K6" s="16" t="s">
        <v>13</v>
      </c>
    </row>
    <row r="7" spans="1:11">
      <c r="A7" s="17">
        <v>42156</v>
      </c>
      <c r="B7" s="18">
        <v>2490045.3831771724</v>
      </c>
      <c r="C7" s="18">
        <v>8556.3369330453552</v>
      </c>
      <c r="D7" s="6">
        <f t="shared" si="0"/>
        <v>2481489.0462441272</v>
      </c>
      <c r="E7" s="8">
        <f t="shared" si="1"/>
        <v>13524115.302030494</v>
      </c>
      <c r="F7" s="7">
        <v>42199</v>
      </c>
      <c r="G7" s="74"/>
      <c r="H7" s="7">
        <v>42261</v>
      </c>
      <c r="I7" s="8">
        <v>11802013</v>
      </c>
      <c r="J7" s="8">
        <f t="shared" si="2"/>
        <v>1722102.3020304944</v>
      </c>
      <c r="K7" s="9">
        <v>42269</v>
      </c>
    </row>
    <row r="8" spans="1:11">
      <c r="A8" s="17">
        <v>42186</v>
      </c>
      <c r="B8" s="18">
        <v>2844244.512199414</v>
      </c>
      <c r="C8" s="18">
        <v>11309.723131884479</v>
      </c>
      <c r="D8" s="6">
        <f t="shared" si="0"/>
        <v>2832934.7890675296</v>
      </c>
      <c r="E8" s="8">
        <f t="shared" si="1"/>
        <v>15439494.600418037</v>
      </c>
      <c r="F8" s="7">
        <v>42223</v>
      </c>
      <c r="G8" s="74"/>
      <c r="H8" s="19">
        <v>42284</v>
      </c>
      <c r="I8" s="20">
        <v>15439495</v>
      </c>
      <c r="J8" s="8">
        <f t="shared" si="2"/>
        <v>-0.39958196319639683</v>
      </c>
      <c r="K8" s="9">
        <v>42292</v>
      </c>
    </row>
    <row r="9" spans="1:11">
      <c r="A9" s="17">
        <v>42217</v>
      </c>
      <c r="B9" s="18">
        <v>3477764.6540535842</v>
      </c>
      <c r="C9" s="18">
        <v>12546.083193277313</v>
      </c>
      <c r="D9" s="6">
        <f t="shared" si="0"/>
        <v>3465218.5708603067</v>
      </c>
      <c r="E9" s="8">
        <f t="shared" si="1"/>
        <v>18885441.211188674</v>
      </c>
      <c r="F9" s="7">
        <v>42254</v>
      </c>
      <c r="G9" s="74"/>
      <c r="H9" s="19">
        <v>42315</v>
      </c>
      <c r="I9" s="20">
        <v>18884294</v>
      </c>
      <c r="J9" s="8">
        <f t="shared" si="2"/>
        <v>1147.2111886739731</v>
      </c>
      <c r="K9" s="9">
        <v>42317</v>
      </c>
    </row>
    <row r="10" spans="1:11">
      <c r="A10" s="17">
        <v>42248</v>
      </c>
      <c r="B10" s="18">
        <v>3558763.0247270414</v>
      </c>
      <c r="C10" s="18">
        <v>8257.8230640449074</v>
      </c>
      <c r="D10" s="6">
        <f t="shared" si="0"/>
        <v>3550505.2016629963</v>
      </c>
      <c r="E10" s="8">
        <f t="shared" si="1"/>
        <v>19350253.349063329</v>
      </c>
      <c r="F10" s="7">
        <v>42284</v>
      </c>
      <c r="G10" s="74"/>
      <c r="H10" s="19">
        <v>42345</v>
      </c>
      <c r="I10" s="20">
        <v>16989852</v>
      </c>
      <c r="J10" s="8">
        <f t="shared" si="2"/>
        <v>2360401.3490633294</v>
      </c>
      <c r="K10" s="9">
        <v>42374</v>
      </c>
    </row>
    <row r="11" spans="1:11">
      <c r="A11" s="17"/>
      <c r="B11" s="18"/>
      <c r="C11" s="18"/>
      <c r="D11" s="6"/>
      <c r="E11" s="8"/>
      <c r="F11" s="7"/>
      <c r="G11" s="74"/>
      <c r="H11" s="19"/>
      <c r="I11" s="8">
        <v>2329960</v>
      </c>
      <c r="J11" s="8">
        <f t="shared" si="2"/>
        <v>-2329960</v>
      </c>
      <c r="K11" s="9">
        <v>42445</v>
      </c>
    </row>
    <row r="12" spans="1:11">
      <c r="A12" s="17">
        <v>42278</v>
      </c>
      <c r="B12" s="18">
        <v>3809181.2429756299</v>
      </c>
      <c r="C12" s="18">
        <v>15163.43194268858</v>
      </c>
      <c r="D12" s="6">
        <f t="shared" si="0"/>
        <v>3794017.8110329411</v>
      </c>
      <c r="E12" s="8">
        <f t="shared" si="1"/>
        <v>20677397.070129529</v>
      </c>
      <c r="F12" s="7">
        <v>42313</v>
      </c>
      <c r="G12" s="74"/>
      <c r="H12" s="19">
        <v>42374</v>
      </c>
      <c r="I12" s="20">
        <v>17561214</v>
      </c>
      <c r="J12" s="8">
        <f t="shared" si="2"/>
        <v>3116183.0701295286</v>
      </c>
      <c r="K12" s="9">
        <v>42380</v>
      </c>
    </row>
    <row r="13" spans="1:11">
      <c r="A13" s="17"/>
      <c r="B13" s="18"/>
      <c r="C13" s="18"/>
      <c r="D13" s="6"/>
      <c r="E13" s="8"/>
      <c r="F13" s="7"/>
      <c r="G13" s="74"/>
      <c r="H13" s="19"/>
      <c r="I13" s="8">
        <v>3093236</v>
      </c>
      <c r="J13" s="8">
        <f t="shared" si="2"/>
        <v>-3093236</v>
      </c>
      <c r="K13" s="9">
        <v>42472</v>
      </c>
    </row>
    <row r="14" spans="1:11">
      <c r="A14" s="17">
        <v>42309</v>
      </c>
      <c r="B14" s="18">
        <v>2580104.7836568868</v>
      </c>
      <c r="C14" s="18">
        <v>14337.932054794521</v>
      </c>
      <c r="D14" s="6">
        <f t="shared" si="0"/>
        <v>2565766.8516020924</v>
      </c>
      <c r="E14" s="8">
        <f t="shared" si="1"/>
        <v>13983429.341231404</v>
      </c>
      <c r="F14" s="7">
        <v>42342</v>
      </c>
      <c r="G14" s="74"/>
      <c r="H14" s="19">
        <v>42404</v>
      </c>
      <c r="I14" s="20">
        <v>13983429</v>
      </c>
      <c r="J14" s="8">
        <f t="shared" si="2"/>
        <v>0.34123140387237072</v>
      </c>
      <c r="K14" s="9">
        <v>42403</v>
      </c>
    </row>
    <row r="15" spans="1:11">
      <c r="A15" s="17">
        <v>42339</v>
      </c>
      <c r="B15" s="18">
        <v>2976487</v>
      </c>
      <c r="C15" s="18">
        <v>16061</v>
      </c>
      <c r="D15" s="6">
        <f t="shared" si="0"/>
        <v>2960426</v>
      </c>
      <c r="E15" s="8">
        <f t="shared" si="1"/>
        <v>16134321.700000001</v>
      </c>
      <c r="F15" s="7">
        <v>42374</v>
      </c>
      <c r="G15" s="74"/>
      <c r="H15" s="19">
        <v>42434</v>
      </c>
      <c r="I15" s="20">
        <v>16134322</v>
      </c>
      <c r="J15" s="8">
        <f t="shared" si="2"/>
        <v>-0.29999999888241291</v>
      </c>
      <c r="K15" s="9">
        <v>42436</v>
      </c>
    </row>
    <row r="16" spans="1:11">
      <c r="A16" s="17">
        <v>42370</v>
      </c>
      <c r="B16" s="18">
        <v>3114149</v>
      </c>
      <c r="C16" s="18">
        <v>16571</v>
      </c>
      <c r="D16" s="6">
        <f t="shared" si="0"/>
        <v>3097578</v>
      </c>
      <c r="E16" s="8">
        <f t="shared" si="1"/>
        <v>16881800.100000001</v>
      </c>
      <c r="F16" s="7">
        <v>42405</v>
      </c>
      <c r="G16" s="74"/>
      <c r="H16" s="19">
        <v>42464</v>
      </c>
      <c r="I16" s="20">
        <v>16881804</v>
      </c>
      <c r="J16" s="8">
        <f t="shared" si="2"/>
        <v>-3.8999999985098839</v>
      </c>
      <c r="K16" s="9">
        <v>42465</v>
      </c>
    </row>
    <row r="17" spans="1:11">
      <c r="A17" s="17">
        <v>42401</v>
      </c>
      <c r="B17" s="21">
        <v>3339044.7063543866</v>
      </c>
      <c r="C17" s="21">
        <v>14079.57316594743</v>
      </c>
      <c r="D17" s="6">
        <f>B17-C17</f>
        <v>3324965.1331884391</v>
      </c>
      <c r="E17" s="8">
        <f t="shared" si="1"/>
        <v>18121059.975876994</v>
      </c>
      <c r="F17" s="7">
        <v>42433</v>
      </c>
      <c r="G17" s="74"/>
      <c r="H17" s="19">
        <v>42494</v>
      </c>
      <c r="I17" s="20">
        <v>18121060</v>
      </c>
      <c r="J17" s="8">
        <f t="shared" si="2"/>
        <v>-2.4123005568981171E-2</v>
      </c>
      <c r="K17" s="9">
        <v>42495</v>
      </c>
    </row>
    <row r="18" spans="1:11">
      <c r="A18" s="17">
        <v>42430</v>
      </c>
      <c r="B18" s="21">
        <v>3946424.6116860984</v>
      </c>
      <c r="C18" s="21">
        <v>14393.119793902963</v>
      </c>
      <c r="D18" s="6">
        <f>B18-C18</f>
        <v>3932031.4918921953</v>
      </c>
      <c r="E18" s="8">
        <f t="shared" si="1"/>
        <v>21429571.630812466</v>
      </c>
      <c r="F18" s="7">
        <v>42464</v>
      </c>
      <c r="G18" s="74"/>
      <c r="H18" s="19">
        <f>F18+60</f>
        <v>42524</v>
      </c>
      <c r="I18" s="20">
        <f>E18</f>
        <v>21429571.630812466</v>
      </c>
      <c r="J18" s="8">
        <f t="shared" si="2"/>
        <v>0</v>
      </c>
      <c r="K18" s="9">
        <v>42528</v>
      </c>
    </row>
    <row r="19" spans="1:11">
      <c r="A19" s="17">
        <v>42461</v>
      </c>
      <c r="B19" s="21">
        <v>3988765.2687458764</v>
      </c>
      <c r="C19" s="21">
        <v>14324.177963085373</v>
      </c>
      <c r="D19" s="6">
        <f>ROUND(B19-C19,0)</f>
        <v>3974441</v>
      </c>
      <c r="E19" s="8">
        <f t="shared" ref="E19:E22" si="3">D19*5.45</f>
        <v>21660703.449999999</v>
      </c>
      <c r="F19" s="7">
        <v>42494</v>
      </c>
      <c r="G19" s="74"/>
      <c r="H19" s="19">
        <f>F19+60</f>
        <v>42554</v>
      </c>
      <c r="I19" s="8">
        <f>E19</f>
        <v>21660703.449999999</v>
      </c>
      <c r="J19" s="8">
        <f t="shared" si="2"/>
        <v>0</v>
      </c>
      <c r="K19" s="9">
        <v>42556</v>
      </c>
    </row>
    <row r="20" spans="1:11">
      <c r="A20" s="17">
        <v>42491</v>
      </c>
      <c r="B20" s="21">
        <v>3810242</v>
      </c>
      <c r="C20" s="21">
        <v>13703</v>
      </c>
      <c r="D20" s="6">
        <f>ROUND(B20-C20,0)</f>
        <v>3796539</v>
      </c>
      <c r="E20" s="8">
        <f t="shared" si="3"/>
        <v>20691137.550000001</v>
      </c>
      <c r="F20" s="7">
        <v>42527</v>
      </c>
      <c r="G20" s="74"/>
      <c r="H20" s="19">
        <f>F20+60</f>
        <v>42587</v>
      </c>
      <c r="I20" s="8">
        <v>20691138</v>
      </c>
      <c r="J20" s="8">
        <f t="shared" si="2"/>
        <v>-0.44999999925494194</v>
      </c>
      <c r="K20" s="9">
        <v>42588</v>
      </c>
    </row>
    <row r="21" spans="1:11">
      <c r="A21" s="17">
        <v>42522</v>
      </c>
      <c r="B21" s="21">
        <v>3710354</v>
      </c>
      <c r="C21" s="21">
        <v>13100</v>
      </c>
      <c r="D21" s="6">
        <f>ROUND(B21-C21,0)</f>
        <v>3697254</v>
      </c>
      <c r="E21" s="8">
        <f t="shared" si="3"/>
        <v>20150034.300000001</v>
      </c>
      <c r="F21" s="7">
        <v>42557</v>
      </c>
      <c r="G21" s="74"/>
      <c r="H21" s="19">
        <f>F21+60</f>
        <v>42617</v>
      </c>
      <c r="I21" s="8">
        <v>0</v>
      </c>
      <c r="J21" s="8"/>
      <c r="K21" s="16" t="s">
        <v>13</v>
      </c>
    </row>
    <row r="22" spans="1:11">
      <c r="A22" s="17">
        <v>42552</v>
      </c>
      <c r="B22" s="21">
        <v>3765350</v>
      </c>
      <c r="C22" s="21">
        <v>14735</v>
      </c>
      <c r="D22" s="6">
        <f>ROUND(B22-C22,0)</f>
        <v>3750615</v>
      </c>
      <c r="E22" s="8">
        <f t="shared" si="3"/>
        <v>20440851.75</v>
      </c>
      <c r="F22" s="7">
        <v>42590</v>
      </c>
      <c r="G22" s="74"/>
      <c r="H22" s="19">
        <f>F22+60</f>
        <v>42650</v>
      </c>
      <c r="I22" s="8"/>
      <c r="J22" s="8"/>
      <c r="K22" s="16" t="s">
        <v>14</v>
      </c>
    </row>
    <row r="23" spans="1:11">
      <c r="A23" s="17">
        <v>42583</v>
      </c>
      <c r="B23" s="21"/>
      <c r="C23" s="21"/>
      <c r="D23" s="6"/>
      <c r="E23" s="8"/>
      <c r="F23" s="7"/>
      <c r="G23" s="74"/>
      <c r="H23" s="19"/>
      <c r="I23" s="8"/>
      <c r="J23" s="8"/>
      <c r="K23" s="16" t="s">
        <v>50</v>
      </c>
    </row>
    <row r="24" spans="1:11">
      <c r="A24" s="2" t="s">
        <v>10</v>
      </c>
      <c r="B24" s="3">
        <f>SUM(B6:B23)</f>
        <v>47976279.649707228</v>
      </c>
      <c r="C24" s="3">
        <f t="shared" ref="C24:E24" si="4">SUM(C6:C23)</f>
        <v>195647.92705299504</v>
      </c>
      <c r="D24" s="3">
        <f t="shared" si="4"/>
        <v>47780631.631871447</v>
      </c>
      <c r="E24" s="3">
        <f t="shared" si="4"/>
        <v>260404442.39369938</v>
      </c>
      <c r="F24" s="3"/>
      <c r="G24" s="13"/>
      <c r="H24" s="3"/>
      <c r="I24" s="3">
        <f t="shared" ref="I24:J24" si="5">SUM(I6:I23)</f>
        <v>215002092.08081245</v>
      </c>
      <c r="J24" s="3">
        <f t="shared" si="5"/>
        <v>4811464.2628869107</v>
      </c>
      <c r="K24" s="3"/>
    </row>
    <row r="25" spans="1:11">
      <c r="H25" s="22"/>
      <c r="I25" s="23"/>
      <c r="K25" s="24"/>
    </row>
    <row r="26" spans="1:11">
      <c r="A26" s="1" t="s">
        <v>15</v>
      </c>
      <c r="D26" t="s">
        <v>16</v>
      </c>
      <c r="I26" t="s">
        <v>51</v>
      </c>
      <c r="K26" s="73">
        <v>42142</v>
      </c>
    </row>
    <row r="28" spans="1:11" ht="43.2">
      <c r="A28" s="2"/>
      <c r="B28" s="3" t="s">
        <v>1</v>
      </c>
      <c r="C28" s="3" t="s">
        <v>2</v>
      </c>
      <c r="D28" s="3" t="s">
        <v>3</v>
      </c>
      <c r="E28" s="3" t="s">
        <v>4</v>
      </c>
      <c r="F28" s="3" t="s">
        <v>5</v>
      </c>
      <c r="G28" s="13" t="s">
        <v>47</v>
      </c>
      <c r="H28" s="3" t="s">
        <v>6</v>
      </c>
      <c r="I28" s="3" t="s">
        <v>7</v>
      </c>
      <c r="J28" s="3" t="s">
        <v>8</v>
      </c>
      <c r="K28" s="3" t="s">
        <v>9</v>
      </c>
    </row>
    <row r="29" spans="1:11">
      <c r="A29" s="17">
        <v>42125</v>
      </c>
      <c r="B29" s="18">
        <v>857365.83413723798</v>
      </c>
      <c r="C29" s="18">
        <v>7751.1068427370956</v>
      </c>
      <c r="D29" s="6">
        <f t="shared" ref="D29:D39" si="6">B29-C29</f>
        <v>849614.72729450092</v>
      </c>
      <c r="E29" s="8">
        <f t="shared" ref="E29:E41" si="7">D29*5.45</f>
        <v>4630400.26375503</v>
      </c>
      <c r="F29" s="7">
        <v>42199</v>
      </c>
      <c r="G29" s="74"/>
      <c r="H29" s="7">
        <v>42261</v>
      </c>
      <c r="I29" s="8">
        <v>0</v>
      </c>
      <c r="J29" s="8">
        <f t="shared" ref="J29:J43" si="8">E29-I29</f>
        <v>4630400.26375503</v>
      </c>
      <c r="K29" s="16" t="s">
        <v>13</v>
      </c>
    </row>
    <row r="30" spans="1:11">
      <c r="A30" s="17">
        <v>42156</v>
      </c>
      <c r="B30" s="18">
        <v>2465955.0634834869</v>
      </c>
      <c r="C30" s="18">
        <v>7604.7053131749453</v>
      </c>
      <c r="D30" s="6">
        <f t="shared" si="6"/>
        <v>2458350.3581703119</v>
      </c>
      <c r="E30" s="8">
        <f t="shared" si="7"/>
        <v>13398009.4520282</v>
      </c>
      <c r="F30" s="7">
        <v>42199</v>
      </c>
      <c r="G30" s="74"/>
      <c r="H30" s="7">
        <v>42261</v>
      </c>
      <c r="I30" s="8">
        <v>11691670</v>
      </c>
      <c r="J30" s="8">
        <f t="shared" si="8"/>
        <v>1706339.4520282</v>
      </c>
      <c r="K30" s="9">
        <v>42269</v>
      </c>
    </row>
    <row r="31" spans="1:11">
      <c r="A31" s="17">
        <v>42186</v>
      </c>
      <c r="B31" s="18">
        <v>2971429.3627299382</v>
      </c>
      <c r="C31" s="18">
        <v>13073.176540637092</v>
      </c>
      <c r="D31" s="6">
        <f t="shared" si="6"/>
        <v>2958356.1861893013</v>
      </c>
      <c r="E31" s="8">
        <f t="shared" si="7"/>
        <v>16123041.214731693</v>
      </c>
      <c r="F31" s="7">
        <v>42223</v>
      </c>
      <c r="G31" s="74"/>
      <c r="H31" s="19">
        <v>42284</v>
      </c>
      <c r="I31" s="20">
        <v>16123041</v>
      </c>
      <c r="J31" s="8">
        <f t="shared" si="8"/>
        <v>0.21473169326782227</v>
      </c>
      <c r="K31" s="10">
        <v>42292</v>
      </c>
    </row>
    <row r="32" spans="1:11">
      <c r="A32" s="17">
        <v>42217</v>
      </c>
      <c r="B32" s="18">
        <v>3595986.0565829081</v>
      </c>
      <c r="C32" s="18">
        <v>14186.785084033612</v>
      </c>
      <c r="D32" s="6">
        <f t="shared" si="6"/>
        <v>3581799.2714988748</v>
      </c>
      <c r="E32" s="8">
        <f t="shared" si="7"/>
        <v>19520806.029668868</v>
      </c>
      <c r="F32" s="7">
        <v>42254</v>
      </c>
      <c r="G32" s="74"/>
      <c r="H32" s="19">
        <v>42315</v>
      </c>
      <c r="I32" s="20">
        <v>19519613</v>
      </c>
      <c r="J32" s="8">
        <f t="shared" si="8"/>
        <v>1193.029668867588</v>
      </c>
      <c r="K32" s="10">
        <v>42338</v>
      </c>
    </row>
    <row r="33" spans="1:11">
      <c r="A33" s="17">
        <v>42248</v>
      </c>
      <c r="B33" s="18">
        <v>3464911.256779179</v>
      </c>
      <c r="C33" s="18">
        <v>8841.8070446114962</v>
      </c>
      <c r="D33" s="6">
        <f t="shared" si="6"/>
        <v>3456069.4497345677</v>
      </c>
      <c r="E33" s="8">
        <f t="shared" si="7"/>
        <v>18835578.501053393</v>
      </c>
      <c r="F33" s="7">
        <v>42284</v>
      </c>
      <c r="G33" s="74"/>
      <c r="H33" s="19">
        <v>42345</v>
      </c>
      <c r="I33" s="20">
        <v>16989852</v>
      </c>
      <c r="J33" s="8">
        <f t="shared" si="8"/>
        <v>1845726.5010533929</v>
      </c>
      <c r="K33" s="9">
        <v>42374</v>
      </c>
    </row>
    <row r="34" spans="1:11">
      <c r="A34" s="17"/>
      <c r="B34" s="18"/>
      <c r="C34" s="18"/>
      <c r="D34" s="6"/>
      <c r="E34" s="8"/>
      <c r="F34" s="7"/>
      <c r="G34" s="74"/>
      <c r="H34" s="19"/>
      <c r="I34" s="8">
        <v>1815332</v>
      </c>
      <c r="J34" s="8">
        <f t="shared" si="8"/>
        <v>-1815332</v>
      </c>
      <c r="K34" s="9">
        <v>42445</v>
      </c>
    </row>
    <row r="35" spans="1:11">
      <c r="A35" s="17">
        <v>42278</v>
      </c>
      <c r="B35" s="18">
        <v>3810505.9750188123</v>
      </c>
      <c r="C35" s="18">
        <v>16049.682258744204</v>
      </c>
      <c r="D35" s="6">
        <f t="shared" si="6"/>
        <v>3794456.2927600681</v>
      </c>
      <c r="E35" s="8">
        <f t="shared" si="7"/>
        <v>20679786.795542371</v>
      </c>
      <c r="F35" s="7">
        <v>42313</v>
      </c>
      <c r="G35" s="74"/>
      <c r="H35" s="19">
        <v>42374</v>
      </c>
      <c r="I35" s="20">
        <v>17561191</v>
      </c>
      <c r="J35" s="8">
        <f t="shared" si="8"/>
        <v>3118595.7955423705</v>
      </c>
      <c r="K35" s="9">
        <v>42381</v>
      </c>
    </row>
    <row r="36" spans="1:11">
      <c r="A36" s="17"/>
      <c r="B36" s="18"/>
      <c r="C36" s="18"/>
      <c r="D36" s="6"/>
      <c r="E36" s="8"/>
      <c r="F36" s="7"/>
      <c r="G36" s="74"/>
      <c r="H36" s="19"/>
      <c r="I36" s="6">
        <v>3118596</v>
      </c>
      <c r="J36" s="8">
        <f t="shared" si="8"/>
        <v>-3118596</v>
      </c>
      <c r="K36" s="9">
        <v>42472</v>
      </c>
    </row>
    <row r="37" spans="1:11">
      <c r="A37" s="17">
        <v>42309</v>
      </c>
      <c r="B37" s="18">
        <v>2808670.2088253251</v>
      </c>
      <c r="C37" s="18">
        <v>16942.714520547943</v>
      </c>
      <c r="D37" s="6">
        <f t="shared" si="6"/>
        <v>2791727.4943047771</v>
      </c>
      <c r="E37" s="8">
        <f t="shared" si="7"/>
        <v>15214914.843961036</v>
      </c>
      <c r="F37" s="7">
        <v>42342</v>
      </c>
      <c r="G37" s="74"/>
      <c r="H37" s="19">
        <v>42404</v>
      </c>
      <c r="I37" s="20">
        <v>15214912</v>
      </c>
      <c r="J37" s="8">
        <f t="shared" si="8"/>
        <v>2.8439610358327627</v>
      </c>
      <c r="K37" s="9">
        <v>42409</v>
      </c>
    </row>
    <row r="38" spans="1:11">
      <c r="A38" s="17">
        <v>42339</v>
      </c>
      <c r="B38" s="18">
        <v>3158393</v>
      </c>
      <c r="C38" s="18">
        <v>17982</v>
      </c>
      <c r="D38" s="6">
        <f t="shared" si="6"/>
        <v>3140411</v>
      </c>
      <c r="E38" s="8">
        <f t="shared" si="7"/>
        <v>17115239.949999999</v>
      </c>
      <c r="F38" s="7">
        <v>42374</v>
      </c>
      <c r="G38" s="74"/>
      <c r="H38" s="19">
        <v>42434</v>
      </c>
      <c r="I38" s="20">
        <v>17115240</v>
      </c>
      <c r="J38" s="8">
        <f t="shared" si="8"/>
        <v>-5.000000074505806E-2</v>
      </c>
      <c r="K38" s="9">
        <v>42437</v>
      </c>
    </row>
    <row r="39" spans="1:11">
      <c r="A39" s="17">
        <v>42370</v>
      </c>
      <c r="B39" s="18">
        <v>3125492</v>
      </c>
      <c r="C39" s="18">
        <v>17758</v>
      </c>
      <c r="D39" s="6">
        <f t="shared" si="6"/>
        <v>3107734</v>
      </c>
      <c r="E39" s="8">
        <f t="shared" si="7"/>
        <v>16937150.300000001</v>
      </c>
      <c r="F39" s="7">
        <v>42405</v>
      </c>
      <c r="G39" s="74"/>
      <c r="H39" s="19">
        <v>42464</v>
      </c>
      <c r="I39" s="20">
        <v>16914709</v>
      </c>
      <c r="J39" s="8">
        <f t="shared" si="8"/>
        <v>22441.300000000745</v>
      </c>
      <c r="K39" s="9">
        <v>42467</v>
      </c>
    </row>
    <row r="40" spans="1:11">
      <c r="A40" s="17">
        <v>42401</v>
      </c>
      <c r="B40" s="21">
        <v>3466898.1940049329</v>
      </c>
      <c r="C40" s="21">
        <v>15911.632797175362</v>
      </c>
      <c r="D40" s="6">
        <f>B40-C40</f>
        <v>3450986.5612077573</v>
      </c>
      <c r="E40" s="8">
        <f t="shared" si="7"/>
        <v>18807876.758582279</v>
      </c>
      <c r="F40" s="7">
        <v>42433</v>
      </c>
      <c r="G40" s="74"/>
      <c r="H40" s="19">
        <v>42494</v>
      </c>
      <c r="I40" s="20">
        <v>18807877</v>
      </c>
      <c r="J40" s="8">
        <f t="shared" si="8"/>
        <v>-0.24141772091388702</v>
      </c>
      <c r="K40" s="9">
        <v>42496</v>
      </c>
    </row>
    <row r="41" spans="1:11">
      <c r="A41" s="17">
        <v>42430</v>
      </c>
      <c r="B41" s="21">
        <v>3827718.0499622612</v>
      </c>
      <c r="C41" s="21">
        <v>16461.592099613568</v>
      </c>
      <c r="D41" s="6">
        <f>B41-C41</f>
        <v>3811256.4578626477</v>
      </c>
      <c r="E41" s="8">
        <f t="shared" si="7"/>
        <v>20771347.695351429</v>
      </c>
      <c r="F41" s="7">
        <v>42464</v>
      </c>
      <c r="G41" s="74"/>
      <c r="H41" s="19">
        <f>F41+60</f>
        <v>42524</v>
      </c>
      <c r="I41" s="20">
        <f>E41</f>
        <v>20771347.695351429</v>
      </c>
      <c r="J41" s="8">
        <f t="shared" si="8"/>
        <v>0</v>
      </c>
      <c r="K41" s="9">
        <v>42528</v>
      </c>
    </row>
    <row r="42" spans="1:11">
      <c r="A42" s="17">
        <v>42461</v>
      </c>
      <c r="B42" s="21">
        <v>3876382.457411998</v>
      </c>
      <c r="C42" s="21">
        <v>15218.706665988713</v>
      </c>
      <c r="D42" s="6">
        <f>ROUND(B42-C42,0)</f>
        <v>3861164</v>
      </c>
      <c r="E42" s="8">
        <f t="shared" ref="E42:E45" si="9">D42*5.45</f>
        <v>21043343.800000001</v>
      </c>
      <c r="F42" s="7">
        <v>42494</v>
      </c>
      <c r="G42" s="74"/>
      <c r="H42" s="19">
        <f>F42+60</f>
        <v>42554</v>
      </c>
      <c r="I42" s="6">
        <f>E42</f>
        <v>21043343.800000001</v>
      </c>
      <c r="J42" s="25">
        <f t="shared" si="8"/>
        <v>0</v>
      </c>
      <c r="K42" s="9">
        <v>42556</v>
      </c>
    </row>
    <row r="43" spans="1:11">
      <c r="A43" s="17">
        <v>42491</v>
      </c>
      <c r="B43" s="21">
        <v>3776121</v>
      </c>
      <c r="C43" s="21">
        <v>14258</v>
      </c>
      <c r="D43" s="6">
        <f>ROUND(B43-C43,0)</f>
        <v>3761863</v>
      </c>
      <c r="E43" s="8">
        <f t="shared" si="9"/>
        <v>20502153.350000001</v>
      </c>
      <c r="F43" s="7">
        <v>42527</v>
      </c>
      <c r="G43" s="74"/>
      <c r="H43" s="19">
        <f>F43+60</f>
        <v>42587</v>
      </c>
      <c r="I43" s="6">
        <v>20502153</v>
      </c>
      <c r="J43" s="25">
        <f t="shared" si="8"/>
        <v>0.35000000149011612</v>
      </c>
      <c r="K43" s="9">
        <v>42588</v>
      </c>
    </row>
    <row r="44" spans="1:11">
      <c r="A44" s="17">
        <v>42522</v>
      </c>
      <c r="B44" s="21">
        <v>3671572</v>
      </c>
      <c r="C44" s="21">
        <v>13667</v>
      </c>
      <c r="D44" s="6">
        <f>ROUND(B44-C44,0)</f>
        <v>3657905</v>
      </c>
      <c r="E44" s="8">
        <f t="shared" si="9"/>
        <v>19935582.25</v>
      </c>
      <c r="F44" s="7">
        <v>42557</v>
      </c>
      <c r="G44" s="74"/>
      <c r="H44" s="19">
        <f>F44+60</f>
        <v>42617</v>
      </c>
      <c r="I44" s="6">
        <v>0</v>
      </c>
      <c r="J44" s="25"/>
      <c r="K44" s="16" t="s">
        <v>13</v>
      </c>
    </row>
    <row r="45" spans="1:11">
      <c r="A45" s="17">
        <v>42552</v>
      </c>
      <c r="B45" s="21">
        <v>3668990</v>
      </c>
      <c r="C45" s="21">
        <v>14203</v>
      </c>
      <c r="D45" s="6">
        <f>ROUND(B45-C45,0)</f>
        <v>3654787</v>
      </c>
      <c r="E45" s="8">
        <f t="shared" si="9"/>
        <v>19918589.150000002</v>
      </c>
      <c r="F45" s="7">
        <v>42590</v>
      </c>
      <c r="G45" s="74"/>
      <c r="H45" s="19">
        <f>F45+60</f>
        <v>42650</v>
      </c>
      <c r="I45" s="6"/>
      <c r="J45" s="25"/>
      <c r="K45" s="16" t="s">
        <v>14</v>
      </c>
    </row>
    <row r="46" spans="1:11">
      <c r="A46" s="17">
        <v>42583</v>
      </c>
      <c r="B46" s="21"/>
      <c r="C46" s="21"/>
      <c r="D46" s="6"/>
      <c r="E46" s="8"/>
      <c r="F46" s="7"/>
      <c r="G46" s="74"/>
      <c r="H46" s="19"/>
      <c r="I46" s="6"/>
      <c r="J46" s="25"/>
      <c r="K46" s="16" t="s">
        <v>50</v>
      </c>
    </row>
    <row r="47" spans="1:11">
      <c r="A47" s="2" t="s">
        <v>10</v>
      </c>
      <c r="B47" s="3">
        <f>SUM(B29:B46)</f>
        <v>48546390.45893608</v>
      </c>
      <c r="C47" s="3">
        <f t="shared" ref="C47:E47" si="10">SUM(C29:C46)</f>
        <v>209909.90916726404</v>
      </c>
      <c r="D47" s="3">
        <f t="shared" si="10"/>
        <v>48336480.799022809</v>
      </c>
      <c r="E47" s="3">
        <f t="shared" si="10"/>
        <v>263433820.35467434</v>
      </c>
      <c r="F47" s="3"/>
      <c r="G47" s="13"/>
      <c r="H47" s="3"/>
      <c r="I47" s="3">
        <f t="shared" ref="I47:J47" si="11">SUM(I29:I46)</f>
        <v>217188877.49535143</v>
      </c>
      <c r="J47" s="3">
        <f t="shared" si="11"/>
        <v>6390771.4593228716</v>
      </c>
      <c r="K47" s="3"/>
    </row>
    <row r="48" spans="1:11">
      <c r="H48" s="22"/>
      <c r="I48" s="23"/>
      <c r="K48" s="24"/>
    </row>
    <row r="49" spans="1:11">
      <c r="A49" s="1" t="s">
        <v>17</v>
      </c>
      <c r="I49" t="s">
        <v>51</v>
      </c>
      <c r="K49" s="73">
        <v>42144</v>
      </c>
    </row>
    <row r="51" spans="1:11" ht="43.2">
      <c r="A51" s="2"/>
      <c r="B51" s="3" t="s">
        <v>1</v>
      </c>
      <c r="C51" s="3" t="s">
        <v>2</v>
      </c>
      <c r="D51" s="3" t="s">
        <v>3</v>
      </c>
      <c r="E51" s="3" t="s">
        <v>4</v>
      </c>
      <c r="F51" s="3" t="s">
        <v>5</v>
      </c>
      <c r="G51" s="13" t="s">
        <v>47</v>
      </c>
      <c r="H51" s="3" t="s">
        <v>6</v>
      </c>
      <c r="I51" s="3" t="s">
        <v>7</v>
      </c>
      <c r="J51" s="3" t="s">
        <v>8</v>
      </c>
      <c r="K51" s="3" t="s">
        <v>9</v>
      </c>
    </row>
    <row r="52" spans="1:11">
      <c r="A52" s="17">
        <v>42125</v>
      </c>
      <c r="B52" s="18">
        <v>297723.17561577429</v>
      </c>
      <c r="C52" s="18">
        <v>4826.5757503001205</v>
      </c>
      <c r="D52" s="6">
        <f t="shared" ref="D52:D63" si="12">B52-C52</f>
        <v>292896.59986547416</v>
      </c>
      <c r="E52" s="8">
        <f t="shared" ref="E52:E65" si="13">D52*5.45</f>
        <v>1596286.4692668342</v>
      </c>
      <c r="F52" s="7">
        <v>42199</v>
      </c>
      <c r="G52" s="74"/>
      <c r="H52" s="7">
        <v>42261</v>
      </c>
      <c r="I52" s="8">
        <v>0</v>
      </c>
      <c r="J52" s="8">
        <f t="shared" ref="J52:J67" si="14">E52-I52</f>
        <v>1596286.4692668342</v>
      </c>
      <c r="K52" s="16" t="s">
        <v>13</v>
      </c>
    </row>
    <row r="53" spans="1:11">
      <c r="A53" s="17">
        <v>42156</v>
      </c>
      <c r="B53" s="18">
        <v>2220046.8112151092</v>
      </c>
      <c r="C53" s="18">
        <v>8689.899265658747</v>
      </c>
      <c r="D53" s="6">
        <f t="shared" si="12"/>
        <v>2211356.9119494506</v>
      </c>
      <c r="E53" s="8">
        <f t="shared" si="13"/>
        <v>12051895.170124507</v>
      </c>
      <c r="F53" s="7">
        <v>42199</v>
      </c>
      <c r="G53" s="74"/>
      <c r="H53" s="7">
        <v>42261</v>
      </c>
      <c r="I53" s="8">
        <v>10413387</v>
      </c>
      <c r="J53" s="8">
        <f t="shared" si="14"/>
        <v>1638508.1701245066</v>
      </c>
      <c r="K53" s="10">
        <v>42283</v>
      </c>
    </row>
    <row r="54" spans="1:11">
      <c r="A54" s="17"/>
      <c r="B54" s="18"/>
      <c r="C54" s="18"/>
      <c r="D54" s="6"/>
      <c r="E54" s="8"/>
      <c r="F54" s="7"/>
      <c r="G54" s="74"/>
      <c r="H54" s="7"/>
      <c r="I54" s="6">
        <v>83423</v>
      </c>
      <c r="J54" s="8">
        <f t="shared" si="14"/>
        <v>-83423</v>
      </c>
      <c r="K54" s="9">
        <v>42486</v>
      </c>
    </row>
    <row r="55" spans="1:11">
      <c r="A55" s="17">
        <v>42186</v>
      </c>
      <c r="B55" s="18">
        <v>2593928.7479118644</v>
      </c>
      <c r="C55" s="18">
        <v>14649.288478713912</v>
      </c>
      <c r="D55" s="6">
        <f t="shared" si="12"/>
        <v>2579279.4594331505</v>
      </c>
      <c r="E55" s="8">
        <f t="shared" si="13"/>
        <v>14057073.053910671</v>
      </c>
      <c r="F55" s="7">
        <v>42223</v>
      </c>
      <c r="G55" s="74"/>
      <c r="H55" s="19">
        <v>42284</v>
      </c>
      <c r="I55" s="20">
        <f>E55</f>
        <v>14057073.053910671</v>
      </c>
      <c r="J55" s="8">
        <f t="shared" si="14"/>
        <v>0</v>
      </c>
      <c r="K55" s="10">
        <v>42306</v>
      </c>
    </row>
    <row r="56" spans="1:11">
      <c r="A56" s="17">
        <v>42217</v>
      </c>
      <c r="B56" s="18">
        <v>3452774.764088036</v>
      </c>
      <c r="C56" s="18">
        <v>15980.201470588234</v>
      </c>
      <c r="D56" s="6">
        <f t="shared" si="12"/>
        <v>3436794.5626174477</v>
      </c>
      <c r="E56" s="8">
        <f t="shared" si="13"/>
        <v>18730530.366265092</v>
      </c>
      <c r="F56" s="7">
        <v>42254</v>
      </c>
      <c r="G56" s="74"/>
      <c r="H56" s="19">
        <v>42315</v>
      </c>
      <c r="I56" s="20">
        <v>18729383</v>
      </c>
      <c r="J56" s="8">
        <f t="shared" si="14"/>
        <v>1147.3662650920451</v>
      </c>
      <c r="K56" s="10">
        <v>42332</v>
      </c>
    </row>
    <row r="57" spans="1:11">
      <c r="A57" s="17">
        <v>42248</v>
      </c>
      <c r="B57" s="18">
        <v>3433551.8812552276</v>
      </c>
      <c r="C57" s="18">
        <v>9237.5647835078616</v>
      </c>
      <c r="D57" s="6">
        <f t="shared" si="12"/>
        <v>3424314.3164717196</v>
      </c>
      <c r="E57" s="8">
        <f t="shared" si="13"/>
        <v>18662513.024770875</v>
      </c>
      <c r="F57" s="7">
        <v>42284</v>
      </c>
      <c r="G57" s="74"/>
      <c r="H57" s="19">
        <v>42345</v>
      </c>
      <c r="I57" s="20">
        <v>16989852</v>
      </c>
      <c r="J57" s="8">
        <f t="shared" si="14"/>
        <v>1672661.0247708745</v>
      </c>
      <c r="K57" s="9">
        <v>42374</v>
      </c>
    </row>
    <row r="58" spans="1:11">
      <c r="A58" s="17"/>
      <c r="B58" s="18"/>
      <c r="C58" s="18"/>
      <c r="D58" s="6"/>
      <c r="E58" s="8"/>
      <c r="F58" s="7"/>
      <c r="G58" s="74"/>
      <c r="H58" s="19"/>
      <c r="I58" s="8">
        <v>1642220</v>
      </c>
      <c r="J58" s="8">
        <f t="shared" si="14"/>
        <v>-1642220</v>
      </c>
      <c r="K58" s="9">
        <v>42445</v>
      </c>
    </row>
    <row r="59" spans="1:11">
      <c r="A59" s="17">
        <v>42278</v>
      </c>
      <c r="B59" s="18">
        <v>3853339.8062237082</v>
      </c>
      <c r="C59" s="18">
        <v>17530.653181626632</v>
      </c>
      <c r="D59" s="6">
        <f t="shared" si="12"/>
        <v>3835809.1530420817</v>
      </c>
      <c r="E59" s="8">
        <f t="shared" si="13"/>
        <v>20905159.884079345</v>
      </c>
      <c r="F59" s="7">
        <v>42313</v>
      </c>
      <c r="G59" s="74"/>
      <c r="H59" s="19">
        <v>42374</v>
      </c>
      <c r="I59" s="20">
        <v>17588829</v>
      </c>
      <c r="J59" s="8">
        <f t="shared" si="14"/>
        <v>3316330.8840793446</v>
      </c>
      <c r="K59" s="9">
        <v>42394</v>
      </c>
    </row>
    <row r="60" spans="1:11">
      <c r="A60" s="17"/>
      <c r="B60" s="18"/>
      <c r="C60" s="18"/>
      <c r="D60" s="6"/>
      <c r="E60" s="8"/>
      <c r="F60" s="7"/>
      <c r="G60" s="74"/>
      <c r="H60" s="19"/>
      <c r="I60" s="8">
        <v>3316331</v>
      </c>
      <c r="J60" s="8">
        <f t="shared" si="14"/>
        <v>-3316331</v>
      </c>
      <c r="K60" s="9">
        <v>42472</v>
      </c>
    </row>
    <row r="61" spans="1:11">
      <c r="A61" s="17">
        <v>42309</v>
      </c>
      <c r="B61" s="18">
        <v>2785259.1815404808</v>
      </c>
      <c r="C61" s="18">
        <v>18124.944657534248</v>
      </c>
      <c r="D61" s="6">
        <f t="shared" si="12"/>
        <v>2767134.2368829465</v>
      </c>
      <c r="E61" s="8">
        <f t="shared" si="13"/>
        <v>15080881.591012059</v>
      </c>
      <c r="F61" s="7">
        <v>42342</v>
      </c>
      <c r="G61" s="74"/>
      <c r="H61" s="19">
        <v>42404</v>
      </c>
      <c r="I61" s="20">
        <v>15080882</v>
      </c>
      <c r="J61" s="8">
        <f t="shared" si="14"/>
        <v>-0.40898794122040272</v>
      </c>
      <c r="K61" s="9">
        <v>42412</v>
      </c>
    </row>
    <row r="62" spans="1:11">
      <c r="A62" s="17">
        <v>42339</v>
      </c>
      <c r="B62" s="18">
        <v>3155149</v>
      </c>
      <c r="C62" s="18">
        <v>19153</v>
      </c>
      <c r="D62" s="6">
        <f t="shared" si="12"/>
        <v>3135996</v>
      </c>
      <c r="E62" s="8">
        <f t="shared" si="13"/>
        <v>17091178.199999999</v>
      </c>
      <c r="F62" s="7">
        <v>42374</v>
      </c>
      <c r="G62" s="74"/>
      <c r="H62" s="19">
        <v>42434</v>
      </c>
      <c r="I62" s="20">
        <v>17091179</v>
      </c>
      <c r="J62" s="8">
        <f t="shared" si="14"/>
        <v>-0.80000000074505806</v>
      </c>
      <c r="K62" s="9">
        <v>42458</v>
      </c>
    </row>
    <row r="63" spans="1:11">
      <c r="A63" s="17">
        <v>42370</v>
      </c>
      <c r="B63" s="18">
        <v>3173257</v>
      </c>
      <c r="C63" s="18">
        <v>19818</v>
      </c>
      <c r="D63" s="6">
        <f t="shared" si="12"/>
        <v>3153439</v>
      </c>
      <c r="E63" s="8">
        <f t="shared" si="13"/>
        <v>17186242.550000001</v>
      </c>
      <c r="F63" s="7">
        <v>42405</v>
      </c>
      <c r="G63" s="74"/>
      <c r="H63" s="19">
        <v>42464</v>
      </c>
      <c r="I63" s="20">
        <v>17186237</v>
      </c>
      <c r="J63" s="8">
        <f t="shared" si="14"/>
        <v>5.5500000007450581</v>
      </c>
      <c r="K63" s="9">
        <v>42467</v>
      </c>
    </row>
    <row r="64" spans="1:11">
      <c r="A64" s="17">
        <v>42401</v>
      </c>
      <c r="B64" s="21">
        <v>3452069.0185430734</v>
      </c>
      <c r="C64" s="21">
        <v>16921.214593958415</v>
      </c>
      <c r="D64" s="6">
        <f>B64-C64</f>
        <v>3435147.8039491149</v>
      </c>
      <c r="E64" s="8">
        <f t="shared" si="13"/>
        <v>18721555.531522676</v>
      </c>
      <c r="F64" s="7">
        <v>42433</v>
      </c>
      <c r="G64" s="74"/>
      <c r="H64" s="19">
        <v>42494</v>
      </c>
      <c r="I64" s="20">
        <v>18721556</v>
      </c>
      <c r="J64" s="8">
        <f t="shared" si="14"/>
        <v>-0.46847732365131378</v>
      </c>
      <c r="K64" s="9">
        <v>42496</v>
      </c>
    </row>
    <row r="65" spans="1:11">
      <c r="A65" s="17">
        <v>42430</v>
      </c>
      <c r="B65" s="21">
        <v>4003236.4352444173</v>
      </c>
      <c r="C65" s="26">
        <v>17781.810218978102</v>
      </c>
      <c r="D65" s="6">
        <f>B65-C65</f>
        <v>3985454.6250254391</v>
      </c>
      <c r="E65" s="8">
        <f t="shared" si="13"/>
        <v>21720727.706388645</v>
      </c>
      <c r="F65" s="7">
        <v>42464</v>
      </c>
      <c r="G65" s="74"/>
      <c r="H65" s="19">
        <f>F65+60</f>
        <v>42524</v>
      </c>
      <c r="I65" s="20">
        <f>E65</f>
        <v>21720727.706388645</v>
      </c>
      <c r="J65" s="8">
        <f t="shared" si="14"/>
        <v>0</v>
      </c>
      <c r="K65" s="9">
        <v>42528</v>
      </c>
    </row>
    <row r="66" spans="1:11">
      <c r="A66" s="17">
        <v>42461</v>
      </c>
      <c r="B66" s="21">
        <v>4089995.112680045</v>
      </c>
      <c r="C66" s="21">
        <v>16203.078863070117</v>
      </c>
      <c r="D66" s="6">
        <f>ROUND(B66-C66,0)</f>
        <v>4073792</v>
      </c>
      <c r="E66" s="8">
        <f t="shared" ref="E66:E69" si="15">D66*5.45</f>
        <v>22202166.400000002</v>
      </c>
      <c r="F66" s="7">
        <v>42494</v>
      </c>
      <c r="G66" s="74"/>
      <c r="H66" s="19">
        <f>F66+60</f>
        <v>42554</v>
      </c>
      <c r="I66" s="6">
        <f>E66</f>
        <v>22202166.400000002</v>
      </c>
      <c r="J66" s="25">
        <f t="shared" si="14"/>
        <v>0</v>
      </c>
      <c r="K66" s="9">
        <v>42556</v>
      </c>
    </row>
    <row r="67" spans="1:11">
      <c r="A67" s="17">
        <v>42491</v>
      </c>
      <c r="B67" s="21">
        <v>3881957</v>
      </c>
      <c r="C67" s="21">
        <v>15101</v>
      </c>
      <c r="D67" s="6">
        <f>ROUND(B67-C67,0)</f>
        <v>3866856</v>
      </c>
      <c r="E67" s="8">
        <f t="shared" si="15"/>
        <v>21074365.199999999</v>
      </c>
      <c r="F67" s="7">
        <v>42527</v>
      </c>
      <c r="G67" s="74"/>
      <c r="H67" s="19">
        <f>F67+60</f>
        <v>42587</v>
      </c>
      <c r="I67" s="6">
        <v>21074365</v>
      </c>
      <c r="J67" s="25">
        <f t="shared" si="14"/>
        <v>0.19999999925494194</v>
      </c>
      <c r="K67" s="9">
        <v>42588</v>
      </c>
    </row>
    <row r="68" spans="1:11">
      <c r="A68" s="17">
        <v>42522</v>
      </c>
      <c r="B68" s="21">
        <v>3843964</v>
      </c>
      <c r="C68" s="21">
        <v>14482</v>
      </c>
      <c r="D68" s="6">
        <f>ROUND(B68-C68,0)</f>
        <v>3829482</v>
      </c>
      <c r="E68" s="8">
        <f t="shared" si="15"/>
        <v>20870676.900000002</v>
      </c>
      <c r="F68" s="7">
        <v>42557</v>
      </c>
      <c r="G68" s="74"/>
      <c r="H68" s="19">
        <f>F68+60</f>
        <v>42617</v>
      </c>
      <c r="I68" s="6">
        <v>0</v>
      </c>
      <c r="J68" s="8"/>
      <c r="K68" s="16" t="s">
        <v>13</v>
      </c>
    </row>
    <row r="69" spans="1:11">
      <c r="A69" s="17">
        <v>42552</v>
      </c>
      <c r="B69" s="21">
        <v>3841037</v>
      </c>
      <c r="C69" s="21">
        <v>15712</v>
      </c>
      <c r="D69" s="6">
        <f>ROUND(B69-C69,0)</f>
        <v>3825325</v>
      </c>
      <c r="E69" s="8">
        <f t="shared" si="15"/>
        <v>20848021.25</v>
      </c>
      <c r="F69" s="7">
        <v>42590</v>
      </c>
      <c r="G69" s="74"/>
      <c r="H69" s="19">
        <f>F69+60</f>
        <v>42650</v>
      </c>
      <c r="I69" s="6"/>
      <c r="J69" s="8"/>
      <c r="K69" s="16" t="s">
        <v>14</v>
      </c>
    </row>
    <row r="70" spans="1:11">
      <c r="A70" s="17">
        <v>42583</v>
      </c>
      <c r="B70" s="21"/>
      <c r="C70" s="21"/>
      <c r="D70" s="6"/>
      <c r="E70" s="8"/>
      <c r="F70" s="7"/>
      <c r="G70" s="74"/>
      <c r="H70" s="19"/>
      <c r="I70" s="6"/>
      <c r="J70" s="8"/>
      <c r="K70" s="16" t="s">
        <v>50</v>
      </c>
    </row>
    <row r="71" spans="1:11">
      <c r="A71" s="2" t="s">
        <v>10</v>
      </c>
      <c r="B71" s="3">
        <f>SUM(B52:B70)</f>
        <v>48077288.934317738</v>
      </c>
      <c r="C71" s="3">
        <f t="shared" ref="C71:E71" si="16">SUM(C52:C70)</f>
        <v>224211.23126393638</v>
      </c>
      <c r="D71" s="3">
        <f t="shared" si="16"/>
        <v>47853077.669236824</v>
      </c>
      <c r="E71" s="3">
        <f t="shared" si="16"/>
        <v>260799273.29734069</v>
      </c>
      <c r="F71" s="3"/>
      <c r="G71" s="13"/>
      <c r="H71" s="3"/>
      <c r="I71" s="3">
        <f t="shared" ref="I71:J71" si="17">SUM(I52:I70)</f>
        <v>215897611.16029933</v>
      </c>
      <c r="J71" s="3">
        <f t="shared" si="17"/>
        <v>3182963.9870413858</v>
      </c>
      <c r="K71" s="3"/>
    </row>
    <row r="72" spans="1:11">
      <c r="H72" s="22"/>
      <c r="I72" s="23"/>
    </row>
    <row r="73" spans="1:11">
      <c r="A73" s="1" t="s">
        <v>18</v>
      </c>
      <c r="I73" t="s">
        <v>51</v>
      </c>
      <c r="K73" s="73">
        <v>42144</v>
      </c>
    </row>
    <row r="75" spans="1:11" ht="43.2">
      <c r="A75" s="2"/>
      <c r="B75" s="3" t="s">
        <v>1</v>
      </c>
      <c r="C75" s="3" t="s">
        <v>2</v>
      </c>
      <c r="D75" s="3" t="s">
        <v>3</v>
      </c>
      <c r="E75" s="3" t="s">
        <v>4</v>
      </c>
      <c r="F75" s="3" t="s">
        <v>5</v>
      </c>
      <c r="G75" s="13" t="s">
        <v>47</v>
      </c>
      <c r="H75" s="3" t="s">
        <v>6</v>
      </c>
      <c r="I75" s="3" t="s">
        <v>7</v>
      </c>
      <c r="J75" s="3" t="s">
        <v>8</v>
      </c>
      <c r="K75" s="3" t="s">
        <v>9</v>
      </c>
    </row>
    <row r="76" spans="1:11">
      <c r="A76" s="17">
        <v>42125</v>
      </c>
      <c r="B76" s="26">
        <v>560030.65464273898</v>
      </c>
      <c r="C76" s="28">
        <v>7619.1731092436967</v>
      </c>
      <c r="D76" s="29">
        <f t="shared" ref="D76:D88" si="18">B76-C76</f>
        <v>552411.48153349524</v>
      </c>
      <c r="E76" s="30">
        <f t="shared" ref="E76:E88" si="19">D76*5.45</f>
        <v>3010642.5743575492</v>
      </c>
      <c r="F76" s="7">
        <v>42199</v>
      </c>
      <c r="G76" s="74"/>
      <c r="H76" s="7">
        <v>42261</v>
      </c>
      <c r="I76" s="8">
        <v>0</v>
      </c>
      <c r="J76" s="8">
        <f t="shared" ref="J76:J90" si="20">E76-I76</f>
        <v>3010642.5743575492</v>
      </c>
      <c r="K76" s="16" t="s">
        <v>13</v>
      </c>
    </row>
    <row r="77" spans="1:11">
      <c r="A77" s="17">
        <v>42156</v>
      </c>
      <c r="B77" s="28">
        <v>2242454.2083737422</v>
      </c>
      <c r="C77" s="28">
        <v>9299.2774082073429</v>
      </c>
      <c r="D77" s="29">
        <f t="shared" si="18"/>
        <v>2233154.9309655349</v>
      </c>
      <c r="E77" s="30">
        <f t="shared" si="19"/>
        <v>12170694.373762166</v>
      </c>
      <c r="F77" s="7">
        <v>42199</v>
      </c>
      <c r="G77" s="74"/>
      <c r="H77" s="7">
        <v>42261</v>
      </c>
      <c r="I77" s="8">
        <v>12139106</v>
      </c>
      <c r="J77" s="8">
        <f t="shared" si="20"/>
        <v>31588.373762166128</v>
      </c>
      <c r="K77" s="9">
        <v>42263</v>
      </c>
    </row>
    <row r="78" spans="1:11">
      <c r="A78" s="17">
        <v>42186</v>
      </c>
      <c r="B78" s="26">
        <v>2918065.7120797602</v>
      </c>
      <c r="C78" s="26">
        <v>14152.426317356352</v>
      </c>
      <c r="D78" s="29">
        <f t="shared" si="18"/>
        <v>2903913.2857624036</v>
      </c>
      <c r="E78" s="30">
        <f t="shared" si="19"/>
        <v>15826327.407405101</v>
      </c>
      <c r="F78" s="7">
        <v>42223</v>
      </c>
      <c r="G78" s="74"/>
      <c r="H78" s="19">
        <v>42284</v>
      </c>
      <c r="I78" s="20">
        <f>10000000+5826326</f>
        <v>15826326</v>
      </c>
      <c r="J78" s="8">
        <f t="shared" si="20"/>
        <v>1.4074051007628441</v>
      </c>
      <c r="K78" s="9">
        <v>42284</v>
      </c>
    </row>
    <row r="79" spans="1:11">
      <c r="A79" s="17">
        <v>42217</v>
      </c>
      <c r="B79" s="28">
        <v>3508573.5971089033</v>
      </c>
      <c r="C79" s="28">
        <v>15706.098529411765</v>
      </c>
      <c r="D79" s="29">
        <f t="shared" si="18"/>
        <v>3492867.4985794914</v>
      </c>
      <c r="E79" s="30">
        <f t="shared" si="19"/>
        <v>19036127.867258228</v>
      </c>
      <c r="F79" s="7">
        <v>42254</v>
      </c>
      <c r="G79" s="74"/>
      <c r="H79" s="19">
        <v>42315</v>
      </c>
      <c r="I79" s="20">
        <f>17750865+1284101</f>
        <v>19034966</v>
      </c>
      <c r="J79" s="8">
        <f t="shared" si="20"/>
        <v>1161.8672582283616</v>
      </c>
      <c r="K79" s="9">
        <v>42317</v>
      </c>
    </row>
    <row r="80" spans="1:11">
      <c r="A80" s="17">
        <v>42248</v>
      </c>
      <c r="B80" s="18">
        <v>3406570.4307667445</v>
      </c>
      <c r="C80" s="18">
        <v>9802.2435085185316</v>
      </c>
      <c r="D80" s="29">
        <f t="shared" si="18"/>
        <v>3396768.1872582259</v>
      </c>
      <c r="E80" s="30">
        <f t="shared" si="19"/>
        <v>18512386.620557331</v>
      </c>
      <c r="F80" s="7">
        <v>42284</v>
      </c>
      <c r="G80" s="74"/>
      <c r="H80" s="19">
        <v>42345</v>
      </c>
      <c r="I80" s="20">
        <v>16989852</v>
      </c>
      <c r="J80" s="8">
        <f t="shared" si="20"/>
        <v>1522534.6205573305</v>
      </c>
      <c r="K80" s="9">
        <v>42374</v>
      </c>
    </row>
    <row r="81" spans="1:11">
      <c r="A81" s="17"/>
      <c r="B81" s="18"/>
      <c r="C81" s="18"/>
      <c r="D81" s="29"/>
      <c r="E81" s="30"/>
      <c r="F81" s="7"/>
      <c r="G81" s="74"/>
      <c r="H81" s="19"/>
      <c r="I81" s="8">
        <v>1523697</v>
      </c>
      <c r="J81" s="8">
        <f t="shared" si="20"/>
        <v>-1523697</v>
      </c>
      <c r="K81" s="9">
        <v>42445</v>
      </c>
    </row>
    <row r="82" spans="1:11">
      <c r="A82" s="17">
        <v>42278</v>
      </c>
      <c r="B82" s="18">
        <v>3708280.4047822235</v>
      </c>
      <c r="C82" s="18">
        <v>17798.86051411715</v>
      </c>
      <c r="D82" s="29">
        <f t="shared" si="18"/>
        <v>3690481.5442681066</v>
      </c>
      <c r="E82" s="30">
        <f t="shared" si="19"/>
        <v>20113124.416261181</v>
      </c>
      <c r="F82" s="7">
        <v>42313</v>
      </c>
      <c r="G82" s="74"/>
      <c r="H82" s="19">
        <v>42374</v>
      </c>
      <c r="I82" s="20">
        <v>17566391</v>
      </c>
      <c r="J82" s="8">
        <f t="shared" si="20"/>
        <v>2546733.4162611812</v>
      </c>
      <c r="K82" s="9">
        <v>42380</v>
      </c>
    </row>
    <row r="83" spans="1:11">
      <c r="A83" s="17"/>
      <c r="B83" s="18"/>
      <c r="C83" s="18"/>
      <c r="D83" s="29"/>
      <c r="E83" s="30"/>
      <c r="F83" s="7"/>
      <c r="G83" s="74"/>
      <c r="H83" s="19"/>
      <c r="I83" s="8">
        <v>2546733</v>
      </c>
      <c r="J83" s="8">
        <f t="shared" si="20"/>
        <v>-2546733</v>
      </c>
      <c r="K83" s="9">
        <v>42472</v>
      </c>
    </row>
    <row r="84" spans="1:11">
      <c r="A84" s="17">
        <v>42309</v>
      </c>
      <c r="B84" s="18">
        <v>2659004.0179535174</v>
      </c>
      <c r="C84" s="18">
        <v>18555.198904109591</v>
      </c>
      <c r="D84" s="6">
        <f t="shared" si="18"/>
        <v>2640448.8190494077</v>
      </c>
      <c r="E84" s="8">
        <f t="shared" si="19"/>
        <v>14390446.063819272</v>
      </c>
      <c r="F84" s="7">
        <v>42342</v>
      </c>
      <c r="G84" s="74"/>
      <c r="H84" s="19">
        <v>42404</v>
      </c>
      <c r="I84" s="20">
        <v>14390446</v>
      </c>
      <c r="J84" s="8">
        <f t="shared" si="20"/>
        <v>6.3819272443652153E-2</v>
      </c>
      <c r="K84" s="9">
        <v>42403</v>
      </c>
    </row>
    <row r="85" spans="1:11">
      <c r="A85" s="17">
        <v>42339</v>
      </c>
      <c r="B85" s="18">
        <v>3061826</v>
      </c>
      <c r="C85" s="18">
        <v>20347</v>
      </c>
      <c r="D85" s="6">
        <f t="shared" si="18"/>
        <v>3041479</v>
      </c>
      <c r="E85" s="8">
        <f t="shared" si="19"/>
        <v>16576060.550000001</v>
      </c>
      <c r="F85" s="7">
        <v>42374</v>
      </c>
      <c r="G85" s="74"/>
      <c r="H85" s="19">
        <v>42434</v>
      </c>
      <c r="I85" s="20">
        <v>16576062</v>
      </c>
      <c r="J85" s="8">
        <f t="shared" si="20"/>
        <v>-1.4499999992549419</v>
      </c>
      <c r="K85" s="9">
        <v>42436</v>
      </c>
    </row>
    <row r="86" spans="1:11">
      <c r="A86" s="17">
        <v>42370</v>
      </c>
      <c r="B86" s="18">
        <v>3112903</v>
      </c>
      <c r="C86" s="18">
        <v>20204</v>
      </c>
      <c r="D86" s="6">
        <f t="shared" si="18"/>
        <v>3092699</v>
      </c>
      <c r="E86" s="4">
        <f t="shared" si="19"/>
        <v>16855209.550000001</v>
      </c>
      <c r="F86" s="7">
        <v>42405</v>
      </c>
      <c r="G86" s="74"/>
      <c r="H86" s="19">
        <v>42464</v>
      </c>
      <c r="I86" s="20">
        <v>16855210</v>
      </c>
      <c r="J86" s="8">
        <f t="shared" si="20"/>
        <v>-0.44999999925494194</v>
      </c>
      <c r="K86" s="9">
        <v>42465</v>
      </c>
    </row>
    <row r="87" spans="1:11">
      <c r="A87" s="17">
        <v>42401</v>
      </c>
      <c r="B87" s="18">
        <v>3409537.3428510576</v>
      </c>
      <c r="C87" s="18">
        <v>17186.278540604158</v>
      </c>
      <c r="D87" s="6">
        <f t="shared" si="18"/>
        <v>3392351.0643104534</v>
      </c>
      <c r="E87" s="4">
        <f t="shared" si="19"/>
        <v>18488313.30049197</v>
      </c>
      <c r="F87" s="7">
        <v>42433</v>
      </c>
      <c r="G87" s="74"/>
      <c r="H87" s="19">
        <v>42494</v>
      </c>
      <c r="I87" s="20">
        <v>18488313</v>
      </c>
      <c r="J87" s="8">
        <f t="shared" si="20"/>
        <v>0.30049197003245354</v>
      </c>
      <c r="K87" s="9">
        <v>42495</v>
      </c>
    </row>
    <row r="88" spans="1:11">
      <c r="A88" s="17">
        <v>42430</v>
      </c>
      <c r="B88" s="18">
        <v>3669874.2885293942</v>
      </c>
      <c r="C88" s="18">
        <v>17672.118505796479</v>
      </c>
      <c r="D88" s="6">
        <f t="shared" si="18"/>
        <v>3652202.1700235978</v>
      </c>
      <c r="E88" s="4">
        <f t="shared" si="19"/>
        <v>19904501.826628607</v>
      </c>
      <c r="F88" s="7">
        <v>42464</v>
      </c>
      <c r="G88" s="74"/>
      <c r="H88" s="19">
        <f>F88+60</f>
        <v>42524</v>
      </c>
      <c r="I88" s="20">
        <f>E88</f>
        <v>19904501.826628607</v>
      </c>
      <c r="J88" s="8">
        <f t="shared" si="20"/>
        <v>0</v>
      </c>
      <c r="K88" s="9">
        <v>42528</v>
      </c>
    </row>
    <row r="89" spans="1:11">
      <c r="A89" s="17">
        <v>42461</v>
      </c>
      <c r="B89" s="21">
        <v>3759017.6225050548</v>
      </c>
      <c r="C89" s="21">
        <v>16363.234657039711</v>
      </c>
      <c r="D89" s="6">
        <f>ROUND(B89-C89,0)</f>
        <v>3742654</v>
      </c>
      <c r="E89" s="8">
        <f t="shared" ref="E89:E92" si="21">D89*5.45</f>
        <v>20397464.300000001</v>
      </c>
      <c r="F89" s="7">
        <v>42494</v>
      </c>
      <c r="G89" s="74"/>
      <c r="H89" s="19">
        <f>F89+60</f>
        <v>42554</v>
      </c>
      <c r="I89" s="6">
        <f>E89</f>
        <v>20397464.300000001</v>
      </c>
      <c r="J89" s="25">
        <f t="shared" si="20"/>
        <v>0</v>
      </c>
      <c r="K89" s="9">
        <v>42556</v>
      </c>
    </row>
    <row r="90" spans="1:11">
      <c r="A90" s="17">
        <v>42491</v>
      </c>
      <c r="B90" s="21">
        <v>3682717</v>
      </c>
      <c r="C90" s="21">
        <v>15290</v>
      </c>
      <c r="D90" s="6">
        <f>ROUND(B90-C90,0)</f>
        <v>3667427</v>
      </c>
      <c r="E90" s="8">
        <f t="shared" si="21"/>
        <v>19987477.150000002</v>
      </c>
      <c r="F90" s="7">
        <v>42527</v>
      </c>
      <c r="G90" s="74"/>
      <c r="H90" s="19">
        <f>F90+60</f>
        <v>42587</v>
      </c>
      <c r="I90" s="8">
        <v>19987477</v>
      </c>
      <c r="J90" s="25">
        <f t="shared" si="20"/>
        <v>0.15000000223517418</v>
      </c>
      <c r="K90" s="9">
        <v>42588</v>
      </c>
    </row>
    <row r="91" spans="1:11">
      <c r="A91" s="17">
        <v>42522</v>
      </c>
      <c r="B91" s="21">
        <v>3608024</v>
      </c>
      <c r="C91" s="21">
        <v>14846</v>
      </c>
      <c r="D91" s="6">
        <f>ROUND(B91-C91,0)</f>
        <v>3593178</v>
      </c>
      <c r="E91" s="8">
        <f t="shared" si="21"/>
        <v>19582820.100000001</v>
      </c>
      <c r="F91" s="7">
        <v>42557</v>
      </c>
      <c r="G91" s="74"/>
      <c r="H91" s="19">
        <f>F91+60</f>
        <v>42617</v>
      </c>
      <c r="I91" s="8">
        <v>0</v>
      </c>
      <c r="J91" s="8"/>
      <c r="K91" s="16" t="s">
        <v>13</v>
      </c>
    </row>
    <row r="92" spans="1:11">
      <c r="A92" s="17">
        <v>42552</v>
      </c>
      <c r="B92" s="21">
        <v>3434612</v>
      </c>
      <c r="C92" s="21">
        <v>15569</v>
      </c>
      <c r="D92" s="6">
        <f>ROUND(B92-C92,0)</f>
        <v>3419043</v>
      </c>
      <c r="E92" s="8">
        <f t="shared" si="21"/>
        <v>18633784.350000001</v>
      </c>
      <c r="F92" s="7">
        <v>42590</v>
      </c>
      <c r="G92" s="74"/>
      <c r="H92" s="19">
        <f>F92+60</f>
        <v>42650</v>
      </c>
      <c r="I92" s="8"/>
      <c r="J92" s="8"/>
      <c r="K92" s="16" t="s">
        <v>14</v>
      </c>
    </row>
    <row r="93" spans="1:11">
      <c r="A93" s="17">
        <v>42583</v>
      </c>
      <c r="B93" s="21"/>
      <c r="C93" s="21"/>
      <c r="D93" s="6"/>
      <c r="E93" s="8"/>
      <c r="F93" s="7"/>
      <c r="G93" s="74"/>
      <c r="H93" s="19"/>
      <c r="I93" s="8"/>
      <c r="J93" s="8"/>
      <c r="K93" s="16" t="s">
        <v>50</v>
      </c>
    </row>
    <row r="94" spans="1:11">
      <c r="A94" s="2" t="s">
        <v>10</v>
      </c>
      <c r="B94" s="3">
        <f>SUM(B76:B93)</f>
        <v>46741490.27959314</v>
      </c>
      <c r="C94" s="3">
        <f t="shared" ref="C94:E94" si="22">SUM(C76:C93)</f>
        <v>230410.90999440479</v>
      </c>
      <c r="D94" s="3">
        <f t="shared" si="22"/>
        <v>46511078.981750719</v>
      </c>
      <c r="E94" s="3">
        <f t="shared" si="22"/>
        <v>253485380.45054138</v>
      </c>
      <c r="F94" s="3"/>
      <c r="G94" s="13"/>
      <c r="H94" s="3"/>
      <c r="I94" s="3">
        <f t="shared" ref="I94:J94" si="23">SUM(I76:I93)</f>
        <v>212226545.12662861</v>
      </c>
      <c r="J94" s="3">
        <f t="shared" si="23"/>
        <v>3042230.873912802</v>
      </c>
      <c r="K94" s="3"/>
    </row>
    <row r="95" spans="1:11">
      <c r="H95" s="22"/>
      <c r="I95" s="23"/>
      <c r="K95" s="24"/>
    </row>
    <row r="96" spans="1:11">
      <c r="A96" s="1" t="s">
        <v>19</v>
      </c>
      <c r="I96" t="s">
        <v>51</v>
      </c>
      <c r="K96" s="73">
        <v>42142</v>
      </c>
    </row>
    <row r="98" spans="1:13" ht="43.2">
      <c r="A98" s="2"/>
      <c r="B98" s="3" t="s">
        <v>1</v>
      </c>
      <c r="C98" s="3" t="s">
        <v>2</v>
      </c>
      <c r="D98" s="3" t="s">
        <v>3</v>
      </c>
      <c r="E98" s="3" t="s">
        <v>4</v>
      </c>
      <c r="F98" s="3" t="s">
        <v>5</v>
      </c>
      <c r="G98" s="13" t="s">
        <v>47</v>
      </c>
      <c r="H98" s="3" t="s">
        <v>6</v>
      </c>
      <c r="I98" s="3" t="s">
        <v>7</v>
      </c>
      <c r="J98" s="3" t="s">
        <v>8</v>
      </c>
      <c r="K98" s="3" t="s">
        <v>9</v>
      </c>
    </row>
    <row r="99" spans="1:13">
      <c r="A99" s="17">
        <v>42125</v>
      </c>
      <c r="B99" s="18">
        <v>472296.87347310898</v>
      </c>
      <c r="C99" s="18">
        <v>17085.41848739496</v>
      </c>
      <c r="D99" s="6">
        <f t="shared" ref="D99:D111" si="24">B99-C99</f>
        <v>455211.45498571399</v>
      </c>
      <c r="E99" s="8">
        <f t="shared" ref="E99:E111" si="25">D99*5.45</f>
        <v>2480902.4296721416</v>
      </c>
      <c r="F99" s="7">
        <v>42199</v>
      </c>
      <c r="G99" s="74"/>
      <c r="H99" s="7">
        <v>42261</v>
      </c>
      <c r="I99" s="8">
        <v>0</v>
      </c>
      <c r="J99" s="8">
        <f t="shared" ref="J99:J113" si="26">E99-I99</f>
        <v>2480902.4296721416</v>
      </c>
      <c r="K99" s="16" t="s">
        <v>13</v>
      </c>
      <c r="L99" s="72" t="e">
        <f>K99-F99</f>
        <v>#VALUE!</v>
      </c>
    </row>
    <row r="100" spans="1:13">
      <c r="A100" s="17">
        <v>42156</v>
      </c>
      <c r="B100" s="18">
        <v>2455738.5337504894</v>
      </c>
      <c r="C100" s="18">
        <v>14161.781079913608</v>
      </c>
      <c r="D100" s="6">
        <f t="shared" si="24"/>
        <v>2441576.7526705759</v>
      </c>
      <c r="E100" s="8">
        <f t="shared" si="25"/>
        <v>13306593.302054638</v>
      </c>
      <c r="F100" s="7">
        <v>42199</v>
      </c>
      <c r="G100" s="74"/>
      <c r="H100" s="7">
        <v>42261</v>
      </c>
      <c r="I100" s="8">
        <v>13275005</v>
      </c>
      <c r="J100" s="8">
        <f t="shared" si="26"/>
        <v>31588.302054638043</v>
      </c>
      <c r="K100" s="9">
        <v>42263</v>
      </c>
      <c r="L100" s="72">
        <f t="shared" ref="L100:L114" si="27">K100-F100</f>
        <v>64</v>
      </c>
      <c r="M100">
        <f>K100-F100</f>
        <v>64</v>
      </c>
    </row>
    <row r="101" spans="1:13">
      <c r="A101" s="17">
        <v>42186</v>
      </c>
      <c r="B101" s="21">
        <v>2720359.6650790242</v>
      </c>
      <c r="C101" s="18">
        <v>15215.385531408156</v>
      </c>
      <c r="D101" s="6">
        <f t="shared" si="24"/>
        <v>2705144.2795476159</v>
      </c>
      <c r="E101" s="8">
        <f t="shared" si="25"/>
        <v>14743036.323534507</v>
      </c>
      <c r="F101" s="7">
        <v>42223</v>
      </c>
      <c r="G101" s="74"/>
      <c r="H101" s="19">
        <v>42284</v>
      </c>
      <c r="I101" s="20">
        <f>10000000+4743036</f>
        <v>14743036</v>
      </c>
      <c r="J101" s="8">
        <f t="shared" si="26"/>
        <v>0.32353450730443001</v>
      </c>
      <c r="K101" s="9">
        <v>42284</v>
      </c>
      <c r="L101" s="72">
        <f t="shared" si="27"/>
        <v>61</v>
      </c>
      <c r="M101">
        <f t="shared" ref="M101:M113" si="28">K101-F101</f>
        <v>61</v>
      </c>
    </row>
    <row r="102" spans="1:13">
      <c r="A102" s="17">
        <v>42217</v>
      </c>
      <c r="B102" s="21">
        <v>3367840.9281665678</v>
      </c>
      <c r="C102" s="18">
        <v>16136.831722689076</v>
      </c>
      <c r="D102" s="6">
        <f t="shared" si="24"/>
        <v>3351704.096443879</v>
      </c>
      <c r="E102" s="8">
        <f t="shared" si="25"/>
        <v>18266787.325619143</v>
      </c>
      <c r="F102" s="7">
        <v>42254</v>
      </c>
      <c r="G102" s="74"/>
      <c r="H102" s="19">
        <v>42315</v>
      </c>
      <c r="I102" s="20">
        <f>17713846+551824</f>
        <v>18265670</v>
      </c>
      <c r="J102" s="8">
        <f t="shared" si="26"/>
        <v>1117.3256191425025</v>
      </c>
      <c r="K102" s="9">
        <v>42317</v>
      </c>
      <c r="L102" s="72">
        <f t="shared" si="27"/>
        <v>63</v>
      </c>
      <c r="M102">
        <f t="shared" si="28"/>
        <v>63</v>
      </c>
    </row>
    <row r="103" spans="1:13">
      <c r="A103" s="17">
        <v>42248</v>
      </c>
      <c r="B103" s="26">
        <v>3221839.4064718075</v>
      </c>
      <c r="C103" s="31">
        <v>37372.561599317203</v>
      </c>
      <c r="D103" s="29">
        <f t="shared" si="24"/>
        <v>3184466.8448724905</v>
      </c>
      <c r="E103" s="30">
        <f t="shared" si="25"/>
        <v>17355344.304555073</v>
      </c>
      <c r="F103" s="7">
        <v>42284</v>
      </c>
      <c r="G103" s="74"/>
      <c r="H103" s="19">
        <v>42345</v>
      </c>
      <c r="I103" s="20">
        <v>16565902</v>
      </c>
      <c r="J103" s="8">
        <f t="shared" si="26"/>
        <v>789442.30455507338</v>
      </c>
      <c r="K103" s="9">
        <v>42374</v>
      </c>
      <c r="L103" s="72">
        <f t="shared" si="27"/>
        <v>90</v>
      </c>
      <c r="M103">
        <f t="shared" si="28"/>
        <v>90</v>
      </c>
    </row>
    <row r="104" spans="1:13">
      <c r="A104" s="17"/>
      <c r="B104" s="26"/>
      <c r="C104" s="31"/>
      <c r="D104" s="29"/>
      <c r="E104" s="30"/>
      <c r="F104" s="7"/>
      <c r="G104" s="74"/>
      <c r="H104" s="19"/>
      <c r="I104" s="20">
        <v>268536</v>
      </c>
      <c r="J104" s="8">
        <f t="shared" si="26"/>
        <v>-268536</v>
      </c>
      <c r="K104" s="9">
        <v>42445</v>
      </c>
      <c r="L104" s="72">
        <f t="shared" si="27"/>
        <v>42445</v>
      </c>
    </row>
    <row r="105" spans="1:13">
      <c r="A105" s="17">
        <v>42278</v>
      </c>
      <c r="B105" s="21">
        <v>3688128.5709996256</v>
      </c>
      <c r="C105" s="21">
        <v>16473.372102823432</v>
      </c>
      <c r="D105" s="29">
        <f t="shared" si="24"/>
        <v>3671655.198896802</v>
      </c>
      <c r="E105" s="30">
        <f t="shared" si="25"/>
        <v>20010520.833987571</v>
      </c>
      <c r="F105" s="7">
        <v>42313</v>
      </c>
      <c r="G105" s="74"/>
      <c r="H105" s="19">
        <v>42374</v>
      </c>
      <c r="I105" s="20">
        <v>17567332</v>
      </c>
      <c r="J105" s="8">
        <f t="shared" si="26"/>
        <v>2443188.8339875713</v>
      </c>
      <c r="K105" s="9">
        <v>42380</v>
      </c>
      <c r="L105" s="72">
        <f t="shared" si="27"/>
        <v>67</v>
      </c>
      <c r="M105">
        <f t="shared" si="28"/>
        <v>67</v>
      </c>
    </row>
    <row r="106" spans="1:13">
      <c r="A106" s="17"/>
      <c r="B106" s="21"/>
      <c r="C106" s="21"/>
      <c r="D106" s="29"/>
      <c r="E106" s="30"/>
      <c r="F106" s="7"/>
      <c r="G106" s="74"/>
      <c r="H106" s="19"/>
      <c r="I106" s="25">
        <v>2443189</v>
      </c>
      <c r="J106" s="8">
        <f t="shared" si="26"/>
        <v>-2443189</v>
      </c>
      <c r="K106" s="9">
        <v>42472</v>
      </c>
      <c r="L106" s="72">
        <f t="shared" si="27"/>
        <v>42472</v>
      </c>
    </row>
    <row r="107" spans="1:13">
      <c r="A107" s="17">
        <v>42309</v>
      </c>
      <c r="B107" s="21">
        <v>2711313.8080237894</v>
      </c>
      <c r="C107" s="21">
        <v>16927.209863013701</v>
      </c>
      <c r="D107" s="6">
        <f t="shared" si="24"/>
        <v>2694386.5981607758</v>
      </c>
      <c r="E107" s="8">
        <f t="shared" si="25"/>
        <v>14684406.959976228</v>
      </c>
      <c r="F107" s="7">
        <v>42342</v>
      </c>
      <c r="G107" s="74"/>
      <c r="H107" s="19">
        <v>42404</v>
      </c>
      <c r="I107" s="20">
        <v>14684407</v>
      </c>
      <c r="J107" s="8">
        <f t="shared" si="26"/>
        <v>-4.0023772045969963E-2</v>
      </c>
      <c r="K107" s="9">
        <v>42404</v>
      </c>
      <c r="L107" s="72">
        <f t="shared" si="27"/>
        <v>62</v>
      </c>
      <c r="M107">
        <f t="shared" si="28"/>
        <v>62</v>
      </c>
    </row>
    <row r="108" spans="1:13">
      <c r="A108" s="17">
        <v>42339</v>
      </c>
      <c r="B108" s="21">
        <v>3000021</v>
      </c>
      <c r="C108" s="21">
        <v>18293</v>
      </c>
      <c r="D108" s="6">
        <f t="shared" si="24"/>
        <v>2981728</v>
      </c>
      <c r="E108" s="8">
        <f t="shared" si="25"/>
        <v>16250417.6</v>
      </c>
      <c r="F108" s="7">
        <v>42374</v>
      </c>
      <c r="G108" s="74"/>
      <c r="H108" s="19">
        <v>42434</v>
      </c>
      <c r="I108" s="20">
        <v>16181197</v>
      </c>
      <c r="J108" s="8">
        <f t="shared" si="26"/>
        <v>69220.599999999627</v>
      </c>
      <c r="K108" s="9">
        <v>42437</v>
      </c>
      <c r="L108" s="72">
        <f t="shared" si="27"/>
        <v>63</v>
      </c>
      <c r="M108">
        <f t="shared" si="28"/>
        <v>63</v>
      </c>
    </row>
    <row r="109" spans="1:13">
      <c r="A109" s="17">
        <v>42370</v>
      </c>
      <c r="B109" s="21">
        <v>3029763</v>
      </c>
      <c r="C109" s="21">
        <v>18096</v>
      </c>
      <c r="D109" s="6">
        <f t="shared" si="24"/>
        <v>3011667</v>
      </c>
      <c r="E109" s="8">
        <f t="shared" si="25"/>
        <v>16413585.15</v>
      </c>
      <c r="F109" s="7">
        <v>42405</v>
      </c>
      <c r="G109" s="74"/>
      <c r="H109" s="19">
        <v>42464</v>
      </c>
      <c r="I109" s="20">
        <v>16382267</v>
      </c>
      <c r="J109" s="8">
        <f t="shared" si="26"/>
        <v>31318.150000000373</v>
      </c>
      <c r="K109" s="9">
        <v>42465</v>
      </c>
      <c r="L109" s="72">
        <f t="shared" si="27"/>
        <v>60</v>
      </c>
      <c r="M109">
        <f t="shared" si="28"/>
        <v>60</v>
      </c>
    </row>
    <row r="110" spans="1:13">
      <c r="A110" s="17">
        <v>42401</v>
      </c>
      <c r="B110" s="21">
        <v>3333666.74</v>
      </c>
      <c r="C110" s="21">
        <v>15389.3</v>
      </c>
      <c r="D110" s="6">
        <f t="shared" si="24"/>
        <v>3318277.4400000004</v>
      </c>
      <c r="E110" s="8">
        <f t="shared" si="25"/>
        <v>18084612.048000004</v>
      </c>
      <c r="F110" s="7">
        <v>42433</v>
      </c>
      <c r="G110" s="74"/>
      <c r="H110" s="19">
        <v>42494</v>
      </c>
      <c r="I110" s="20">
        <v>18084612</v>
      </c>
      <c r="J110" s="8">
        <f t="shared" si="26"/>
        <v>4.8000004142522812E-2</v>
      </c>
      <c r="K110" s="9">
        <v>42495</v>
      </c>
      <c r="L110" s="72">
        <f t="shared" si="27"/>
        <v>62</v>
      </c>
      <c r="M110">
        <f t="shared" si="28"/>
        <v>62</v>
      </c>
    </row>
    <row r="111" spans="1:13">
      <c r="A111" s="17">
        <v>42430</v>
      </c>
      <c r="B111" s="21">
        <v>3636058.6145778289</v>
      </c>
      <c r="C111" s="21">
        <v>15807.359381708888</v>
      </c>
      <c r="D111" s="6">
        <f t="shared" si="24"/>
        <v>3620251.2551961201</v>
      </c>
      <c r="E111" s="8">
        <f t="shared" si="25"/>
        <v>19730369.340818856</v>
      </c>
      <c r="F111" s="7">
        <v>42464</v>
      </c>
      <c r="G111" s="74"/>
      <c r="H111" s="19">
        <f>F111+60</f>
        <v>42524</v>
      </c>
      <c r="I111" s="20">
        <f>E111</f>
        <v>19730369.340818856</v>
      </c>
      <c r="J111" s="8">
        <f t="shared" si="26"/>
        <v>0</v>
      </c>
      <c r="K111" s="9">
        <v>42528</v>
      </c>
      <c r="L111" s="72">
        <f t="shared" si="27"/>
        <v>64</v>
      </c>
      <c r="M111">
        <f t="shared" si="28"/>
        <v>64</v>
      </c>
    </row>
    <row r="112" spans="1:13">
      <c r="A112" s="17">
        <v>42461</v>
      </c>
      <c r="B112" s="21">
        <v>3731167.5386570264</v>
      </c>
      <c r="C112" s="21">
        <v>14714.801850816088</v>
      </c>
      <c r="D112" s="6">
        <f>ROUND(B112-C112,0)</f>
        <v>3716453</v>
      </c>
      <c r="E112" s="8">
        <f t="shared" ref="E112:E115" si="29">D112*5.45</f>
        <v>20254668.850000001</v>
      </c>
      <c r="F112" s="7">
        <v>42494</v>
      </c>
      <c r="G112" s="74"/>
      <c r="H112" s="19">
        <f>F112+60</f>
        <v>42554</v>
      </c>
      <c r="I112" s="6">
        <f>E112</f>
        <v>20254668.850000001</v>
      </c>
      <c r="J112" s="25">
        <f t="shared" si="26"/>
        <v>0</v>
      </c>
      <c r="K112" s="9">
        <v>42556</v>
      </c>
      <c r="L112" s="72">
        <f t="shared" si="27"/>
        <v>62</v>
      </c>
      <c r="M112">
        <f t="shared" si="28"/>
        <v>62</v>
      </c>
    </row>
    <row r="113" spans="1:13">
      <c r="A113" s="17">
        <v>42491</v>
      </c>
      <c r="B113" s="21">
        <v>3665803</v>
      </c>
      <c r="C113" s="21">
        <v>13864</v>
      </c>
      <c r="D113" s="6">
        <f>ROUND(B113-C113,0)</f>
        <v>3651939</v>
      </c>
      <c r="E113" s="8">
        <f t="shared" si="29"/>
        <v>19903067.550000001</v>
      </c>
      <c r="F113" s="7">
        <v>42527</v>
      </c>
      <c r="G113" s="74"/>
      <c r="H113" s="19">
        <f>F113+60</f>
        <v>42587</v>
      </c>
      <c r="I113" s="25">
        <v>19903068</v>
      </c>
      <c r="J113" s="25">
        <f t="shared" si="26"/>
        <v>-0.44999999925494194</v>
      </c>
      <c r="K113" s="9">
        <v>42588</v>
      </c>
      <c r="L113" s="72">
        <f t="shared" si="27"/>
        <v>61</v>
      </c>
      <c r="M113">
        <f t="shared" si="28"/>
        <v>61</v>
      </c>
    </row>
    <row r="114" spans="1:13">
      <c r="A114" s="17">
        <v>42522</v>
      </c>
      <c r="B114" s="21">
        <v>3602587</v>
      </c>
      <c r="C114" s="21">
        <v>13638</v>
      </c>
      <c r="D114" s="6">
        <f>ROUND(B114-C114,0)</f>
        <v>3588949</v>
      </c>
      <c r="E114" s="8">
        <f t="shared" si="29"/>
        <v>19559772.050000001</v>
      </c>
      <c r="F114" s="7">
        <v>42557</v>
      </c>
      <c r="G114" s="74"/>
      <c r="H114" s="19">
        <f>F114+60</f>
        <v>42617</v>
      </c>
      <c r="I114" s="25">
        <v>0</v>
      </c>
      <c r="J114" s="25"/>
      <c r="K114" s="16" t="s">
        <v>13</v>
      </c>
      <c r="L114" s="72" t="e">
        <f t="shared" si="27"/>
        <v>#VALUE!</v>
      </c>
    </row>
    <row r="115" spans="1:13">
      <c r="A115" s="17">
        <v>42552</v>
      </c>
      <c r="B115" s="21">
        <v>3521743</v>
      </c>
      <c r="C115" s="21">
        <v>15561</v>
      </c>
      <c r="D115" s="6">
        <f>ROUND(B115-C115,0)</f>
        <v>3506182</v>
      </c>
      <c r="E115" s="8">
        <f t="shared" si="29"/>
        <v>19108691.900000002</v>
      </c>
      <c r="F115" s="7">
        <v>42590</v>
      </c>
      <c r="G115" s="74"/>
      <c r="H115" s="19">
        <f>F115+60</f>
        <v>42650</v>
      </c>
      <c r="I115" s="25">
        <v>0</v>
      </c>
      <c r="J115" s="25"/>
      <c r="K115" s="16" t="s">
        <v>14</v>
      </c>
    </row>
    <row r="116" spans="1:13">
      <c r="A116" s="17">
        <v>42583</v>
      </c>
      <c r="B116" s="21"/>
      <c r="C116" s="21"/>
      <c r="D116" s="6"/>
      <c r="E116" s="8"/>
      <c r="F116" s="7"/>
      <c r="G116" s="74"/>
      <c r="H116" s="19"/>
      <c r="I116" s="25"/>
      <c r="J116" s="25"/>
      <c r="K116" s="16" t="s">
        <v>50</v>
      </c>
    </row>
    <row r="117" spans="1:13">
      <c r="A117" s="2" t="s">
        <v>10</v>
      </c>
      <c r="B117" s="3">
        <f>SUM(B99:B116)</f>
        <v>46158327.679199271</v>
      </c>
      <c r="C117" s="3">
        <f t="shared" ref="C117:E117" si="30">SUM(C99:C116)</f>
        <v>258736.02161908511</v>
      </c>
      <c r="D117" s="3">
        <f t="shared" si="30"/>
        <v>45899591.920773976</v>
      </c>
      <c r="E117" s="3">
        <f t="shared" si="30"/>
        <v>250152775.96821818</v>
      </c>
      <c r="F117" s="3"/>
      <c r="G117" s="13"/>
      <c r="H117" s="3"/>
      <c r="I117" s="3">
        <f t="shared" ref="I117:J117" si="31">SUM(I99:I116)</f>
        <v>208349259.19081885</v>
      </c>
      <c r="J117" s="3">
        <f t="shared" si="31"/>
        <v>3135052.8273993069</v>
      </c>
      <c r="K117" s="3"/>
    </row>
    <row r="120" spans="1:13">
      <c r="E120" s="32"/>
    </row>
  </sheetData>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1E1B-6D39-4BC0-9354-0B49FAE18AD2}">
  <dimension ref="B1:M69"/>
  <sheetViews>
    <sheetView topLeftCell="A19" zoomScale="85" zoomScaleNormal="85" workbookViewId="0">
      <selection activeCell="B40" sqref="B40:F40"/>
    </sheetView>
  </sheetViews>
  <sheetFormatPr defaultColWidth="8.77734375" defaultRowHeight="15.6"/>
  <cols>
    <col min="1" max="1" width="8.77734375" style="80"/>
    <col min="2" max="2" width="61.44140625" style="80" customWidth="1"/>
    <col min="3" max="3" width="13.44140625" style="80" bestFit="1" customWidth="1"/>
    <col min="4" max="6" width="17.88671875" style="80" bestFit="1" customWidth="1"/>
    <col min="7" max="7" width="18" style="80" bestFit="1" customWidth="1"/>
    <col min="8" max="8" width="17.77734375" style="80" customWidth="1"/>
    <col min="9" max="9" width="15.77734375" style="80" customWidth="1"/>
    <col min="10" max="10" width="16.77734375" style="80" customWidth="1"/>
    <col min="11" max="11" width="8.77734375" style="80"/>
    <col min="12" max="12" width="17.77734375" style="80" customWidth="1"/>
    <col min="13" max="13" width="21.77734375" style="80" customWidth="1"/>
    <col min="14" max="16384" width="8.77734375" style="80"/>
  </cols>
  <sheetData>
    <row r="1" spans="2:8" ht="16.2" thickBot="1"/>
    <row r="2" spans="2:8">
      <c r="B2" s="127" t="s">
        <v>73</v>
      </c>
      <c r="C2" s="214" t="s">
        <v>139</v>
      </c>
      <c r="D2" s="214"/>
      <c r="E2" s="215"/>
    </row>
    <row r="3" spans="2:8" ht="16.2" thickBot="1">
      <c r="B3" s="128" t="s">
        <v>71</v>
      </c>
      <c r="C3" s="216">
        <v>45797</v>
      </c>
      <c r="D3" s="217"/>
      <c r="E3" s="218"/>
    </row>
    <row r="4" spans="2:8">
      <c r="B4" s="128" t="s">
        <v>74</v>
      </c>
      <c r="C4" s="219" t="s">
        <v>89</v>
      </c>
      <c r="D4" s="220"/>
      <c r="E4" s="221"/>
    </row>
    <row r="5" spans="2:8" ht="16.2" thickBot="1">
      <c r="B5" s="155" t="s">
        <v>75</v>
      </c>
      <c r="C5" s="222" t="s">
        <v>90</v>
      </c>
      <c r="D5" s="223"/>
      <c r="E5" s="224"/>
    </row>
    <row r="6" spans="2:8" ht="16.2" thickBot="1">
      <c r="B6" s="156"/>
      <c r="C6" s="157"/>
      <c r="D6" s="157"/>
      <c r="E6" s="158"/>
      <c r="F6" s="157"/>
      <c r="G6" s="157"/>
      <c r="H6" s="159"/>
    </row>
    <row r="7" spans="2:8" ht="17.399999999999999" customHeight="1">
      <c r="B7" s="89" t="s">
        <v>72</v>
      </c>
      <c r="C7" s="90" t="s">
        <v>91</v>
      </c>
      <c r="D7" s="91" t="s">
        <v>87</v>
      </c>
      <c r="E7" s="91" t="s">
        <v>76</v>
      </c>
      <c r="F7" s="91" t="s">
        <v>77</v>
      </c>
      <c r="G7" s="91" t="s">
        <v>88</v>
      </c>
      <c r="H7" s="92" t="s">
        <v>10</v>
      </c>
    </row>
    <row r="8" spans="2:8">
      <c r="B8" s="94" t="s">
        <v>92</v>
      </c>
      <c r="C8" s="85" t="s">
        <v>93</v>
      </c>
      <c r="D8" s="112">
        <v>44459</v>
      </c>
      <c r="E8" s="112">
        <f>D9+1</f>
        <v>44562</v>
      </c>
      <c r="F8" s="112">
        <f>E9+1</f>
        <v>44927</v>
      </c>
      <c r="G8" s="112">
        <f>F9+1</f>
        <v>45292</v>
      </c>
      <c r="H8" s="160">
        <f>D8</f>
        <v>44459</v>
      </c>
    </row>
    <row r="9" spans="2:8">
      <c r="B9" s="95" t="s">
        <v>94</v>
      </c>
      <c r="C9" s="85" t="s">
        <v>93</v>
      </c>
      <c r="D9" s="112">
        <v>44561</v>
      </c>
      <c r="E9" s="112">
        <v>44926</v>
      </c>
      <c r="F9" s="112">
        <v>45291</v>
      </c>
      <c r="G9" s="112">
        <v>45473</v>
      </c>
      <c r="H9" s="160">
        <f>G9</f>
        <v>45473</v>
      </c>
    </row>
    <row r="10" spans="2:8">
      <c r="B10" s="95" t="s">
        <v>109</v>
      </c>
      <c r="C10" s="85" t="s">
        <v>95</v>
      </c>
      <c r="D10" s="96">
        <f>D9-D8+1</f>
        <v>103</v>
      </c>
      <c r="E10" s="96">
        <f>E9-E8+1</f>
        <v>365</v>
      </c>
      <c r="F10" s="96">
        <f>F9-F8+1</f>
        <v>365</v>
      </c>
      <c r="G10" s="96">
        <f>G9-G8+1</f>
        <v>182</v>
      </c>
      <c r="H10" s="97">
        <f>H9-H8+1</f>
        <v>1015</v>
      </c>
    </row>
    <row r="11" spans="2:8" ht="18">
      <c r="B11" s="94" t="s">
        <v>96</v>
      </c>
      <c r="C11" s="85" t="s">
        <v>97</v>
      </c>
      <c r="D11" s="98">
        <v>0.93459999999999999</v>
      </c>
      <c r="E11" s="98">
        <v>0.93459999999999999</v>
      </c>
      <c r="F11" s="98">
        <v>0.93459999999999999</v>
      </c>
      <c r="G11" s="98">
        <v>0.93459999999999999</v>
      </c>
      <c r="H11" s="99">
        <v>0.93459999999999999</v>
      </c>
    </row>
    <row r="12" spans="2:8" ht="18" customHeight="1">
      <c r="B12" s="100" t="s">
        <v>110</v>
      </c>
      <c r="C12" s="85" t="s">
        <v>99</v>
      </c>
      <c r="D12" s="93">
        <v>47371</v>
      </c>
      <c r="E12" s="93">
        <v>47371</v>
      </c>
      <c r="F12" s="93">
        <v>47371</v>
      </c>
      <c r="G12" s="93">
        <v>47371</v>
      </c>
      <c r="H12" s="105">
        <v>47371</v>
      </c>
    </row>
    <row r="13" spans="2:8" ht="19.95" customHeight="1">
      <c r="B13" s="100" t="s">
        <v>108</v>
      </c>
      <c r="C13" s="85" t="s">
        <v>98</v>
      </c>
      <c r="D13" s="93">
        <v>44273</v>
      </c>
      <c r="E13" s="93">
        <v>44273</v>
      </c>
      <c r="F13" s="93">
        <v>44273</v>
      </c>
      <c r="G13" s="93">
        <v>44273</v>
      </c>
      <c r="H13" s="105">
        <v>44273</v>
      </c>
    </row>
    <row r="14" spans="2:8">
      <c r="B14" s="104" t="s">
        <v>106</v>
      </c>
      <c r="C14" s="85" t="s">
        <v>99</v>
      </c>
      <c r="D14" s="164">
        <f>'Generation Record'!Q9</f>
        <v>13686.129936595662</v>
      </c>
      <c r="E14" s="164">
        <f>'Generation Record'!Q13</f>
        <v>52883.187399999995</v>
      </c>
      <c r="F14" s="164">
        <f>'Generation Record'!Q25</f>
        <v>50780.486799999999</v>
      </c>
      <c r="G14" s="164">
        <f>'Generation Record'!Q37</f>
        <v>25351.871999999999</v>
      </c>
      <c r="H14" s="139">
        <f>'Generation Record'!Q43</f>
        <v>142701.67613659566</v>
      </c>
    </row>
    <row r="15" spans="2:8" ht="18">
      <c r="B15" s="94" t="s">
        <v>100</v>
      </c>
      <c r="C15" s="85" t="s">
        <v>98</v>
      </c>
      <c r="D15" s="96">
        <f>ROUNDDOWN(D14*D11,0)</f>
        <v>12791</v>
      </c>
      <c r="E15" s="96">
        <f>ROUNDDOWN(E14*E11,0)</f>
        <v>49424</v>
      </c>
      <c r="F15" s="96">
        <f>ROUNDDOWN(F14*F11,0)</f>
        <v>47459</v>
      </c>
      <c r="G15" s="96">
        <f>ROUNDDOWN(G14*G11,0)</f>
        <v>23693</v>
      </c>
      <c r="H15" s="97">
        <f>ROUNDDOWN(H14*H11,0)</f>
        <v>133368</v>
      </c>
    </row>
    <row r="16" spans="2:8" ht="18">
      <c r="B16" s="94" t="s">
        <v>101</v>
      </c>
      <c r="C16" s="85" t="s">
        <v>98</v>
      </c>
      <c r="D16" s="96">
        <v>0</v>
      </c>
      <c r="E16" s="96">
        <v>0</v>
      </c>
      <c r="F16" s="96">
        <v>0</v>
      </c>
      <c r="G16" s="96">
        <v>0</v>
      </c>
      <c r="H16" s="97">
        <v>0</v>
      </c>
    </row>
    <row r="17" spans="2:10" ht="18">
      <c r="B17" s="95" t="s">
        <v>102</v>
      </c>
      <c r="C17" s="85" t="s">
        <v>98</v>
      </c>
      <c r="D17" s="109">
        <f>ROUNDDOWN(D12/365*D10,0)</f>
        <v>13367</v>
      </c>
      <c r="E17" s="109">
        <f>ROUNDDOWN(E12/365*E10,0)</f>
        <v>47371</v>
      </c>
      <c r="F17" s="109">
        <f>ROUNDDOWN(F12/365*F10,0)</f>
        <v>47371</v>
      </c>
      <c r="G17" s="109">
        <f>ROUNDDOWN(G12/365*G10,0)</f>
        <v>23620</v>
      </c>
      <c r="H17" s="110">
        <f>ROUNDDOWN(H12/365*H10,0)</f>
        <v>131730</v>
      </c>
      <c r="J17" s="107"/>
    </row>
    <row r="18" spans="2:10">
      <c r="B18" s="94" t="s">
        <v>107</v>
      </c>
      <c r="C18" s="85" t="s">
        <v>99</v>
      </c>
      <c r="D18" s="83">
        <f>D17/D11</f>
        <v>14302.375347742351</v>
      </c>
      <c r="E18" s="83">
        <f>E17/E11</f>
        <v>50685.854911191956</v>
      </c>
      <c r="F18" s="83">
        <f>F17/F11</f>
        <v>50685.854911191956</v>
      </c>
      <c r="G18" s="83">
        <f>G17/G11</f>
        <v>25272.843997432057</v>
      </c>
      <c r="H18" s="108">
        <f>H17/H11</f>
        <v>140947.99914401883</v>
      </c>
      <c r="J18" s="107"/>
    </row>
    <row r="19" spans="2:10" ht="18">
      <c r="B19" s="95" t="s">
        <v>103</v>
      </c>
      <c r="C19" s="85" t="s">
        <v>98</v>
      </c>
      <c r="D19" s="165">
        <f>'Generation Record'!P9</f>
        <v>12791</v>
      </c>
      <c r="E19" s="165">
        <f>'Generation Record'!P13</f>
        <v>49424</v>
      </c>
      <c r="F19" s="165">
        <f>'Generation Record'!P25</f>
        <v>47459</v>
      </c>
      <c r="G19" s="165">
        <f>'Generation Record'!P37</f>
        <v>23693</v>
      </c>
      <c r="H19" s="140">
        <f>'Generation Record'!P43</f>
        <v>133367</v>
      </c>
    </row>
    <row r="20" spans="2:10" ht="16.2" thickBot="1">
      <c r="B20" s="106" t="s">
        <v>104</v>
      </c>
      <c r="C20" s="101" t="s">
        <v>105</v>
      </c>
      <c r="D20" s="102">
        <f>(D19-D17)/D17</f>
        <v>-4.3091194733298421E-2</v>
      </c>
      <c r="E20" s="102">
        <f>(E19-E17)/E17</f>
        <v>4.3338751556859685E-2</v>
      </c>
      <c r="F20" s="102">
        <f>(F19-F17)/F17</f>
        <v>1.857676637605286E-3</v>
      </c>
      <c r="G20" s="102">
        <f>(G19-G17)/G17</f>
        <v>3.0906011854360711E-3</v>
      </c>
      <c r="H20" s="103">
        <f>(H19-H17)/H17</f>
        <v>1.2426933879905868E-2</v>
      </c>
    </row>
    <row r="21" spans="2:10" ht="16.2" thickBot="1">
      <c r="B21" s="86"/>
      <c r="C21" s="86"/>
      <c r="D21" s="86"/>
      <c r="E21" s="87"/>
      <c r="F21" s="88"/>
      <c r="G21" s="88"/>
      <c r="H21" s="88"/>
      <c r="I21" s="88"/>
    </row>
    <row r="22" spans="2:10">
      <c r="B22" s="206" t="s">
        <v>78</v>
      </c>
      <c r="C22" s="207"/>
      <c r="D22" s="207"/>
      <c r="E22" s="207"/>
      <c r="F22" s="208"/>
    </row>
    <row r="23" spans="2:10">
      <c r="B23" s="210" t="s">
        <v>79</v>
      </c>
      <c r="C23" s="211" t="s">
        <v>80</v>
      </c>
      <c r="D23" s="211"/>
      <c r="E23" s="211" t="s">
        <v>81</v>
      </c>
      <c r="F23" s="211"/>
    </row>
    <row r="24" spans="2:10">
      <c r="B24" s="210"/>
      <c r="C24" s="82" t="s">
        <v>84</v>
      </c>
      <c r="D24" s="82" t="s">
        <v>85</v>
      </c>
      <c r="E24" s="82" t="s">
        <v>84</v>
      </c>
      <c r="F24" s="82" t="s">
        <v>85</v>
      </c>
    </row>
    <row r="25" spans="2:10">
      <c r="B25" s="123">
        <v>2021</v>
      </c>
      <c r="C25" s="111">
        <f>D18</f>
        <v>14302.375347742351</v>
      </c>
      <c r="D25" s="111">
        <f>D14</f>
        <v>13686.129936595662</v>
      </c>
      <c r="E25" s="113">
        <f>D17</f>
        <v>13367</v>
      </c>
      <c r="F25" s="113">
        <f>D19</f>
        <v>12791</v>
      </c>
    </row>
    <row r="26" spans="2:10">
      <c r="B26" s="123">
        <v>2022</v>
      </c>
      <c r="C26" s="111">
        <f>E18</f>
        <v>50685.854911191956</v>
      </c>
      <c r="D26" s="111">
        <f>E14</f>
        <v>52883.187399999995</v>
      </c>
      <c r="E26" s="113">
        <f>E17</f>
        <v>47371</v>
      </c>
      <c r="F26" s="113">
        <f>E19</f>
        <v>49424</v>
      </c>
    </row>
    <row r="27" spans="2:10">
      <c r="B27" s="123">
        <v>2023</v>
      </c>
      <c r="C27" s="111">
        <f>F18</f>
        <v>50685.854911191956</v>
      </c>
      <c r="D27" s="111">
        <f>F14</f>
        <v>50780.486799999999</v>
      </c>
      <c r="E27" s="113">
        <f>F17</f>
        <v>47371</v>
      </c>
      <c r="F27" s="113">
        <f>F19</f>
        <v>47459</v>
      </c>
    </row>
    <row r="28" spans="2:10">
      <c r="B28" s="123">
        <v>2024</v>
      </c>
      <c r="C28" s="111">
        <f>G18</f>
        <v>25272.843997432057</v>
      </c>
      <c r="D28" s="111">
        <f>G14</f>
        <v>25351.871999999999</v>
      </c>
      <c r="E28" s="113">
        <f>G17</f>
        <v>23620</v>
      </c>
      <c r="F28" s="113">
        <f>G19</f>
        <v>23693</v>
      </c>
    </row>
    <row r="29" spans="2:10" ht="16.2" thickBot="1">
      <c r="B29" s="124" t="s">
        <v>86</v>
      </c>
      <c r="C29" s="125">
        <f>H18</f>
        <v>140947.99914401883</v>
      </c>
      <c r="D29" s="197">
        <f>H14</f>
        <v>142701.67613659566</v>
      </c>
      <c r="E29" s="126">
        <f>H17</f>
        <v>131730</v>
      </c>
      <c r="F29" s="166">
        <f>H19</f>
        <v>133367</v>
      </c>
    </row>
    <row r="30" spans="2:10" ht="16.2" thickBot="1">
      <c r="B30" s="81"/>
      <c r="C30" s="81"/>
      <c r="D30" s="81"/>
    </row>
    <row r="31" spans="2:10">
      <c r="B31" s="206" t="s">
        <v>78</v>
      </c>
      <c r="C31" s="207"/>
      <c r="D31" s="207"/>
      <c r="E31" s="207"/>
      <c r="F31" s="208"/>
    </row>
    <row r="32" spans="2:10">
      <c r="B32" s="134" t="s">
        <v>79</v>
      </c>
      <c r="C32" s="212" t="s">
        <v>83</v>
      </c>
      <c r="D32" s="213"/>
      <c r="E32" s="211" t="s">
        <v>82</v>
      </c>
      <c r="F32" s="211"/>
    </row>
    <row r="33" spans="2:6">
      <c r="B33" s="135"/>
      <c r="C33" s="82" t="s">
        <v>84</v>
      </c>
      <c r="D33" s="122" t="s">
        <v>85</v>
      </c>
      <c r="E33" s="82" t="s">
        <v>84</v>
      </c>
      <c r="F33" s="82" t="s">
        <v>85</v>
      </c>
    </row>
    <row r="34" spans="2:6">
      <c r="B34" s="123">
        <v>2021</v>
      </c>
      <c r="C34" s="136">
        <v>1</v>
      </c>
      <c r="D34" s="163">
        <v>2</v>
      </c>
      <c r="E34" s="113">
        <v>10</v>
      </c>
      <c r="F34" s="132">
        <v>10</v>
      </c>
    </row>
    <row r="35" spans="2:6">
      <c r="B35" s="123">
        <v>2022</v>
      </c>
      <c r="C35" s="136">
        <v>1</v>
      </c>
      <c r="D35" s="163">
        <v>20</v>
      </c>
      <c r="E35" s="113">
        <v>10</v>
      </c>
      <c r="F35" s="132">
        <v>10</v>
      </c>
    </row>
    <row r="36" spans="2:6">
      <c r="B36" s="123">
        <v>2023</v>
      </c>
      <c r="C36" s="136">
        <v>1</v>
      </c>
      <c r="D36" s="163">
        <v>39</v>
      </c>
      <c r="E36" s="113">
        <v>10</v>
      </c>
      <c r="F36" s="132">
        <v>10</v>
      </c>
    </row>
    <row r="37" spans="2:6">
      <c r="B37" s="123">
        <v>2024</v>
      </c>
      <c r="C37" s="136">
        <v>1</v>
      </c>
      <c r="D37" s="133">
        <v>8</v>
      </c>
      <c r="E37" s="113">
        <v>10</v>
      </c>
      <c r="F37" s="132">
        <v>10</v>
      </c>
    </row>
    <row r="38" spans="2:6" ht="16.2" thickBot="1">
      <c r="B38" s="124" t="s">
        <v>86</v>
      </c>
      <c r="C38" s="126">
        <f>SUM(C34:C37)</f>
        <v>4</v>
      </c>
      <c r="D38" s="137">
        <f>SUM(D34:D37)</f>
        <v>69</v>
      </c>
      <c r="E38" s="126">
        <v>10</v>
      </c>
      <c r="F38" s="138">
        <v>10</v>
      </c>
    </row>
    <row r="40" spans="2:6">
      <c r="B40" s="209" t="s">
        <v>140</v>
      </c>
      <c r="C40" s="209"/>
      <c r="D40" s="209"/>
      <c r="E40" s="209"/>
      <c r="F40" s="209"/>
    </row>
    <row r="69" spans="2:13">
      <c r="B69" s="84"/>
      <c r="C69" s="84"/>
      <c r="D69" s="84"/>
      <c r="E69" s="84"/>
      <c r="F69" s="84"/>
      <c r="G69" s="84"/>
      <c r="H69" s="84"/>
      <c r="I69" s="84"/>
      <c r="J69" s="84"/>
      <c r="K69" s="84"/>
      <c r="L69" s="84"/>
      <c r="M69" s="84"/>
    </row>
  </sheetData>
  <mergeCells count="12">
    <mergeCell ref="C2:E2"/>
    <mergeCell ref="C3:E3"/>
    <mergeCell ref="C4:E4"/>
    <mergeCell ref="C5:E5"/>
    <mergeCell ref="B22:F22"/>
    <mergeCell ref="B31:F31"/>
    <mergeCell ref="B40:F40"/>
    <mergeCell ref="B23:B24"/>
    <mergeCell ref="C23:D23"/>
    <mergeCell ref="E23:F23"/>
    <mergeCell ref="E32:F32"/>
    <mergeCell ref="C32:D32"/>
  </mergeCells>
  <phoneticPr fontId="9" type="noConversion"/>
  <pageMargins left="0.7" right="0.7" top="0.75" bottom="0.75" header="0.3" footer="0.3"/>
  <ignoredErrors>
    <ignoredError sqref="F29" 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4F2D-01BE-4D4F-A679-7A19CC24D987}">
  <dimension ref="B6:Q47"/>
  <sheetViews>
    <sheetView topLeftCell="A34" zoomScale="55" zoomScaleNormal="55" workbookViewId="0">
      <selection activeCell="Q8" sqref="Q8"/>
    </sheetView>
  </sheetViews>
  <sheetFormatPr defaultColWidth="8.88671875" defaultRowHeight="15"/>
  <cols>
    <col min="1" max="1" width="8.88671875" style="118"/>
    <col min="2" max="2" width="9.21875" style="118" bestFit="1" customWidth="1"/>
    <col min="3" max="4" width="13.21875" style="118" customWidth="1"/>
    <col min="5" max="5" width="19.44140625" style="118" bestFit="1" customWidth="1"/>
    <col min="6" max="6" width="16.88671875" style="118" bestFit="1" customWidth="1"/>
    <col min="7" max="7" width="18.44140625" style="118" bestFit="1" customWidth="1"/>
    <col min="8" max="8" width="19.44140625" style="118" bestFit="1" customWidth="1"/>
    <col min="9" max="9" width="16.88671875" style="118" bestFit="1" customWidth="1"/>
    <col min="10" max="10" width="18.44140625" style="118" bestFit="1" customWidth="1"/>
    <col min="11" max="11" width="30.5546875" style="118" customWidth="1"/>
    <col min="12" max="12" width="23.5546875" style="118" bestFit="1" customWidth="1"/>
    <col min="13" max="13" width="22.21875" style="118" bestFit="1" customWidth="1"/>
    <col min="14" max="14" width="18.21875" style="118" customWidth="1"/>
    <col min="15" max="15" width="18.109375" style="118" customWidth="1"/>
    <col min="16" max="16" width="21" style="196" customWidth="1"/>
    <col min="17" max="17" width="15.44140625" style="196" bestFit="1" customWidth="1"/>
    <col min="18" max="16384" width="8.88671875" style="118"/>
  </cols>
  <sheetData>
    <row r="6" spans="2:17" ht="16.2" thickBot="1">
      <c r="B6" s="114"/>
      <c r="C6" s="114"/>
      <c r="D6" s="114"/>
      <c r="E6" s="114"/>
      <c r="F6" s="114"/>
      <c r="G6" s="114"/>
      <c r="H6" s="114"/>
      <c r="I6" s="114"/>
      <c r="J6" s="114"/>
      <c r="K6" s="114"/>
      <c r="L6" s="114"/>
      <c r="M6" s="114"/>
      <c r="N6" s="114"/>
      <c r="O6" s="114"/>
      <c r="P6" s="193"/>
      <c r="Q6" s="193"/>
    </row>
    <row r="7" spans="2:17" s="119" customFormat="1" ht="63" thickBot="1">
      <c r="B7" s="232" t="s">
        <v>68</v>
      </c>
      <c r="C7" s="232"/>
      <c r="D7" s="233"/>
      <c r="E7" s="229" t="s">
        <v>111</v>
      </c>
      <c r="F7" s="230"/>
      <c r="G7" s="231"/>
      <c r="H7" s="229" t="s">
        <v>112</v>
      </c>
      <c r="I7" s="230"/>
      <c r="J7" s="231"/>
      <c r="K7" s="201" t="s">
        <v>136</v>
      </c>
      <c r="L7" s="184" t="s">
        <v>115</v>
      </c>
      <c r="M7" s="131" t="s">
        <v>100</v>
      </c>
      <c r="N7" s="131" t="s">
        <v>117</v>
      </c>
      <c r="O7" s="189" t="s">
        <v>118</v>
      </c>
      <c r="P7" s="234" t="s">
        <v>119</v>
      </c>
      <c r="Q7" s="235"/>
    </row>
    <row r="8" spans="2:17" s="185" customFormat="1" ht="46.8">
      <c r="B8" s="130" t="s">
        <v>44</v>
      </c>
      <c r="C8" s="130" t="s">
        <v>69</v>
      </c>
      <c r="D8" s="171" t="s">
        <v>70</v>
      </c>
      <c r="E8" s="174" t="s">
        <v>66</v>
      </c>
      <c r="F8" s="130" t="s">
        <v>67</v>
      </c>
      <c r="G8" s="175" t="s">
        <v>113</v>
      </c>
      <c r="H8" s="183" t="s">
        <v>133</v>
      </c>
      <c r="I8" s="130" t="s">
        <v>67</v>
      </c>
      <c r="J8" s="175" t="s">
        <v>132</v>
      </c>
      <c r="K8" s="200" t="s">
        <v>114</v>
      </c>
      <c r="L8" s="173" t="s">
        <v>116</v>
      </c>
      <c r="M8" s="131" t="s">
        <v>137</v>
      </c>
      <c r="N8" s="131" t="s">
        <v>137</v>
      </c>
      <c r="O8" s="190" t="s">
        <v>137</v>
      </c>
      <c r="P8" s="190" t="s">
        <v>138</v>
      </c>
      <c r="Q8" s="190" t="s">
        <v>114</v>
      </c>
    </row>
    <row r="9" spans="2:17" ht="15.6">
      <c r="B9" s="167">
        <v>44440</v>
      </c>
      <c r="C9" s="198">
        <v>44459</v>
      </c>
      <c r="D9" s="199">
        <v>44469</v>
      </c>
      <c r="E9" s="176">
        <f>3913464*DGR!G38</f>
        <v>1392096.9365956613</v>
      </c>
      <c r="F9" s="116">
        <v>28728</v>
      </c>
      <c r="G9" s="177">
        <f>(E9-F9)/1000</f>
        <v>1363.3689365956614</v>
      </c>
      <c r="H9" s="179">
        <v>3913464</v>
      </c>
      <c r="I9" s="117">
        <v>28728</v>
      </c>
      <c r="J9" s="177">
        <f>(H9-I9)/1000</f>
        <v>3884.7359999999999</v>
      </c>
      <c r="K9" s="188">
        <f>MIN(G9,J9)</f>
        <v>1363.3689365956614</v>
      </c>
      <c r="L9" s="186">
        <v>0.93459999999999999</v>
      </c>
      <c r="M9" s="170">
        <f>K9*L9</f>
        <v>1274.204608142305</v>
      </c>
      <c r="N9" s="169">
        <v>0</v>
      </c>
      <c r="O9" s="191">
        <f>M9-N9</f>
        <v>1274.204608142305</v>
      </c>
      <c r="P9" s="228">
        <f>ROUNDDOWN(SUM(O9:O12),0)</f>
        <v>12791</v>
      </c>
      <c r="Q9" s="228">
        <f>SUM(K9:K12)</f>
        <v>13686.129936595662</v>
      </c>
    </row>
    <row r="10" spans="2:17" ht="15.6">
      <c r="B10" s="167">
        <v>44470</v>
      </c>
      <c r="C10" s="168">
        <f t="shared" ref="C10:C42" si="0">D9+1</f>
        <v>44470</v>
      </c>
      <c r="D10" s="172">
        <v>44500</v>
      </c>
      <c r="E10" s="178">
        <v>4837963.2</v>
      </c>
      <c r="F10" s="116">
        <v>30849.599999999999</v>
      </c>
      <c r="G10" s="177">
        <f t="shared" ref="G10:G42" si="1">(E10-F10)/1000</f>
        <v>4807.1136000000006</v>
      </c>
      <c r="H10" s="179">
        <v>4837963</v>
      </c>
      <c r="I10" s="117">
        <v>30850</v>
      </c>
      <c r="J10" s="177">
        <f t="shared" ref="J10:J42" si="2">(H10-I10)/1000</f>
        <v>4807.1130000000003</v>
      </c>
      <c r="K10" s="188">
        <f t="shared" ref="K10:K42" si="3">MIN(G10,J10)</f>
        <v>4807.1130000000003</v>
      </c>
      <c r="L10" s="186">
        <v>0.93459999999999999</v>
      </c>
      <c r="M10" s="170">
        <f t="shared" ref="M10:M42" si="4">K10*L10</f>
        <v>4492.7278098000006</v>
      </c>
      <c r="N10" s="169">
        <v>0</v>
      </c>
      <c r="O10" s="191">
        <f t="shared" ref="O10:O42" si="5">M10-N10</f>
        <v>4492.7278098000006</v>
      </c>
      <c r="P10" s="228"/>
      <c r="Q10" s="228"/>
    </row>
    <row r="11" spans="2:17" ht="15.6">
      <c r="B11" s="167">
        <v>44501</v>
      </c>
      <c r="C11" s="168">
        <f t="shared" si="0"/>
        <v>44501</v>
      </c>
      <c r="D11" s="172">
        <v>44530</v>
      </c>
      <c r="E11" s="178">
        <v>3949632</v>
      </c>
      <c r="F11" s="116">
        <v>31392</v>
      </c>
      <c r="G11" s="177">
        <f t="shared" si="1"/>
        <v>3918.24</v>
      </c>
      <c r="H11" s="179">
        <v>3949632</v>
      </c>
      <c r="I11" s="117">
        <v>31392</v>
      </c>
      <c r="J11" s="177">
        <f t="shared" si="2"/>
        <v>3918.24</v>
      </c>
      <c r="K11" s="188">
        <f t="shared" si="3"/>
        <v>3918.24</v>
      </c>
      <c r="L11" s="186">
        <v>0.93459999999999999</v>
      </c>
      <c r="M11" s="170">
        <f t="shared" si="4"/>
        <v>3661.9871039999998</v>
      </c>
      <c r="N11" s="169">
        <v>0</v>
      </c>
      <c r="O11" s="191">
        <f t="shared" si="5"/>
        <v>3661.9871039999998</v>
      </c>
      <c r="P11" s="228"/>
      <c r="Q11" s="228"/>
    </row>
    <row r="12" spans="2:17" ht="15.6">
      <c r="B12" s="167">
        <v>44531</v>
      </c>
      <c r="C12" s="168">
        <f t="shared" si="0"/>
        <v>44531</v>
      </c>
      <c r="D12" s="172">
        <v>44561</v>
      </c>
      <c r="E12" s="178">
        <v>3631272</v>
      </c>
      <c r="F12" s="116">
        <v>33864</v>
      </c>
      <c r="G12" s="177">
        <f t="shared" si="1"/>
        <v>3597.4079999999999</v>
      </c>
      <c r="H12" s="179">
        <v>3631272</v>
      </c>
      <c r="I12" s="117">
        <v>33864</v>
      </c>
      <c r="J12" s="177">
        <f t="shared" si="2"/>
        <v>3597.4079999999999</v>
      </c>
      <c r="K12" s="188">
        <f t="shared" si="3"/>
        <v>3597.4079999999999</v>
      </c>
      <c r="L12" s="186">
        <v>0.93459999999999999</v>
      </c>
      <c r="M12" s="170">
        <f t="shared" si="4"/>
        <v>3362.1375168</v>
      </c>
      <c r="N12" s="169">
        <v>0</v>
      </c>
      <c r="O12" s="191">
        <f t="shared" si="5"/>
        <v>3362.1375168</v>
      </c>
      <c r="P12" s="228"/>
      <c r="Q12" s="228"/>
    </row>
    <row r="13" spans="2:17" ht="15.6">
      <c r="B13" s="167">
        <v>44562</v>
      </c>
      <c r="C13" s="168">
        <f t="shared" si="0"/>
        <v>44562</v>
      </c>
      <c r="D13" s="172">
        <v>44592</v>
      </c>
      <c r="E13" s="178">
        <v>3243000</v>
      </c>
      <c r="F13" s="116">
        <v>33816</v>
      </c>
      <c r="G13" s="177">
        <f t="shared" si="1"/>
        <v>3209.1840000000002</v>
      </c>
      <c r="H13" s="179">
        <v>3243000</v>
      </c>
      <c r="I13" s="117">
        <v>33816</v>
      </c>
      <c r="J13" s="177">
        <f t="shared" si="2"/>
        <v>3209.1840000000002</v>
      </c>
      <c r="K13" s="188">
        <f t="shared" si="3"/>
        <v>3209.1840000000002</v>
      </c>
      <c r="L13" s="186">
        <v>0.93459999999999999</v>
      </c>
      <c r="M13" s="170">
        <f t="shared" si="4"/>
        <v>2999.3033664</v>
      </c>
      <c r="N13" s="169">
        <v>0</v>
      </c>
      <c r="O13" s="191">
        <f t="shared" si="5"/>
        <v>2999.3033664</v>
      </c>
      <c r="P13" s="228">
        <f>ROUNDDOWN(SUM(O13:O24),0)</f>
        <v>49424</v>
      </c>
      <c r="Q13" s="228">
        <f>SUM(K13:K24)</f>
        <v>52883.187399999995</v>
      </c>
    </row>
    <row r="14" spans="2:17" ht="15.6">
      <c r="B14" s="167">
        <v>44593</v>
      </c>
      <c r="C14" s="168">
        <f t="shared" si="0"/>
        <v>44593</v>
      </c>
      <c r="D14" s="172">
        <v>44620</v>
      </c>
      <c r="E14" s="178">
        <v>4849920</v>
      </c>
      <c r="F14" s="116">
        <v>28656</v>
      </c>
      <c r="G14" s="177">
        <f t="shared" si="1"/>
        <v>4821.2640000000001</v>
      </c>
      <c r="H14" s="179">
        <v>4849920</v>
      </c>
      <c r="I14" s="117">
        <v>28656</v>
      </c>
      <c r="J14" s="177">
        <f t="shared" si="2"/>
        <v>4821.2640000000001</v>
      </c>
      <c r="K14" s="188">
        <f t="shared" si="3"/>
        <v>4821.2640000000001</v>
      </c>
      <c r="L14" s="186">
        <v>0.93459999999999999</v>
      </c>
      <c r="M14" s="170">
        <f t="shared" si="4"/>
        <v>4505.9533344000001</v>
      </c>
      <c r="N14" s="169">
        <v>0</v>
      </c>
      <c r="O14" s="191">
        <f t="shared" si="5"/>
        <v>4505.9533344000001</v>
      </c>
      <c r="P14" s="228"/>
      <c r="Q14" s="228"/>
    </row>
    <row r="15" spans="2:17" ht="15.6">
      <c r="B15" s="167">
        <v>44621</v>
      </c>
      <c r="C15" s="168">
        <f t="shared" si="0"/>
        <v>44621</v>
      </c>
      <c r="D15" s="172">
        <v>44651</v>
      </c>
      <c r="E15" s="178">
        <v>5469840</v>
      </c>
      <c r="F15" s="116">
        <v>29256</v>
      </c>
      <c r="G15" s="177">
        <f t="shared" si="1"/>
        <v>5440.5839999999998</v>
      </c>
      <c r="H15" s="179">
        <v>5469840</v>
      </c>
      <c r="I15" s="117">
        <v>29256</v>
      </c>
      <c r="J15" s="177">
        <f t="shared" si="2"/>
        <v>5440.5839999999998</v>
      </c>
      <c r="K15" s="188">
        <f t="shared" si="3"/>
        <v>5440.5839999999998</v>
      </c>
      <c r="L15" s="186">
        <v>0.93459999999999999</v>
      </c>
      <c r="M15" s="170">
        <f t="shared" si="4"/>
        <v>5084.7698063999997</v>
      </c>
      <c r="N15" s="169">
        <v>0</v>
      </c>
      <c r="O15" s="191">
        <f t="shared" si="5"/>
        <v>5084.7698063999997</v>
      </c>
      <c r="P15" s="228"/>
      <c r="Q15" s="228"/>
    </row>
    <row r="16" spans="2:17" ht="15.6">
      <c r="B16" s="167">
        <v>44652</v>
      </c>
      <c r="C16" s="168">
        <f t="shared" si="0"/>
        <v>44652</v>
      </c>
      <c r="D16" s="172">
        <v>44681</v>
      </c>
      <c r="E16" s="178">
        <v>5299800</v>
      </c>
      <c r="F16" s="116">
        <v>27120</v>
      </c>
      <c r="G16" s="177">
        <f t="shared" si="1"/>
        <v>5272.68</v>
      </c>
      <c r="H16" s="179">
        <v>5299800</v>
      </c>
      <c r="I16" s="117">
        <v>27120</v>
      </c>
      <c r="J16" s="177">
        <f t="shared" si="2"/>
        <v>5272.68</v>
      </c>
      <c r="K16" s="188">
        <f t="shared" si="3"/>
        <v>5272.68</v>
      </c>
      <c r="L16" s="186">
        <v>0.93459999999999999</v>
      </c>
      <c r="M16" s="170">
        <f t="shared" si="4"/>
        <v>4927.8467280000004</v>
      </c>
      <c r="N16" s="169">
        <v>0</v>
      </c>
      <c r="O16" s="191">
        <f t="shared" si="5"/>
        <v>4927.8467280000004</v>
      </c>
      <c r="P16" s="228"/>
      <c r="Q16" s="228"/>
    </row>
    <row r="17" spans="2:17" ht="15.6">
      <c r="B17" s="167">
        <v>44682</v>
      </c>
      <c r="C17" s="168">
        <f t="shared" si="0"/>
        <v>44682</v>
      </c>
      <c r="D17" s="172">
        <v>44712</v>
      </c>
      <c r="E17" s="178">
        <v>5037408</v>
      </c>
      <c r="F17" s="116">
        <v>27384</v>
      </c>
      <c r="G17" s="177">
        <f t="shared" si="1"/>
        <v>5010.0240000000003</v>
      </c>
      <c r="H17" s="179">
        <v>5037408</v>
      </c>
      <c r="I17" s="117">
        <v>27384</v>
      </c>
      <c r="J17" s="177">
        <f t="shared" si="2"/>
        <v>5010.0240000000003</v>
      </c>
      <c r="K17" s="188">
        <f t="shared" si="3"/>
        <v>5010.0240000000003</v>
      </c>
      <c r="L17" s="186">
        <v>0.93459999999999999</v>
      </c>
      <c r="M17" s="170">
        <f t="shared" si="4"/>
        <v>4682.3684303999999</v>
      </c>
      <c r="N17" s="169">
        <v>0</v>
      </c>
      <c r="O17" s="191">
        <f t="shared" si="5"/>
        <v>4682.3684303999999</v>
      </c>
      <c r="P17" s="228"/>
      <c r="Q17" s="228"/>
    </row>
    <row r="18" spans="2:17" ht="15.6">
      <c r="B18" s="167">
        <v>44713</v>
      </c>
      <c r="C18" s="168">
        <f t="shared" si="0"/>
        <v>44713</v>
      </c>
      <c r="D18" s="172">
        <v>44742</v>
      </c>
      <c r="E18" s="178">
        <v>4670424</v>
      </c>
      <c r="F18" s="116">
        <v>25584</v>
      </c>
      <c r="G18" s="177">
        <f t="shared" si="1"/>
        <v>4644.84</v>
      </c>
      <c r="H18" s="179">
        <v>4670424</v>
      </c>
      <c r="I18" s="117">
        <v>29313.599999999999</v>
      </c>
      <c r="J18" s="177">
        <f t="shared" si="2"/>
        <v>4641.1104000000005</v>
      </c>
      <c r="K18" s="188">
        <f t="shared" si="3"/>
        <v>4641.1104000000005</v>
      </c>
      <c r="L18" s="186">
        <v>0.93459999999999999</v>
      </c>
      <c r="M18" s="170">
        <f t="shared" si="4"/>
        <v>4337.5817798400003</v>
      </c>
      <c r="N18" s="169">
        <v>0</v>
      </c>
      <c r="O18" s="191">
        <f t="shared" si="5"/>
        <v>4337.5817798400003</v>
      </c>
      <c r="P18" s="228"/>
      <c r="Q18" s="228"/>
    </row>
    <row r="19" spans="2:17" ht="15.6">
      <c r="B19" s="167">
        <v>44743</v>
      </c>
      <c r="C19" s="168">
        <f t="shared" si="0"/>
        <v>44743</v>
      </c>
      <c r="D19" s="172">
        <v>44773</v>
      </c>
      <c r="E19" s="178">
        <v>4153584</v>
      </c>
      <c r="F19" s="116">
        <v>28152</v>
      </c>
      <c r="G19" s="177">
        <f t="shared" si="1"/>
        <v>4125.4319999999998</v>
      </c>
      <c r="H19" s="179">
        <v>4153584</v>
      </c>
      <c r="I19" s="117">
        <v>48808</v>
      </c>
      <c r="J19" s="177">
        <f t="shared" si="2"/>
        <v>4104.7759999999998</v>
      </c>
      <c r="K19" s="188">
        <f t="shared" si="3"/>
        <v>4104.7759999999998</v>
      </c>
      <c r="L19" s="186">
        <v>0.93459999999999999</v>
      </c>
      <c r="M19" s="170">
        <f t="shared" si="4"/>
        <v>3836.3236496</v>
      </c>
      <c r="N19" s="169">
        <v>0</v>
      </c>
      <c r="O19" s="191">
        <f t="shared" si="5"/>
        <v>3836.3236496</v>
      </c>
      <c r="P19" s="228"/>
      <c r="Q19" s="228"/>
    </row>
    <row r="20" spans="2:17" ht="15.6">
      <c r="B20" s="167">
        <v>44774</v>
      </c>
      <c r="C20" s="168">
        <f t="shared" si="0"/>
        <v>44774</v>
      </c>
      <c r="D20" s="172">
        <v>44804</v>
      </c>
      <c r="E20" s="178">
        <v>3765504</v>
      </c>
      <c r="F20" s="116">
        <v>29160</v>
      </c>
      <c r="G20" s="177">
        <f t="shared" si="1"/>
        <v>3736.3440000000001</v>
      </c>
      <c r="H20" s="179">
        <v>3765504</v>
      </c>
      <c r="I20" s="117">
        <v>13661</v>
      </c>
      <c r="J20" s="177">
        <f t="shared" si="2"/>
        <v>3751.8429999999998</v>
      </c>
      <c r="K20" s="188">
        <f t="shared" si="3"/>
        <v>3736.3440000000001</v>
      </c>
      <c r="L20" s="186">
        <v>0.93459999999999999</v>
      </c>
      <c r="M20" s="170">
        <f t="shared" si="4"/>
        <v>3491.9871023999999</v>
      </c>
      <c r="N20" s="169">
        <v>0</v>
      </c>
      <c r="O20" s="191">
        <f t="shared" si="5"/>
        <v>3491.9871023999999</v>
      </c>
      <c r="P20" s="228"/>
      <c r="Q20" s="228"/>
    </row>
    <row r="21" spans="2:17" ht="15.6">
      <c r="B21" s="167">
        <v>44805</v>
      </c>
      <c r="C21" s="168">
        <f t="shared" si="0"/>
        <v>44805</v>
      </c>
      <c r="D21" s="172">
        <v>44834</v>
      </c>
      <c r="E21" s="178">
        <v>3854808</v>
      </c>
      <c r="F21" s="116">
        <v>29088</v>
      </c>
      <c r="G21" s="177">
        <f t="shared" si="1"/>
        <v>3825.72</v>
      </c>
      <c r="H21" s="179">
        <v>3854808</v>
      </c>
      <c r="I21" s="117">
        <v>12686</v>
      </c>
      <c r="J21" s="177">
        <f t="shared" si="2"/>
        <v>3842.1219999999998</v>
      </c>
      <c r="K21" s="188">
        <f t="shared" si="3"/>
        <v>3825.72</v>
      </c>
      <c r="L21" s="186">
        <v>0.93459999999999999</v>
      </c>
      <c r="M21" s="170">
        <f t="shared" si="4"/>
        <v>3575.5179119999998</v>
      </c>
      <c r="N21" s="169">
        <v>0</v>
      </c>
      <c r="O21" s="191">
        <f t="shared" si="5"/>
        <v>3575.5179119999998</v>
      </c>
      <c r="P21" s="228"/>
      <c r="Q21" s="228"/>
    </row>
    <row r="22" spans="2:17" ht="15.6">
      <c r="B22" s="167">
        <v>44835</v>
      </c>
      <c r="C22" s="168">
        <f t="shared" si="0"/>
        <v>44835</v>
      </c>
      <c r="D22" s="172">
        <v>44865</v>
      </c>
      <c r="E22" s="178">
        <v>4376112</v>
      </c>
      <c r="F22" s="116">
        <v>29304</v>
      </c>
      <c r="G22" s="177">
        <f t="shared" si="1"/>
        <v>4346.808</v>
      </c>
      <c r="H22" s="179">
        <v>4376112</v>
      </c>
      <c r="I22" s="117">
        <v>13446</v>
      </c>
      <c r="J22" s="177">
        <f t="shared" si="2"/>
        <v>4362.6660000000002</v>
      </c>
      <c r="K22" s="188">
        <f t="shared" si="3"/>
        <v>4346.808</v>
      </c>
      <c r="L22" s="186">
        <v>0.93459999999999999</v>
      </c>
      <c r="M22" s="170">
        <f t="shared" si="4"/>
        <v>4062.5267567999999</v>
      </c>
      <c r="N22" s="169">
        <v>0</v>
      </c>
      <c r="O22" s="191">
        <f t="shared" si="5"/>
        <v>4062.5267567999999</v>
      </c>
      <c r="P22" s="228"/>
      <c r="Q22" s="228"/>
    </row>
    <row r="23" spans="2:17" ht="15.6">
      <c r="B23" s="167">
        <v>44866</v>
      </c>
      <c r="C23" s="168">
        <f t="shared" si="0"/>
        <v>44866</v>
      </c>
      <c r="D23" s="172">
        <v>44895</v>
      </c>
      <c r="E23" s="178">
        <v>4266312</v>
      </c>
      <c r="F23" s="116">
        <v>31872</v>
      </c>
      <c r="G23" s="177">
        <f t="shared" si="1"/>
        <v>4234.4399999999996</v>
      </c>
      <c r="H23" s="179">
        <v>4266312</v>
      </c>
      <c r="I23" s="117">
        <v>13873</v>
      </c>
      <c r="J23" s="177">
        <f t="shared" si="2"/>
        <v>4252.4390000000003</v>
      </c>
      <c r="K23" s="188">
        <f t="shared" si="3"/>
        <v>4234.4399999999996</v>
      </c>
      <c r="L23" s="186">
        <v>0.93459999999999999</v>
      </c>
      <c r="M23" s="170">
        <f t="shared" si="4"/>
        <v>3957.5076239999994</v>
      </c>
      <c r="N23" s="169">
        <v>0</v>
      </c>
      <c r="O23" s="191">
        <f t="shared" si="5"/>
        <v>3957.5076239999994</v>
      </c>
      <c r="P23" s="228"/>
      <c r="Q23" s="228"/>
    </row>
    <row r="24" spans="2:17" ht="15.6">
      <c r="B24" s="167">
        <v>44896</v>
      </c>
      <c r="C24" s="168">
        <f t="shared" si="0"/>
        <v>44896</v>
      </c>
      <c r="D24" s="172">
        <v>44926</v>
      </c>
      <c r="E24" s="179">
        <v>4252344</v>
      </c>
      <c r="F24" s="117">
        <v>12091</v>
      </c>
      <c r="G24" s="177">
        <f t="shared" si="1"/>
        <v>4240.2529999999997</v>
      </c>
      <c r="H24" s="179">
        <v>4252344</v>
      </c>
      <c r="I24" s="117">
        <v>12091</v>
      </c>
      <c r="J24" s="177">
        <f t="shared" si="2"/>
        <v>4240.2529999999997</v>
      </c>
      <c r="K24" s="188">
        <f t="shared" si="3"/>
        <v>4240.2529999999997</v>
      </c>
      <c r="L24" s="186">
        <v>0.93459999999999999</v>
      </c>
      <c r="M24" s="170">
        <f t="shared" si="4"/>
        <v>3962.9404537999999</v>
      </c>
      <c r="N24" s="169">
        <v>0</v>
      </c>
      <c r="O24" s="191">
        <f t="shared" si="5"/>
        <v>3962.9404537999999</v>
      </c>
      <c r="P24" s="228"/>
      <c r="Q24" s="228"/>
    </row>
    <row r="25" spans="2:17" ht="15.6">
      <c r="B25" s="167">
        <v>44927</v>
      </c>
      <c r="C25" s="168">
        <f t="shared" si="0"/>
        <v>44927</v>
      </c>
      <c r="D25" s="172">
        <v>44957</v>
      </c>
      <c r="E25" s="179">
        <v>3569880</v>
      </c>
      <c r="F25" s="117">
        <v>35952</v>
      </c>
      <c r="G25" s="177">
        <f t="shared" si="1"/>
        <v>3533.9279999999999</v>
      </c>
      <c r="H25" s="179">
        <v>3569880</v>
      </c>
      <c r="I25" s="117">
        <v>11027</v>
      </c>
      <c r="J25" s="177">
        <f t="shared" si="2"/>
        <v>3558.8530000000001</v>
      </c>
      <c r="K25" s="188">
        <f t="shared" si="3"/>
        <v>3533.9279999999999</v>
      </c>
      <c r="L25" s="186">
        <v>0.93459999999999999</v>
      </c>
      <c r="M25" s="170">
        <f t="shared" si="4"/>
        <v>3302.8091087999996</v>
      </c>
      <c r="N25" s="169">
        <v>0</v>
      </c>
      <c r="O25" s="191">
        <f t="shared" si="5"/>
        <v>3302.8091087999996</v>
      </c>
      <c r="P25" s="236">
        <f>ROUNDDOWN(SUM(O25:O36),0)</f>
        <v>47459</v>
      </c>
      <c r="Q25" s="237">
        <f>SUM(K25:K36)</f>
        <v>50780.486799999999</v>
      </c>
    </row>
    <row r="26" spans="2:17" ht="15.6">
      <c r="B26" s="167">
        <v>44958</v>
      </c>
      <c r="C26" s="168">
        <f t="shared" si="0"/>
        <v>44958</v>
      </c>
      <c r="D26" s="172">
        <v>44985</v>
      </c>
      <c r="E26" s="179">
        <v>4897944</v>
      </c>
      <c r="F26" s="117">
        <v>27840</v>
      </c>
      <c r="G26" s="177">
        <f t="shared" si="1"/>
        <v>4870.1040000000003</v>
      </c>
      <c r="H26" s="179">
        <v>4897944</v>
      </c>
      <c r="I26" s="117">
        <v>9273</v>
      </c>
      <c r="J26" s="177">
        <f t="shared" si="2"/>
        <v>4888.6710000000003</v>
      </c>
      <c r="K26" s="188">
        <f t="shared" si="3"/>
        <v>4870.1040000000003</v>
      </c>
      <c r="L26" s="186">
        <v>0.93459999999999999</v>
      </c>
      <c r="M26" s="170">
        <f t="shared" si="4"/>
        <v>4551.5991984000002</v>
      </c>
      <c r="N26" s="169">
        <v>0</v>
      </c>
      <c r="O26" s="191">
        <f t="shared" si="5"/>
        <v>4551.5991984000002</v>
      </c>
      <c r="P26" s="236"/>
      <c r="Q26" s="238"/>
    </row>
    <row r="27" spans="2:17" ht="15.6">
      <c r="B27" s="167">
        <v>44986</v>
      </c>
      <c r="C27" s="168">
        <f t="shared" si="0"/>
        <v>44986</v>
      </c>
      <c r="D27" s="172">
        <v>45016</v>
      </c>
      <c r="E27" s="179">
        <v>4928016</v>
      </c>
      <c r="F27" s="117">
        <v>28008</v>
      </c>
      <c r="G27" s="177">
        <f t="shared" si="1"/>
        <v>4900.0079999999998</v>
      </c>
      <c r="H27" s="179">
        <v>4928016</v>
      </c>
      <c r="I27" s="117">
        <v>14985</v>
      </c>
      <c r="J27" s="177">
        <f t="shared" si="2"/>
        <v>4913.0309999999999</v>
      </c>
      <c r="K27" s="188">
        <f t="shared" si="3"/>
        <v>4900.0079999999998</v>
      </c>
      <c r="L27" s="186">
        <v>0.93459999999999999</v>
      </c>
      <c r="M27" s="170">
        <f t="shared" si="4"/>
        <v>4579.5474767999995</v>
      </c>
      <c r="N27" s="169">
        <v>0</v>
      </c>
      <c r="O27" s="191">
        <f t="shared" si="5"/>
        <v>4579.5474767999995</v>
      </c>
      <c r="P27" s="236"/>
      <c r="Q27" s="238"/>
    </row>
    <row r="28" spans="2:17" ht="15.6">
      <c r="B28" s="167">
        <v>45017</v>
      </c>
      <c r="C28" s="168">
        <f t="shared" si="0"/>
        <v>45017</v>
      </c>
      <c r="D28" s="172">
        <v>45046</v>
      </c>
      <c r="E28" s="179">
        <v>4958952</v>
      </c>
      <c r="F28" s="117">
        <v>26424</v>
      </c>
      <c r="G28" s="177">
        <f t="shared" si="1"/>
        <v>4932.5280000000002</v>
      </c>
      <c r="H28" s="179">
        <v>4958952</v>
      </c>
      <c r="I28" s="117">
        <v>13455</v>
      </c>
      <c r="J28" s="177">
        <f t="shared" si="2"/>
        <v>4945.4970000000003</v>
      </c>
      <c r="K28" s="188">
        <f t="shared" si="3"/>
        <v>4932.5280000000002</v>
      </c>
      <c r="L28" s="186">
        <v>0.93459999999999999</v>
      </c>
      <c r="M28" s="170">
        <f t="shared" si="4"/>
        <v>4609.9406687999999</v>
      </c>
      <c r="N28" s="169">
        <v>0</v>
      </c>
      <c r="O28" s="191">
        <f t="shared" si="5"/>
        <v>4609.9406687999999</v>
      </c>
      <c r="P28" s="236"/>
      <c r="Q28" s="238"/>
    </row>
    <row r="29" spans="2:17" ht="15.6">
      <c r="B29" s="167">
        <v>45047</v>
      </c>
      <c r="C29" s="168">
        <f t="shared" si="0"/>
        <v>45047</v>
      </c>
      <c r="D29" s="172">
        <v>45077</v>
      </c>
      <c r="E29" s="179">
        <v>5441928</v>
      </c>
      <c r="F29" s="117">
        <v>25968</v>
      </c>
      <c r="G29" s="177">
        <f t="shared" si="1"/>
        <v>5415.96</v>
      </c>
      <c r="H29" s="179">
        <v>5441928</v>
      </c>
      <c r="I29" s="117">
        <v>5041</v>
      </c>
      <c r="J29" s="177">
        <f t="shared" si="2"/>
        <v>5436.8869999999997</v>
      </c>
      <c r="K29" s="188">
        <f t="shared" si="3"/>
        <v>5415.96</v>
      </c>
      <c r="L29" s="186">
        <v>0.93459999999999999</v>
      </c>
      <c r="M29" s="170">
        <f t="shared" si="4"/>
        <v>5061.7562159999998</v>
      </c>
      <c r="N29" s="169">
        <v>0</v>
      </c>
      <c r="O29" s="191">
        <f t="shared" si="5"/>
        <v>5061.7562159999998</v>
      </c>
      <c r="P29" s="236"/>
      <c r="Q29" s="238"/>
    </row>
    <row r="30" spans="2:17" ht="15.6">
      <c r="B30" s="167">
        <v>45078</v>
      </c>
      <c r="C30" s="168">
        <f t="shared" si="0"/>
        <v>45078</v>
      </c>
      <c r="D30" s="172">
        <v>45107</v>
      </c>
      <c r="E30" s="179">
        <v>4409352</v>
      </c>
      <c r="F30" s="117">
        <v>26184</v>
      </c>
      <c r="G30" s="177">
        <f t="shared" si="1"/>
        <v>4383.1679999999997</v>
      </c>
      <c r="H30" s="179">
        <v>4409352</v>
      </c>
      <c r="I30" s="117">
        <v>15349</v>
      </c>
      <c r="J30" s="177">
        <f t="shared" si="2"/>
        <v>4394.0029999999997</v>
      </c>
      <c r="K30" s="188">
        <f t="shared" si="3"/>
        <v>4383.1679999999997</v>
      </c>
      <c r="L30" s="186">
        <v>0.93459999999999999</v>
      </c>
      <c r="M30" s="170">
        <f t="shared" si="4"/>
        <v>4096.5088127999998</v>
      </c>
      <c r="N30" s="169">
        <v>0</v>
      </c>
      <c r="O30" s="191">
        <f t="shared" si="5"/>
        <v>4096.5088127999998</v>
      </c>
      <c r="P30" s="236"/>
      <c r="Q30" s="238"/>
    </row>
    <row r="31" spans="2:17" ht="15.6">
      <c r="B31" s="167">
        <v>45108</v>
      </c>
      <c r="C31" s="168">
        <f t="shared" si="0"/>
        <v>45108</v>
      </c>
      <c r="D31" s="172">
        <v>45138</v>
      </c>
      <c r="E31" s="179">
        <v>4215840</v>
      </c>
      <c r="F31" s="117">
        <v>27144</v>
      </c>
      <c r="G31" s="177">
        <f t="shared" si="1"/>
        <v>4188.6959999999999</v>
      </c>
      <c r="H31" s="179">
        <v>4215840</v>
      </c>
      <c r="I31" s="117">
        <v>13492</v>
      </c>
      <c r="J31" s="177">
        <f t="shared" si="2"/>
        <v>4202.348</v>
      </c>
      <c r="K31" s="188">
        <f t="shared" si="3"/>
        <v>4188.6959999999999</v>
      </c>
      <c r="L31" s="186">
        <v>0.93459999999999999</v>
      </c>
      <c r="M31" s="170">
        <f t="shared" si="4"/>
        <v>3914.7552815999998</v>
      </c>
      <c r="N31" s="169">
        <v>0</v>
      </c>
      <c r="O31" s="191">
        <f t="shared" si="5"/>
        <v>3914.7552815999998</v>
      </c>
      <c r="P31" s="236"/>
      <c r="Q31" s="238"/>
    </row>
    <row r="32" spans="2:17" ht="15.6">
      <c r="B32" s="167">
        <v>45139</v>
      </c>
      <c r="C32" s="168">
        <f t="shared" si="0"/>
        <v>45139</v>
      </c>
      <c r="D32" s="172">
        <v>45169</v>
      </c>
      <c r="E32" s="179">
        <v>3887352</v>
      </c>
      <c r="F32" s="117">
        <v>27864</v>
      </c>
      <c r="G32" s="177">
        <f t="shared" si="1"/>
        <v>3859.4879999999998</v>
      </c>
      <c r="H32" s="179">
        <v>3887352</v>
      </c>
      <c r="I32" s="117">
        <v>1092</v>
      </c>
      <c r="J32" s="177">
        <f t="shared" si="2"/>
        <v>3886.26</v>
      </c>
      <c r="K32" s="188">
        <f t="shared" si="3"/>
        <v>3859.4879999999998</v>
      </c>
      <c r="L32" s="186">
        <v>0.93459999999999999</v>
      </c>
      <c r="M32" s="170">
        <f t="shared" si="4"/>
        <v>3607.0774847999996</v>
      </c>
      <c r="N32" s="169">
        <v>0</v>
      </c>
      <c r="O32" s="191">
        <f t="shared" si="5"/>
        <v>3607.0774847999996</v>
      </c>
      <c r="P32" s="236"/>
      <c r="Q32" s="238"/>
    </row>
    <row r="33" spans="2:17" ht="15.6">
      <c r="B33" s="167">
        <v>45170</v>
      </c>
      <c r="C33" s="168">
        <f t="shared" si="0"/>
        <v>45170</v>
      </c>
      <c r="D33" s="172">
        <v>45199</v>
      </c>
      <c r="E33" s="179">
        <v>3984984</v>
      </c>
      <c r="F33" s="117">
        <v>29616</v>
      </c>
      <c r="G33" s="177">
        <f t="shared" si="1"/>
        <v>3955.3679999999999</v>
      </c>
      <c r="H33" s="179">
        <v>3984984</v>
      </c>
      <c r="I33" s="117">
        <v>32498</v>
      </c>
      <c r="J33" s="177">
        <f t="shared" si="2"/>
        <v>3952.4859999999999</v>
      </c>
      <c r="K33" s="188">
        <f t="shared" si="3"/>
        <v>3952.4859999999999</v>
      </c>
      <c r="L33" s="186">
        <v>0.93459999999999999</v>
      </c>
      <c r="M33" s="170">
        <f t="shared" si="4"/>
        <v>3693.9934155999999</v>
      </c>
      <c r="N33" s="169">
        <v>0</v>
      </c>
      <c r="O33" s="191">
        <f t="shared" si="5"/>
        <v>3693.9934155999999</v>
      </c>
      <c r="P33" s="236"/>
      <c r="Q33" s="238"/>
    </row>
    <row r="34" spans="2:17" ht="15.6">
      <c r="B34" s="167">
        <v>45200</v>
      </c>
      <c r="C34" s="168">
        <f t="shared" si="0"/>
        <v>45200</v>
      </c>
      <c r="D34" s="172">
        <v>45230</v>
      </c>
      <c r="E34" s="179">
        <v>4536720</v>
      </c>
      <c r="F34" s="117">
        <v>30000</v>
      </c>
      <c r="G34" s="177">
        <f t="shared" si="1"/>
        <v>4506.72</v>
      </c>
      <c r="H34" s="179">
        <v>4536720</v>
      </c>
      <c r="I34" s="117">
        <v>16</v>
      </c>
      <c r="J34" s="177">
        <f t="shared" si="2"/>
        <v>4536.7039999999997</v>
      </c>
      <c r="K34" s="188">
        <f t="shared" si="3"/>
        <v>4506.72</v>
      </c>
      <c r="L34" s="186">
        <v>0.93459999999999999</v>
      </c>
      <c r="M34" s="170">
        <f t="shared" si="4"/>
        <v>4211.9805120000001</v>
      </c>
      <c r="N34" s="169">
        <v>0</v>
      </c>
      <c r="O34" s="191">
        <f t="shared" si="5"/>
        <v>4211.9805120000001</v>
      </c>
      <c r="P34" s="236"/>
      <c r="Q34" s="238"/>
    </row>
    <row r="35" spans="2:17" ht="15.6">
      <c r="B35" s="167">
        <v>45231</v>
      </c>
      <c r="C35" s="168">
        <f t="shared" si="0"/>
        <v>45231</v>
      </c>
      <c r="D35" s="172">
        <v>45260</v>
      </c>
      <c r="E35" s="179">
        <v>3224736</v>
      </c>
      <c r="F35" s="117">
        <v>29952</v>
      </c>
      <c r="G35" s="177">
        <f t="shared" si="1"/>
        <v>3194.7840000000001</v>
      </c>
      <c r="H35" s="179">
        <v>3224736</v>
      </c>
      <c r="I35" s="117">
        <v>8</v>
      </c>
      <c r="J35" s="177">
        <f t="shared" si="2"/>
        <v>3224.7280000000001</v>
      </c>
      <c r="K35" s="188">
        <f t="shared" si="3"/>
        <v>3194.7840000000001</v>
      </c>
      <c r="L35" s="186">
        <v>0.93459999999999999</v>
      </c>
      <c r="M35" s="170">
        <f t="shared" si="4"/>
        <v>2985.8451264</v>
      </c>
      <c r="N35" s="169">
        <v>0</v>
      </c>
      <c r="O35" s="191">
        <f t="shared" si="5"/>
        <v>2985.8451264</v>
      </c>
      <c r="P35" s="236"/>
      <c r="Q35" s="238"/>
    </row>
    <row r="36" spans="2:17" ht="15.6">
      <c r="B36" s="167">
        <v>45261</v>
      </c>
      <c r="C36" s="168">
        <f t="shared" si="0"/>
        <v>45261</v>
      </c>
      <c r="D36" s="172">
        <v>45291</v>
      </c>
      <c r="E36" s="179">
        <v>3073920</v>
      </c>
      <c r="F36" s="117">
        <v>31303.200000000001</v>
      </c>
      <c r="G36" s="177">
        <f t="shared" si="1"/>
        <v>3042.6167999999998</v>
      </c>
      <c r="H36" s="179">
        <v>3073920</v>
      </c>
      <c r="I36" s="117">
        <v>10988</v>
      </c>
      <c r="J36" s="177">
        <f t="shared" si="2"/>
        <v>3062.9319999999998</v>
      </c>
      <c r="K36" s="188">
        <f t="shared" si="3"/>
        <v>3042.6167999999998</v>
      </c>
      <c r="L36" s="186">
        <v>0.93459999999999999</v>
      </c>
      <c r="M36" s="170">
        <f t="shared" si="4"/>
        <v>2843.6296612799997</v>
      </c>
      <c r="N36" s="169">
        <v>0</v>
      </c>
      <c r="O36" s="191">
        <f t="shared" si="5"/>
        <v>2843.6296612799997</v>
      </c>
      <c r="P36" s="236"/>
      <c r="Q36" s="238"/>
    </row>
    <row r="37" spans="2:17" ht="15.6">
      <c r="B37" s="167">
        <v>45292</v>
      </c>
      <c r="C37" s="168">
        <f t="shared" si="0"/>
        <v>45292</v>
      </c>
      <c r="D37" s="172">
        <v>45322</v>
      </c>
      <c r="E37" s="179">
        <v>2660448</v>
      </c>
      <c r="F37" s="117">
        <v>32928</v>
      </c>
      <c r="G37" s="177">
        <f t="shared" si="1"/>
        <v>2627.52</v>
      </c>
      <c r="H37" s="179">
        <v>2660448</v>
      </c>
      <c r="I37" s="117">
        <v>12654</v>
      </c>
      <c r="J37" s="177">
        <f t="shared" si="2"/>
        <v>2647.7939999999999</v>
      </c>
      <c r="K37" s="188">
        <f t="shared" si="3"/>
        <v>2627.52</v>
      </c>
      <c r="L37" s="186">
        <v>0.93459999999999999</v>
      </c>
      <c r="M37" s="170">
        <f t="shared" si="4"/>
        <v>2455.6801919999998</v>
      </c>
      <c r="N37" s="169">
        <v>0</v>
      </c>
      <c r="O37" s="191">
        <f t="shared" si="5"/>
        <v>2455.6801919999998</v>
      </c>
      <c r="P37" s="236">
        <f>ROUNDDOWN(SUM(O37:O42),0)</f>
        <v>23693</v>
      </c>
      <c r="Q37" s="237">
        <f>SUM(K37:K42)</f>
        <v>25351.871999999999</v>
      </c>
    </row>
    <row r="38" spans="2:17" ht="15.6">
      <c r="B38" s="167">
        <v>45323</v>
      </c>
      <c r="C38" s="168">
        <f t="shared" si="0"/>
        <v>45323</v>
      </c>
      <c r="D38" s="172">
        <v>45351</v>
      </c>
      <c r="E38" s="179">
        <v>4051008</v>
      </c>
      <c r="F38" s="117">
        <v>27360</v>
      </c>
      <c r="G38" s="177">
        <f t="shared" si="1"/>
        <v>4023.6480000000001</v>
      </c>
      <c r="H38" s="179">
        <v>4051008</v>
      </c>
      <c r="I38" s="117">
        <v>7100</v>
      </c>
      <c r="J38" s="177">
        <f t="shared" si="2"/>
        <v>4043.9079999999999</v>
      </c>
      <c r="K38" s="188">
        <f t="shared" si="3"/>
        <v>4023.6480000000001</v>
      </c>
      <c r="L38" s="186">
        <v>0.93459999999999999</v>
      </c>
      <c r="M38" s="170">
        <f t="shared" si="4"/>
        <v>3760.5014208000002</v>
      </c>
      <c r="N38" s="169">
        <v>0</v>
      </c>
      <c r="O38" s="191">
        <f t="shared" si="5"/>
        <v>3760.5014208000002</v>
      </c>
      <c r="P38" s="236"/>
      <c r="Q38" s="238"/>
    </row>
    <row r="39" spans="2:17" ht="15.6">
      <c r="B39" s="167">
        <v>45352</v>
      </c>
      <c r="C39" s="168">
        <f t="shared" si="0"/>
        <v>45352</v>
      </c>
      <c r="D39" s="172">
        <v>45382</v>
      </c>
      <c r="E39" s="179">
        <v>5171808</v>
      </c>
      <c r="F39" s="117">
        <v>26136</v>
      </c>
      <c r="G39" s="177">
        <f t="shared" si="1"/>
        <v>5145.6719999999996</v>
      </c>
      <c r="H39" s="179">
        <v>5171808</v>
      </c>
      <c r="I39" s="117">
        <v>12493</v>
      </c>
      <c r="J39" s="177">
        <f t="shared" si="2"/>
        <v>5159.3149999999996</v>
      </c>
      <c r="K39" s="188">
        <f t="shared" si="3"/>
        <v>5145.6719999999996</v>
      </c>
      <c r="L39" s="186">
        <v>0.93459999999999999</v>
      </c>
      <c r="M39" s="170">
        <f t="shared" si="4"/>
        <v>4809.1450511999992</v>
      </c>
      <c r="N39" s="169">
        <v>0</v>
      </c>
      <c r="O39" s="191">
        <f t="shared" si="5"/>
        <v>4809.1450511999992</v>
      </c>
      <c r="P39" s="236"/>
      <c r="Q39" s="238"/>
    </row>
    <row r="40" spans="2:17" ht="15.6">
      <c r="B40" s="167">
        <v>45383</v>
      </c>
      <c r="C40" s="168">
        <f t="shared" si="0"/>
        <v>45383</v>
      </c>
      <c r="D40" s="172">
        <v>45412</v>
      </c>
      <c r="E40" s="179">
        <v>4796088</v>
      </c>
      <c r="F40" s="117">
        <v>23640</v>
      </c>
      <c r="G40" s="177">
        <f t="shared" si="1"/>
        <v>4772.4480000000003</v>
      </c>
      <c r="H40" s="179">
        <v>4796088</v>
      </c>
      <c r="I40" s="117">
        <v>18033</v>
      </c>
      <c r="J40" s="177">
        <f t="shared" si="2"/>
        <v>4778.0550000000003</v>
      </c>
      <c r="K40" s="188">
        <f t="shared" si="3"/>
        <v>4772.4480000000003</v>
      </c>
      <c r="L40" s="186">
        <v>0.93459999999999999</v>
      </c>
      <c r="M40" s="170">
        <f t="shared" si="4"/>
        <v>4460.3299008000004</v>
      </c>
      <c r="N40" s="169">
        <v>0</v>
      </c>
      <c r="O40" s="191">
        <f t="shared" si="5"/>
        <v>4460.3299008000004</v>
      </c>
      <c r="P40" s="236"/>
      <c r="Q40" s="238"/>
    </row>
    <row r="41" spans="2:17" ht="15.6">
      <c r="B41" s="167">
        <v>45413</v>
      </c>
      <c r="C41" s="168">
        <f t="shared" si="0"/>
        <v>45413</v>
      </c>
      <c r="D41" s="172">
        <v>45443</v>
      </c>
      <c r="E41" s="179">
        <v>4994736</v>
      </c>
      <c r="F41" s="117">
        <v>26064</v>
      </c>
      <c r="G41" s="177">
        <f t="shared" si="1"/>
        <v>4968.6719999999996</v>
      </c>
      <c r="H41" s="179">
        <v>4994736</v>
      </c>
      <c r="I41" s="117">
        <v>18854</v>
      </c>
      <c r="J41" s="177">
        <f t="shared" si="2"/>
        <v>4975.8819999999996</v>
      </c>
      <c r="K41" s="188">
        <f t="shared" si="3"/>
        <v>4968.6719999999996</v>
      </c>
      <c r="L41" s="186">
        <v>0.93459999999999999</v>
      </c>
      <c r="M41" s="170">
        <f t="shared" si="4"/>
        <v>4643.7208511999997</v>
      </c>
      <c r="N41" s="169">
        <v>0</v>
      </c>
      <c r="O41" s="191">
        <f t="shared" si="5"/>
        <v>4643.7208511999997</v>
      </c>
      <c r="P41" s="236"/>
      <c r="Q41" s="238"/>
    </row>
    <row r="42" spans="2:17" ht="15.6">
      <c r="B42" s="167">
        <v>45444</v>
      </c>
      <c r="C42" s="168">
        <f t="shared" si="0"/>
        <v>45444</v>
      </c>
      <c r="D42" s="172">
        <v>45473</v>
      </c>
      <c r="E42" s="179">
        <v>3838776</v>
      </c>
      <c r="F42" s="117">
        <v>24864</v>
      </c>
      <c r="G42" s="177">
        <f t="shared" si="1"/>
        <v>3813.9119999999998</v>
      </c>
      <c r="H42" s="179">
        <v>3838776</v>
      </c>
      <c r="I42" s="117">
        <v>20756</v>
      </c>
      <c r="J42" s="177">
        <f t="shared" si="2"/>
        <v>3818.02</v>
      </c>
      <c r="K42" s="188">
        <f t="shared" si="3"/>
        <v>3813.9119999999998</v>
      </c>
      <c r="L42" s="186">
        <v>0.93459999999999999</v>
      </c>
      <c r="M42" s="170">
        <f t="shared" si="4"/>
        <v>3564.4821551999999</v>
      </c>
      <c r="N42" s="169">
        <v>0</v>
      </c>
      <c r="O42" s="191">
        <f t="shared" si="5"/>
        <v>3564.4821551999999</v>
      </c>
      <c r="P42" s="236"/>
      <c r="Q42" s="238"/>
    </row>
    <row r="43" spans="2:17" ht="16.2" thickBot="1">
      <c r="B43" s="226" t="s">
        <v>10</v>
      </c>
      <c r="C43" s="226"/>
      <c r="D43" s="227"/>
      <c r="E43" s="180">
        <f t="shared" ref="E43:K43" si="6">SUM(E9:E42)</f>
        <v>143692508.13659567</v>
      </c>
      <c r="F43" s="181">
        <f t="shared" si="6"/>
        <v>963563.79999999993</v>
      </c>
      <c r="G43" s="182">
        <f t="shared" si="6"/>
        <v>142728.94433659571</v>
      </c>
      <c r="H43" s="180">
        <f t="shared" si="6"/>
        <v>146213875</v>
      </c>
      <c r="I43" s="181">
        <f t="shared" si="6"/>
        <v>632058.6</v>
      </c>
      <c r="J43" s="182">
        <f t="shared" si="6"/>
        <v>145581.81639999998</v>
      </c>
      <c r="K43" s="187">
        <f t="shared" si="6"/>
        <v>142701.67613659569</v>
      </c>
      <c r="L43" s="186">
        <v>0.93459999999999999</v>
      </c>
      <c r="M43" s="115">
        <f>SUM(M9:M42)</f>
        <v>133368.98651726232</v>
      </c>
      <c r="N43" s="129">
        <f t="shared" ref="N43:O43" si="7">SUM(N9:N42)</f>
        <v>0</v>
      </c>
      <c r="O43" s="192">
        <f t="shared" si="7"/>
        <v>133368.98651726232</v>
      </c>
      <c r="P43" s="194">
        <f>(P9+P13+P25+P37)</f>
        <v>133367</v>
      </c>
      <c r="Q43" s="195">
        <f>Q9+Q13+Q25+Q37</f>
        <v>142701.67613659566</v>
      </c>
    </row>
    <row r="44" spans="2:17">
      <c r="E44" s="120"/>
      <c r="F44" s="120"/>
      <c r="M44" s="121"/>
      <c r="N44" s="121"/>
      <c r="O44" s="121"/>
      <c r="P44" s="185"/>
      <c r="Q44" s="185"/>
    </row>
    <row r="45" spans="2:17">
      <c r="M45" s="121"/>
      <c r="N45" s="121"/>
      <c r="O45" s="121"/>
      <c r="P45" s="185"/>
      <c r="Q45" s="185"/>
    </row>
    <row r="46" spans="2:17">
      <c r="B46" s="225" t="s">
        <v>135</v>
      </c>
      <c r="C46" s="225"/>
      <c r="D46" s="225"/>
      <c r="E46" s="225"/>
      <c r="F46" s="225"/>
      <c r="G46" s="225"/>
      <c r="H46" s="225"/>
      <c r="I46" s="225"/>
      <c r="J46" s="225"/>
    </row>
    <row r="47" spans="2:17" ht="31.2" customHeight="1">
      <c r="B47" s="225"/>
      <c r="C47" s="225"/>
      <c r="D47" s="225"/>
      <c r="E47" s="225"/>
      <c r="F47" s="225"/>
      <c r="G47" s="225"/>
      <c r="H47" s="225"/>
      <c r="I47" s="225"/>
      <c r="J47" s="225"/>
    </row>
  </sheetData>
  <mergeCells count="14">
    <mergeCell ref="B46:J47"/>
    <mergeCell ref="B43:D43"/>
    <mergeCell ref="P9:P12"/>
    <mergeCell ref="Q9:Q12"/>
    <mergeCell ref="E7:G7"/>
    <mergeCell ref="B7:D7"/>
    <mergeCell ref="P7:Q7"/>
    <mergeCell ref="P37:P42"/>
    <mergeCell ref="Q37:Q42"/>
    <mergeCell ref="P13:P24"/>
    <mergeCell ref="Q13:Q24"/>
    <mergeCell ref="P25:P36"/>
    <mergeCell ref="Q25:Q36"/>
    <mergeCell ref="H7:J7"/>
  </mergeCells>
  <phoneticPr fontId="20"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354E-A195-4C69-8E29-2A776956474C}">
  <dimension ref="C2:G38"/>
  <sheetViews>
    <sheetView topLeftCell="A22" workbookViewId="0">
      <selection activeCell="G7" sqref="G7"/>
    </sheetView>
  </sheetViews>
  <sheetFormatPr defaultRowHeight="14.4"/>
  <cols>
    <col min="3" max="3" width="12.21875" customWidth="1"/>
    <col min="4" max="4" width="22.21875" bestFit="1" customWidth="1"/>
    <col min="7" max="7" width="15.44140625" bestFit="1" customWidth="1"/>
  </cols>
  <sheetData>
    <row r="2" spans="3:4" ht="15" thickBot="1"/>
    <row r="3" spans="3:4" ht="15" thickBot="1">
      <c r="C3" s="202" t="s">
        <v>71</v>
      </c>
      <c r="D3" s="203" t="s">
        <v>126</v>
      </c>
    </row>
    <row r="4" spans="3:4">
      <c r="C4" s="147">
        <v>44440</v>
      </c>
      <c r="D4" s="148">
        <v>164465</v>
      </c>
    </row>
    <row r="5" spans="3:4">
      <c r="C5" s="149">
        <v>44441</v>
      </c>
      <c r="D5" s="150">
        <v>82920</v>
      </c>
    </row>
    <row r="6" spans="3:4">
      <c r="C6" s="149">
        <v>44442</v>
      </c>
      <c r="D6" s="150">
        <v>179485</v>
      </c>
    </row>
    <row r="7" spans="3:4">
      <c r="C7" s="149">
        <v>44443</v>
      </c>
      <c r="D7" s="150">
        <v>162587</v>
      </c>
    </row>
    <row r="8" spans="3:4">
      <c r="C8" s="149">
        <v>44444</v>
      </c>
      <c r="D8" s="150">
        <v>95065</v>
      </c>
    </row>
    <row r="9" spans="3:4">
      <c r="C9" s="149">
        <v>44445</v>
      </c>
      <c r="D9" s="150">
        <v>169651</v>
      </c>
    </row>
    <row r="10" spans="3:4">
      <c r="C10" s="149">
        <v>44446</v>
      </c>
      <c r="D10" s="150">
        <v>178391</v>
      </c>
    </row>
    <row r="11" spans="3:4">
      <c r="C11" s="149">
        <v>44447</v>
      </c>
      <c r="D11" s="150">
        <v>95924</v>
      </c>
    </row>
    <row r="12" spans="3:4">
      <c r="C12" s="149">
        <v>44448</v>
      </c>
      <c r="D12" s="150">
        <v>89527</v>
      </c>
    </row>
    <row r="13" spans="3:4">
      <c r="C13" s="149">
        <v>44449</v>
      </c>
      <c r="D13" s="150">
        <v>165628</v>
      </c>
    </row>
    <row r="14" spans="3:4">
      <c r="C14" s="149">
        <v>44450</v>
      </c>
      <c r="D14" s="150">
        <v>146102</v>
      </c>
    </row>
    <row r="15" spans="3:4">
      <c r="C15" s="149">
        <v>44451</v>
      </c>
      <c r="D15" s="150">
        <v>97894</v>
      </c>
    </row>
    <row r="16" spans="3:4">
      <c r="C16" s="149">
        <v>44452</v>
      </c>
      <c r="D16" s="150">
        <v>85321</v>
      </c>
    </row>
    <row r="17" spans="3:4">
      <c r="C17" s="149">
        <v>44453</v>
      </c>
      <c r="D17" s="150">
        <v>168962</v>
      </c>
    </row>
    <row r="18" spans="3:4">
      <c r="C18" s="149">
        <v>44454</v>
      </c>
      <c r="D18" s="150">
        <v>172784</v>
      </c>
    </row>
    <row r="19" spans="3:4">
      <c r="C19" s="149">
        <v>44455</v>
      </c>
      <c r="D19" s="150">
        <v>97985</v>
      </c>
    </row>
    <row r="20" spans="3:4">
      <c r="C20" s="149">
        <v>44456</v>
      </c>
      <c r="D20" s="150">
        <v>87726</v>
      </c>
    </row>
    <row r="21" spans="3:4">
      <c r="C21" s="149">
        <v>44457</v>
      </c>
      <c r="D21" s="150">
        <v>157046</v>
      </c>
    </row>
    <row r="22" spans="3:4">
      <c r="C22" s="149">
        <v>44458</v>
      </c>
      <c r="D22" s="150">
        <v>166759</v>
      </c>
    </row>
    <row r="23" spans="3:4">
      <c r="C23" s="149">
        <v>44459</v>
      </c>
      <c r="D23" s="150">
        <v>96054</v>
      </c>
    </row>
    <row r="24" spans="3:4">
      <c r="C24" s="149">
        <v>44460</v>
      </c>
      <c r="D24" s="150">
        <v>81745</v>
      </c>
    </row>
    <row r="25" spans="3:4">
      <c r="C25" s="149">
        <v>44461</v>
      </c>
      <c r="D25" s="150">
        <v>165479</v>
      </c>
    </row>
    <row r="26" spans="3:4">
      <c r="C26" s="149">
        <v>44462</v>
      </c>
      <c r="D26" s="150">
        <v>185268</v>
      </c>
    </row>
    <row r="27" spans="3:4">
      <c r="C27" s="149">
        <v>44463</v>
      </c>
      <c r="D27" s="150">
        <v>94658</v>
      </c>
    </row>
    <row r="28" spans="3:4">
      <c r="C28" s="149">
        <v>44464</v>
      </c>
      <c r="D28" s="150">
        <v>184169</v>
      </c>
    </row>
    <row r="29" spans="3:4">
      <c r="C29" s="149">
        <v>44465</v>
      </c>
      <c r="D29" s="150">
        <v>92549</v>
      </c>
    </row>
    <row r="30" spans="3:4">
      <c r="C30" s="149">
        <v>44466</v>
      </c>
      <c r="D30" s="150">
        <v>163065</v>
      </c>
    </row>
    <row r="31" spans="3:4">
      <c r="C31" s="149">
        <v>44467</v>
      </c>
      <c r="D31" s="150">
        <v>172548</v>
      </c>
    </row>
    <row r="32" spans="3:4">
      <c r="C32" s="149">
        <v>44468</v>
      </c>
      <c r="D32" s="150">
        <v>84169</v>
      </c>
    </row>
    <row r="33" spans="3:7" ht="15" thickBot="1">
      <c r="C33" s="151">
        <v>44469</v>
      </c>
      <c r="D33" s="152">
        <v>96054</v>
      </c>
    </row>
    <row r="34" spans="3:7" ht="15" thickBot="1">
      <c r="C34" s="146" t="s">
        <v>10</v>
      </c>
      <c r="D34" s="153">
        <f>SUM(D4:D33)</f>
        <v>3979980</v>
      </c>
    </row>
    <row r="35" spans="3:7" ht="15" thickBot="1"/>
    <row r="36" spans="3:7">
      <c r="C36" s="239" t="s">
        <v>127</v>
      </c>
      <c r="D36" s="240"/>
      <c r="E36" s="240"/>
      <c r="F36" s="241"/>
      <c r="G36" s="161">
        <v>3979980</v>
      </c>
    </row>
    <row r="37" spans="3:7">
      <c r="C37" s="242" t="s">
        <v>129</v>
      </c>
      <c r="D37" s="243"/>
      <c r="E37" s="243"/>
      <c r="F37" s="244"/>
      <c r="G37" s="162">
        <f>SUM(D23:D33)</f>
        <v>1415758</v>
      </c>
    </row>
    <row r="38" spans="3:7" ht="15" thickBot="1">
      <c r="C38" s="245" t="s">
        <v>128</v>
      </c>
      <c r="D38" s="246"/>
      <c r="E38" s="246"/>
      <c r="F38" s="247"/>
      <c r="G38" s="154">
        <f>G37/G36</f>
        <v>0.35571987798933663</v>
      </c>
    </row>
  </sheetData>
  <mergeCells count="3">
    <mergeCell ref="C36:F36"/>
    <mergeCell ref="C37:F37"/>
    <mergeCell ref="C38:F38"/>
  </mergeCells>
  <phoneticPr fontId="20" type="noConversion"/>
  <pageMargins left="0.7" right="0.7" top="0.75" bottom="0.75" header="0.3" footer="0.3"/>
  <ignoredErrors>
    <ignoredError sqref="G3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FCD5-1845-4C2D-86E4-F90FF06C4347}">
  <dimension ref="B3:I16"/>
  <sheetViews>
    <sheetView tabSelected="1" zoomScaleNormal="100" workbookViewId="0">
      <selection activeCell="M7" sqref="M7"/>
    </sheetView>
  </sheetViews>
  <sheetFormatPr defaultRowHeight="14.4"/>
  <cols>
    <col min="2" max="2" width="14" customWidth="1"/>
    <col min="4" max="4" width="13.44140625" bestFit="1" customWidth="1"/>
    <col min="5" max="5" width="13.109375" customWidth="1"/>
    <col min="6" max="6" width="17.109375" customWidth="1"/>
    <col min="7" max="7" width="10.33203125" customWidth="1"/>
    <col min="8" max="8" width="18.44140625" customWidth="1"/>
    <col min="9" max="9" width="17.44140625" customWidth="1"/>
  </cols>
  <sheetData>
    <row r="3" spans="2:9" ht="55.2">
      <c r="B3" s="205" t="s">
        <v>125</v>
      </c>
      <c r="C3" s="204" t="s">
        <v>124</v>
      </c>
      <c r="D3" s="205" t="s">
        <v>120</v>
      </c>
      <c r="E3" s="205" t="s">
        <v>130</v>
      </c>
      <c r="F3" s="205" t="s">
        <v>131</v>
      </c>
      <c r="G3" s="205" t="s">
        <v>121</v>
      </c>
      <c r="H3" s="205" t="s">
        <v>122</v>
      </c>
      <c r="I3" s="205" t="s">
        <v>123</v>
      </c>
    </row>
    <row r="4" spans="2:9">
      <c r="B4" s="141">
        <f>'ER calculation'!B25</f>
        <v>2021</v>
      </c>
      <c r="C4" s="141">
        <f>'ER calculation'!D10</f>
        <v>103</v>
      </c>
      <c r="D4" s="143">
        <f>'ER calculation'!D25</f>
        <v>13686.129936595662</v>
      </c>
      <c r="E4" s="145">
        <f>D4/(30*C4*24)</f>
        <v>0.18454867767793504</v>
      </c>
      <c r="F4" s="142">
        <v>0.183</v>
      </c>
      <c r="G4" s="142">
        <f>(E4-F4)/F4</f>
        <v>8.4627195515575952E-3</v>
      </c>
      <c r="H4" s="142">
        <v>0.20780000000000001</v>
      </c>
      <c r="I4" s="144" t="str">
        <f>IF(G4&gt;H4,"Yes","No")</f>
        <v>No</v>
      </c>
    </row>
    <row r="5" spans="2:9">
      <c r="B5" s="141">
        <f>'ER calculation'!B26</f>
        <v>2022</v>
      </c>
      <c r="C5" s="141">
        <f>'ER calculation'!E10</f>
        <v>365</v>
      </c>
      <c r="D5" s="143">
        <f>'ER calculation'!D26</f>
        <v>52883.187399999995</v>
      </c>
      <c r="E5" s="145">
        <f t="shared" ref="E5:E8" si="0">D5/(30*C5*24)</f>
        <v>0.20122978462709282</v>
      </c>
      <c r="F5" s="142">
        <v>0.183</v>
      </c>
      <c r="G5" s="142">
        <f t="shared" ref="G5:G8" si="1">(E5-F5)/F5</f>
        <v>9.9616309437665695E-2</v>
      </c>
      <c r="H5" s="142">
        <v>0.20780000000000001</v>
      </c>
      <c r="I5" s="144" t="str">
        <f t="shared" ref="I5:I7" si="2">IF(G5&gt;H5,"Yes","No")</f>
        <v>No</v>
      </c>
    </row>
    <row r="6" spans="2:9">
      <c r="B6" s="141">
        <f>'ER calculation'!B27</f>
        <v>2023</v>
      </c>
      <c r="C6" s="141">
        <f>'ER calculation'!F10</f>
        <v>365</v>
      </c>
      <c r="D6" s="143">
        <f>'ER calculation'!D27</f>
        <v>50780.486799999999</v>
      </c>
      <c r="E6" s="145">
        <f t="shared" si="0"/>
        <v>0.19322864079147639</v>
      </c>
      <c r="F6" s="142">
        <v>0.183</v>
      </c>
      <c r="G6" s="142">
        <f t="shared" si="1"/>
        <v>5.5894211975280848E-2</v>
      </c>
      <c r="H6" s="142">
        <v>0.20780000000000001</v>
      </c>
      <c r="I6" s="144" t="str">
        <f t="shared" si="2"/>
        <v>No</v>
      </c>
    </row>
    <row r="7" spans="2:9">
      <c r="B7" s="141">
        <f>'ER calculation'!B28</f>
        <v>2024</v>
      </c>
      <c r="C7" s="141">
        <f>'ER calculation'!G10</f>
        <v>182</v>
      </c>
      <c r="D7" s="143">
        <f>'ER calculation'!D28</f>
        <v>25351.871999999999</v>
      </c>
      <c r="E7" s="145">
        <f t="shared" si="0"/>
        <v>0.19346666666666668</v>
      </c>
      <c r="F7" s="142">
        <v>0.183</v>
      </c>
      <c r="G7" s="142">
        <f t="shared" si="1"/>
        <v>5.7194899817850711E-2</v>
      </c>
      <c r="H7" s="142">
        <v>0.20780000000000001</v>
      </c>
      <c r="I7" s="144" t="str">
        <f t="shared" si="2"/>
        <v>No</v>
      </c>
    </row>
    <row r="8" spans="2:9">
      <c r="B8" s="141" t="s">
        <v>10</v>
      </c>
      <c r="C8" s="141">
        <f>SUM(C4:C7)</f>
        <v>1015</v>
      </c>
      <c r="D8" s="143">
        <f>SUM(D4:D7)</f>
        <v>142701.67613659566</v>
      </c>
      <c r="E8" s="145">
        <f t="shared" si="0"/>
        <v>0.19526775607087529</v>
      </c>
      <c r="F8" s="142">
        <v>0.183</v>
      </c>
      <c r="G8" s="142">
        <f t="shared" si="1"/>
        <v>6.7036918420083594E-2</v>
      </c>
      <c r="H8" s="142">
        <v>0.20780000000000001</v>
      </c>
      <c r="I8" s="144" t="str">
        <f>IF(G8&gt;H8,"Yes","No")</f>
        <v>No</v>
      </c>
    </row>
    <row r="10" spans="2:9">
      <c r="B10" s="248" t="s">
        <v>134</v>
      </c>
      <c r="C10" s="248"/>
      <c r="D10" s="248"/>
      <c r="E10" s="248"/>
      <c r="F10" s="248"/>
      <c r="G10" s="248"/>
      <c r="H10" s="248"/>
      <c r="I10" s="248"/>
    </row>
    <row r="11" spans="2:9">
      <c r="B11" s="248"/>
      <c r="C11" s="248"/>
      <c r="D11" s="248"/>
      <c r="E11" s="248"/>
      <c r="F11" s="248"/>
      <c r="G11" s="248"/>
      <c r="H11" s="248"/>
      <c r="I11" s="248"/>
    </row>
    <row r="12" spans="2:9">
      <c r="B12" s="248"/>
      <c r="C12" s="248"/>
      <c r="D12" s="248"/>
      <c r="E12" s="248"/>
      <c r="F12" s="248"/>
      <c r="G12" s="248"/>
      <c r="H12" s="248"/>
      <c r="I12" s="248"/>
    </row>
    <row r="13" spans="2:9">
      <c r="B13" s="248"/>
      <c r="C13" s="248"/>
      <c r="D13" s="248"/>
      <c r="E13" s="248"/>
      <c r="F13" s="248"/>
      <c r="G13" s="248"/>
      <c r="H13" s="248"/>
      <c r="I13" s="248"/>
    </row>
    <row r="14" spans="2:9">
      <c r="B14" s="248"/>
      <c r="C14" s="248"/>
      <c r="D14" s="248"/>
      <c r="E14" s="248"/>
      <c r="F14" s="248"/>
      <c r="G14" s="248"/>
      <c r="H14" s="248"/>
      <c r="I14" s="248"/>
    </row>
    <row r="15" spans="2:9">
      <c r="B15" s="248"/>
      <c r="C15" s="248"/>
      <c r="D15" s="248"/>
      <c r="E15" s="248"/>
      <c r="F15" s="248"/>
      <c r="G15" s="248"/>
      <c r="H15" s="248"/>
      <c r="I15" s="248"/>
    </row>
    <row r="16" spans="2:9">
      <c r="B16" s="248"/>
      <c r="C16" s="248"/>
      <c r="D16" s="248"/>
      <c r="E16" s="248"/>
      <c r="F16" s="248"/>
      <c r="G16" s="248"/>
      <c r="H16" s="248"/>
      <c r="I16" s="248"/>
    </row>
  </sheetData>
  <mergeCells count="1">
    <mergeCell ref="B10:I16"/>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2:J31"/>
  <sheetViews>
    <sheetView topLeftCell="A3" workbookViewId="0">
      <selection activeCell="A30" sqref="A30"/>
    </sheetView>
  </sheetViews>
  <sheetFormatPr defaultRowHeight="14.4"/>
  <cols>
    <col min="1" max="1" width="15.5546875" bestFit="1" customWidth="1"/>
    <col min="2" max="2" width="9" customWidth="1"/>
    <col min="3" max="3" width="17.77734375" bestFit="1" customWidth="1"/>
    <col min="4" max="4" width="10.5546875" bestFit="1" customWidth="1"/>
    <col min="5" max="5" width="8" bestFit="1" customWidth="1"/>
    <col min="6" max="6" width="10.5546875" bestFit="1" customWidth="1"/>
    <col min="7" max="7" width="11.5546875" bestFit="1" customWidth="1"/>
    <col min="8" max="8" width="8.88671875" bestFit="1" customWidth="1"/>
    <col min="9" max="9" width="9.88671875" bestFit="1" customWidth="1"/>
    <col min="10" max="10" width="10.88671875" bestFit="1" customWidth="1"/>
  </cols>
  <sheetData>
    <row r="2" spans="1:10" ht="15" thickBot="1">
      <c r="A2" s="36"/>
      <c r="B2" s="36"/>
    </row>
    <row r="3" spans="1:10" s="35" customFormat="1" ht="28.8">
      <c r="A3" s="44" t="s">
        <v>46</v>
      </c>
      <c r="B3" s="45" t="s">
        <v>44</v>
      </c>
      <c r="C3" s="45" t="s">
        <v>45</v>
      </c>
      <c r="D3" s="45" t="s">
        <v>1</v>
      </c>
      <c r="E3" s="45" t="s">
        <v>2</v>
      </c>
      <c r="F3" s="45" t="s">
        <v>3</v>
      </c>
      <c r="G3" s="45" t="s">
        <v>4</v>
      </c>
      <c r="H3" s="45" t="s">
        <v>5</v>
      </c>
      <c r="I3" s="45" t="s">
        <v>6</v>
      </c>
      <c r="J3" s="46"/>
    </row>
    <row r="4" spans="1:10" s="35" customFormat="1">
      <c r="A4" s="47" t="s">
        <v>0</v>
      </c>
      <c r="B4" s="39"/>
      <c r="C4" s="39"/>
      <c r="D4" s="37"/>
      <c r="E4" s="37"/>
      <c r="F4" s="37"/>
      <c r="G4" s="37"/>
      <c r="H4" s="37"/>
      <c r="I4" s="37"/>
      <c r="J4" s="48"/>
    </row>
    <row r="5" spans="1:10">
      <c r="A5" s="49"/>
      <c r="B5" s="43">
        <v>42522</v>
      </c>
      <c r="C5" s="38"/>
      <c r="D5" s="4">
        <v>2110001</v>
      </c>
      <c r="E5" s="5">
        <v>20315</v>
      </c>
      <c r="F5" s="11">
        <f t="shared" ref="F5" si="0">D5-E5</f>
        <v>2089686</v>
      </c>
      <c r="G5" s="11">
        <f t="shared" ref="G5" si="1">F5*15</f>
        <v>31345290</v>
      </c>
      <c r="H5" s="12">
        <v>42559</v>
      </c>
      <c r="I5" s="12">
        <f>H5+30</f>
        <v>42589</v>
      </c>
      <c r="J5" s="50"/>
    </row>
    <row r="6" spans="1:10">
      <c r="A6" s="47" t="s">
        <v>11</v>
      </c>
      <c r="B6" s="43"/>
      <c r="C6" s="39"/>
      <c r="D6" s="2"/>
      <c r="E6" s="2"/>
      <c r="F6" s="2"/>
      <c r="G6" s="2"/>
      <c r="H6" s="2"/>
      <c r="I6" s="2"/>
      <c r="J6" s="50"/>
    </row>
    <row r="7" spans="1:10">
      <c r="A7" s="49"/>
      <c r="B7" s="43">
        <v>42522</v>
      </c>
      <c r="C7" s="2"/>
      <c r="D7" s="14">
        <v>4026100</v>
      </c>
      <c r="E7" s="14">
        <v>30100</v>
      </c>
      <c r="F7" s="11">
        <f t="shared" ref="F7" si="2">D7-E7</f>
        <v>3996000</v>
      </c>
      <c r="G7" s="11">
        <f>D7*8.05</f>
        <v>32410105.000000004</v>
      </c>
      <c r="H7" s="12">
        <v>42553</v>
      </c>
      <c r="I7" s="12">
        <f>H7+30</f>
        <v>42583</v>
      </c>
      <c r="J7" s="50"/>
    </row>
    <row r="8" spans="1:10">
      <c r="A8" s="47" t="s">
        <v>35</v>
      </c>
      <c r="B8" s="43"/>
      <c r="C8" s="2"/>
      <c r="D8" s="2"/>
      <c r="E8" s="2"/>
      <c r="F8" s="2"/>
      <c r="G8" s="2"/>
      <c r="H8" s="2"/>
      <c r="I8" s="2"/>
      <c r="J8" s="50"/>
    </row>
    <row r="9" spans="1:10">
      <c r="A9" s="51"/>
      <c r="B9" s="43">
        <v>42522</v>
      </c>
      <c r="C9" s="2" t="s">
        <v>27</v>
      </c>
      <c r="D9" s="21">
        <v>3710354</v>
      </c>
      <c r="E9" s="21">
        <v>13100</v>
      </c>
      <c r="F9" s="6">
        <f>ROUND(D9-E9,0)</f>
        <v>3697254</v>
      </c>
      <c r="G9" s="8">
        <f t="shared" ref="G9" si="3">F9*5.45</f>
        <v>20150034.300000001</v>
      </c>
      <c r="H9" s="7">
        <v>42557</v>
      </c>
      <c r="I9" s="19">
        <f>H9+60</f>
        <v>42617</v>
      </c>
      <c r="J9" s="50"/>
    </row>
    <row r="10" spans="1:10">
      <c r="A10" s="51"/>
      <c r="B10" s="43">
        <v>42522</v>
      </c>
      <c r="C10" s="2" t="s">
        <v>28</v>
      </c>
      <c r="D10" s="21">
        <v>3671572</v>
      </c>
      <c r="E10" s="21">
        <v>13667</v>
      </c>
      <c r="F10" s="6">
        <f>ROUND(D10-E10,0)</f>
        <v>3657905</v>
      </c>
      <c r="G10" s="8">
        <f t="shared" ref="G10" si="4">F10*5.45</f>
        <v>19935582.25</v>
      </c>
      <c r="H10" s="7">
        <v>42557</v>
      </c>
      <c r="I10" s="19">
        <f>H10+60</f>
        <v>42617</v>
      </c>
      <c r="J10" s="50"/>
    </row>
    <row r="11" spans="1:10">
      <c r="A11" s="51"/>
      <c r="B11" s="43">
        <v>42522</v>
      </c>
      <c r="C11" s="2" t="s">
        <v>29</v>
      </c>
      <c r="D11" s="21">
        <v>3843964</v>
      </c>
      <c r="E11" s="21">
        <v>14482</v>
      </c>
      <c r="F11" s="6">
        <f>ROUND(D11-E11,0)</f>
        <v>3829482</v>
      </c>
      <c r="G11" s="8">
        <f t="shared" ref="G11" si="5">F11*5.45</f>
        <v>20870676.900000002</v>
      </c>
      <c r="H11" s="7">
        <v>42557</v>
      </c>
      <c r="I11" s="19">
        <f>H11+60</f>
        <v>42617</v>
      </c>
      <c r="J11" s="50"/>
    </row>
    <row r="12" spans="1:10">
      <c r="A12" s="51"/>
      <c r="B12" s="43">
        <v>42522</v>
      </c>
      <c r="C12" s="2" t="s">
        <v>30</v>
      </c>
      <c r="D12" s="21">
        <v>3608024</v>
      </c>
      <c r="E12" s="21">
        <v>14846</v>
      </c>
      <c r="F12" s="6">
        <f>ROUND(D12-E12,0)</f>
        <v>3593178</v>
      </c>
      <c r="G12" s="8">
        <f t="shared" ref="G12" si="6">F12*5.45</f>
        <v>19582820.100000001</v>
      </c>
      <c r="H12" s="7">
        <v>42557</v>
      </c>
      <c r="I12" s="19">
        <f>H12+60</f>
        <v>42617</v>
      </c>
      <c r="J12" s="50"/>
    </row>
    <row r="13" spans="1:10">
      <c r="A13" s="51"/>
      <c r="B13" s="43">
        <v>42522</v>
      </c>
      <c r="C13" s="2" t="s">
        <v>31</v>
      </c>
      <c r="D13" s="21">
        <v>3602587</v>
      </c>
      <c r="E13" s="21">
        <v>13638</v>
      </c>
      <c r="F13" s="6">
        <f>ROUND(D13-E13,0)</f>
        <v>3588949</v>
      </c>
      <c r="G13" s="8">
        <f t="shared" ref="G13" si="7">F13*5.45</f>
        <v>19559772.050000001</v>
      </c>
      <c r="H13" s="7">
        <v>42557</v>
      </c>
      <c r="I13" s="19">
        <f>H13+60</f>
        <v>42617</v>
      </c>
      <c r="J13" s="50"/>
    </row>
    <row r="14" spans="1:10">
      <c r="A14" s="47" t="s">
        <v>32</v>
      </c>
      <c r="B14" s="43"/>
      <c r="C14" s="2"/>
      <c r="D14" s="2"/>
      <c r="E14" s="2"/>
      <c r="F14" s="2"/>
      <c r="G14" s="2"/>
      <c r="H14" s="2"/>
      <c r="I14" s="2"/>
      <c r="J14" s="50"/>
    </row>
    <row r="15" spans="1:10">
      <c r="A15" s="51"/>
      <c r="B15" s="43">
        <v>42522</v>
      </c>
      <c r="C15" s="17"/>
      <c r="D15" s="15">
        <f>3962.62*1000</f>
        <v>3962620</v>
      </c>
      <c r="E15" s="14">
        <f>24.21*1000</f>
        <v>24210</v>
      </c>
      <c r="F15" s="11">
        <f t="shared" ref="F15" si="8">D15-E15</f>
        <v>3938410</v>
      </c>
      <c r="G15" s="11">
        <f t="shared" ref="G15" si="9">F15*7.28</f>
        <v>28671624.800000001</v>
      </c>
      <c r="H15" s="12"/>
      <c r="I15" s="12"/>
      <c r="J15" s="50" t="s">
        <v>26</v>
      </c>
    </row>
    <row r="16" spans="1:10">
      <c r="A16" s="47" t="s">
        <v>33</v>
      </c>
      <c r="B16" s="43"/>
      <c r="C16" s="2"/>
      <c r="D16" s="2"/>
      <c r="E16" s="2"/>
      <c r="F16" s="2"/>
      <c r="G16" s="2"/>
      <c r="H16" s="2"/>
      <c r="I16" s="2"/>
      <c r="J16" s="50"/>
    </row>
    <row r="17" spans="1:10">
      <c r="A17" s="51"/>
      <c r="B17" s="43">
        <v>42522</v>
      </c>
      <c r="C17" s="17"/>
      <c r="D17" s="14">
        <v>4033450</v>
      </c>
      <c r="E17" s="14">
        <v>0</v>
      </c>
      <c r="F17" s="6">
        <f t="shared" ref="F17" si="10">D17</f>
        <v>4033450</v>
      </c>
      <c r="G17" s="6">
        <f t="shared" ref="G17" si="11">F17*6.46</f>
        <v>26056087</v>
      </c>
      <c r="H17" s="19">
        <v>42555</v>
      </c>
      <c r="I17" s="7">
        <f>H17+60</f>
        <v>42615</v>
      </c>
      <c r="J17" s="50"/>
    </row>
    <row r="18" spans="1:10">
      <c r="A18" s="47" t="s">
        <v>34</v>
      </c>
      <c r="B18" s="43"/>
      <c r="C18" s="2"/>
      <c r="D18" s="2"/>
      <c r="E18" s="2"/>
      <c r="F18" s="2"/>
      <c r="G18" s="2"/>
      <c r="H18" s="2"/>
      <c r="I18" s="2"/>
      <c r="J18" s="50"/>
    </row>
    <row r="19" spans="1:10">
      <c r="A19" s="51"/>
      <c r="B19" s="43">
        <v>42522</v>
      </c>
      <c r="C19" s="40" t="s">
        <v>20</v>
      </c>
      <c r="D19" s="14">
        <v>3169100</v>
      </c>
      <c r="E19" s="14">
        <v>20500</v>
      </c>
      <c r="F19" s="6">
        <f t="shared" ref="F19:F24" si="12">D19-E19</f>
        <v>3148600</v>
      </c>
      <c r="G19" s="6">
        <f>F19*7.06</f>
        <v>22229116</v>
      </c>
      <c r="H19" s="19">
        <v>42553</v>
      </c>
      <c r="I19" s="19">
        <f t="shared" ref="I19:I21" si="13">H19+60</f>
        <v>42613</v>
      </c>
      <c r="J19" s="50"/>
    </row>
    <row r="20" spans="1:10">
      <c r="A20" s="51"/>
      <c r="B20" s="43">
        <v>42522</v>
      </c>
      <c r="C20" s="40" t="s">
        <v>21</v>
      </c>
      <c r="D20" s="14">
        <v>3165100</v>
      </c>
      <c r="E20" s="14">
        <v>19900</v>
      </c>
      <c r="F20" s="6">
        <f t="shared" si="12"/>
        <v>3145200</v>
      </c>
      <c r="G20" s="6">
        <f>F20*7.06</f>
        <v>22205112</v>
      </c>
      <c r="H20" s="19">
        <v>42553</v>
      </c>
      <c r="I20" s="19">
        <f t="shared" si="13"/>
        <v>42613</v>
      </c>
      <c r="J20" s="50"/>
    </row>
    <row r="21" spans="1:10">
      <c r="A21" s="51"/>
      <c r="B21" s="43">
        <v>42522</v>
      </c>
      <c r="C21" s="40" t="s">
        <v>22</v>
      </c>
      <c r="D21" s="14">
        <v>3178400</v>
      </c>
      <c r="E21" s="14">
        <v>13100</v>
      </c>
      <c r="F21" s="6">
        <f t="shared" si="12"/>
        <v>3165300</v>
      </c>
      <c r="G21" s="6">
        <f t="shared" ref="G21" si="14">F21*7.16</f>
        <v>22663548</v>
      </c>
      <c r="H21" s="19">
        <v>42553</v>
      </c>
      <c r="I21" s="19">
        <f t="shared" si="13"/>
        <v>42613</v>
      </c>
      <c r="J21" s="50"/>
    </row>
    <row r="22" spans="1:10">
      <c r="A22" s="47" t="s">
        <v>36</v>
      </c>
      <c r="B22" s="43"/>
      <c r="C22" s="41"/>
      <c r="D22" s="18"/>
      <c r="E22" s="18"/>
      <c r="F22" s="6"/>
      <c r="G22" s="6"/>
      <c r="H22" s="19"/>
      <c r="I22" s="19"/>
      <c r="J22" s="50"/>
    </row>
    <row r="23" spans="1:10">
      <c r="A23" s="51"/>
      <c r="B23" s="43">
        <v>42522</v>
      </c>
      <c r="C23" s="41" t="s">
        <v>23</v>
      </c>
      <c r="D23" s="18">
        <v>1001700</v>
      </c>
      <c r="E23" s="18">
        <v>9000</v>
      </c>
      <c r="F23" s="6">
        <f t="shared" si="12"/>
        <v>992700</v>
      </c>
      <c r="G23" s="6">
        <f t="shared" ref="G23" si="15">F23*7.57</f>
        <v>7514739</v>
      </c>
      <c r="H23" s="19">
        <v>42552</v>
      </c>
      <c r="I23" s="19">
        <f>H23+60</f>
        <v>42612</v>
      </c>
      <c r="J23" s="50"/>
    </row>
    <row r="24" spans="1:10">
      <c r="A24" s="51"/>
      <c r="B24" s="43">
        <v>42522</v>
      </c>
      <c r="C24" s="40" t="s">
        <v>24</v>
      </c>
      <c r="D24" s="14">
        <v>729000</v>
      </c>
      <c r="E24" s="14">
        <v>9000</v>
      </c>
      <c r="F24" s="6">
        <f t="shared" si="12"/>
        <v>720000</v>
      </c>
      <c r="G24" s="6">
        <f>F24*7.59</f>
        <v>5464800</v>
      </c>
      <c r="H24" s="19">
        <v>42553</v>
      </c>
      <c r="I24" s="19">
        <f>H24+60</f>
        <v>42613</v>
      </c>
      <c r="J24" s="50"/>
    </row>
    <row r="25" spans="1:10">
      <c r="A25" s="52" t="s">
        <v>40</v>
      </c>
      <c r="B25" s="43"/>
      <c r="J25" s="50"/>
    </row>
    <row r="26" spans="1:10">
      <c r="A26" s="51"/>
      <c r="B26" s="43">
        <v>42522</v>
      </c>
      <c r="C26" s="42" t="s">
        <v>37</v>
      </c>
      <c r="D26" s="21">
        <v>6236000</v>
      </c>
      <c r="E26" s="21">
        <v>33000</v>
      </c>
      <c r="F26" s="6">
        <f>ROUND(D26-E26,0)</f>
        <v>6203000</v>
      </c>
      <c r="G26" s="8">
        <f>F26*5.63</f>
        <v>34922890</v>
      </c>
      <c r="H26" s="7">
        <v>42559</v>
      </c>
      <c r="I26" s="19">
        <f>H26+30</f>
        <v>42589</v>
      </c>
      <c r="J26" s="50"/>
    </row>
    <row r="27" spans="1:10">
      <c r="A27" s="51"/>
      <c r="B27" s="43">
        <v>42522</v>
      </c>
      <c r="C27" s="41" t="s">
        <v>38</v>
      </c>
      <c r="D27" s="18">
        <v>1146400</v>
      </c>
      <c r="E27" s="18">
        <v>6300</v>
      </c>
      <c r="F27" s="6">
        <f t="shared" ref="F27:F30" si="16">D27-E27</f>
        <v>1140100</v>
      </c>
      <c r="G27" s="8">
        <f>F27*5.63</f>
        <v>6418763</v>
      </c>
      <c r="H27" s="7">
        <v>42556</v>
      </c>
      <c r="I27" s="19">
        <f t="shared" ref="I27:I31" si="17">H27+30</f>
        <v>42586</v>
      </c>
      <c r="J27" s="50"/>
    </row>
    <row r="28" spans="1:10">
      <c r="A28" s="51"/>
      <c r="B28" s="43">
        <v>42522</v>
      </c>
      <c r="C28" s="41" t="s">
        <v>39</v>
      </c>
      <c r="D28" s="21">
        <v>715350</v>
      </c>
      <c r="E28" s="21">
        <v>5850</v>
      </c>
      <c r="F28" s="6">
        <f t="shared" si="16"/>
        <v>709500</v>
      </c>
      <c r="G28" s="8">
        <f>F28*5.63</f>
        <v>3994485</v>
      </c>
      <c r="H28" s="7">
        <v>42556</v>
      </c>
      <c r="I28" s="19">
        <f t="shared" si="17"/>
        <v>42586</v>
      </c>
      <c r="J28" s="50"/>
    </row>
    <row r="29" spans="1:10">
      <c r="A29" s="51"/>
      <c r="B29" s="43">
        <v>42522</v>
      </c>
      <c r="C29" s="41" t="s">
        <v>41</v>
      </c>
      <c r="D29" s="18">
        <v>1034900</v>
      </c>
      <c r="E29" s="18">
        <v>3900</v>
      </c>
      <c r="F29" s="6">
        <f t="shared" si="16"/>
        <v>1031000</v>
      </c>
      <c r="G29" s="4">
        <f>F29*5.71</f>
        <v>5887010</v>
      </c>
      <c r="H29" s="7">
        <v>42556</v>
      </c>
      <c r="I29" s="19">
        <f t="shared" si="17"/>
        <v>42586</v>
      </c>
      <c r="J29" s="50"/>
    </row>
    <row r="30" spans="1:10">
      <c r="A30" s="51"/>
      <c r="B30" s="43">
        <v>42522</v>
      </c>
      <c r="C30" s="41" t="s">
        <v>42</v>
      </c>
      <c r="D30" s="18">
        <v>1079400</v>
      </c>
      <c r="E30" s="18">
        <v>4900</v>
      </c>
      <c r="F30" s="6">
        <f t="shared" si="16"/>
        <v>1074500</v>
      </c>
      <c r="G30" s="4">
        <f>F30*5.71</f>
        <v>6135395</v>
      </c>
      <c r="H30" s="7">
        <v>42556</v>
      </c>
      <c r="I30" s="19">
        <f t="shared" si="17"/>
        <v>42586</v>
      </c>
      <c r="J30" s="50"/>
    </row>
    <row r="31" spans="1:10" ht="15" thickBot="1">
      <c r="A31" s="53"/>
      <c r="B31" s="54">
        <v>42522</v>
      </c>
      <c r="C31" s="55" t="s">
        <v>43</v>
      </c>
      <c r="D31" s="56">
        <v>5449000</v>
      </c>
      <c r="E31" s="56">
        <v>33000</v>
      </c>
      <c r="F31" s="57">
        <f>D31-E31</f>
        <v>5416000</v>
      </c>
      <c r="G31" s="58">
        <f>F31*5.97</f>
        <v>32333520</v>
      </c>
      <c r="H31" s="59">
        <v>42557</v>
      </c>
      <c r="I31" s="60">
        <f t="shared" si="17"/>
        <v>42587</v>
      </c>
      <c r="J31" s="61"/>
    </row>
  </sheetData>
  <phoneticPr fontId="20" type="noConversion"/>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L47"/>
  <sheetViews>
    <sheetView topLeftCell="A19" workbookViewId="0">
      <selection activeCell="C35" sqref="C35"/>
    </sheetView>
  </sheetViews>
  <sheetFormatPr defaultRowHeight="14.4"/>
  <cols>
    <col min="1" max="1" width="16" customWidth="1"/>
    <col min="2" max="2" width="10.109375" bestFit="1" customWidth="1"/>
    <col min="3" max="3" width="14.21875" bestFit="1" customWidth="1"/>
    <col min="4" max="6" width="15.77734375" customWidth="1"/>
    <col min="7" max="7" width="10.109375" bestFit="1" customWidth="1"/>
    <col min="8" max="8" width="15" bestFit="1" customWidth="1"/>
    <col min="9" max="9" width="10.5546875" bestFit="1" customWidth="1"/>
    <col min="10" max="10" width="17.21875" customWidth="1"/>
    <col min="11" max="11" width="12.21875" bestFit="1" customWidth="1"/>
    <col min="12" max="12" width="13.88671875" style="66" bestFit="1" customWidth="1"/>
    <col min="13" max="13" width="10.5546875" bestFit="1" customWidth="1"/>
    <col min="14" max="15" width="14.21875" bestFit="1" customWidth="1"/>
    <col min="16" max="16" width="12.21875" bestFit="1" customWidth="1"/>
  </cols>
  <sheetData>
    <row r="2" spans="1:12" ht="18">
      <c r="A2" s="75" t="s">
        <v>48</v>
      </c>
      <c r="B2" s="75"/>
      <c r="F2" s="27">
        <f>F6*0.4</f>
        <v>2357414.2800000003</v>
      </c>
    </row>
    <row r="3" spans="1:12">
      <c r="C3" s="27">
        <f>C6*0.4</f>
        <v>271200</v>
      </c>
      <c r="D3" s="27">
        <f>D6*0.4</f>
        <v>1164</v>
      </c>
    </row>
    <row r="4" spans="1:12" s="64" customFormat="1" ht="28.8">
      <c r="A4" s="62" t="s">
        <v>25</v>
      </c>
      <c r="B4" s="62" t="s">
        <v>63</v>
      </c>
      <c r="C4" s="62" t="s">
        <v>1</v>
      </c>
      <c r="D4" s="62" t="s">
        <v>2</v>
      </c>
      <c r="E4" s="62" t="s">
        <v>3</v>
      </c>
      <c r="F4" s="62" t="s">
        <v>4</v>
      </c>
      <c r="G4" s="62" t="s">
        <v>5</v>
      </c>
      <c r="H4" s="63" t="s">
        <v>47</v>
      </c>
      <c r="I4" s="62" t="s">
        <v>6</v>
      </c>
      <c r="J4" s="62" t="s">
        <v>7</v>
      </c>
      <c r="K4" s="62" t="s">
        <v>8</v>
      </c>
      <c r="L4" s="63" t="s">
        <v>9</v>
      </c>
    </row>
    <row r="5" spans="1:12" s="64" customFormat="1">
      <c r="A5" s="17">
        <v>42522</v>
      </c>
      <c r="B5" s="17" t="s">
        <v>64</v>
      </c>
      <c r="C5" s="21">
        <v>3240</v>
      </c>
      <c r="D5" s="21">
        <v>888</v>
      </c>
      <c r="E5" s="6">
        <f>C5-D5</f>
        <v>2352</v>
      </c>
      <c r="F5" s="8">
        <f>E5*8.73</f>
        <v>20532.960000000003</v>
      </c>
      <c r="G5" s="7">
        <v>42620</v>
      </c>
      <c r="H5" s="7">
        <v>42622</v>
      </c>
      <c r="I5" s="76">
        <f>H5+30</f>
        <v>42652</v>
      </c>
      <c r="J5" s="8"/>
      <c r="K5" s="8"/>
      <c r="L5" s="67"/>
    </row>
    <row r="6" spans="1:12">
      <c r="A6" s="17">
        <v>42552</v>
      </c>
      <c r="B6" s="17" t="s">
        <v>64</v>
      </c>
      <c r="C6" s="21">
        <v>678000</v>
      </c>
      <c r="D6" s="21">
        <v>2910</v>
      </c>
      <c r="E6" s="6">
        <f>ROUND(C6-D6,0)</f>
        <v>675090</v>
      </c>
      <c r="F6" s="8">
        <f>E6*8.73</f>
        <v>5893535.7000000002</v>
      </c>
      <c r="G6" s="7">
        <v>42584</v>
      </c>
      <c r="H6" s="7">
        <v>42584</v>
      </c>
      <c r="I6" s="76">
        <v>42612</v>
      </c>
      <c r="J6" s="249">
        <v>9087228</v>
      </c>
      <c r="K6" s="249">
        <f>F7+F6-J6</f>
        <v>581648.58000000007</v>
      </c>
      <c r="L6" s="71">
        <v>42642</v>
      </c>
    </row>
    <row r="7" spans="1:12">
      <c r="A7" s="17">
        <v>42583</v>
      </c>
      <c r="B7" s="17" t="s">
        <v>64</v>
      </c>
      <c r="C7" s="21">
        <v>434052</v>
      </c>
      <c r="D7" s="21">
        <v>1596</v>
      </c>
      <c r="E7" s="6">
        <f>ROUND(C7-D7,0)</f>
        <v>432456</v>
      </c>
      <c r="F7" s="77">
        <f>E7*8.73</f>
        <v>3775340.8800000004</v>
      </c>
      <c r="G7" s="7">
        <v>42618</v>
      </c>
      <c r="H7" s="7">
        <v>42621</v>
      </c>
      <c r="I7" s="76">
        <v>42643</v>
      </c>
      <c r="J7" s="250"/>
      <c r="K7" s="250"/>
      <c r="L7" s="71">
        <v>42642</v>
      </c>
    </row>
    <row r="8" spans="1:12">
      <c r="A8" s="17">
        <v>42614</v>
      </c>
      <c r="B8" s="17" t="s">
        <v>64</v>
      </c>
      <c r="C8" s="21"/>
      <c r="D8" s="21"/>
      <c r="E8" s="6">
        <f>ROUND(C8-D8,0)</f>
        <v>0</v>
      </c>
      <c r="F8" s="77">
        <f>E8*8.73</f>
        <v>0</v>
      </c>
      <c r="G8" s="7"/>
      <c r="H8" s="7"/>
      <c r="I8" s="76"/>
      <c r="J8" s="8"/>
      <c r="K8" s="8"/>
      <c r="L8" s="67"/>
    </row>
    <row r="9" spans="1:12">
      <c r="A9" s="17"/>
      <c r="B9" s="17"/>
      <c r="C9" s="21"/>
      <c r="D9" s="21"/>
      <c r="E9" s="6"/>
      <c r="F9" s="8"/>
      <c r="G9" s="7"/>
      <c r="H9" s="7"/>
      <c r="I9" s="76"/>
      <c r="J9" s="8"/>
      <c r="K9" s="8"/>
      <c r="L9" s="67"/>
    </row>
    <row r="10" spans="1:12">
      <c r="A10" s="17"/>
      <c r="B10" s="17"/>
      <c r="C10" s="21"/>
      <c r="D10" s="21"/>
      <c r="E10" s="6"/>
      <c r="F10" s="8"/>
      <c r="G10" s="7"/>
      <c r="H10" s="7"/>
      <c r="I10" s="76"/>
      <c r="J10" s="8"/>
      <c r="K10" s="8"/>
      <c r="L10" s="67"/>
    </row>
    <row r="11" spans="1:12">
      <c r="A11" s="17">
        <v>42522</v>
      </c>
      <c r="B11" s="17" t="s">
        <v>65</v>
      </c>
      <c r="C11" s="21">
        <v>4860</v>
      </c>
      <c r="D11" s="21">
        <v>1332</v>
      </c>
      <c r="E11" s="6">
        <f>C11-D11</f>
        <v>3528</v>
      </c>
      <c r="F11" s="8">
        <f>E11*8.73</f>
        <v>30799.440000000002</v>
      </c>
      <c r="G11" s="7">
        <v>42620</v>
      </c>
      <c r="H11" s="7">
        <v>42622</v>
      </c>
      <c r="I11" s="76">
        <f>H11+30</f>
        <v>42652</v>
      </c>
      <c r="J11" s="8"/>
      <c r="K11" s="8"/>
      <c r="L11" s="67"/>
    </row>
    <row r="12" spans="1:12">
      <c r="A12" s="17">
        <v>42552</v>
      </c>
      <c r="B12" s="17" t="s">
        <v>65</v>
      </c>
      <c r="C12" s="21"/>
      <c r="D12" s="21"/>
      <c r="E12" s="6">
        <f>ROUND(C12-D12,0)</f>
        <v>0</v>
      </c>
      <c r="F12" s="8">
        <f>E12*8.73</f>
        <v>0</v>
      </c>
      <c r="G12" s="7">
        <v>42584</v>
      </c>
      <c r="H12" s="7"/>
      <c r="I12" s="76">
        <v>42612</v>
      </c>
      <c r="J12" s="249"/>
      <c r="K12" s="249"/>
      <c r="L12" s="71"/>
    </row>
    <row r="13" spans="1:12">
      <c r="A13" s="17">
        <v>42583</v>
      </c>
      <c r="B13" s="17" t="s">
        <v>65</v>
      </c>
      <c r="C13" s="21"/>
      <c r="D13" s="21"/>
      <c r="E13" s="6">
        <f>F13/8.73</f>
        <v>648683.96334478806</v>
      </c>
      <c r="F13" s="77">
        <v>5663011</v>
      </c>
      <c r="G13" s="7">
        <v>42618</v>
      </c>
      <c r="H13" s="7">
        <v>42621</v>
      </c>
      <c r="I13" s="76">
        <v>42643</v>
      </c>
      <c r="J13" s="250"/>
      <c r="K13" s="250"/>
      <c r="L13" s="71"/>
    </row>
    <row r="14" spans="1:12">
      <c r="A14" s="17">
        <v>42614</v>
      </c>
      <c r="B14" s="17" t="s">
        <v>65</v>
      </c>
      <c r="C14" s="21"/>
      <c r="D14" s="21"/>
      <c r="E14" s="6">
        <f>ROUND(C14-D14,0)</f>
        <v>0</v>
      </c>
      <c r="F14" s="77">
        <f>E14*8.73</f>
        <v>0</v>
      </c>
      <c r="G14" s="7"/>
      <c r="H14" s="7"/>
      <c r="I14" s="76"/>
      <c r="J14" s="8"/>
      <c r="K14" s="8"/>
      <c r="L14" s="67"/>
    </row>
    <row r="15" spans="1:12">
      <c r="A15" s="17"/>
      <c r="B15" s="17"/>
      <c r="C15" s="21"/>
      <c r="D15" s="21"/>
      <c r="E15" s="6"/>
      <c r="F15" s="8"/>
      <c r="G15" s="7"/>
      <c r="H15" s="7"/>
      <c r="I15" s="76"/>
      <c r="J15" s="8"/>
      <c r="K15" s="8"/>
      <c r="L15" s="67"/>
    </row>
    <row r="16" spans="1:12">
      <c r="A16" s="2" t="s">
        <v>10</v>
      </c>
      <c r="B16" s="2"/>
      <c r="C16" s="3">
        <f>SUM(C5:C15)</f>
        <v>1120152</v>
      </c>
      <c r="D16" s="3">
        <f t="shared" ref="D16:F16" si="0">SUM(D5:D15)</f>
        <v>6726</v>
      </c>
      <c r="E16" s="3">
        <f t="shared" si="0"/>
        <v>1762109.9633447882</v>
      </c>
      <c r="F16" s="3">
        <f t="shared" si="0"/>
        <v>15383219.98</v>
      </c>
      <c r="G16" s="3"/>
      <c r="H16" s="3"/>
      <c r="I16" s="3"/>
      <c r="J16" s="3">
        <f t="shared" ref="J16:K16" si="1">SUM(J5:J15)</f>
        <v>9087228</v>
      </c>
      <c r="K16" s="3">
        <f t="shared" si="1"/>
        <v>581648.58000000007</v>
      </c>
      <c r="L16" s="13"/>
    </row>
    <row r="17" spans="1:12">
      <c r="I17" s="22"/>
      <c r="J17" s="23"/>
      <c r="L17" s="68"/>
    </row>
    <row r="18" spans="1:12">
      <c r="A18" s="1" t="s">
        <v>52</v>
      </c>
      <c r="B18" s="1"/>
      <c r="C18" t="s">
        <v>56</v>
      </c>
      <c r="I18" t="s">
        <v>55</v>
      </c>
      <c r="J18" s="23"/>
      <c r="L18" s="68"/>
    </row>
    <row r="19" spans="1:12">
      <c r="A19" s="1"/>
      <c r="B19" s="1"/>
      <c r="C19" t="s">
        <v>57</v>
      </c>
      <c r="I19" t="s">
        <v>61</v>
      </c>
      <c r="J19" s="23"/>
      <c r="L19" s="68"/>
    </row>
    <row r="20" spans="1:12">
      <c r="A20" s="1" t="s">
        <v>53</v>
      </c>
      <c r="B20" s="1"/>
      <c r="C20" t="s">
        <v>59</v>
      </c>
      <c r="J20" s="23"/>
      <c r="L20" s="68"/>
    </row>
    <row r="21" spans="1:12">
      <c r="A21" s="1"/>
      <c r="B21" s="1"/>
      <c r="C21" t="s">
        <v>60</v>
      </c>
      <c r="J21" s="23"/>
      <c r="L21" s="68"/>
    </row>
    <row r="22" spans="1:12">
      <c r="A22" s="1" t="s">
        <v>54</v>
      </c>
      <c r="B22" s="1"/>
      <c r="C22" t="s">
        <v>58</v>
      </c>
      <c r="J22" s="23"/>
      <c r="L22" s="68"/>
    </row>
    <row r="23" spans="1:12">
      <c r="A23" s="1"/>
      <c r="B23" s="1"/>
      <c r="J23" s="23"/>
      <c r="L23" s="68"/>
    </row>
    <row r="24" spans="1:12" ht="18">
      <c r="A24" s="75" t="s">
        <v>49</v>
      </c>
      <c r="B24" s="75"/>
    </row>
    <row r="26" spans="1:12" ht="28.8">
      <c r="A26" s="3" t="s">
        <v>25</v>
      </c>
      <c r="B26" s="62" t="s">
        <v>63</v>
      </c>
      <c r="C26" s="3" t="s">
        <v>1</v>
      </c>
      <c r="D26" s="3" t="s">
        <v>2</v>
      </c>
      <c r="E26" s="3" t="s">
        <v>3</v>
      </c>
      <c r="F26" s="3" t="s">
        <v>4</v>
      </c>
      <c r="G26" s="3" t="s">
        <v>5</v>
      </c>
      <c r="H26" s="63" t="s">
        <v>47</v>
      </c>
      <c r="I26" s="3" t="s">
        <v>6</v>
      </c>
      <c r="J26" s="3" t="s">
        <v>7</v>
      </c>
      <c r="K26" s="3" t="s">
        <v>8</v>
      </c>
      <c r="L26" s="13" t="s">
        <v>9</v>
      </c>
    </row>
    <row r="27" spans="1:12">
      <c r="A27" s="17">
        <v>42522</v>
      </c>
      <c r="B27" s="17" t="s">
        <v>64</v>
      </c>
      <c r="C27" s="21">
        <v>558</v>
      </c>
      <c r="D27" s="21">
        <v>1404</v>
      </c>
      <c r="E27" s="6">
        <f>ROUND(C27-D27,0)</f>
        <v>-846</v>
      </c>
      <c r="F27" s="8">
        <f>E27*8.73</f>
        <v>-7385.58</v>
      </c>
      <c r="G27" s="7">
        <v>42620</v>
      </c>
      <c r="H27" s="7">
        <v>42622</v>
      </c>
      <c r="I27" s="76">
        <f>H27+30</f>
        <v>42652</v>
      </c>
      <c r="J27" s="78"/>
      <c r="K27" s="78"/>
      <c r="L27" s="79"/>
    </row>
    <row r="28" spans="1:12">
      <c r="A28" s="17">
        <v>42552</v>
      </c>
      <c r="B28" s="17" t="s">
        <v>64</v>
      </c>
      <c r="C28" s="21">
        <v>671310</v>
      </c>
      <c r="D28" s="21">
        <v>4365</v>
      </c>
      <c r="E28" s="6">
        <f>ROUND(C28-D28,0)</f>
        <v>666945</v>
      </c>
      <c r="F28" s="8">
        <f>E28*8.73</f>
        <v>5822429.8500000006</v>
      </c>
      <c r="G28" s="7">
        <v>42584</v>
      </c>
      <c r="H28" s="7">
        <v>42584</v>
      </c>
      <c r="I28" s="76">
        <v>42612</v>
      </c>
      <c r="J28" s="249">
        <v>10620824</v>
      </c>
      <c r="K28" s="249">
        <f>F29+F28-J28</f>
        <v>45760.63000000082</v>
      </c>
      <c r="L28" s="71">
        <v>42642</v>
      </c>
    </row>
    <row r="29" spans="1:12">
      <c r="A29" s="17">
        <v>42583</v>
      </c>
      <c r="B29" s="17" t="s">
        <v>64</v>
      </c>
      <c r="C29" s="18">
        <v>557928</v>
      </c>
      <c r="D29" s="18">
        <v>3042</v>
      </c>
      <c r="E29" s="6">
        <f>ROUND(C29-D29,0)</f>
        <v>554886</v>
      </c>
      <c r="F29" s="77">
        <f>E29*8.73</f>
        <v>4844154.78</v>
      </c>
      <c r="G29" s="7">
        <v>42618</v>
      </c>
      <c r="H29" s="7">
        <v>42621</v>
      </c>
      <c r="I29" s="76">
        <v>42643</v>
      </c>
      <c r="J29" s="250"/>
      <c r="K29" s="250"/>
      <c r="L29" s="71">
        <v>42642</v>
      </c>
    </row>
    <row r="30" spans="1:12">
      <c r="A30" s="17">
        <v>42614</v>
      </c>
      <c r="B30" s="17" t="s">
        <v>64</v>
      </c>
      <c r="C30" s="18"/>
      <c r="D30" s="18"/>
      <c r="E30" s="6">
        <f>ROUND(C30-D30,0)</f>
        <v>0</v>
      </c>
      <c r="F30" s="77">
        <f>E30*8.73</f>
        <v>0</v>
      </c>
      <c r="G30" s="7"/>
      <c r="H30" s="7"/>
      <c r="I30" s="76"/>
      <c r="J30" s="65"/>
      <c r="K30" s="65"/>
      <c r="L30" s="71"/>
    </row>
    <row r="31" spans="1:12">
      <c r="A31" s="17"/>
      <c r="B31" s="33"/>
      <c r="C31" s="18"/>
      <c r="D31" s="18"/>
      <c r="E31" s="6"/>
      <c r="F31" s="77"/>
      <c r="G31" s="7"/>
      <c r="H31" s="7"/>
      <c r="I31" s="76"/>
      <c r="J31" s="65"/>
      <c r="K31" s="65"/>
      <c r="L31" s="71"/>
    </row>
    <row r="32" spans="1:12">
      <c r="A32" s="17"/>
      <c r="B32" s="33"/>
      <c r="C32" s="18"/>
      <c r="D32" s="18"/>
      <c r="E32" s="6"/>
      <c r="F32" s="77"/>
      <c r="G32" s="7"/>
      <c r="H32" s="7"/>
      <c r="I32" s="76"/>
      <c r="J32" s="65"/>
      <c r="K32" s="65"/>
      <c r="L32" s="71"/>
    </row>
    <row r="33" spans="1:12">
      <c r="A33" s="17"/>
      <c r="B33" s="33"/>
      <c r="C33" s="18"/>
      <c r="D33" s="18"/>
      <c r="E33" s="6"/>
      <c r="F33" s="77"/>
      <c r="G33" s="7"/>
      <c r="H33" s="7"/>
      <c r="I33" s="76"/>
      <c r="J33" s="65"/>
      <c r="K33" s="65"/>
      <c r="L33" s="71"/>
    </row>
    <row r="34" spans="1:12">
      <c r="A34" s="17">
        <v>42522</v>
      </c>
      <c r="B34" s="17" t="s">
        <v>65</v>
      </c>
      <c r="C34" s="18">
        <v>837</v>
      </c>
      <c r="D34" s="18">
        <v>2106</v>
      </c>
      <c r="E34" s="6">
        <f>ROUND(C34-D34,0)</f>
        <v>-1269</v>
      </c>
      <c r="F34" s="8">
        <f>E34*8.73</f>
        <v>-11078.37</v>
      </c>
      <c r="G34" s="7">
        <v>42620</v>
      </c>
      <c r="H34" s="7">
        <v>42622</v>
      </c>
      <c r="I34" s="76">
        <f>H34+30</f>
        <v>42652</v>
      </c>
      <c r="J34" s="65"/>
      <c r="K34" s="65"/>
      <c r="L34" s="71"/>
    </row>
    <row r="35" spans="1:12">
      <c r="A35" s="17">
        <v>42552</v>
      </c>
      <c r="B35" s="17" t="s">
        <v>65</v>
      </c>
      <c r="C35" s="21"/>
      <c r="D35" s="21"/>
      <c r="E35" s="6">
        <f>ROUND(C35-D35,0)</f>
        <v>0</v>
      </c>
      <c r="F35" s="8">
        <f>E35*8.73</f>
        <v>0</v>
      </c>
      <c r="G35" s="7">
        <v>42584</v>
      </c>
      <c r="H35" s="7"/>
      <c r="I35" s="76">
        <v>42612</v>
      </c>
      <c r="J35" s="249"/>
      <c r="K35" s="249"/>
      <c r="L35" s="71" t="s">
        <v>62</v>
      </c>
    </row>
    <row r="36" spans="1:12">
      <c r="A36" s="17">
        <v>42583</v>
      </c>
      <c r="B36" s="17" t="s">
        <v>65</v>
      </c>
      <c r="C36" s="18"/>
      <c r="D36" s="18"/>
      <c r="E36" s="6">
        <f>F36/8.73</f>
        <v>832328.98052691866</v>
      </c>
      <c r="F36" s="77">
        <v>7266232</v>
      </c>
      <c r="G36" s="7">
        <v>42618</v>
      </c>
      <c r="H36" s="7">
        <v>42621</v>
      </c>
      <c r="I36" s="76">
        <v>42643</v>
      </c>
      <c r="J36" s="250"/>
      <c r="K36" s="250"/>
      <c r="L36" s="71" t="s">
        <v>62</v>
      </c>
    </row>
    <row r="37" spans="1:12">
      <c r="A37" s="17">
        <v>42614</v>
      </c>
      <c r="B37" s="17" t="s">
        <v>65</v>
      </c>
      <c r="C37" s="18"/>
      <c r="D37" s="18"/>
      <c r="E37" s="6">
        <f>ROUND(C37-D37,0)</f>
        <v>0</v>
      </c>
      <c r="F37" s="77">
        <f>E37*8.73</f>
        <v>0</v>
      </c>
      <c r="G37" s="7"/>
      <c r="H37" s="7"/>
      <c r="I37" s="76"/>
      <c r="J37" s="65"/>
      <c r="K37" s="65"/>
      <c r="L37" s="71"/>
    </row>
    <row r="38" spans="1:12">
      <c r="A38" s="17"/>
      <c r="B38" s="33"/>
      <c r="C38" s="18"/>
      <c r="D38" s="18"/>
      <c r="E38" s="6"/>
      <c r="F38" s="77"/>
      <c r="G38" s="7"/>
      <c r="H38" s="7"/>
      <c r="I38" s="76"/>
      <c r="J38" s="65"/>
      <c r="K38" s="65"/>
      <c r="L38" s="71"/>
    </row>
    <row r="39" spans="1:12">
      <c r="A39" s="17"/>
      <c r="B39" s="17"/>
      <c r="C39" s="21"/>
      <c r="D39" s="21"/>
      <c r="E39" s="6"/>
      <c r="F39" s="8"/>
      <c r="G39" s="7"/>
      <c r="H39" s="7"/>
      <c r="I39" s="76"/>
      <c r="J39" s="65"/>
      <c r="K39" s="65"/>
      <c r="L39" s="69"/>
    </row>
    <row r="40" spans="1:12">
      <c r="A40" s="2" t="s">
        <v>10</v>
      </c>
      <c r="B40" s="2"/>
      <c r="C40" s="3">
        <f>SUM(C27:C39)</f>
        <v>1230633</v>
      </c>
      <c r="D40" s="3">
        <f t="shared" ref="D40:F40" si="2">SUM(D27:D39)</f>
        <v>10917</v>
      </c>
      <c r="E40" s="3">
        <f t="shared" si="2"/>
        <v>2052044.9805269185</v>
      </c>
      <c r="F40" s="3">
        <f t="shared" si="2"/>
        <v>17914352.68</v>
      </c>
      <c r="G40" s="3"/>
      <c r="H40" s="3"/>
      <c r="I40" s="3"/>
      <c r="J40" s="3">
        <f t="shared" ref="J40:K40" si="3">SUM(J27:J39)</f>
        <v>10620824</v>
      </c>
      <c r="K40" s="3">
        <f t="shared" si="3"/>
        <v>45760.63000000082</v>
      </c>
      <c r="L40" s="13"/>
    </row>
    <row r="41" spans="1:12">
      <c r="C41" s="34"/>
      <c r="D41" s="34"/>
      <c r="E41" s="34"/>
      <c r="F41" s="34"/>
      <c r="G41" s="34"/>
      <c r="H41" s="34"/>
      <c r="I41" s="34"/>
      <c r="J41" s="34"/>
      <c r="K41" s="34"/>
      <c r="L41" s="70"/>
    </row>
    <row r="42" spans="1:12">
      <c r="F42" s="32"/>
    </row>
    <row r="43" spans="1:12">
      <c r="A43" s="1" t="s">
        <v>52</v>
      </c>
      <c r="B43" s="1"/>
      <c r="C43" t="s">
        <v>56</v>
      </c>
      <c r="I43" t="s">
        <v>55</v>
      </c>
    </row>
    <row r="44" spans="1:12">
      <c r="A44" s="1"/>
      <c r="B44" s="1"/>
      <c r="C44" t="s">
        <v>57</v>
      </c>
      <c r="I44" t="s">
        <v>61</v>
      </c>
    </row>
    <row r="45" spans="1:12">
      <c r="A45" s="1" t="s">
        <v>53</v>
      </c>
      <c r="B45" s="1"/>
      <c r="C45" t="s">
        <v>59</v>
      </c>
    </row>
    <row r="46" spans="1:12">
      <c r="A46" s="1"/>
      <c r="B46" s="1"/>
      <c r="C46" t="s">
        <v>60</v>
      </c>
    </row>
    <row r="47" spans="1:12">
      <c r="A47" s="1" t="s">
        <v>54</v>
      </c>
      <c r="B47" s="1"/>
      <c r="C47" t="s">
        <v>58</v>
      </c>
    </row>
  </sheetData>
  <mergeCells count="8">
    <mergeCell ref="J35:J36"/>
    <mergeCell ref="K35:K36"/>
    <mergeCell ref="J6:J7"/>
    <mergeCell ref="K6:K7"/>
    <mergeCell ref="J28:J29"/>
    <mergeCell ref="K28:K29"/>
    <mergeCell ref="J12:J13"/>
    <mergeCell ref="K12:K13"/>
  </mergeCells>
  <phoneticPr fontId="20"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SECI</vt:lpstr>
      <vt:lpstr>ER calculation</vt:lpstr>
      <vt:lpstr>Generation Record</vt:lpstr>
      <vt:lpstr>DGR</vt:lpstr>
      <vt:lpstr>PLF justification</vt:lpstr>
      <vt:lpstr>June Month Billing</vt:lpstr>
      <vt:lpstr>Bihar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2025-05-29T06:33:03Z</dcterms:modified>
</cp:coreProperties>
</file>