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oho WorkDrive (EnKing International)\Shared with Me\Ankit Sethiya_Ongoing Projects\P 515_GS7071\DOE &amp; Secretariat Submission\Design review\R3\"/>
    </mc:Choice>
  </mc:AlternateContent>
  <xr:revisionPtr revIDLastSave="0" documentId="13_ncr:1_{08D1223C-2B3A-4ACF-AEB1-59431CACADA1}" xr6:coauthVersionLast="47" xr6:coauthVersionMax="47" xr10:uidLastSave="{00000000-0000-0000-0000-000000000000}"/>
  <bookViews>
    <workbookView xWindow="-108" yWindow="-108" windowWidth="23256" windowHeight="12456" tabRatio="835" activeTab="1" xr2:uid="{00000000-000D-0000-FFFF-FFFF00000000}"/>
  </bookViews>
  <sheets>
    <sheet name="Project Cost" sheetId="1" r:id="rId1"/>
    <sheet name="Assumption" sheetId="2" r:id="rId2"/>
    <sheet name="P&amp;L Stat." sheetId="4" r:id="rId3"/>
    <sheet name="Sensitivity" sheetId="6" r:id="rId4"/>
    <sheet name="Benchmark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C17" i="1"/>
  <c r="C14" i="1"/>
  <c r="J6" i="1" l="1"/>
  <c r="J7" i="1"/>
  <c r="I21" i="1"/>
  <c r="C16" i="2" l="1"/>
  <c r="D15" i="1" l="1"/>
  <c r="C15" i="1"/>
  <c r="C9" i="2" l="1"/>
  <c r="C10" i="2" l="1"/>
  <c r="E14" i="4" l="1"/>
  <c r="F14" i="4" s="1"/>
  <c r="G14" i="4" s="1"/>
  <c r="H14" i="4" s="1"/>
  <c r="I14" i="4" s="1"/>
  <c r="J14" i="4" s="1"/>
  <c r="K14" i="4" s="1"/>
  <c r="L14" i="4" s="1"/>
  <c r="M14" i="4" s="1"/>
  <c r="N14" i="4" s="1"/>
  <c r="O14" i="4" s="1"/>
  <c r="P14" i="4" s="1"/>
  <c r="Q14" i="4" s="1"/>
  <c r="R14" i="4" s="1"/>
  <c r="S14" i="4" s="1"/>
  <c r="T14" i="4" s="1"/>
  <c r="U14" i="4" s="1"/>
  <c r="V14" i="4" s="1"/>
  <c r="W14" i="4" s="1"/>
  <c r="X14" i="4" s="1"/>
  <c r="Y14" i="4" s="1"/>
  <c r="Z14" i="4" s="1"/>
  <c r="AA14" i="4" s="1"/>
  <c r="AB14" i="4" s="1"/>
  <c r="AC14" i="4" s="1"/>
  <c r="B2" i="2" l="1"/>
  <c r="D9" i="4"/>
  <c r="E9" i="4" s="1"/>
  <c r="F9" i="4" s="1"/>
  <c r="G9" i="4" s="1"/>
  <c r="H9" i="4" s="1"/>
  <c r="I9" i="4" s="1"/>
  <c r="J9" i="4" s="1"/>
  <c r="K9" i="4" s="1"/>
  <c r="L9" i="4" s="1"/>
  <c r="M9" i="4" s="1"/>
  <c r="N9" i="4" s="1"/>
  <c r="O9" i="4" s="1"/>
  <c r="P9" i="4" s="1"/>
  <c r="Q9" i="4" s="1"/>
  <c r="R9" i="4" s="1"/>
  <c r="S9" i="4" s="1"/>
  <c r="T9" i="4" s="1"/>
  <c r="U9" i="4" s="1"/>
  <c r="V9" i="4" s="1"/>
  <c r="W9" i="4" s="1"/>
  <c r="X9" i="4" s="1"/>
  <c r="Y9" i="4" s="1"/>
  <c r="Z9" i="4" s="1"/>
  <c r="AA9" i="4" s="1"/>
  <c r="AB9" i="4" s="1"/>
  <c r="AC9" i="4" s="1"/>
  <c r="S69" i="4" l="1"/>
  <c r="T69" i="4"/>
  <c r="U69" i="4"/>
  <c r="V69" i="4"/>
  <c r="W69" i="4"/>
  <c r="X69" i="4"/>
  <c r="Y69" i="4"/>
  <c r="Z69" i="4"/>
  <c r="AA69" i="4"/>
  <c r="AB69" i="4"/>
  <c r="AC69" i="4"/>
  <c r="Y35" i="4"/>
  <c r="Z35" i="4"/>
  <c r="AA35" i="4"/>
  <c r="AB35" i="4"/>
  <c r="AC35" i="4"/>
  <c r="Y10" i="4"/>
  <c r="AB10" i="4" l="1"/>
  <c r="Z10" i="4"/>
  <c r="AC10" i="4"/>
  <c r="AA10" i="4"/>
  <c r="E79" i="4"/>
  <c r="E78" i="4"/>
  <c r="C8" i="2" l="1"/>
  <c r="R92" i="4" l="1"/>
  <c r="T92" i="4" s="1"/>
  <c r="V92" i="4" s="1"/>
  <c r="X92" i="4" s="1"/>
  <c r="Z92" i="4" s="1"/>
  <c r="AB92" i="4" s="1"/>
  <c r="AD92" i="4" s="1"/>
  <c r="AF92" i="4" s="1"/>
  <c r="AH92" i="4" s="1"/>
  <c r="AJ92" i="4" s="1"/>
  <c r="AL92" i="4" s="1"/>
  <c r="AN92" i="4" s="1"/>
  <c r="AP92" i="4" s="1"/>
  <c r="AR92" i="4" s="1"/>
  <c r="C33" i="2" l="1"/>
  <c r="C11" i="11" l="1"/>
  <c r="C12" i="11" s="1"/>
  <c r="D6" i="11" s="1"/>
  <c r="E13" i="6" l="1"/>
  <c r="E3" i="2" s="1"/>
  <c r="X35" i="4"/>
  <c r="W35" i="4"/>
  <c r="V35" i="4"/>
  <c r="U35" i="4"/>
  <c r="T35" i="4"/>
  <c r="S35" i="4"/>
  <c r="D101" i="4"/>
  <c r="D100" i="4"/>
  <c r="D98" i="4"/>
  <c r="D99" i="4" s="1"/>
  <c r="D102" i="4" l="1"/>
  <c r="D20" i="4" l="1"/>
  <c r="E20" i="4" s="1"/>
  <c r="F20" i="4" s="1"/>
  <c r="G20" i="4" s="1"/>
  <c r="H20" i="4" s="1"/>
  <c r="I20" i="4" s="1"/>
  <c r="J20" i="4" s="1"/>
  <c r="K20" i="4" s="1"/>
  <c r="L20" i="4" s="1"/>
  <c r="M20" i="4" s="1"/>
  <c r="N20" i="4" l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C14" i="2"/>
  <c r="C11" i="2" l="1"/>
  <c r="C46" i="2"/>
  <c r="C35" i="2" l="1"/>
  <c r="D103" i="4"/>
  <c r="D105" i="4" l="1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D10" i="4"/>
  <c r="C2" i="4" l="1"/>
  <c r="C2" i="6" l="1"/>
  <c r="C6" i="4" l="1"/>
  <c r="D6" i="4" l="1"/>
  <c r="D83" i="4"/>
  <c r="F83" i="4" s="1"/>
  <c r="D126" i="4" l="1"/>
  <c r="D120" i="4"/>
  <c r="D114" i="4"/>
  <c r="D108" i="4"/>
  <c r="D11" i="4"/>
  <c r="D84" i="4"/>
  <c r="D81" i="4" s="1"/>
  <c r="E6" i="4"/>
  <c r="F6" i="4" s="1"/>
  <c r="E84" i="4"/>
  <c r="H83" i="4"/>
  <c r="D7" i="4"/>
  <c r="E7" i="4" l="1"/>
  <c r="F7" i="4" s="1"/>
  <c r="F126" i="4"/>
  <c r="F120" i="4"/>
  <c r="F114" i="4"/>
  <c r="F108" i="4"/>
  <c r="E126" i="4"/>
  <c r="E120" i="4"/>
  <c r="E114" i="4"/>
  <c r="E108" i="4"/>
  <c r="D12" i="4"/>
  <c r="D13" i="4" s="1"/>
  <c r="E83" i="4"/>
  <c r="G83" i="4" s="1"/>
  <c r="F84" i="4" s="1"/>
  <c r="E81" i="4" s="1"/>
  <c r="D86" i="4"/>
  <c r="E11" i="4"/>
  <c r="J83" i="4"/>
  <c r="G84" i="4"/>
  <c r="F11" i="4"/>
  <c r="G6" i="4"/>
  <c r="G126" i="4" l="1"/>
  <c r="G120" i="4"/>
  <c r="G114" i="4"/>
  <c r="G108" i="4"/>
  <c r="D15" i="4"/>
  <c r="G86" i="4"/>
  <c r="E86" i="4"/>
  <c r="E88" i="4" s="1"/>
  <c r="I83" i="4"/>
  <c r="H84" i="4" s="1"/>
  <c r="G81" i="4" s="1"/>
  <c r="F12" i="4"/>
  <c r="F13" i="4" s="1"/>
  <c r="F15" i="4" s="1"/>
  <c r="F18" i="4" s="1"/>
  <c r="E12" i="4"/>
  <c r="E13" i="4" s="1"/>
  <c r="L83" i="4"/>
  <c r="I84" i="4"/>
  <c r="F86" i="4"/>
  <c r="G11" i="4"/>
  <c r="H6" i="4"/>
  <c r="G7" i="4"/>
  <c r="D18" i="4" l="1"/>
  <c r="G88" i="4"/>
  <c r="H126" i="4"/>
  <c r="H120" i="4"/>
  <c r="H114" i="4"/>
  <c r="H108" i="4"/>
  <c r="K83" i="4"/>
  <c r="M83" i="4" s="1"/>
  <c r="E15" i="4"/>
  <c r="I86" i="4"/>
  <c r="G12" i="4"/>
  <c r="G13" i="4" s="1"/>
  <c r="G15" i="4" s="1"/>
  <c r="G18" i="4" s="1"/>
  <c r="N83" i="4"/>
  <c r="K84" i="4"/>
  <c r="H11" i="4"/>
  <c r="I6" i="4"/>
  <c r="H86" i="4"/>
  <c r="H7" i="4"/>
  <c r="D22" i="4" l="1"/>
  <c r="D24" i="4" s="1"/>
  <c r="E18" i="4"/>
  <c r="J84" i="4"/>
  <c r="I81" i="4" s="1"/>
  <c r="I126" i="4"/>
  <c r="I120" i="4"/>
  <c r="I114" i="4"/>
  <c r="I108" i="4"/>
  <c r="K86" i="4"/>
  <c r="I88" i="4"/>
  <c r="F22" i="4"/>
  <c r="H12" i="4"/>
  <c r="H13" i="4" s="1"/>
  <c r="H15" i="4" s="1"/>
  <c r="H18" i="4" s="1"/>
  <c r="M84" i="4"/>
  <c r="M86" i="4" s="1"/>
  <c r="P83" i="4"/>
  <c r="L84" i="4"/>
  <c r="K81" i="4" s="1"/>
  <c r="O83" i="4"/>
  <c r="I7" i="4"/>
  <c r="I11" i="4"/>
  <c r="J6" i="4"/>
  <c r="E22" i="4" l="1"/>
  <c r="E24" i="4" s="1"/>
  <c r="J86" i="4"/>
  <c r="K88" i="4" s="1"/>
  <c r="F24" i="4"/>
  <c r="J126" i="4"/>
  <c r="J120" i="4"/>
  <c r="J114" i="4"/>
  <c r="J108" i="4"/>
  <c r="G22" i="4"/>
  <c r="I12" i="4"/>
  <c r="I13" i="4" s="1"/>
  <c r="I15" i="4" s="1"/>
  <c r="I18" i="4" s="1"/>
  <c r="N84" i="4"/>
  <c r="M81" i="4" s="1"/>
  <c r="Q83" i="4"/>
  <c r="R83" i="4"/>
  <c r="O84" i="4"/>
  <c r="O86" i="4" s="1"/>
  <c r="L86" i="4"/>
  <c r="J7" i="4"/>
  <c r="J11" i="4"/>
  <c r="K6" i="4"/>
  <c r="G24" i="4" l="1"/>
  <c r="K126" i="4"/>
  <c r="K120" i="4"/>
  <c r="K114" i="4"/>
  <c r="K108" i="4"/>
  <c r="H22" i="4"/>
  <c r="J12" i="4"/>
  <c r="J13" i="4" s="1"/>
  <c r="J15" i="4" s="1"/>
  <c r="J18" i="4" s="1"/>
  <c r="T83" i="4"/>
  <c r="Q84" i="4"/>
  <c r="Q86" i="4" s="1"/>
  <c r="P84" i="4"/>
  <c r="O81" i="4" s="1"/>
  <c r="S83" i="4"/>
  <c r="K7" i="4"/>
  <c r="N86" i="4"/>
  <c r="K11" i="4"/>
  <c r="L6" i="4"/>
  <c r="M88" i="4"/>
  <c r="H24" i="4" l="1"/>
  <c r="L126" i="4"/>
  <c r="L120" i="4"/>
  <c r="L114" i="4"/>
  <c r="L108" i="4"/>
  <c r="I22" i="4"/>
  <c r="I24" i="4" s="1"/>
  <c r="K12" i="4"/>
  <c r="K13" i="4" s="1"/>
  <c r="K15" i="4" s="1"/>
  <c r="K18" i="4" s="1"/>
  <c r="S84" i="4"/>
  <c r="S86" i="4" s="1"/>
  <c r="V83" i="4"/>
  <c r="R84" i="4"/>
  <c r="Q81" i="4" s="1"/>
  <c r="U83" i="4"/>
  <c r="L7" i="4"/>
  <c r="L11" i="4"/>
  <c r="M6" i="4"/>
  <c r="P86" i="4"/>
  <c r="O88" i="4"/>
  <c r="M126" i="4" l="1"/>
  <c r="M120" i="4"/>
  <c r="M114" i="4"/>
  <c r="M108" i="4"/>
  <c r="J22" i="4"/>
  <c r="J24" i="4" s="1"/>
  <c r="L12" i="4"/>
  <c r="L13" i="4" s="1"/>
  <c r="L15" i="4" s="1"/>
  <c r="L18" i="4" s="1"/>
  <c r="T84" i="4"/>
  <c r="S81" i="4" s="1"/>
  <c r="W83" i="4"/>
  <c r="U84" i="4"/>
  <c r="U86" i="4" s="1"/>
  <c r="X83" i="4"/>
  <c r="M11" i="4"/>
  <c r="N6" i="4"/>
  <c r="R86" i="4"/>
  <c r="S88" i="4" s="1"/>
  <c r="M7" i="4"/>
  <c r="Q88" i="4"/>
  <c r="N126" i="4" l="1"/>
  <c r="N120" i="4"/>
  <c r="N114" i="4"/>
  <c r="N108" i="4"/>
  <c r="K22" i="4"/>
  <c r="K24" i="4" s="1"/>
  <c r="M12" i="4"/>
  <c r="M13" i="4" s="1"/>
  <c r="M15" i="4" s="1"/>
  <c r="M18" i="4" s="1"/>
  <c r="W84" i="4"/>
  <c r="W86" i="4" s="1"/>
  <c r="Z83" i="4"/>
  <c r="V84" i="4"/>
  <c r="U81" i="4" s="1"/>
  <c r="Y83" i="4"/>
  <c r="T86" i="4"/>
  <c r="U88" i="4" s="1"/>
  <c r="N11" i="4"/>
  <c r="O6" i="4"/>
  <c r="N7" i="4"/>
  <c r="O126" i="4" l="1"/>
  <c r="O120" i="4"/>
  <c r="O114" i="4"/>
  <c r="O108" i="4"/>
  <c r="L22" i="4"/>
  <c r="L24" i="4" s="1"/>
  <c r="N12" i="4"/>
  <c r="N13" i="4" s="1"/>
  <c r="X84" i="4"/>
  <c r="W81" i="4" s="1"/>
  <c r="AA83" i="4"/>
  <c r="AB83" i="4"/>
  <c r="Y84" i="4"/>
  <c r="Y86" i="4" s="1"/>
  <c r="V86" i="4"/>
  <c r="W88" i="4" s="1"/>
  <c r="O7" i="4"/>
  <c r="O11" i="4"/>
  <c r="P6" i="4"/>
  <c r="P126" i="4" l="1"/>
  <c r="P114" i="4"/>
  <c r="P120" i="4"/>
  <c r="P108" i="4"/>
  <c r="N15" i="4"/>
  <c r="M22" i="4"/>
  <c r="M24" i="4" s="1"/>
  <c r="O12" i="4"/>
  <c r="O13" i="4" s="1"/>
  <c r="AA84" i="4"/>
  <c r="AA86" i="4" s="1"/>
  <c r="AD83" i="4"/>
  <c r="Z84" i="4"/>
  <c r="Y81" i="4" s="1"/>
  <c r="AC83" i="4"/>
  <c r="Q6" i="4"/>
  <c r="P11" i="4"/>
  <c r="P7" i="4"/>
  <c r="X86" i="4"/>
  <c r="Q126" i="4" l="1"/>
  <c r="Q114" i="4"/>
  <c r="Q120" i="4"/>
  <c r="Q108" i="4"/>
  <c r="N18" i="4"/>
  <c r="O15" i="4"/>
  <c r="O18" i="4" s="1"/>
  <c r="P12" i="4"/>
  <c r="P13" i="4" s="1"/>
  <c r="AB84" i="4"/>
  <c r="AA81" i="4" s="1"/>
  <c r="AE83" i="4"/>
  <c r="AF83" i="4"/>
  <c r="AC84" i="4"/>
  <c r="AC86" i="4" s="1"/>
  <c r="Z86" i="4"/>
  <c r="AA88" i="4" s="1"/>
  <c r="Q7" i="4"/>
  <c r="Y88" i="4"/>
  <c r="R6" i="4"/>
  <c r="Q11" i="4"/>
  <c r="R126" i="4" l="1"/>
  <c r="R114" i="4"/>
  <c r="R120" i="4"/>
  <c r="R108" i="4"/>
  <c r="N22" i="4"/>
  <c r="N24" i="4" s="1"/>
  <c r="O22" i="4"/>
  <c r="P15" i="4"/>
  <c r="Q12" i="4"/>
  <c r="Q13" i="4" s="1"/>
  <c r="AE84" i="4"/>
  <c r="AE86" i="4" s="1"/>
  <c r="AH83" i="4"/>
  <c r="AD84" i="4"/>
  <c r="AC81" i="4" s="1"/>
  <c r="AG83" i="4"/>
  <c r="R11" i="4"/>
  <c r="S6" i="4"/>
  <c r="AB86" i="4"/>
  <c r="AC88" i="4" s="1"/>
  <c r="R7" i="4"/>
  <c r="P18" i="4" l="1"/>
  <c r="P22" i="4" s="1"/>
  <c r="P24" i="4" s="1"/>
  <c r="O24" i="4"/>
  <c r="Q15" i="4"/>
  <c r="R12" i="4"/>
  <c r="R13" i="4" s="1"/>
  <c r="AF84" i="4"/>
  <c r="AE81" i="4" s="1"/>
  <c r="AI83" i="4"/>
  <c r="AJ83" i="4"/>
  <c r="AG84" i="4"/>
  <c r="AG86" i="4" s="1"/>
  <c r="AD86" i="4"/>
  <c r="AE88" i="4" s="1"/>
  <c r="T6" i="4"/>
  <c r="S11" i="4"/>
  <c r="S7" i="4"/>
  <c r="Q18" i="4" l="1"/>
  <c r="Q22" i="4" s="1"/>
  <c r="Q24" i="4" s="1"/>
  <c r="R15" i="4"/>
  <c r="S12" i="4"/>
  <c r="S13" i="4" s="1"/>
  <c r="AL83" i="4"/>
  <c r="AI84" i="4"/>
  <c r="AI86" i="4" s="1"/>
  <c r="AH84" i="4"/>
  <c r="AG81" i="4" s="1"/>
  <c r="AK83" i="4"/>
  <c r="AF86" i="4"/>
  <c r="AG88" i="4" s="1"/>
  <c r="U6" i="4"/>
  <c r="T11" i="4"/>
  <c r="T7" i="4"/>
  <c r="R18" i="4" l="1"/>
  <c r="R22" i="4" s="1"/>
  <c r="R24" i="4" s="1"/>
  <c r="S15" i="4"/>
  <c r="T12" i="4"/>
  <c r="T13" i="4" s="1"/>
  <c r="AN83" i="4"/>
  <c r="AK84" i="4"/>
  <c r="AK86" i="4" s="1"/>
  <c r="AJ84" i="4"/>
  <c r="AI81" i="4" s="1"/>
  <c r="AM83" i="4"/>
  <c r="AH86" i="4"/>
  <c r="AI88" i="4" s="1"/>
  <c r="T48" i="4"/>
  <c r="U7" i="4"/>
  <c r="U11" i="4"/>
  <c r="V6" i="4"/>
  <c r="S18" i="4" l="1"/>
  <c r="S22" i="4" s="1"/>
  <c r="S24" i="4" s="1"/>
  <c r="T15" i="4"/>
  <c r="U12" i="4"/>
  <c r="U13" i="4" s="1"/>
  <c r="AM84" i="4"/>
  <c r="AM86" i="4" s="1"/>
  <c r="AP83" i="4"/>
  <c r="AL84" i="4"/>
  <c r="AK81" i="4" s="1"/>
  <c r="AO83" i="4"/>
  <c r="W6" i="4"/>
  <c r="X6" i="4" s="1"/>
  <c r="Y6" i="4" s="1"/>
  <c r="V11" i="4"/>
  <c r="U48" i="4"/>
  <c r="V7" i="4"/>
  <c r="AJ86" i="4"/>
  <c r="AK88" i="4" s="1"/>
  <c r="Z6" i="4" l="1"/>
  <c r="Y11" i="4"/>
  <c r="Y12" i="4" s="1"/>
  <c r="Y13" i="4" s="1"/>
  <c r="Y15" i="4" s="1"/>
  <c r="Y18" i="4" s="1"/>
  <c r="Y22" i="4" s="1"/>
  <c r="T18" i="4"/>
  <c r="T22" i="4" s="1"/>
  <c r="T24" i="4" s="1"/>
  <c r="U15" i="4"/>
  <c r="V12" i="4"/>
  <c r="V13" i="4" s="1"/>
  <c r="AN84" i="4"/>
  <c r="AM81" i="4" s="1"/>
  <c r="AQ83" i="4"/>
  <c r="AR83" i="4"/>
  <c r="AT83" i="4" s="1"/>
  <c r="AO84" i="4"/>
  <c r="AO86" i="4" s="1"/>
  <c r="AL86" i="4"/>
  <c r="V48" i="4"/>
  <c r="W7" i="4"/>
  <c r="W11" i="4"/>
  <c r="AP84" i="4" l="1"/>
  <c r="AO81" i="4" s="1"/>
  <c r="AS83" i="4"/>
  <c r="AV83" i="4"/>
  <c r="AS84" i="4"/>
  <c r="Z11" i="4"/>
  <c r="Z12" i="4" s="1"/>
  <c r="Z13" i="4" s="1"/>
  <c r="Z15" i="4" s="1"/>
  <c r="Z18" i="4" s="1"/>
  <c r="Z22" i="4" s="1"/>
  <c r="AA6" i="4"/>
  <c r="U18" i="4"/>
  <c r="U22" i="4" s="1"/>
  <c r="U24" i="4" s="1"/>
  <c r="V15" i="4"/>
  <c r="X11" i="4"/>
  <c r="W12" i="4"/>
  <c r="W13" i="4" s="1"/>
  <c r="AQ84" i="4"/>
  <c r="AQ86" i="4" s="1"/>
  <c r="AN86" i="4"/>
  <c r="AO88" i="4" s="1"/>
  <c r="W48" i="4"/>
  <c r="X7" i="4"/>
  <c r="AM88" i="4"/>
  <c r="AP86" i="4" l="1"/>
  <c r="AQ88" i="4" s="1"/>
  <c r="AS86" i="4"/>
  <c r="AR84" i="4"/>
  <c r="AU83" i="4"/>
  <c r="AX83" i="4"/>
  <c r="AU84" i="4"/>
  <c r="Y7" i="4"/>
  <c r="AA11" i="4"/>
  <c r="AB6" i="4"/>
  <c r="AC6" i="4" s="1"/>
  <c r="AC11" i="4" s="1"/>
  <c r="V18" i="4"/>
  <c r="V22" i="4" s="1"/>
  <c r="V24" i="4" s="1"/>
  <c r="X48" i="4"/>
  <c r="W15" i="4"/>
  <c r="X12" i="4"/>
  <c r="X13" i="4" s="1"/>
  <c r="AU86" i="4" l="1"/>
  <c r="AZ83" i="4"/>
  <c r="AW84" i="4"/>
  <c r="AR86" i="4"/>
  <c r="AS88" i="4" s="1"/>
  <c r="AQ81" i="4"/>
  <c r="AT84" i="4"/>
  <c r="AW83" i="4"/>
  <c r="AA12" i="4"/>
  <c r="AA13" i="4" s="1"/>
  <c r="AA15" i="4" s="1"/>
  <c r="AA18" i="4" s="1"/>
  <c r="AA22" i="4" s="1"/>
  <c r="AC12" i="4"/>
  <c r="AC13" i="4" s="1"/>
  <c r="AC15" i="4" s="1"/>
  <c r="AC18" i="4" s="1"/>
  <c r="AC22" i="4" s="1"/>
  <c r="AB11" i="4"/>
  <c r="AB12" i="4" s="1"/>
  <c r="AB13" i="4" s="1"/>
  <c r="AB15" i="4" s="1"/>
  <c r="AB18" i="4" s="1"/>
  <c r="AB22" i="4" s="1"/>
  <c r="Y48" i="4"/>
  <c r="Y24" i="4"/>
  <c r="Z7" i="4"/>
  <c r="W18" i="4"/>
  <c r="W22" i="4" s="1"/>
  <c r="W24" i="4" s="1"/>
  <c r="X15" i="4"/>
  <c r="AW86" i="4" l="1"/>
  <c r="AT86" i="4"/>
  <c r="AU88" i="4" s="1"/>
  <c r="AS81" i="4"/>
  <c r="AV84" i="4"/>
  <c r="AY83" i="4"/>
  <c r="BB83" i="4"/>
  <c r="AY84" i="4"/>
  <c r="Z24" i="4"/>
  <c r="AA7" i="4"/>
  <c r="Z48" i="4"/>
  <c r="X18" i="4"/>
  <c r="X22" i="4" s="1"/>
  <c r="X24" i="4" s="1"/>
  <c r="AY86" i="4" l="1"/>
  <c r="BD83" i="4"/>
  <c r="BA84" i="4"/>
  <c r="AV86" i="4"/>
  <c r="AW88" i="4" s="1"/>
  <c r="AU81" i="4"/>
  <c r="AX84" i="4"/>
  <c r="BA83" i="4"/>
  <c r="AA48" i="4"/>
  <c r="AA24" i="4"/>
  <c r="AB7" i="4"/>
  <c r="C53" i="2"/>
  <c r="C55" i="2"/>
  <c r="C54" i="2"/>
  <c r="E17" i="1" l="1"/>
  <c r="G17" i="1" s="1"/>
  <c r="BA86" i="4"/>
  <c r="AX86" i="4"/>
  <c r="AY88" i="4" s="1"/>
  <c r="AW81" i="4"/>
  <c r="AZ84" i="4"/>
  <c r="BC83" i="4"/>
  <c r="BB84" i="4" s="1"/>
  <c r="BD84" i="4"/>
  <c r="BC84" i="4"/>
  <c r="AC7" i="4"/>
  <c r="AB24" i="4"/>
  <c r="AB48" i="4"/>
  <c r="C20" i="2" l="1"/>
  <c r="E77" i="4" s="1"/>
  <c r="E92" i="4" s="1"/>
  <c r="G92" i="4" s="1"/>
  <c r="I92" i="4" s="1"/>
  <c r="K92" i="4" s="1"/>
  <c r="M92" i="4" s="1"/>
  <c r="O92" i="4" s="1"/>
  <c r="Q92" i="4" s="1"/>
  <c r="S92" i="4" s="1"/>
  <c r="U92" i="4" s="1"/>
  <c r="W92" i="4" s="1"/>
  <c r="Y92" i="4" s="1"/>
  <c r="AA92" i="4" s="1"/>
  <c r="AC92" i="4" s="1"/>
  <c r="AE92" i="4" s="1"/>
  <c r="AG92" i="4" s="1"/>
  <c r="AI92" i="4" s="1"/>
  <c r="AK92" i="4" s="1"/>
  <c r="AM92" i="4" s="1"/>
  <c r="AO92" i="4" s="1"/>
  <c r="AQ92" i="4" s="1"/>
  <c r="AS92" i="4" s="1"/>
  <c r="E14" i="1"/>
  <c r="E15" i="1" s="1"/>
  <c r="K6" i="1" s="1"/>
  <c r="BC86" i="4"/>
  <c r="BD86" i="4"/>
  <c r="BC81" i="4"/>
  <c r="AZ86" i="4"/>
  <c r="BA88" i="4" s="1"/>
  <c r="AY81" i="4"/>
  <c r="BB86" i="4"/>
  <c r="BA81" i="4"/>
  <c r="AC48" i="4"/>
  <c r="AC24" i="4"/>
  <c r="C25" i="2" l="1"/>
  <c r="G15" i="1"/>
  <c r="BC88" i="4"/>
  <c r="AS90" i="4"/>
  <c r="AU92" i="4"/>
  <c r="AR90" i="4"/>
  <c r="F90" i="4"/>
  <c r="G90" i="4"/>
  <c r="D90" i="4"/>
  <c r="D93" i="4" s="1"/>
  <c r="D27" i="4" s="1"/>
  <c r="E90" i="4"/>
  <c r="H90" i="4"/>
  <c r="I90" i="4"/>
  <c r="J90" i="4"/>
  <c r="K90" i="4"/>
  <c r="C29" i="2" l="1"/>
  <c r="C38" i="2"/>
  <c r="AW92" i="4"/>
  <c r="AU90" i="4"/>
  <c r="AT90" i="4"/>
  <c r="AT93" i="4" s="1"/>
  <c r="Y27" i="4" s="1"/>
  <c r="F93" i="4"/>
  <c r="E27" i="4" s="1"/>
  <c r="H93" i="4"/>
  <c r="F27" i="4" s="1"/>
  <c r="J93" i="4"/>
  <c r="G27" i="4" s="1"/>
  <c r="L90" i="4"/>
  <c r="L93" i="4" s="1"/>
  <c r="H27" i="4" s="1"/>
  <c r="M90" i="4"/>
  <c r="AV90" i="4" l="1"/>
  <c r="AV93" i="4" s="1"/>
  <c r="Z27" i="4" s="1"/>
  <c r="AY92" i="4"/>
  <c r="AW90" i="4"/>
  <c r="N90" i="4"/>
  <c r="N93" i="4" s="1"/>
  <c r="I27" i="4" s="1"/>
  <c r="O90" i="4"/>
  <c r="BA92" i="4" l="1"/>
  <c r="AX90" i="4"/>
  <c r="AX93" i="4" s="1"/>
  <c r="AA27" i="4" s="1"/>
  <c r="AY90" i="4"/>
  <c r="P90" i="4"/>
  <c r="P93" i="4" s="1"/>
  <c r="J27" i="4" s="1"/>
  <c r="Q90" i="4"/>
  <c r="AZ90" i="4" l="1"/>
  <c r="AZ93" i="4" s="1"/>
  <c r="AB27" i="4" s="1"/>
  <c r="BC92" i="4"/>
  <c r="BA90" i="4"/>
  <c r="R90" i="4"/>
  <c r="R93" i="4" s="1"/>
  <c r="K27" i="4" s="1"/>
  <c r="S90" i="4"/>
  <c r="BB90" i="4" l="1"/>
  <c r="BB93" i="4" s="1"/>
  <c r="AC27" i="4" s="1"/>
  <c r="BC90" i="4"/>
  <c r="BD93" i="4" s="1"/>
  <c r="T90" i="4"/>
  <c r="T93" i="4" s="1"/>
  <c r="L27" i="4" s="1"/>
  <c r="U90" i="4"/>
  <c r="V90" i="4" l="1"/>
  <c r="V93" i="4" s="1"/>
  <c r="M27" i="4" s="1"/>
  <c r="W90" i="4"/>
  <c r="X90" i="4" l="1"/>
  <c r="X93" i="4" s="1"/>
  <c r="N27" i="4" s="1"/>
  <c r="Y90" i="4"/>
  <c r="Z90" i="4" l="1"/>
  <c r="Z93" i="4" s="1"/>
  <c r="O27" i="4" s="1"/>
  <c r="AA90" i="4"/>
  <c r="AB90" i="4" l="1"/>
  <c r="AB93" i="4" s="1"/>
  <c r="P27" i="4" s="1"/>
  <c r="AC90" i="4"/>
  <c r="AE90" i="4" l="1"/>
  <c r="AD90" i="4"/>
  <c r="AD93" i="4" s="1"/>
  <c r="Q27" i="4" s="1"/>
  <c r="AG90" i="4" l="1"/>
  <c r="AF90" i="4"/>
  <c r="AF93" i="4" s="1"/>
  <c r="R27" i="4" s="1"/>
  <c r="AH90" i="4" l="1"/>
  <c r="AH93" i="4" s="1"/>
  <c r="S27" i="4" s="1"/>
  <c r="AI90" i="4"/>
  <c r="AK90" i="4" l="1"/>
  <c r="AJ90" i="4"/>
  <c r="AJ93" i="4" s="1"/>
  <c r="T27" i="4" s="1"/>
  <c r="AM90" i="4" l="1"/>
  <c r="AL90" i="4"/>
  <c r="AL93" i="4" s="1"/>
  <c r="U27" i="4" s="1"/>
  <c r="AN90" i="4" l="1"/>
  <c r="AN93" i="4" s="1"/>
  <c r="V27" i="4" s="1"/>
  <c r="AO90" i="4"/>
  <c r="AP90" i="4" l="1"/>
  <c r="AP93" i="4" s="1"/>
  <c r="W27" i="4" s="1"/>
  <c r="AQ90" i="4"/>
  <c r="AR93" i="4" s="1"/>
  <c r="X27" i="4" s="1"/>
  <c r="C23" i="2" l="1"/>
  <c r="F28" i="4" l="1"/>
  <c r="F29" i="4" l="1"/>
  <c r="F31" i="4" s="1"/>
  <c r="G28" i="4"/>
  <c r="K28" i="4"/>
  <c r="O28" i="4"/>
  <c r="S28" i="4"/>
  <c r="W28" i="4"/>
  <c r="AA28" i="4"/>
  <c r="H28" i="4"/>
  <c r="L28" i="4"/>
  <c r="P28" i="4"/>
  <c r="X28" i="4"/>
  <c r="AB28" i="4"/>
  <c r="I28" i="4"/>
  <c r="I29" i="4" s="1"/>
  <c r="I31" i="4" s="1"/>
  <c r="M28" i="4"/>
  <c r="Q28" i="4"/>
  <c r="U28" i="4"/>
  <c r="Y28" i="4"/>
  <c r="AC28" i="4"/>
  <c r="J28" i="4"/>
  <c r="J29" i="4" s="1"/>
  <c r="N28" i="4"/>
  <c r="R28" i="4"/>
  <c r="V28" i="4"/>
  <c r="Z28" i="4"/>
  <c r="T28" i="4"/>
  <c r="E28" i="4"/>
  <c r="D28" i="4"/>
  <c r="C34" i="2"/>
  <c r="D104" i="4" s="1"/>
  <c r="C26" i="2"/>
  <c r="C27" i="2" s="1"/>
  <c r="C62" i="4" s="1"/>
  <c r="C71" i="4" s="1"/>
  <c r="D97" i="4"/>
  <c r="D109" i="4" s="1"/>
  <c r="D45" i="4"/>
  <c r="C40" i="2"/>
  <c r="C42" i="2" s="1"/>
  <c r="AC68" i="4" s="1"/>
  <c r="E29" i="4" l="1"/>
  <c r="E31" i="4" s="1"/>
  <c r="V29" i="4"/>
  <c r="V31" i="4" s="1"/>
  <c r="AC29" i="4"/>
  <c r="AC31" i="4" s="1"/>
  <c r="M29" i="4"/>
  <c r="M31" i="4" s="1"/>
  <c r="P29" i="4"/>
  <c r="P31" i="4" s="1"/>
  <c r="W29" i="4"/>
  <c r="W31" i="4" s="1"/>
  <c r="G29" i="4"/>
  <c r="G31" i="4" s="1"/>
  <c r="D29" i="4"/>
  <c r="D31" i="4" s="1"/>
  <c r="Z29" i="4"/>
  <c r="Z31" i="4" s="1"/>
  <c r="Q29" i="4"/>
  <c r="Q31" i="4" s="1"/>
  <c r="K29" i="4"/>
  <c r="K31" i="4" s="1"/>
  <c r="R29" i="4"/>
  <c r="R31" i="4" s="1"/>
  <c r="Y29" i="4"/>
  <c r="Y31" i="4" s="1"/>
  <c r="L29" i="4"/>
  <c r="L31" i="4" s="1"/>
  <c r="S29" i="4"/>
  <c r="S31" i="4" s="1"/>
  <c r="X29" i="4"/>
  <c r="X31" i="4" s="1"/>
  <c r="AA29" i="4"/>
  <c r="AA31" i="4" s="1"/>
  <c r="T29" i="4"/>
  <c r="T31" i="4" s="1"/>
  <c r="N29" i="4"/>
  <c r="N31" i="4" s="1"/>
  <c r="U29" i="4"/>
  <c r="U31" i="4" s="1"/>
  <c r="AB29" i="4"/>
  <c r="AB31" i="4" s="1"/>
  <c r="H29" i="4"/>
  <c r="H31" i="4" s="1"/>
  <c r="O29" i="4"/>
  <c r="O31" i="4" s="1"/>
  <c r="C41" i="2"/>
  <c r="P32" i="4" s="1"/>
  <c r="E45" i="4"/>
  <c r="F45" i="4" s="1"/>
  <c r="D110" i="4"/>
  <c r="D112" i="4"/>
  <c r="Q32" i="4" l="1"/>
  <c r="Q34" i="4" s="1"/>
  <c r="L32" i="4"/>
  <c r="L66" i="4" s="1"/>
  <c r="AA32" i="4"/>
  <c r="AA34" i="4" s="1"/>
  <c r="AA37" i="4" s="1"/>
  <c r="V32" i="4"/>
  <c r="V66" i="4" s="1"/>
  <c r="W32" i="4"/>
  <c r="W66" i="4" s="1"/>
  <c r="H32" i="4"/>
  <c r="H34" i="4" s="1"/>
  <c r="K32" i="4"/>
  <c r="K34" i="4" s="1"/>
  <c r="G32" i="4"/>
  <c r="G66" i="4" s="1"/>
  <c r="R32" i="4"/>
  <c r="R66" i="4" s="1"/>
  <c r="AB32" i="4"/>
  <c r="AB34" i="4" s="1"/>
  <c r="AB37" i="4" s="1"/>
  <c r="E32" i="4"/>
  <c r="E34" i="4" s="1"/>
  <c r="Z32" i="4"/>
  <c r="Z66" i="4" s="1"/>
  <c r="Y32" i="4"/>
  <c r="Y34" i="4" s="1"/>
  <c r="Y37" i="4" s="1"/>
  <c r="J32" i="4"/>
  <c r="AC32" i="4"/>
  <c r="AC66" i="4" s="1"/>
  <c r="M32" i="4"/>
  <c r="M66" i="4" s="1"/>
  <c r="F32" i="4"/>
  <c r="F66" i="4" s="1"/>
  <c r="U32" i="4"/>
  <c r="U34" i="4" s="1"/>
  <c r="U37" i="4" s="1"/>
  <c r="T32" i="4"/>
  <c r="T34" i="4" s="1"/>
  <c r="T37" i="4" s="1"/>
  <c r="X32" i="4"/>
  <c r="X34" i="4" s="1"/>
  <c r="X37" i="4" s="1"/>
  <c r="S32" i="4"/>
  <c r="S34" i="4" s="1"/>
  <c r="S37" i="4" s="1"/>
  <c r="N32" i="4"/>
  <c r="N44" i="4" s="1"/>
  <c r="D32" i="4"/>
  <c r="D44" i="4" s="1"/>
  <c r="I32" i="4"/>
  <c r="I44" i="4" s="1"/>
  <c r="O32" i="4"/>
  <c r="O34" i="4" s="1"/>
  <c r="G45" i="4"/>
  <c r="H45" i="4" s="1"/>
  <c r="D111" i="4"/>
  <c r="D115" i="4" s="1"/>
  <c r="P66" i="4"/>
  <c r="P44" i="4"/>
  <c r="P34" i="4"/>
  <c r="H44" i="4" l="1"/>
  <c r="W44" i="4"/>
  <c r="R44" i="4"/>
  <c r="K44" i="4"/>
  <c r="L44" i="4"/>
  <c r="Q66" i="4"/>
  <c r="F44" i="4"/>
  <c r="Y66" i="4"/>
  <c r="W34" i="4"/>
  <c r="W37" i="4" s="1"/>
  <c r="W43" i="4" s="1"/>
  <c r="Q44" i="4"/>
  <c r="L34" i="4"/>
  <c r="O66" i="4"/>
  <c r="Y44" i="4"/>
  <c r="G34" i="4"/>
  <c r="X44" i="4"/>
  <c r="E44" i="4"/>
  <c r="V34" i="4"/>
  <c r="V37" i="4" s="1"/>
  <c r="V43" i="4" s="1"/>
  <c r="Z34" i="4"/>
  <c r="Z37" i="4" s="1"/>
  <c r="Z43" i="4" s="1"/>
  <c r="V44" i="4"/>
  <c r="I66" i="4"/>
  <c r="Z44" i="4"/>
  <c r="AA44" i="4"/>
  <c r="G44" i="4"/>
  <c r="M34" i="4"/>
  <c r="I34" i="4"/>
  <c r="M44" i="4"/>
  <c r="T66" i="4"/>
  <c r="AC34" i="4"/>
  <c r="AC37" i="4" s="1"/>
  <c r="AC43" i="4" s="1"/>
  <c r="D34" i="4"/>
  <c r="E66" i="4"/>
  <c r="AA66" i="4"/>
  <c r="T44" i="4"/>
  <c r="AC44" i="4"/>
  <c r="K66" i="4"/>
  <c r="H66" i="4"/>
  <c r="D66" i="4"/>
  <c r="X66" i="4"/>
  <c r="N34" i="4"/>
  <c r="O44" i="4"/>
  <c r="S44" i="4"/>
  <c r="U66" i="4"/>
  <c r="J44" i="4"/>
  <c r="S66" i="4"/>
  <c r="AB66" i="4"/>
  <c r="U44" i="4"/>
  <c r="J66" i="4"/>
  <c r="N66" i="4"/>
  <c r="AB44" i="4"/>
  <c r="R34" i="4"/>
  <c r="F34" i="4"/>
  <c r="U43" i="4"/>
  <c r="S43" i="4"/>
  <c r="T43" i="4"/>
  <c r="I45" i="4"/>
  <c r="X43" i="4"/>
  <c r="D118" i="4"/>
  <c r="D116" i="4"/>
  <c r="Y43" i="4"/>
  <c r="AB43" i="4"/>
  <c r="AA43" i="4"/>
  <c r="AA51" i="4" l="1"/>
  <c r="S51" i="4"/>
  <c r="U51" i="4"/>
  <c r="Z51" i="4"/>
  <c r="X51" i="4"/>
  <c r="V51" i="4"/>
  <c r="AC51" i="4"/>
  <c r="Y51" i="4"/>
  <c r="AB51" i="4"/>
  <c r="D117" i="4"/>
  <c r="D121" i="4" s="1"/>
  <c r="J45" i="4"/>
  <c r="W51" i="4"/>
  <c r="T51" i="4"/>
  <c r="D124" i="4" l="1"/>
  <c r="D122" i="4"/>
  <c r="D123" i="4" s="1"/>
  <c r="D127" i="4" s="1"/>
  <c r="K45" i="4"/>
  <c r="L45" i="4" l="1"/>
  <c r="M45" i="4" s="1"/>
  <c r="N45" i="4" s="1"/>
  <c r="O45" i="4" s="1"/>
  <c r="P45" i="4" s="1"/>
  <c r="D128" i="4"/>
  <c r="D133" i="4" s="1"/>
  <c r="D69" i="4" s="1"/>
  <c r="D130" i="4"/>
  <c r="D132" i="4" s="1"/>
  <c r="D35" i="4" s="1"/>
  <c r="D37" i="4" s="1"/>
  <c r="D129" i="4" l="1"/>
  <c r="E109" i="4" s="1"/>
  <c r="E112" i="4" s="1"/>
  <c r="D43" i="4"/>
  <c r="Q45" i="4"/>
  <c r="E110" i="4" l="1"/>
  <c r="E111" i="4" s="1"/>
  <c r="E115" i="4" s="1"/>
  <c r="E118" i="4" s="1"/>
  <c r="R45" i="4"/>
  <c r="D51" i="4"/>
  <c r="D46" i="4"/>
  <c r="E116" i="4" l="1"/>
  <c r="E117" i="4" s="1"/>
  <c r="E121" i="4" s="1"/>
  <c r="E122" i="4" s="1"/>
  <c r="E123" i="4" s="1"/>
  <c r="E127" i="4" s="1"/>
  <c r="D47" i="4"/>
  <c r="S45" i="4"/>
  <c r="E124" i="4" l="1"/>
  <c r="D48" i="4"/>
  <c r="D49" i="4" s="1"/>
  <c r="E130" i="4"/>
  <c r="E128" i="4"/>
  <c r="E133" i="4" s="1"/>
  <c r="E69" i="4" s="1"/>
  <c r="T45" i="4"/>
  <c r="S46" i="4"/>
  <c r="E132" i="4" l="1"/>
  <c r="E35" i="4" s="1"/>
  <c r="E37" i="4" s="1"/>
  <c r="E43" i="4" s="1"/>
  <c r="E129" i="4"/>
  <c r="F109" i="4" s="1"/>
  <c r="F110" i="4" s="1"/>
  <c r="T46" i="4"/>
  <c r="T49" i="4" s="1"/>
  <c r="U45" i="4"/>
  <c r="D52" i="4"/>
  <c r="D56" i="4" s="1"/>
  <c r="D38" i="4" s="1"/>
  <c r="D40" i="4" s="1"/>
  <c r="D65" i="4" s="1"/>
  <c r="D54" i="4"/>
  <c r="D67" i="4" s="1"/>
  <c r="F112" i="4" l="1"/>
  <c r="F111" i="4"/>
  <c r="F115" i="4" s="1"/>
  <c r="F118" i="4" s="1"/>
  <c r="T52" i="4"/>
  <c r="T56" i="4" s="1"/>
  <c r="T38" i="4" s="1"/>
  <c r="T40" i="4" s="1"/>
  <c r="T65" i="4" s="1"/>
  <c r="T54" i="4"/>
  <c r="T67" i="4" s="1"/>
  <c r="V45" i="4"/>
  <c r="U46" i="4"/>
  <c r="U49" i="4" s="1"/>
  <c r="D71" i="4"/>
  <c r="E51" i="4"/>
  <c r="E46" i="4"/>
  <c r="F116" i="4" l="1"/>
  <c r="F117" i="4" s="1"/>
  <c r="F121" i="4" s="1"/>
  <c r="F124" i="4" s="1"/>
  <c r="E47" i="4"/>
  <c r="U52" i="4"/>
  <c r="U56" i="4" s="1"/>
  <c r="U38" i="4" s="1"/>
  <c r="U40" i="4" s="1"/>
  <c r="U65" i="4" s="1"/>
  <c r="U54" i="4"/>
  <c r="U67" i="4" s="1"/>
  <c r="V46" i="4"/>
  <c r="V49" i="4" s="1"/>
  <c r="W45" i="4"/>
  <c r="T71" i="4"/>
  <c r="F122" i="4" l="1"/>
  <c r="F123" i="4" s="1"/>
  <c r="F127" i="4" s="1"/>
  <c r="F128" i="4" s="1"/>
  <c r="F129" i="4" s="1"/>
  <c r="G109" i="4" s="1"/>
  <c r="U71" i="4"/>
  <c r="W46" i="4"/>
  <c r="W49" i="4" s="1"/>
  <c r="X45" i="4"/>
  <c r="V52" i="4"/>
  <c r="V56" i="4" s="1"/>
  <c r="V38" i="4" s="1"/>
  <c r="V40" i="4" s="1"/>
  <c r="V65" i="4" s="1"/>
  <c r="V54" i="4"/>
  <c r="V67" i="4" s="1"/>
  <c r="E48" i="4"/>
  <c r="E49" i="4" s="1"/>
  <c r="F130" i="4" l="1"/>
  <c r="F132" i="4" s="1"/>
  <c r="F35" i="4" s="1"/>
  <c r="F37" i="4" s="1"/>
  <c r="F43" i="4" s="1"/>
  <c r="V71" i="4"/>
  <c r="G110" i="4"/>
  <c r="G111" i="4" s="1"/>
  <c r="G115" i="4" s="1"/>
  <c r="G112" i="4"/>
  <c r="X46" i="4"/>
  <c r="X49" i="4" s="1"/>
  <c r="Y45" i="4"/>
  <c r="F133" i="4"/>
  <c r="F69" i="4" s="1"/>
  <c r="E52" i="4"/>
  <c r="E56" i="4" s="1"/>
  <c r="E38" i="4" s="1"/>
  <c r="E40" i="4" s="1"/>
  <c r="E65" i="4" s="1"/>
  <c r="E54" i="4"/>
  <c r="E67" i="4" s="1"/>
  <c r="W54" i="4"/>
  <c r="W67" i="4" s="1"/>
  <c r="W52" i="4"/>
  <c r="W56" i="4" s="1"/>
  <c r="W38" i="4" s="1"/>
  <c r="W40" i="4" s="1"/>
  <c r="W65" i="4" s="1"/>
  <c r="W71" i="4" l="1"/>
  <c r="E71" i="4"/>
  <c r="X52" i="4"/>
  <c r="X56" i="4" s="1"/>
  <c r="X38" i="4" s="1"/>
  <c r="X40" i="4" s="1"/>
  <c r="X65" i="4" s="1"/>
  <c r="X54" i="4"/>
  <c r="X67" i="4" s="1"/>
  <c r="G118" i="4"/>
  <c r="G116" i="4"/>
  <c r="G117" i="4" s="1"/>
  <c r="G121" i="4" s="1"/>
  <c r="F46" i="4"/>
  <c r="F51" i="4"/>
  <c r="Y46" i="4"/>
  <c r="Y49" i="4" s="1"/>
  <c r="Z45" i="4"/>
  <c r="G124" i="4" l="1"/>
  <c r="G122" i="4"/>
  <c r="G123" i="4" s="1"/>
  <c r="G127" i="4" s="1"/>
  <c r="Z46" i="4"/>
  <c r="Z49" i="4" s="1"/>
  <c r="AA45" i="4"/>
  <c r="Y54" i="4"/>
  <c r="Y67" i="4" s="1"/>
  <c r="Y52" i="4"/>
  <c r="Y56" i="4" s="1"/>
  <c r="Y38" i="4" s="1"/>
  <c r="Y40" i="4" s="1"/>
  <c r="Y65" i="4" s="1"/>
  <c r="F47" i="4"/>
  <c r="X71" i="4"/>
  <c r="G128" i="4" l="1"/>
  <c r="G133" i="4" s="1"/>
  <c r="G69" i="4" s="1"/>
  <c r="G130" i="4"/>
  <c r="G132" i="4" s="1"/>
  <c r="G35" i="4" s="1"/>
  <c r="G37" i="4" s="1"/>
  <c r="F48" i="4"/>
  <c r="F49" i="4" s="1"/>
  <c r="AA46" i="4"/>
  <c r="AA49" i="4" s="1"/>
  <c r="AB45" i="4"/>
  <c r="Y71" i="4"/>
  <c r="Z52" i="4"/>
  <c r="Z56" i="4" s="1"/>
  <c r="Z38" i="4" s="1"/>
  <c r="Z40" i="4" s="1"/>
  <c r="Z65" i="4" s="1"/>
  <c r="Z54" i="4"/>
  <c r="Z67" i="4" s="1"/>
  <c r="G129" i="4" l="1"/>
  <c r="H109" i="4" s="1"/>
  <c r="H110" i="4" s="1"/>
  <c r="H111" i="4" s="1"/>
  <c r="H115" i="4" s="1"/>
  <c r="Z71" i="4"/>
  <c r="F54" i="4"/>
  <c r="F67" i="4" s="1"/>
  <c r="F52" i="4"/>
  <c r="F56" i="4" s="1"/>
  <c r="F38" i="4" s="1"/>
  <c r="F40" i="4" s="1"/>
  <c r="F65" i="4" s="1"/>
  <c r="G43" i="4"/>
  <c r="AB46" i="4"/>
  <c r="AB49" i="4" s="1"/>
  <c r="AC45" i="4"/>
  <c r="AC46" i="4" s="1"/>
  <c r="AC49" i="4" s="1"/>
  <c r="AA52" i="4"/>
  <c r="AA56" i="4" s="1"/>
  <c r="AA38" i="4" s="1"/>
  <c r="AA40" i="4" s="1"/>
  <c r="AA65" i="4" s="1"/>
  <c r="AA54" i="4"/>
  <c r="AA67" i="4" s="1"/>
  <c r="H112" i="4" l="1"/>
  <c r="AA71" i="4"/>
  <c r="F71" i="4"/>
  <c r="H118" i="4"/>
  <c r="H116" i="4"/>
  <c r="H117" i="4" s="1"/>
  <c r="H121" i="4" s="1"/>
  <c r="AB52" i="4"/>
  <c r="AB56" i="4" s="1"/>
  <c r="AB38" i="4" s="1"/>
  <c r="AB40" i="4" s="1"/>
  <c r="AB65" i="4" s="1"/>
  <c r="AB54" i="4"/>
  <c r="AB67" i="4" s="1"/>
  <c r="G51" i="4"/>
  <c r="G46" i="4"/>
  <c r="AC52" i="4"/>
  <c r="AC56" i="4" s="1"/>
  <c r="AC38" i="4" s="1"/>
  <c r="AC40" i="4" s="1"/>
  <c r="AC65" i="4" s="1"/>
  <c r="AC54" i="4"/>
  <c r="AC67" i="4" s="1"/>
  <c r="H124" i="4" l="1"/>
  <c r="H122" i="4"/>
  <c r="G47" i="4"/>
  <c r="AC71" i="4"/>
  <c r="AB71" i="4"/>
  <c r="H123" i="4" l="1"/>
  <c r="H127" i="4" s="1"/>
  <c r="G48" i="4"/>
  <c r="G49" i="4" s="1"/>
  <c r="G54" i="4" l="1"/>
  <c r="G67" i="4" s="1"/>
  <c r="G52" i="4"/>
  <c r="G56" i="4" s="1"/>
  <c r="G38" i="4" s="1"/>
  <c r="G40" i="4" s="1"/>
  <c r="G65" i="4" s="1"/>
  <c r="H128" i="4"/>
  <c r="H133" i="4" s="1"/>
  <c r="H69" i="4" s="1"/>
  <c r="H130" i="4"/>
  <c r="H132" i="4" s="1"/>
  <c r="H35" i="4" s="1"/>
  <c r="H37" i="4" s="1"/>
  <c r="G71" i="4" l="1"/>
  <c r="H43" i="4"/>
  <c r="H129" i="4"/>
  <c r="I109" i="4" s="1"/>
  <c r="I112" i="4" l="1"/>
  <c r="I110" i="4"/>
  <c r="I111" i="4" s="1"/>
  <c r="I115" i="4" s="1"/>
  <c r="H46" i="4"/>
  <c r="H51" i="4"/>
  <c r="H47" i="4" l="1"/>
  <c r="I118" i="4"/>
  <c r="I116" i="4"/>
  <c r="I117" i="4" s="1"/>
  <c r="I121" i="4" s="1"/>
  <c r="I122" i="4" l="1"/>
  <c r="I123" i="4" s="1"/>
  <c r="I127" i="4" s="1"/>
  <c r="I124" i="4"/>
  <c r="H48" i="4"/>
  <c r="H49" i="4" s="1"/>
  <c r="I128" i="4" l="1"/>
  <c r="I133" i="4" s="1"/>
  <c r="I69" i="4" s="1"/>
  <c r="I130" i="4"/>
  <c r="I132" i="4" s="1"/>
  <c r="I35" i="4" s="1"/>
  <c r="I37" i="4" s="1"/>
  <c r="H54" i="4"/>
  <c r="H67" i="4" s="1"/>
  <c r="H52" i="4"/>
  <c r="H56" i="4" s="1"/>
  <c r="H38" i="4" s="1"/>
  <c r="H40" i="4" s="1"/>
  <c r="H65" i="4" s="1"/>
  <c r="I129" i="4" l="1"/>
  <c r="J109" i="4" s="1"/>
  <c r="J110" i="4" s="1"/>
  <c r="J111" i="4" s="1"/>
  <c r="J115" i="4" s="1"/>
  <c r="H71" i="4"/>
  <c r="I43" i="4"/>
  <c r="J112" i="4" l="1"/>
  <c r="J118" i="4"/>
  <c r="J116" i="4"/>
  <c r="J117" i="4" s="1"/>
  <c r="J121" i="4" s="1"/>
  <c r="I46" i="4"/>
  <c r="I51" i="4"/>
  <c r="J122" i="4" l="1"/>
  <c r="J123" i="4" s="1"/>
  <c r="J127" i="4" s="1"/>
  <c r="J124" i="4"/>
  <c r="I47" i="4"/>
  <c r="J130" i="4" l="1"/>
  <c r="J132" i="4" s="1"/>
  <c r="J35" i="4" s="1"/>
  <c r="J128" i="4"/>
  <c r="J129" i="4" s="1"/>
  <c r="K109" i="4" s="1"/>
  <c r="I48" i="4"/>
  <c r="I49" i="4" s="1"/>
  <c r="K112" i="4" l="1"/>
  <c r="K110" i="4"/>
  <c r="I54" i="4"/>
  <c r="I67" i="4" s="1"/>
  <c r="I52" i="4"/>
  <c r="I56" i="4" s="1"/>
  <c r="I38" i="4" s="1"/>
  <c r="I40" i="4" s="1"/>
  <c r="I65" i="4" s="1"/>
  <c r="J133" i="4"/>
  <c r="J69" i="4" s="1"/>
  <c r="I71" i="4" l="1"/>
  <c r="K111" i="4"/>
  <c r="K115" i="4" s="1"/>
  <c r="K118" i="4" l="1"/>
  <c r="K116" i="4"/>
  <c r="K117" i="4" l="1"/>
  <c r="K121" i="4" s="1"/>
  <c r="K122" i="4" l="1"/>
  <c r="K124" i="4"/>
  <c r="K123" i="4" l="1"/>
  <c r="K127" i="4" s="1"/>
  <c r="K128" i="4" l="1"/>
  <c r="K133" i="4" s="1"/>
  <c r="K69" i="4" s="1"/>
  <c r="K130" i="4"/>
  <c r="K132" i="4" s="1"/>
  <c r="K35" i="4" s="1"/>
  <c r="K37" i="4" s="1"/>
  <c r="K129" i="4" l="1"/>
  <c r="L109" i="4" s="1"/>
  <c r="L112" i="4" s="1"/>
  <c r="K43" i="4"/>
  <c r="L110" i="4" l="1"/>
  <c r="L111" i="4" s="1"/>
  <c r="L115" i="4" s="1"/>
  <c r="K51" i="4"/>
  <c r="K46" i="4"/>
  <c r="L116" i="4" l="1"/>
  <c r="L118" i="4"/>
  <c r="L117" i="4" l="1"/>
  <c r="L121" i="4" s="1"/>
  <c r="L122" i="4" l="1"/>
  <c r="L124" i="4"/>
  <c r="L123" i="4" l="1"/>
  <c r="L127" i="4" s="1"/>
  <c r="L130" i="4" l="1"/>
  <c r="L132" i="4" s="1"/>
  <c r="L35" i="4" s="1"/>
  <c r="L37" i="4" s="1"/>
  <c r="L128" i="4"/>
  <c r="L133" i="4" s="1"/>
  <c r="L69" i="4" s="1"/>
  <c r="L129" i="4" l="1"/>
  <c r="M109" i="4" s="1"/>
  <c r="L43" i="4"/>
  <c r="L51" i="4" l="1"/>
  <c r="L46" i="4"/>
  <c r="M110" i="4"/>
  <c r="M112" i="4"/>
  <c r="M111" i="4" l="1"/>
  <c r="M115" i="4" s="1"/>
  <c r="M118" i="4" l="1"/>
  <c r="M116" i="4"/>
  <c r="M117" i="4" l="1"/>
  <c r="M121" i="4" s="1"/>
  <c r="M124" i="4" l="1"/>
  <c r="M122" i="4"/>
  <c r="M123" i="4" l="1"/>
  <c r="M127" i="4" s="1"/>
  <c r="M128" i="4" l="1"/>
  <c r="M133" i="4" s="1"/>
  <c r="M69" i="4" s="1"/>
  <c r="M130" i="4"/>
  <c r="M132" i="4" s="1"/>
  <c r="M35" i="4" s="1"/>
  <c r="M37" i="4" s="1"/>
  <c r="M129" i="4" l="1"/>
  <c r="N109" i="4" s="1"/>
  <c r="N112" i="4" s="1"/>
  <c r="M43" i="4"/>
  <c r="N110" i="4" l="1"/>
  <c r="N111" i="4" s="1"/>
  <c r="N115" i="4" s="1"/>
  <c r="N116" i="4" s="1"/>
  <c r="N117" i="4" s="1"/>
  <c r="N121" i="4" s="1"/>
  <c r="M46" i="4"/>
  <c r="M51" i="4"/>
  <c r="N118" i="4" l="1"/>
  <c r="N124" i="4"/>
  <c r="N122" i="4"/>
  <c r="N123" i="4" s="1"/>
  <c r="N127" i="4" s="1"/>
  <c r="N130" i="4" l="1"/>
  <c r="N132" i="4" s="1"/>
  <c r="N35" i="4" s="1"/>
  <c r="N37" i="4" s="1"/>
  <c r="N128" i="4"/>
  <c r="N129" i="4" s="1"/>
  <c r="O109" i="4" s="1"/>
  <c r="O112" i="4" l="1"/>
  <c r="O110" i="4"/>
  <c r="O111" i="4" s="1"/>
  <c r="O115" i="4" s="1"/>
  <c r="N43" i="4"/>
  <c r="N133" i="4"/>
  <c r="N69" i="4" s="1"/>
  <c r="O116" i="4" l="1"/>
  <c r="O117" i="4" s="1"/>
  <c r="O121" i="4" s="1"/>
  <c r="O118" i="4"/>
  <c r="N46" i="4"/>
  <c r="N51" i="4"/>
  <c r="O122" i="4" l="1"/>
  <c r="O124" i="4"/>
  <c r="O123" i="4" l="1"/>
  <c r="O127" i="4" s="1"/>
  <c r="O130" i="4" l="1"/>
  <c r="O132" i="4" s="1"/>
  <c r="O35" i="4" s="1"/>
  <c r="O37" i="4" s="1"/>
  <c r="O128" i="4"/>
  <c r="O133" i="4" s="1"/>
  <c r="O69" i="4" s="1"/>
  <c r="O43" i="4" l="1"/>
  <c r="O129" i="4"/>
  <c r="P109" i="4" s="1"/>
  <c r="P112" i="4" l="1"/>
  <c r="P110" i="4"/>
  <c r="P111" i="4" s="1"/>
  <c r="P115" i="4" s="1"/>
  <c r="O46" i="4"/>
  <c r="O51" i="4"/>
  <c r="P116" i="4" l="1"/>
  <c r="P117" i="4" s="1"/>
  <c r="P121" i="4" s="1"/>
  <c r="P118" i="4"/>
  <c r="P122" i="4" l="1"/>
  <c r="P123" i="4" s="1"/>
  <c r="P127" i="4" s="1"/>
  <c r="P124" i="4"/>
  <c r="P128" i="4" l="1"/>
  <c r="P133" i="4" s="1"/>
  <c r="P69" i="4" s="1"/>
  <c r="P130" i="4"/>
  <c r="P132" i="4" s="1"/>
  <c r="P35" i="4" s="1"/>
  <c r="P37" i="4" s="1"/>
  <c r="P43" i="4" s="1"/>
  <c r="P129" i="4" l="1"/>
  <c r="Q109" i="4" s="1"/>
  <c r="Q112" i="4" s="1"/>
  <c r="P51" i="4"/>
  <c r="P46" i="4"/>
  <c r="Q110" i="4" l="1"/>
  <c r="Q111" i="4" s="1"/>
  <c r="Q115" i="4" s="1"/>
  <c r="Q116" i="4" s="1"/>
  <c r="Q117" i="4" s="1"/>
  <c r="Q121" i="4" s="1"/>
  <c r="Q118" i="4" l="1"/>
  <c r="Q122" i="4"/>
  <c r="Q123" i="4" s="1"/>
  <c r="Q127" i="4" s="1"/>
  <c r="Q124" i="4"/>
  <c r="Q128" i="4" l="1"/>
  <c r="Q133" i="4" s="1"/>
  <c r="Q69" i="4" s="1"/>
  <c r="Q130" i="4"/>
  <c r="Q132" i="4" s="1"/>
  <c r="Q35" i="4" s="1"/>
  <c r="Q37" i="4" s="1"/>
  <c r="Q43" i="4" s="1"/>
  <c r="Q51" i="4" l="1"/>
  <c r="Q46" i="4"/>
  <c r="Q129" i="4"/>
  <c r="R109" i="4" s="1"/>
  <c r="R112" i="4" l="1"/>
  <c r="R110" i="4"/>
  <c r="R111" i="4" s="1"/>
  <c r="R115" i="4" s="1"/>
  <c r="R116" i="4" l="1"/>
  <c r="R117" i="4" s="1"/>
  <c r="R121" i="4" s="1"/>
  <c r="R118" i="4"/>
  <c r="R124" i="4" l="1"/>
  <c r="R122" i="4"/>
  <c r="R123" i="4" s="1"/>
  <c r="R127" i="4" s="1"/>
  <c r="R130" i="4" l="1"/>
  <c r="R132" i="4" s="1"/>
  <c r="R35" i="4" s="1"/>
  <c r="R37" i="4" s="1"/>
  <c r="R43" i="4" s="1"/>
  <c r="R128" i="4"/>
  <c r="R133" i="4" s="1"/>
  <c r="R69" i="4" s="1"/>
  <c r="R129" i="4" l="1"/>
  <c r="R51" i="4"/>
  <c r="R46" i="4"/>
  <c r="J31" i="4" l="1"/>
  <c r="J34" i="4" s="1"/>
  <c r="J37" i="4" s="1"/>
  <c r="J43" i="4" l="1"/>
  <c r="J46" i="4" l="1"/>
  <c r="J51" i="4"/>
  <c r="J47" i="4" l="1"/>
  <c r="K47" i="4" l="1"/>
  <c r="J48" i="4"/>
  <c r="J49" i="4" s="1"/>
  <c r="J54" i="4" l="1"/>
  <c r="J67" i="4" s="1"/>
  <c r="J52" i="4"/>
  <c r="J56" i="4" s="1"/>
  <c r="J38" i="4" s="1"/>
  <c r="J40" i="4" s="1"/>
  <c r="J65" i="4" s="1"/>
  <c r="K48" i="4"/>
  <c r="K49" i="4" s="1"/>
  <c r="L47" i="4"/>
  <c r="J71" i="4" l="1"/>
  <c r="L48" i="4"/>
  <c r="L49" i="4" s="1"/>
  <c r="M47" i="4"/>
  <c r="K54" i="4"/>
  <c r="K67" i="4" s="1"/>
  <c r="K52" i="4"/>
  <c r="K56" i="4" s="1"/>
  <c r="K38" i="4" s="1"/>
  <c r="K40" i="4" s="1"/>
  <c r="K65" i="4" s="1"/>
  <c r="K71" i="4" l="1"/>
  <c r="M48" i="4"/>
  <c r="M49" i="4" s="1"/>
  <c r="N47" i="4"/>
  <c r="L52" i="4"/>
  <c r="L56" i="4" s="1"/>
  <c r="L38" i="4" s="1"/>
  <c r="L40" i="4" s="1"/>
  <c r="L65" i="4" s="1"/>
  <c r="L54" i="4"/>
  <c r="L67" i="4" s="1"/>
  <c r="L71" i="4" l="1"/>
  <c r="O47" i="4"/>
  <c r="N48" i="4"/>
  <c r="N49" i="4" s="1"/>
  <c r="M52" i="4"/>
  <c r="M56" i="4" s="1"/>
  <c r="M38" i="4" s="1"/>
  <c r="M40" i="4" s="1"/>
  <c r="M65" i="4" s="1"/>
  <c r="M54" i="4"/>
  <c r="M67" i="4" s="1"/>
  <c r="M71" i="4" l="1"/>
  <c r="N52" i="4"/>
  <c r="N56" i="4" s="1"/>
  <c r="N38" i="4" s="1"/>
  <c r="N40" i="4" s="1"/>
  <c r="N65" i="4" s="1"/>
  <c r="N54" i="4"/>
  <c r="N67" i="4" s="1"/>
  <c r="P47" i="4"/>
  <c r="O48" i="4"/>
  <c r="O49" i="4" s="1"/>
  <c r="N71" i="4" l="1"/>
  <c r="O54" i="4"/>
  <c r="O67" i="4" s="1"/>
  <c r="O52" i="4"/>
  <c r="O56" i="4" s="1"/>
  <c r="O38" i="4" s="1"/>
  <c r="O40" i="4" s="1"/>
  <c r="O65" i="4" s="1"/>
  <c r="P48" i="4"/>
  <c r="P49" i="4" s="1"/>
  <c r="Q47" i="4"/>
  <c r="O71" i="4" l="1"/>
  <c r="R47" i="4"/>
  <c r="Q48" i="4"/>
  <c r="Q49" i="4" s="1"/>
  <c r="P54" i="4"/>
  <c r="P67" i="4" s="1"/>
  <c r="P52" i="4"/>
  <c r="P56" i="4" s="1"/>
  <c r="P38" i="4" s="1"/>
  <c r="P40" i="4" s="1"/>
  <c r="P65" i="4" s="1"/>
  <c r="P71" i="4" l="1"/>
  <c r="Q52" i="4"/>
  <c r="Q56" i="4" s="1"/>
  <c r="Q38" i="4" s="1"/>
  <c r="Q40" i="4" s="1"/>
  <c r="Q65" i="4" s="1"/>
  <c r="Q54" i="4"/>
  <c r="Q67" i="4" s="1"/>
  <c r="S47" i="4"/>
  <c r="R48" i="4"/>
  <c r="R49" i="4" s="1"/>
  <c r="T47" i="4" l="1"/>
  <c r="U47" i="4" s="1"/>
  <c r="V47" i="4" s="1"/>
  <c r="W47" i="4" s="1"/>
  <c r="X47" i="4" s="1"/>
  <c r="Y47" i="4" s="1"/>
  <c r="Z47" i="4" s="1"/>
  <c r="AA47" i="4" s="1"/>
  <c r="AB47" i="4" s="1"/>
  <c r="AC47" i="4" s="1"/>
  <c r="S48" i="4"/>
  <c r="S49" i="4" s="1"/>
  <c r="Q71" i="4"/>
  <c r="R54" i="4"/>
  <c r="R67" i="4" s="1"/>
  <c r="R52" i="4"/>
  <c r="R56" i="4" s="1"/>
  <c r="R38" i="4" s="1"/>
  <c r="R40" i="4" s="1"/>
  <c r="R65" i="4" s="1"/>
  <c r="S54" i="4" l="1"/>
  <c r="S67" i="4" s="1"/>
  <c r="S52" i="4"/>
  <c r="S56" i="4" s="1"/>
  <c r="S38" i="4" s="1"/>
  <c r="S40" i="4" s="1"/>
  <c r="S65" i="4" s="1"/>
  <c r="R71" i="4"/>
  <c r="S71" i="4" l="1"/>
  <c r="C73" i="4" s="1"/>
  <c r="C13" i="6" s="1"/>
  <c r="D3" i="2" s="1"/>
  <c r="D17" i="6" l="1"/>
  <c r="D18" i="6" s="1"/>
  <c r="D19" i="6" l="1"/>
  <c r="D20" i="6"/>
</calcChain>
</file>

<file path=xl/sharedStrings.xml><?xml version="1.0" encoding="utf-8"?>
<sst xmlns="http://schemas.openxmlformats.org/spreadsheetml/2006/main" count="308" uniqueCount="214">
  <si>
    <t xml:space="preserve">Cost of the Project Activity </t>
  </si>
  <si>
    <t>Project Location</t>
  </si>
  <si>
    <t>Expected Date of Commissioning</t>
  </si>
  <si>
    <t>Life of Plant in years</t>
  </si>
  <si>
    <t>Items</t>
  </si>
  <si>
    <t>Cost</t>
  </si>
  <si>
    <t>Tax</t>
  </si>
  <si>
    <t>Cost + Tax</t>
  </si>
  <si>
    <t>Equity IRR without CDM</t>
  </si>
  <si>
    <t>Benchmark (Equity IRR)</t>
  </si>
  <si>
    <t>Assumption and financial of the project</t>
  </si>
  <si>
    <t>Details of the project</t>
  </si>
  <si>
    <t xml:space="preserve">Source </t>
  </si>
  <si>
    <t>Link</t>
  </si>
  <si>
    <t>State where the project is situated</t>
  </si>
  <si>
    <t>Operation and maintenance cost and Insurance</t>
  </si>
  <si>
    <t>Financial parameters</t>
  </si>
  <si>
    <t>Book Depreciation</t>
  </si>
  <si>
    <t>%</t>
  </si>
  <si>
    <t>Income Tax</t>
  </si>
  <si>
    <t>Financial Year</t>
  </si>
  <si>
    <t>MAT</t>
  </si>
  <si>
    <t>Final Tax rates</t>
  </si>
  <si>
    <t>Investor's Name:</t>
  </si>
  <si>
    <t>PROFIT &amp; LOSS STATEMENT</t>
  </si>
  <si>
    <t>Financial Year Closing</t>
  </si>
  <si>
    <t xml:space="preserve">Year </t>
  </si>
  <si>
    <t>Installed Capacity</t>
  </si>
  <si>
    <t>KW</t>
  </si>
  <si>
    <t>PLF</t>
  </si>
  <si>
    <t>Days</t>
  </si>
  <si>
    <t>Hours</t>
  </si>
  <si>
    <t>each year</t>
  </si>
  <si>
    <t>Tariff Rate</t>
  </si>
  <si>
    <t>INR/Unit</t>
  </si>
  <si>
    <t>INR MN</t>
  </si>
  <si>
    <t>Total Revenue</t>
  </si>
  <si>
    <t>Expenses</t>
  </si>
  <si>
    <t>Total Expenses</t>
  </si>
  <si>
    <t>PBDIT</t>
  </si>
  <si>
    <t>Less</t>
  </si>
  <si>
    <t xml:space="preserve">Book Depreciation </t>
  </si>
  <si>
    <t>PBIT</t>
  </si>
  <si>
    <t>Interest over the term Loan</t>
  </si>
  <si>
    <t>PBT</t>
  </si>
  <si>
    <t>Tax Payable</t>
  </si>
  <si>
    <t>PAT</t>
  </si>
  <si>
    <t>Tax Calculation</t>
  </si>
  <si>
    <t>Add</t>
  </si>
  <si>
    <t xml:space="preserve">IT Depreciation </t>
  </si>
  <si>
    <t>Cumulative profit</t>
  </si>
  <si>
    <t>Sec. 80IA benefit</t>
  </si>
  <si>
    <t>Tax shield</t>
  </si>
  <si>
    <t>Tax payable</t>
  </si>
  <si>
    <t xml:space="preserve">Equity Investment </t>
  </si>
  <si>
    <t>Cash Inflows</t>
  </si>
  <si>
    <t>Tax Shield</t>
  </si>
  <si>
    <t>Residual Value</t>
  </si>
  <si>
    <t>Net Cash Flow</t>
  </si>
  <si>
    <t>Equity IRR</t>
  </si>
  <si>
    <t>BACK UP WORKINGS</t>
  </si>
  <si>
    <t>from</t>
  </si>
  <si>
    <t>to</t>
  </si>
  <si>
    <t>Total days in a period</t>
  </si>
  <si>
    <t>Total days in a year - O&amp;M calculation year</t>
  </si>
  <si>
    <t>O&amp;M Charges</t>
  </si>
  <si>
    <t>FY Closure</t>
  </si>
  <si>
    <t>SENSITIVITY ANALYSIS</t>
  </si>
  <si>
    <t>Sensitivity Factors</t>
  </si>
  <si>
    <t>O&amp;M</t>
  </si>
  <si>
    <t>Project Cost</t>
  </si>
  <si>
    <t>Final Results</t>
  </si>
  <si>
    <t>Sensitivity Analysis</t>
  </si>
  <si>
    <t>Variation %</t>
  </si>
  <si>
    <t>Normal</t>
  </si>
  <si>
    <t>Breaching Value</t>
  </si>
  <si>
    <t xml:space="preserve">PLF </t>
  </si>
  <si>
    <t>Cash Outflow</t>
  </si>
  <si>
    <t>CASH FLOW STATEMENT (Equity IRR)</t>
  </si>
  <si>
    <t>Repayment of Principal on Loan</t>
  </si>
  <si>
    <t>in INR MN</t>
  </si>
  <si>
    <t>Taxable Profit</t>
  </si>
  <si>
    <t>Taxable Profit after Sec. 80IA Deduction</t>
  </si>
  <si>
    <t>Calculated Value</t>
  </si>
  <si>
    <t>Total Capacity (MW)</t>
  </si>
  <si>
    <t>Life of the plant (Yrs.)</t>
  </si>
  <si>
    <t>Annual generation (kWh)</t>
  </si>
  <si>
    <t>TOTAL COST (INR Mn.)</t>
  </si>
  <si>
    <t>Loan Amount (INR Mn.)</t>
  </si>
  <si>
    <t>Equity Investment (INR Mn.)</t>
  </si>
  <si>
    <t>Gross Depreciable Value (INR Mn.)</t>
  </si>
  <si>
    <t>Income tax rate (%)</t>
  </si>
  <si>
    <t>MAT (%)</t>
  </si>
  <si>
    <t>Surcharge (%)</t>
  </si>
  <si>
    <t>Education cess (%)</t>
  </si>
  <si>
    <t>Insurance (INR Mn.)</t>
  </si>
  <si>
    <t>Insurance</t>
  </si>
  <si>
    <t>Gross Annual Generation</t>
  </si>
  <si>
    <t>kWh</t>
  </si>
  <si>
    <t>Salvage Value (%)</t>
  </si>
  <si>
    <t>Net Depreciable Value (INR Mn.)</t>
  </si>
  <si>
    <t>Salvage value (INR Mn.)</t>
  </si>
  <si>
    <t>Term loan</t>
  </si>
  <si>
    <t>Book Depreciation (SLM Method)</t>
  </si>
  <si>
    <t>Residual Value (INR Mn.)</t>
  </si>
  <si>
    <t>IT Depreciation</t>
  </si>
  <si>
    <t>PLF (%)</t>
  </si>
  <si>
    <t>O&amp;M Expenses</t>
  </si>
  <si>
    <t>O &amp; M Expenses (INR Mn.)</t>
  </si>
  <si>
    <t>Escalation in the operational expenses (%)</t>
  </si>
  <si>
    <t>Generation of electricity</t>
  </si>
  <si>
    <t xml:space="preserve">Net Annual generation </t>
  </si>
  <si>
    <t>Land</t>
  </si>
  <si>
    <t>Interest rate (%)</t>
  </si>
  <si>
    <t>Loan Tenure (Qtr.)</t>
  </si>
  <si>
    <t>Moratorium Period (Qtr.)</t>
  </si>
  <si>
    <t>Repayment Period (Qtr.)</t>
  </si>
  <si>
    <t>Repayment instalments value (INR Mn.)</t>
  </si>
  <si>
    <t>1st instalment from  (Qtr. end)</t>
  </si>
  <si>
    <t>Considered from the next Quarter End</t>
  </si>
  <si>
    <t>LOAN REPAYMENT STATEMENT</t>
  </si>
  <si>
    <t>Loan Amount</t>
  </si>
  <si>
    <t>Interest rate</t>
  </si>
  <si>
    <t>Percent</t>
  </si>
  <si>
    <t>per quarter</t>
  </si>
  <si>
    <t>Loan Tenure</t>
  </si>
  <si>
    <t>Quarter</t>
  </si>
  <si>
    <t>Moratorium Period</t>
  </si>
  <si>
    <t>Repayment Period</t>
  </si>
  <si>
    <t>Loan Month</t>
  </si>
  <si>
    <t>Repayment installments value</t>
  </si>
  <si>
    <t>1st installment from</t>
  </si>
  <si>
    <t>Quarterly Repayment</t>
  </si>
  <si>
    <t>Q1 ending Jun</t>
  </si>
  <si>
    <t>Opening balance</t>
  </si>
  <si>
    <t>Less: Repayment</t>
  </si>
  <si>
    <t>Closing balance</t>
  </si>
  <si>
    <t>Interest</t>
  </si>
  <si>
    <t>Q2 ending Sep</t>
  </si>
  <si>
    <t>Q3 ending Dec</t>
  </si>
  <si>
    <t>Q4 ending Mar</t>
  </si>
  <si>
    <t>Total interest</t>
  </si>
  <si>
    <t>Total repayment</t>
  </si>
  <si>
    <t>Benchmark Calculations</t>
  </si>
  <si>
    <t>Value</t>
  </si>
  <si>
    <t>Sources Link</t>
  </si>
  <si>
    <t>Document Date</t>
  </si>
  <si>
    <t>Default Value for India as per UNFCCC guidelines</t>
  </si>
  <si>
    <t>Benchmark (with 10yrs Forecast)</t>
  </si>
  <si>
    <t>As Per Income Tax Rule</t>
  </si>
  <si>
    <t>State</t>
  </si>
  <si>
    <t>Transmission &amp; Wheeling Losses (%)</t>
  </si>
  <si>
    <t>Calculated</t>
  </si>
  <si>
    <t>Benchmark</t>
  </si>
  <si>
    <t xml:space="preserve">Total </t>
  </si>
  <si>
    <t>Charges</t>
  </si>
  <si>
    <t>Escalation</t>
  </si>
  <si>
    <t>Free period</t>
  </si>
  <si>
    <t>O &amp; M free for (Yr.)</t>
  </si>
  <si>
    <t>Savings</t>
  </si>
  <si>
    <t>Estimated Generation</t>
  </si>
  <si>
    <t>SPV Name</t>
  </si>
  <si>
    <t>O &amp; M Expenses for Project Activity</t>
  </si>
  <si>
    <t>Inflation forecast (WPI Mean) as per RBI for 10yrs</t>
  </si>
  <si>
    <t>Annual Degradation per year</t>
  </si>
  <si>
    <t>Annual Degradation</t>
  </si>
  <si>
    <t>O &amp; M Expenses for Project</t>
  </si>
  <si>
    <t xml:space="preserve">Escalation in tariff rate </t>
  </si>
  <si>
    <t>http://www.cercind.gov.in/2016/orders/SO17.pdf</t>
  </si>
  <si>
    <t>Tariff rate at the decision making (INR/kWh)</t>
  </si>
  <si>
    <t>IT act</t>
  </si>
  <si>
    <t>Decision Date</t>
  </si>
  <si>
    <t>IT Depreciation(%)</t>
  </si>
  <si>
    <t>CERC order</t>
  </si>
  <si>
    <t>DPR</t>
  </si>
  <si>
    <t>As per DPR</t>
  </si>
  <si>
    <t>Revenue from units generated</t>
  </si>
  <si>
    <t xml:space="preserve">  </t>
  </si>
  <si>
    <t>AC Project Capacity (MW)</t>
  </si>
  <si>
    <t xml:space="preserve">As Per IT rule </t>
  </si>
  <si>
    <t>https://www.bankbazaar.com/tax/corporate-tax.html</t>
  </si>
  <si>
    <t>Corporate Tax / MAT (%)</t>
  </si>
  <si>
    <t>Actual O&amp;M Cost</t>
  </si>
  <si>
    <t>PPA</t>
  </si>
  <si>
    <t>As Per DPR</t>
  </si>
  <si>
    <t>Total Project Cost</t>
  </si>
  <si>
    <t>https://www.incometaxindia.gov.in/charts%20%20tables/depreciation%20rates.htm</t>
  </si>
  <si>
    <t>Total Project Cost (in Million)</t>
  </si>
  <si>
    <t>Total Project Cost per MW (in Million)</t>
  </si>
  <si>
    <t>Actual Project Cost as per CA Certificate</t>
  </si>
  <si>
    <t>2.45/KWh</t>
  </si>
  <si>
    <t>Total Project Cost (In CR)</t>
  </si>
  <si>
    <t>SB Energy One Private Limited</t>
  </si>
  <si>
    <t>Bhadla</t>
  </si>
  <si>
    <t>Rajasthan</t>
  </si>
  <si>
    <t>Defalut Value</t>
  </si>
  <si>
    <t>https://rbi.org.in/Scripts/PublicationsView.aspx?id=17759</t>
  </si>
  <si>
    <t>EB 101 Annex 11</t>
  </si>
  <si>
    <t xml:space="preserve">As per EB101 , Annex 11 Dated: 29 Nov 2018 </t>
  </si>
  <si>
    <t>https://cdm.unfccc.int/methodologies/PAmethodologies/tools/am-tool-27-v9.0.pdf</t>
  </si>
  <si>
    <t>Equity IRR Calculation as per Default Value in EB 101 Annex 11</t>
  </si>
  <si>
    <t>Not Applicable</t>
  </si>
  <si>
    <t>As per RERC order dt. 23.01.2009, Pg 20</t>
  </si>
  <si>
    <t>http://www.rerc.rajasthan.gov.in/Regulations/Reg%2076.pdf</t>
  </si>
  <si>
    <t>As per DPR and also as per Rajasthan tariff order</t>
  </si>
  <si>
    <t>http://rerc.rajasthan.gov.in/TariffOrders/Order216.pdf</t>
  </si>
  <si>
    <t>https://www.indiabudget.gov.in/budget2017-2018/ub2017-18/fb/bill.pdf</t>
  </si>
  <si>
    <t>https://taxguru.in/income-tax/income-tax-slabs-ay-201819-fy-201718.html</t>
  </si>
  <si>
    <t>https://taxguru.in/income-tax/education-cess-increased-3-4-health-education-cess-fy201819-effect-taxpayers-tax-liability.html</t>
  </si>
  <si>
    <t>5% Escalation, starting from 2nd Yr.</t>
  </si>
  <si>
    <t>http://rerc.rajasthan.gov.in/TariffOrders/errorPG</t>
  </si>
  <si>
    <t>As per DPR and per Rajasthan tariff order</t>
  </si>
  <si>
    <t>GST (%)</t>
  </si>
  <si>
    <t>As per Actual maximum achieved PLF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</si>
</sst>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_(* #,##0.00_);_(* \(#,##0.00\);_(* &quot;-&quot;??_);_(@_)"/>
    <numFmt numFmtId="165" formatCode="[$-409]d\-mmm\-yyyy;@"/>
    <numFmt numFmtId="166" formatCode="_(* #,##0_);_(* \(#,##0\);_(* &quot;-&quot;??_);_(@_)"/>
    <numFmt numFmtId="167" formatCode="[$-409]d\-mmm\-yy;@"/>
    <numFmt numFmtId="168" formatCode="0.0%"/>
    <numFmt numFmtId="169" formatCode="[$-409]dd\-mmm\-yy;@"/>
    <numFmt numFmtId="170" formatCode="0.0"/>
    <numFmt numFmtId="171" formatCode="_([$€-2]* #,##0.00_);_([$€-2]* \(#,##0.00\);_([$€-2]* &quot;-&quot;??_)"/>
    <numFmt numFmtId="172" formatCode="_(* #,##0.000_);_(* \(#,##0.000\);_(* &quot;-&quot;??_);_(@_)"/>
    <numFmt numFmtId="173" formatCode="[$-409]mmm\-yy;@"/>
    <numFmt numFmtId="174" formatCode="[$-409]d/mmm/yy;@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1"/>
      <color indexed="6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3" tint="0.39997558519241921"/>
      <name val="Calibri"/>
      <family val="2"/>
      <scheme val="minor"/>
    </font>
    <font>
      <u/>
      <sz val="8.6"/>
      <color theme="10"/>
      <name val="Calibri"/>
      <family val="2"/>
    </font>
    <font>
      <u/>
      <sz val="9.35"/>
      <color theme="10"/>
      <name val="Calibri"/>
      <family val="2"/>
    </font>
    <font>
      <u/>
      <sz val="10"/>
      <color indexed="12"/>
      <name val="Arial"/>
      <family val="2"/>
    </font>
    <font>
      <b/>
      <sz val="24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u/>
      <sz val="10"/>
      <color theme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24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167" fontId="1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7" fillId="24" borderId="35" applyNumberFormat="0" applyAlignment="0" applyProtection="0"/>
    <xf numFmtId="0" fontId="17" fillId="24" borderId="35" applyNumberFormat="0" applyAlignment="0" applyProtection="0"/>
    <xf numFmtId="0" fontId="17" fillId="24" borderId="35" applyNumberFormat="0" applyAlignment="0" applyProtection="0"/>
    <xf numFmtId="0" fontId="17" fillId="24" borderId="35" applyNumberFormat="0" applyAlignment="0" applyProtection="0"/>
    <xf numFmtId="0" fontId="18" fillId="25" borderId="36" applyNumberFormat="0" applyAlignment="0" applyProtection="0"/>
    <xf numFmtId="0" fontId="18" fillId="25" borderId="36" applyNumberFormat="0" applyAlignment="0" applyProtection="0"/>
    <xf numFmtId="0" fontId="18" fillId="25" borderId="36" applyNumberFormat="0" applyAlignment="0" applyProtection="0"/>
    <xf numFmtId="0" fontId="18" fillId="25" borderId="36" applyNumberFormat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1" fillId="0" borderId="37" applyNumberFormat="0" applyFill="0" applyAlignment="0" applyProtection="0"/>
    <xf numFmtId="0" fontId="21" fillId="0" borderId="37" applyNumberFormat="0" applyFill="0" applyAlignment="0" applyProtection="0"/>
    <xf numFmtId="0" fontId="21" fillId="0" borderId="37" applyNumberFormat="0" applyFill="0" applyAlignment="0" applyProtection="0"/>
    <xf numFmtId="0" fontId="21" fillId="0" borderId="37" applyNumberFormat="0" applyFill="0" applyAlignment="0" applyProtection="0"/>
    <xf numFmtId="0" fontId="22" fillId="0" borderId="38" applyNumberFormat="0" applyFill="0" applyAlignment="0" applyProtection="0"/>
    <xf numFmtId="0" fontId="22" fillId="0" borderId="38" applyNumberFormat="0" applyFill="0" applyAlignment="0" applyProtection="0"/>
    <xf numFmtId="0" fontId="22" fillId="0" borderId="38" applyNumberFormat="0" applyFill="0" applyAlignment="0" applyProtection="0"/>
    <xf numFmtId="0" fontId="22" fillId="0" borderId="38" applyNumberFormat="0" applyFill="0" applyAlignment="0" applyProtection="0"/>
    <xf numFmtId="0" fontId="23" fillId="0" borderId="39" applyNumberFormat="0" applyFill="0" applyAlignment="0" applyProtection="0"/>
    <xf numFmtId="0" fontId="23" fillId="0" borderId="39" applyNumberFormat="0" applyFill="0" applyAlignment="0" applyProtection="0"/>
    <xf numFmtId="0" fontId="23" fillId="0" borderId="39" applyNumberFormat="0" applyFill="0" applyAlignment="0" applyProtection="0"/>
    <xf numFmtId="0" fontId="23" fillId="0" borderId="3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8" fillId="0" borderId="0" applyNumberFormat="0" applyFill="0" applyBorder="0" applyAlignment="0" applyProtection="0">
      <alignment vertical="top"/>
      <protection locked="0"/>
    </xf>
    <xf numFmtId="167" fontId="8" fillId="0" borderId="0" applyNumberFormat="0" applyFill="0" applyBorder="0" applyAlignment="0" applyProtection="0">
      <alignment vertical="top"/>
      <protection locked="0"/>
    </xf>
    <xf numFmtId="167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4" fillId="11" borderId="35" applyNumberFormat="0" applyAlignment="0" applyProtection="0"/>
    <xf numFmtId="0" fontId="24" fillId="11" borderId="35" applyNumberFormat="0" applyAlignment="0" applyProtection="0"/>
    <xf numFmtId="0" fontId="24" fillId="11" borderId="35" applyNumberFormat="0" applyAlignment="0" applyProtection="0"/>
    <xf numFmtId="0" fontId="24" fillId="11" borderId="35" applyNumberFormat="0" applyAlignment="0" applyProtection="0"/>
    <xf numFmtId="0" fontId="25" fillId="0" borderId="40" applyNumberFormat="0" applyFill="0" applyAlignment="0" applyProtection="0"/>
    <xf numFmtId="0" fontId="25" fillId="0" borderId="40" applyNumberFormat="0" applyFill="0" applyAlignment="0" applyProtection="0"/>
    <xf numFmtId="0" fontId="25" fillId="0" borderId="40" applyNumberFormat="0" applyFill="0" applyAlignment="0" applyProtection="0"/>
    <xf numFmtId="0" fontId="25" fillId="0" borderId="40" applyNumberFormat="0" applyFill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170" fontId="1" fillId="0" borderId="0"/>
    <xf numFmtId="0" fontId="1" fillId="0" borderId="0"/>
    <xf numFmtId="0" fontId="10" fillId="0" borderId="0"/>
    <xf numFmtId="0" fontId="10" fillId="0" borderId="0"/>
    <xf numFmtId="170" fontId="1" fillId="0" borderId="0"/>
    <xf numFmtId="0" fontId="10" fillId="27" borderId="41" applyNumberFormat="0" applyFont="0" applyAlignment="0" applyProtection="0"/>
    <xf numFmtId="0" fontId="10" fillId="27" borderId="41" applyNumberFormat="0" applyFont="0" applyAlignment="0" applyProtection="0"/>
    <xf numFmtId="0" fontId="10" fillId="27" borderId="41" applyNumberFormat="0" applyFont="0" applyAlignment="0" applyProtection="0"/>
    <xf numFmtId="0" fontId="10" fillId="27" borderId="41" applyNumberFormat="0" applyFont="0" applyAlignment="0" applyProtection="0"/>
    <xf numFmtId="0" fontId="27" fillId="24" borderId="42" applyNumberFormat="0" applyAlignment="0" applyProtection="0"/>
    <xf numFmtId="0" fontId="27" fillId="24" borderId="42" applyNumberFormat="0" applyAlignment="0" applyProtection="0"/>
    <xf numFmtId="0" fontId="27" fillId="24" borderId="42" applyNumberFormat="0" applyAlignment="0" applyProtection="0"/>
    <xf numFmtId="0" fontId="27" fillId="24" borderId="42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43" applyNumberFormat="0" applyFill="0" applyAlignment="0" applyProtection="0"/>
    <xf numFmtId="0" fontId="29" fillId="0" borderId="43" applyNumberFormat="0" applyFill="0" applyAlignment="0" applyProtection="0"/>
    <xf numFmtId="0" fontId="29" fillId="0" borderId="43" applyNumberFormat="0" applyFill="0" applyAlignment="0" applyProtection="0"/>
    <xf numFmtId="0" fontId="29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7" fontId="1" fillId="0" borderId="0"/>
    <xf numFmtId="0" fontId="17" fillId="24" borderId="35" applyNumberFormat="0" applyAlignment="0" applyProtection="0"/>
    <xf numFmtId="0" fontId="17" fillId="24" borderId="35" applyNumberFormat="0" applyAlignment="0" applyProtection="0"/>
    <xf numFmtId="0" fontId="17" fillId="24" borderId="35" applyNumberFormat="0" applyAlignment="0" applyProtection="0"/>
    <xf numFmtId="0" fontId="17" fillId="24" borderId="35" applyNumberFormat="0" applyAlignment="0" applyProtection="0"/>
    <xf numFmtId="0" fontId="24" fillId="11" borderId="35" applyNumberFormat="0" applyAlignment="0" applyProtection="0"/>
    <xf numFmtId="0" fontId="24" fillId="11" borderId="35" applyNumberFormat="0" applyAlignment="0" applyProtection="0"/>
    <xf numFmtId="0" fontId="24" fillId="11" borderId="35" applyNumberFormat="0" applyAlignment="0" applyProtection="0"/>
    <xf numFmtId="0" fontId="24" fillId="11" borderId="35" applyNumberFormat="0" applyAlignment="0" applyProtection="0"/>
    <xf numFmtId="0" fontId="10" fillId="27" borderId="41" applyNumberFormat="0" applyFont="0" applyAlignment="0" applyProtection="0"/>
    <xf numFmtId="0" fontId="10" fillId="27" borderId="41" applyNumberFormat="0" applyFont="0" applyAlignment="0" applyProtection="0"/>
    <xf numFmtId="0" fontId="10" fillId="27" borderId="41" applyNumberFormat="0" applyFont="0" applyAlignment="0" applyProtection="0"/>
    <xf numFmtId="0" fontId="10" fillId="27" borderId="41" applyNumberFormat="0" applyFont="0" applyAlignment="0" applyProtection="0"/>
    <xf numFmtId="0" fontId="27" fillId="24" borderId="42" applyNumberFormat="0" applyAlignment="0" applyProtection="0"/>
    <xf numFmtId="0" fontId="27" fillId="24" borderId="42" applyNumberFormat="0" applyAlignment="0" applyProtection="0"/>
    <xf numFmtId="0" fontId="27" fillId="24" borderId="42" applyNumberFormat="0" applyAlignment="0" applyProtection="0"/>
    <xf numFmtId="0" fontId="27" fillId="24" borderId="42" applyNumberFormat="0" applyAlignment="0" applyProtection="0"/>
    <xf numFmtId="0" fontId="29" fillId="0" borderId="43" applyNumberFormat="0" applyFill="0" applyAlignment="0" applyProtection="0"/>
    <xf numFmtId="0" fontId="29" fillId="0" borderId="43" applyNumberFormat="0" applyFill="0" applyAlignment="0" applyProtection="0"/>
    <xf numFmtId="0" fontId="29" fillId="0" borderId="43" applyNumberFormat="0" applyFill="0" applyAlignment="0" applyProtection="0"/>
    <xf numFmtId="0" fontId="29" fillId="0" borderId="43" applyNumberFormat="0" applyFill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70" fontId="1" fillId="0" borderId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10" fillId="0" borderId="0"/>
    <xf numFmtId="164" fontId="1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9" fontId="14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17" fillId="24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24" fillId="11" borderId="49" applyNumberForma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10" fillId="27" borderId="50" applyNumberFormat="0" applyFon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7" fillId="24" borderId="51" applyNumberFormat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0" fontId="17" fillId="24" borderId="55" applyNumberFormat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24" fillId="11" borderId="55" applyNumberForma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10" fillId="27" borderId="56" applyNumberFormat="0" applyFon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0" fontId="27" fillId="24" borderId="57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29" fillId="0" borderId="58" applyNumberFormat="0" applyFill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17" fillId="24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24" fillId="11" borderId="65" applyNumberForma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10" fillId="27" borderId="66" applyNumberFormat="0" applyFon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7" fillId="24" borderId="67" applyNumberFormat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  <xf numFmtId="0" fontId="29" fillId="0" borderId="68" applyNumberFormat="0" applyFill="0" applyAlignment="0" applyProtection="0"/>
  </cellStyleXfs>
  <cellXfs count="46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2" fontId="7" fillId="0" borderId="0" xfId="0" applyNumberFormat="1" applyFont="1" applyAlignment="1">
      <alignment horizontal="right" vertical="center"/>
    </xf>
    <xf numFmtId="167" fontId="0" fillId="0" borderId="0" xfId="5" applyFont="1" applyAlignment="1">
      <alignment vertical="center"/>
    </xf>
    <xf numFmtId="10" fontId="0" fillId="0" borderId="0" xfId="5" applyNumberFormat="1" applyFont="1" applyAlignment="1">
      <alignment vertical="center"/>
    </xf>
    <xf numFmtId="2" fontId="0" fillId="0" borderId="0" xfId="5" applyNumberFormat="1" applyFont="1" applyAlignment="1">
      <alignment vertical="center"/>
    </xf>
    <xf numFmtId="168" fontId="0" fillId="0" borderId="0" xfId="5" applyNumberFormat="1" applyFont="1" applyAlignment="1">
      <alignment vertical="center"/>
    </xf>
    <xf numFmtId="167" fontId="3" fillId="0" borderId="0" xfId="5" applyFont="1" applyAlignment="1">
      <alignment vertical="center"/>
    </xf>
    <xf numFmtId="0" fontId="0" fillId="0" borderId="0" xfId="5" applyNumberFormat="1" applyFont="1" applyAlignment="1">
      <alignment vertical="center"/>
    </xf>
    <xf numFmtId="167" fontId="0" fillId="0" borderId="0" xfId="5" applyFont="1" applyAlignment="1">
      <alignment horizontal="right" vertical="center"/>
    </xf>
    <xf numFmtId="167" fontId="5" fillId="0" borderId="4" xfId="5" applyFont="1" applyBorder="1" applyAlignment="1">
      <alignment horizontal="center" vertical="center"/>
    </xf>
    <xf numFmtId="169" fontId="0" fillId="0" borderId="5" xfId="5" applyNumberFormat="1" applyFont="1" applyBorder="1" applyAlignment="1">
      <alignment horizontal="center" vertical="center"/>
    </xf>
    <xf numFmtId="15" fontId="0" fillId="0" borderId="5" xfId="5" applyNumberFormat="1" applyFont="1" applyBorder="1" applyAlignment="1">
      <alignment horizontal="center" vertical="center"/>
    </xf>
    <xf numFmtId="0" fontId="0" fillId="0" borderId="0" xfId="5" applyNumberFormat="1" applyFont="1" applyAlignment="1">
      <alignment horizontal="right" vertical="center"/>
    </xf>
    <xf numFmtId="0" fontId="5" fillId="0" borderId="0" xfId="5" applyNumberFormat="1" applyFont="1" applyAlignment="1">
      <alignment horizontal="right" vertical="center"/>
    </xf>
    <xf numFmtId="0" fontId="5" fillId="0" borderId="0" xfId="5" applyNumberFormat="1" applyFont="1" applyAlignment="1">
      <alignment vertical="center"/>
    </xf>
    <xf numFmtId="0" fontId="5" fillId="0" borderId="0" xfId="5" applyNumberFormat="1" applyFont="1" applyAlignment="1">
      <alignment horizontal="center" vertical="center"/>
    </xf>
    <xf numFmtId="0" fontId="5" fillId="0" borderId="4" xfId="5" applyNumberFormat="1" applyFont="1" applyBorder="1" applyAlignment="1">
      <alignment horizontal="right" vertical="center"/>
    </xf>
    <xf numFmtId="0" fontId="5" fillId="0" borderId="5" xfId="5" applyNumberFormat="1" applyFont="1" applyBorder="1" applyAlignment="1">
      <alignment vertical="center"/>
    </xf>
    <xf numFmtId="167" fontId="0" fillId="0" borderId="11" xfId="5" applyFont="1" applyBorder="1" applyAlignment="1">
      <alignment vertical="center"/>
    </xf>
    <xf numFmtId="167" fontId="5" fillId="0" borderId="0" xfId="5" applyFont="1" applyAlignment="1">
      <alignment vertical="center"/>
    </xf>
    <xf numFmtId="167" fontId="5" fillId="0" borderId="0" xfId="5" applyFont="1" applyAlignment="1">
      <alignment horizontal="center" vertical="center"/>
    </xf>
    <xf numFmtId="167" fontId="5" fillId="0" borderId="4" xfId="5" applyFont="1" applyBorder="1" applyAlignment="1">
      <alignment horizontal="left" vertical="center"/>
    </xf>
    <xf numFmtId="167" fontId="0" fillId="0" borderId="5" xfId="5" applyFont="1" applyBorder="1" applyAlignment="1">
      <alignment vertical="center"/>
    </xf>
    <xf numFmtId="166" fontId="0" fillId="0" borderId="5" xfId="5" applyNumberFormat="1" applyFont="1" applyBorder="1" applyAlignment="1">
      <alignment vertical="center"/>
    </xf>
    <xf numFmtId="164" fontId="0" fillId="0" borderId="8" xfId="5" applyNumberFormat="1" applyFont="1" applyBorder="1" applyAlignment="1">
      <alignment vertical="center"/>
    </xf>
    <xf numFmtId="167" fontId="3" fillId="0" borderId="0" xfId="5" applyFont="1" applyAlignment="1">
      <alignment horizontal="right" vertical="center"/>
    </xf>
    <xf numFmtId="164" fontId="3" fillId="0" borderId="11" xfId="5" applyNumberFormat="1" applyFont="1" applyBorder="1" applyAlignment="1">
      <alignment vertical="center"/>
    </xf>
    <xf numFmtId="167" fontId="5" fillId="0" borderId="0" xfId="5" applyFont="1" applyAlignment="1">
      <alignment horizontal="left" vertical="center"/>
    </xf>
    <xf numFmtId="164" fontId="0" fillId="0" borderId="0" xfId="5" applyNumberFormat="1" applyFont="1" applyAlignment="1">
      <alignment vertical="center"/>
    </xf>
    <xf numFmtId="0" fontId="5" fillId="0" borderId="4" xfId="5" applyNumberFormat="1" applyFont="1" applyBorder="1" applyAlignment="1">
      <alignment horizontal="left" vertical="center"/>
    </xf>
    <xf numFmtId="164" fontId="0" fillId="0" borderId="5" xfId="5" applyNumberFormat="1" applyFont="1" applyBorder="1" applyAlignment="1">
      <alignment vertical="center"/>
    </xf>
    <xf numFmtId="164" fontId="0" fillId="0" borderId="6" xfId="5" applyNumberFormat="1" applyFont="1" applyBorder="1" applyAlignment="1">
      <alignment vertical="center"/>
    </xf>
    <xf numFmtId="167" fontId="0" fillId="0" borderId="0" xfId="5" applyFont="1" applyAlignment="1">
      <alignment horizontal="left" vertical="center"/>
    </xf>
    <xf numFmtId="167" fontId="3" fillId="0" borderId="5" xfId="5" applyFont="1" applyBorder="1" applyAlignment="1">
      <alignment vertical="center"/>
    </xf>
    <xf numFmtId="164" fontId="3" fillId="0" borderId="5" xfId="5" applyNumberFormat="1" applyFont="1" applyBorder="1" applyAlignment="1">
      <alignment vertical="center"/>
    </xf>
    <xf numFmtId="164" fontId="0" fillId="0" borderId="11" xfId="5" applyNumberFormat="1" applyFont="1" applyBorder="1" applyAlignment="1">
      <alignment vertical="center"/>
    </xf>
    <xf numFmtId="167" fontId="3" fillId="0" borderId="17" xfId="5" applyFont="1" applyBorder="1" applyAlignment="1">
      <alignment vertical="center"/>
    </xf>
    <xf numFmtId="164" fontId="3" fillId="0" borderId="17" xfId="5" applyNumberFormat="1" applyFont="1" applyBorder="1" applyAlignment="1">
      <alignment vertical="center"/>
    </xf>
    <xf numFmtId="164" fontId="3" fillId="0" borderId="18" xfId="5" applyNumberFormat="1" applyFont="1" applyBorder="1" applyAlignment="1">
      <alignment vertical="center"/>
    </xf>
    <xf numFmtId="167" fontId="11" fillId="0" borderId="0" xfId="5" applyFont="1" applyAlignment="1">
      <alignment horizontal="left" vertical="center" wrapText="1"/>
    </xf>
    <xf numFmtId="168" fontId="11" fillId="0" borderId="0" xfId="5" applyNumberFormat="1" applyFont="1" applyAlignment="1">
      <alignment horizontal="center" vertical="center"/>
    </xf>
    <xf numFmtId="167" fontId="5" fillId="0" borderId="4" xfId="5" applyFont="1" applyBorder="1" applyAlignment="1">
      <alignment vertical="center"/>
    </xf>
    <xf numFmtId="164" fontId="13" fillId="0" borderId="0" xfId="5" applyNumberFormat="1" applyFont="1" applyAlignment="1">
      <alignment vertical="center"/>
    </xf>
    <xf numFmtId="167" fontId="2" fillId="0" borderId="0" xfId="5" applyFont="1" applyAlignment="1">
      <alignment horizontal="center" vertical="center" wrapText="1"/>
    </xf>
    <xf numFmtId="164" fontId="13" fillId="0" borderId="0" xfId="1" applyFont="1" applyBorder="1" applyAlignment="1">
      <alignment vertical="center"/>
    </xf>
    <xf numFmtId="0" fontId="5" fillId="0" borderId="4" xfId="5" applyNumberFormat="1" applyFont="1" applyBorder="1" applyAlignment="1">
      <alignment vertical="center"/>
    </xf>
    <xf numFmtId="0" fontId="5" fillId="0" borderId="7" xfId="5" applyNumberFormat="1" applyFont="1" applyBorder="1" applyAlignment="1">
      <alignment vertical="center"/>
    </xf>
    <xf numFmtId="0" fontId="5" fillId="0" borderId="10" xfId="5" applyNumberFormat="1" applyFont="1" applyBorder="1" applyAlignment="1">
      <alignment vertical="center"/>
    </xf>
    <xf numFmtId="2" fontId="0" fillId="0" borderId="0" xfId="5" applyNumberFormat="1" applyFont="1" applyAlignment="1">
      <alignment horizontal="right" vertical="center"/>
    </xf>
    <xf numFmtId="2" fontId="5" fillId="0" borderId="0" xfId="5" applyNumberFormat="1" applyFont="1" applyAlignment="1">
      <alignment horizontal="left" vertical="center"/>
    </xf>
    <xf numFmtId="0" fontId="3" fillId="0" borderId="0" xfId="5" applyNumberFormat="1" applyFont="1" applyAlignment="1">
      <alignment vertical="center"/>
    </xf>
    <xf numFmtId="0" fontId="13" fillId="0" borderId="0" xfId="5" applyNumberFormat="1" applyFont="1" applyAlignment="1">
      <alignment vertical="center"/>
    </xf>
    <xf numFmtId="0" fontId="11" fillId="0" borderId="0" xfId="5" applyNumberFormat="1" applyFont="1" applyAlignment="1">
      <alignment horizontal="center" vertical="center" wrapText="1"/>
    </xf>
    <xf numFmtId="10" fontId="11" fillId="0" borderId="0" xfId="5" applyNumberFormat="1" applyFont="1" applyAlignment="1">
      <alignment horizontal="center" vertical="center"/>
    </xf>
    <xf numFmtId="0" fontId="5" fillId="0" borderId="0" xfId="6" applyFont="1" applyAlignment="1">
      <alignment vertical="center"/>
    </xf>
    <xf numFmtId="0" fontId="5" fillId="0" borderId="19" xfId="6" applyFont="1" applyBorder="1" applyAlignment="1">
      <alignment vertical="center"/>
    </xf>
    <xf numFmtId="15" fontId="5" fillId="0" borderId="6" xfId="6" applyNumberFormat="1" applyFont="1" applyBorder="1" applyAlignment="1">
      <alignment vertical="center"/>
    </xf>
    <xf numFmtId="2" fontId="5" fillId="0" borderId="27" xfId="6" applyNumberFormat="1" applyFont="1" applyBorder="1" applyAlignment="1">
      <alignment vertical="center"/>
    </xf>
    <xf numFmtId="2" fontId="5" fillId="0" borderId="28" xfId="6" applyNumberFormat="1" applyFont="1" applyBorder="1" applyAlignment="1">
      <alignment vertical="center"/>
    </xf>
    <xf numFmtId="167" fontId="5" fillId="0" borderId="16" xfId="5" applyFont="1" applyBorder="1" applyAlignment="1">
      <alignment horizontal="center" vertical="center"/>
    </xf>
    <xf numFmtId="15" fontId="5" fillId="0" borderId="44" xfId="6" applyNumberFormat="1" applyFont="1" applyBorder="1" applyAlignment="1">
      <alignment vertical="center"/>
    </xf>
    <xf numFmtId="15" fontId="5" fillId="0" borderId="34" xfId="6" applyNumberFormat="1" applyFont="1" applyBorder="1" applyAlignment="1">
      <alignment horizontal="center" vertical="center"/>
    </xf>
    <xf numFmtId="15" fontId="5" fillId="0" borderId="0" xfId="6" applyNumberFormat="1" applyFont="1" applyAlignment="1">
      <alignment vertical="center"/>
    </xf>
    <xf numFmtId="15" fontId="5" fillId="0" borderId="0" xfId="6" applyNumberFormat="1" applyFont="1" applyAlignment="1">
      <alignment horizontal="center" vertical="center"/>
    </xf>
    <xf numFmtId="0" fontId="5" fillId="0" borderId="45" xfId="6" applyFont="1" applyBorder="1" applyAlignment="1">
      <alignment vertical="center"/>
    </xf>
    <xf numFmtId="15" fontId="5" fillId="0" borderId="22" xfId="6" applyNumberFormat="1" applyFont="1" applyBorder="1" applyAlignment="1">
      <alignment vertical="center"/>
    </xf>
    <xf numFmtId="15" fontId="5" fillId="0" borderId="4" xfId="6" applyNumberFormat="1" applyFont="1" applyBorder="1" applyAlignment="1">
      <alignment vertical="center"/>
    </xf>
    <xf numFmtId="167" fontId="0" fillId="0" borderId="0" xfId="188" applyFont="1" applyAlignment="1">
      <alignment vertical="center"/>
    </xf>
    <xf numFmtId="167" fontId="3" fillId="0" borderId="0" xfId="188" applyFont="1" applyAlignment="1">
      <alignment vertical="center"/>
    </xf>
    <xf numFmtId="2" fontId="0" fillId="0" borderId="0" xfId="188" applyNumberFormat="1" applyFont="1" applyAlignment="1">
      <alignment vertical="center"/>
    </xf>
    <xf numFmtId="10" fontId="0" fillId="0" borderId="0" xfId="188" applyNumberFormat="1" applyFont="1" applyAlignment="1">
      <alignment vertical="center"/>
    </xf>
    <xf numFmtId="168" fontId="0" fillId="0" borderId="0" xfId="188" applyNumberFormat="1" applyFont="1" applyAlignment="1">
      <alignment vertical="center"/>
    </xf>
    <xf numFmtId="9" fontId="4" fillId="0" borderId="0" xfId="2" applyFont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10" fontId="11" fillId="0" borderId="15" xfId="2" applyNumberFormat="1" applyFont="1" applyFill="1" applyBorder="1" applyAlignment="1">
      <alignment vertical="center"/>
    </xf>
    <xf numFmtId="10" fontId="0" fillId="0" borderId="0" xfId="2" applyNumberFormat="1" applyFont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0" xfId="0" applyFont="1" applyAlignment="1">
      <alignment vertical="center"/>
    </xf>
    <xf numFmtId="10" fontId="11" fillId="0" borderId="30" xfId="2" applyNumberFormat="1" applyFont="1" applyFill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10" fontId="11" fillId="0" borderId="26" xfId="2" applyNumberFormat="1" applyFont="1" applyFill="1" applyBorder="1" applyAlignment="1">
      <alignment vertical="center"/>
    </xf>
    <xf numFmtId="10" fontId="0" fillId="0" borderId="0" xfId="2" applyNumberFormat="1" applyFont="1" applyBorder="1" applyAlignment="1">
      <alignment vertical="center"/>
    </xf>
    <xf numFmtId="39" fontId="0" fillId="0" borderId="0" xfId="0" applyNumberFormat="1" applyAlignment="1">
      <alignment vertical="center"/>
    </xf>
    <xf numFmtId="9" fontId="11" fillId="0" borderId="33" xfId="2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5" xfId="5" applyNumberFormat="1" applyFont="1" applyBorder="1" applyAlignment="1">
      <alignment vertical="center"/>
    </xf>
    <xf numFmtId="164" fontId="3" fillId="0" borderId="0" xfId="5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2" fontId="12" fillId="0" borderId="0" xfId="0" applyNumberFormat="1" applyFont="1" applyAlignment="1">
      <alignment vertical="center" wrapText="1"/>
    </xf>
    <xf numFmtId="167" fontId="11" fillId="28" borderId="32" xfId="5" applyFont="1" applyFill="1" applyBorder="1" applyAlignment="1">
      <alignment horizontal="center" vertical="center"/>
    </xf>
    <xf numFmtId="167" fontId="11" fillId="28" borderId="4" xfId="5" applyFont="1" applyFill="1" applyBorder="1" applyAlignment="1">
      <alignment horizontal="center" vertical="center" wrapText="1"/>
    </xf>
    <xf numFmtId="167" fontId="11" fillId="28" borderId="16" xfId="5" applyFont="1" applyFill="1" applyBorder="1" applyAlignment="1">
      <alignment horizontal="center" vertical="center" wrapText="1"/>
    </xf>
    <xf numFmtId="167" fontId="11" fillId="28" borderId="32" xfId="5" applyFont="1" applyFill="1" applyBorder="1" applyAlignment="1">
      <alignment horizontal="center" vertical="center" wrapText="1"/>
    </xf>
    <xf numFmtId="0" fontId="11" fillId="28" borderId="34" xfId="6" applyFont="1" applyFill="1" applyBorder="1" applyAlignment="1">
      <alignment horizontal="center" vertical="center"/>
    </xf>
    <xf numFmtId="0" fontId="11" fillId="28" borderId="16" xfId="5" applyNumberFormat="1" applyFont="1" applyFill="1" applyBorder="1" applyAlignment="1">
      <alignment horizontal="center" vertical="center" wrapText="1"/>
    </xf>
    <xf numFmtId="10" fontId="11" fillId="28" borderId="18" xfId="5" applyNumberFormat="1" applyFont="1" applyFill="1" applyBorder="1" applyAlignment="1">
      <alignment horizontal="center" vertical="center"/>
    </xf>
    <xf numFmtId="0" fontId="11" fillId="28" borderId="34" xfId="5" applyNumberFormat="1" applyFont="1" applyFill="1" applyBorder="1" applyAlignment="1">
      <alignment horizontal="center" vertical="center" wrapText="1"/>
    </xf>
    <xf numFmtId="0" fontId="11" fillId="28" borderId="32" xfId="5" applyNumberFormat="1" applyFont="1" applyFill="1" applyBorder="1" applyAlignment="1">
      <alignment horizontal="center" vertical="center" wrapText="1"/>
    </xf>
    <xf numFmtId="0" fontId="3" fillId="28" borderId="34" xfId="0" applyFont="1" applyFill="1" applyBorder="1" applyAlignment="1">
      <alignment horizontal="center" vertical="center"/>
    </xf>
    <xf numFmtId="9" fontId="0" fillId="0" borderId="0" xfId="0" applyNumberFormat="1" applyAlignment="1">
      <alignment vertical="center"/>
    </xf>
    <xf numFmtId="167" fontId="2" fillId="3" borderId="0" xfId="5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54" xfId="5" applyNumberFormat="1" applyFont="1" applyBorder="1" applyAlignment="1">
      <alignment horizontal="left" vertical="center"/>
    </xf>
    <xf numFmtId="0" fontId="0" fillId="0" borderId="47" xfId="5" applyNumberFormat="1" applyFont="1" applyBorder="1" applyAlignment="1">
      <alignment vertical="center"/>
    </xf>
    <xf numFmtId="164" fontId="0" fillId="0" borderId="47" xfId="5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7" fontId="5" fillId="0" borderId="0" xfId="5" applyFont="1" applyAlignment="1">
      <alignment horizontal="right" vertical="center"/>
    </xf>
    <xf numFmtId="37" fontId="0" fillId="0" borderId="0" xfId="5" applyNumberFormat="1" applyFont="1" applyAlignment="1">
      <alignment horizontal="center" vertical="center"/>
    </xf>
    <xf numFmtId="166" fontId="0" fillId="0" borderId="0" xfId="5" applyNumberFormat="1" applyFont="1" applyAlignment="1">
      <alignment vertical="center"/>
    </xf>
    <xf numFmtId="37" fontId="5" fillId="0" borderId="5" xfId="5" applyNumberFormat="1" applyFont="1" applyBorder="1" applyAlignment="1">
      <alignment horizontal="center" vertical="center"/>
    </xf>
    <xf numFmtId="167" fontId="3" fillId="0" borderId="19" xfId="5" applyFont="1" applyBorder="1" applyAlignment="1">
      <alignment vertical="center"/>
    </xf>
    <xf numFmtId="164" fontId="5" fillId="0" borderId="6" xfId="1" applyFont="1" applyFill="1" applyBorder="1" applyAlignment="1">
      <alignment horizontal="right" vertical="center"/>
    </xf>
    <xf numFmtId="167" fontId="0" fillId="0" borderId="20" xfId="5" applyFont="1" applyBorder="1" applyAlignment="1">
      <alignment vertical="center"/>
    </xf>
    <xf numFmtId="167" fontId="0" fillId="0" borderId="59" xfId="5" applyFont="1" applyBorder="1" applyAlignment="1">
      <alignment vertical="center"/>
    </xf>
    <xf numFmtId="10" fontId="5" fillId="0" borderId="9" xfId="1" applyNumberFormat="1" applyFont="1" applyFill="1" applyBorder="1" applyAlignment="1">
      <alignment horizontal="right" vertical="center"/>
    </xf>
    <xf numFmtId="10" fontId="0" fillId="0" borderId="9" xfId="5" applyNumberFormat="1" applyFont="1" applyBorder="1" applyAlignment="1">
      <alignment vertical="center"/>
    </xf>
    <xf numFmtId="166" fontId="5" fillId="0" borderId="9" xfId="1" applyNumberFormat="1" applyFont="1" applyFill="1" applyBorder="1" applyAlignment="1">
      <alignment horizontal="right" vertical="center"/>
    </xf>
    <xf numFmtId="173" fontId="5" fillId="0" borderId="9" xfId="1" applyNumberFormat="1" applyFont="1" applyFill="1" applyBorder="1" applyAlignment="1">
      <alignment horizontal="right" vertical="center"/>
    </xf>
    <xf numFmtId="172" fontId="5" fillId="0" borderId="48" xfId="1" applyNumberFormat="1" applyFont="1" applyFill="1" applyBorder="1" applyAlignment="1">
      <alignment horizontal="right" vertical="center"/>
    </xf>
    <xf numFmtId="167" fontId="0" fillId="0" borderId="21" xfId="5" applyFont="1" applyBorder="1" applyAlignment="1">
      <alignment vertical="center"/>
    </xf>
    <xf numFmtId="173" fontId="5" fillId="0" borderId="12" xfId="1" applyNumberFormat="1" applyFont="1" applyFill="1" applyBorder="1" applyAlignment="1">
      <alignment horizontal="right" vertical="center"/>
    </xf>
    <xf numFmtId="173" fontId="5" fillId="0" borderId="0" xfId="1" applyNumberFormat="1" applyFont="1" applyFill="1" applyBorder="1" applyAlignment="1">
      <alignment horizontal="right" vertical="center"/>
    </xf>
    <xf numFmtId="167" fontId="3" fillId="28" borderId="32" xfId="5" applyFont="1" applyFill="1" applyBorder="1" applyAlignment="1">
      <alignment horizontal="center" vertical="center"/>
    </xf>
    <xf numFmtId="2" fontId="3" fillId="0" borderId="0" xfId="5" applyNumberFormat="1" applyFont="1" applyAlignment="1">
      <alignment vertical="center"/>
    </xf>
    <xf numFmtId="0" fontId="11" fillId="0" borderId="4" xfId="5" applyNumberFormat="1" applyFont="1" applyBorder="1" applyAlignment="1">
      <alignment vertical="center"/>
    </xf>
    <xf numFmtId="0" fontId="11" fillId="0" borderId="5" xfId="5" applyNumberFormat="1" applyFont="1" applyBorder="1" applyAlignment="1">
      <alignment vertical="center"/>
    </xf>
    <xf numFmtId="173" fontId="0" fillId="0" borderId="5" xfId="5" applyNumberFormat="1" applyFont="1" applyBorder="1" applyAlignment="1">
      <alignment vertical="center"/>
    </xf>
    <xf numFmtId="0" fontId="5" fillId="0" borderId="59" xfId="5" applyNumberFormat="1" applyFont="1" applyBorder="1" applyAlignment="1">
      <alignment vertical="center"/>
    </xf>
    <xf numFmtId="164" fontId="0" fillId="0" borderId="59" xfId="5" applyNumberFormat="1" applyFont="1" applyBorder="1" applyAlignment="1">
      <alignment vertical="center"/>
    </xf>
    <xf numFmtId="0" fontId="11" fillId="0" borderId="7" xfId="5" applyNumberFormat="1" applyFont="1" applyBorder="1" applyAlignment="1">
      <alignment vertical="center"/>
    </xf>
    <xf numFmtId="0" fontId="11" fillId="0" borderId="59" xfId="5" applyNumberFormat="1" applyFont="1" applyBorder="1" applyAlignment="1">
      <alignment vertical="center"/>
    </xf>
    <xf numFmtId="173" fontId="0" fillId="0" borderId="59" xfId="5" applyNumberFormat="1" applyFont="1" applyBorder="1" applyAlignment="1">
      <alignment vertical="center"/>
    </xf>
    <xf numFmtId="0" fontId="5" fillId="0" borderId="11" xfId="5" applyNumberFormat="1" applyFont="1" applyBorder="1" applyAlignment="1">
      <alignment vertical="center"/>
    </xf>
    <xf numFmtId="0" fontId="11" fillId="0" borderId="10" xfId="5" applyNumberFormat="1" applyFont="1" applyBorder="1" applyAlignment="1">
      <alignment vertical="center"/>
    </xf>
    <xf numFmtId="0" fontId="11" fillId="0" borderId="11" xfId="5" applyNumberFormat="1" applyFont="1" applyBorder="1" applyAlignment="1">
      <alignment vertical="center"/>
    </xf>
    <xf numFmtId="164" fontId="0" fillId="0" borderId="61" xfId="5" applyNumberFormat="1" applyFont="1" applyBorder="1" applyAlignment="1">
      <alignment vertical="center"/>
    </xf>
    <xf numFmtId="9" fontId="3" fillId="0" borderId="0" xfId="2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10" fontId="36" fillId="3" borderId="30" xfId="2" applyNumberFormat="1" applyFont="1" applyFill="1" applyBorder="1" applyAlignment="1">
      <alignment horizontal="right" wrapText="1"/>
    </xf>
    <xf numFmtId="0" fontId="37" fillId="0" borderId="0" xfId="0" applyFont="1" applyAlignment="1">
      <alignment vertical="center"/>
    </xf>
    <xf numFmtId="0" fontId="11" fillId="0" borderId="64" xfId="6" applyFont="1" applyBorder="1" applyAlignment="1">
      <alignment vertical="center"/>
    </xf>
    <xf numFmtId="0" fontId="11" fillId="0" borderId="70" xfId="6" applyFont="1" applyBorder="1" applyAlignment="1">
      <alignment vertical="center"/>
    </xf>
    <xf numFmtId="0" fontId="11" fillId="0" borderId="19" xfId="6" applyFont="1" applyBorder="1" applyAlignment="1">
      <alignment vertical="center"/>
    </xf>
    <xf numFmtId="0" fontId="11" fillId="0" borderId="69" xfId="6" applyFont="1" applyBorder="1" applyAlignment="1">
      <alignment vertical="center"/>
    </xf>
    <xf numFmtId="0" fontId="11" fillId="0" borderId="71" xfId="6" applyFont="1" applyBorder="1" applyAlignment="1">
      <alignment vertical="center"/>
    </xf>
    <xf numFmtId="0" fontId="11" fillId="0" borderId="22" xfId="6" applyFont="1" applyBorder="1" applyAlignment="1">
      <alignment vertical="center"/>
    </xf>
    <xf numFmtId="10" fontId="11" fillId="0" borderId="63" xfId="6" applyNumberFormat="1" applyFont="1" applyBorder="1" applyAlignment="1">
      <alignment vertical="center"/>
    </xf>
    <xf numFmtId="0" fontId="11" fillId="0" borderId="27" xfId="6" applyFont="1" applyBorder="1" applyAlignment="1">
      <alignment vertical="center"/>
    </xf>
    <xf numFmtId="167" fontId="0" fillId="0" borderId="1" xfId="5" applyFont="1" applyBorder="1" applyAlignment="1">
      <alignment vertical="center"/>
    </xf>
    <xf numFmtId="164" fontId="0" fillId="0" borderId="34" xfId="5" applyNumberFormat="1" applyFont="1" applyBorder="1" applyAlignment="1">
      <alignment vertical="center"/>
    </xf>
    <xf numFmtId="167" fontId="3" fillId="0" borderId="1" xfId="5" applyFont="1" applyBorder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165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right" vertical="center"/>
    </xf>
    <xf numFmtId="164" fontId="10" fillId="31" borderId="17" xfId="0" applyNumberFormat="1" applyFont="1" applyFill="1" applyBorder="1" applyAlignment="1">
      <alignment vertical="center"/>
    </xf>
    <xf numFmtId="164" fontId="10" fillId="31" borderId="18" xfId="0" applyNumberFormat="1" applyFont="1" applyFill="1" applyBorder="1" applyAlignment="1">
      <alignment vertical="center"/>
    </xf>
    <xf numFmtId="0" fontId="42" fillId="0" borderId="23" xfId="0" applyFont="1" applyBorder="1" applyAlignment="1">
      <alignment horizontal="center" vertical="center" wrapText="1"/>
    </xf>
    <xf numFmtId="10" fontId="42" fillId="0" borderId="27" xfId="0" applyNumberFormat="1" applyFont="1" applyBorder="1" applyAlignment="1">
      <alignment horizontal="center" vertical="center" wrapText="1"/>
    </xf>
    <xf numFmtId="10" fontId="42" fillId="0" borderId="28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10" fontId="42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right" vertical="center"/>
    </xf>
    <xf numFmtId="0" fontId="40" fillId="0" borderId="0" xfId="0" applyFont="1" applyAlignment="1">
      <alignment vertical="center" wrapText="1"/>
    </xf>
    <xf numFmtId="0" fontId="41" fillId="0" borderId="8" xfId="0" applyFont="1" applyBorder="1" applyAlignment="1">
      <alignment horizontal="left" vertical="center" wrapText="1"/>
    </xf>
    <xf numFmtId="0" fontId="41" fillId="0" borderId="53" xfId="0" applyFont="1" applyBorder="1" applyAlignment="1">
      <alignment horizontal="left" vertical="center" wrapText="1"/>
    </xf>
    <xf numFmtId="0" fontId="41" fillId="0" borderId="48" xfId="0" applyFont="1" applyBorder="1" applyAlignment="1">
      <alignment horizontal="left" vertical="center"/>
    </xf>
    <xf numFmtId="0" fontId="43" fillId="0" borderId="53" xfId="3" applyFont="1" applyFill="1" applyBorder="1" applyAlignment="1" applyProtection="1">
      <alignment horizontal="left" vertical="center" wrapText="1"/>
    </xf>
    <xf numFmtId="0" fontId="41" fillId="0" borderId="48" xfId="0" applyFont="1" applyBorder="1" applyAlignment="1">
      <alignment horizontal="left" vertical="center" wrapText="1"/>
    </xf>
    <xf numFmtId="167" fontId="0" fillId="0" borderId="62" xfId="0" applyNumberFormat="1" applyBorder="1" applyAlignment="1">
      <alignment horizontal="center"/>
    </xf>
    <xf numFmtId="43" fontId="0" fillId="0" borderId="0" xfId="0" applyNumberFormat="1" applyAlignment="1">
      <alignment vertical="center"/>
    </xf>
    <xf numFmtId="0" fontId="3" fillId="0" borderId="8" xfId="0" applyFon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3" fillId="0" borderId="0" xfId="0" applyFont="1" applyAlignment="1">
      <alignment vertical="top"/>
    </xf>
    <xf numFmtId="10" fontId="3" fillId="0" borderId="0" xfId="2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8" fillId="0" borderId="53" xfId="3" applyFill="1" applyBorder="1" applyAlignment="1" applyProtection="1">
      <alignment horizontal="left" vertical="center" wrapText="1"/>
    </xf>
    <xf numFmtId="164" fontId="41" fillId="0" borderId="8" xfId="1" applyFont="1" applyFill="1" applyBorder="1" applyAlignment="1">
      <alignment horizontal="right" vertical="center"/>
    </xf>
    <xf numFmtId="0" fontId="43" fillId="0" borderId="80" xfId="3" applyFont="1" applyFill="1" applyBorder="1" applyAlignment="1" applyProtection="1">
      <alignment horizontal="left" vertical="center" wrapText="1"/>
    </xf>
    <xf numFmtId="0" fontId="41" fillId="0" borderId="64" xfId="4" applyFont="1" applyFill="1" applyBorder="1" applyAlignment="1">
      <alignment vertical="center"/>
    </xf>
    <xf numFmtId="0" fontId="41" fillId="0" borderId="62" xfId="0" applyFont="1" applyBorder="1" applyAlignment="1">
      <alignment horizontal="left" vertical="center" wrapText="1"/>
    </xf>
    <xf numFmtId="0" fontId="8" fillId="0" borderId="82" xfId="3" applyBorder="1" applyAlignment="1" applyProtection="1"/>
    <xf numFmtId="0" fontId="0" fillId="0" borderId="82" xfId="0" applyBorder="1"/>
    <xf numFmtId="0" fontId="0" fillId="0" borderId="64" xfId="0" applyBorder="1" applyAlignment="1">
      <alignment wrapText="1"/>
    </xf>
    <xf numFmtId="14" fontId="0" fillId="29" borderId="83" xfId="0" applyNumberFormat="1" applyFill="1" applyBorder="1" applyAlignment="1">
      <alignment horizontal="center" vertical="center"/>
    </xf>
    <xf numFmtId="0" fontId="0" fillId="0" borderId="64" xfId="0" applyBorder="1"/>
    <xf numFmtId="167" fontId="0" fillId="0" borderId="83" xfId="0" applyNumberFormat="1" applyBorder="1" applyAlignment="1">
      <alignment horizontal="center"/>
    </xf>
    <xf numFmtId="0" fontId="0" fillId="0" borderId="70" xfId="0" applyBorder="1"/>
    <xf numFmtId="164" fontId="40" fillId="0" borderId="82" xfId="0" applyNumberFormat="1" applyFont="1" applyBorder="1" applyAlignment="1">
      <alignment vertical="center"/>
    </xf>
    <xf numFmtId="164" fontId="39" fillId="0" borderId="83" xfId="0" applyNumberFormat="1" applyFont="1" applyBorder="1" applyAlignment="1">
      <alignment horizontal="center" vertical="center"/>
    </xf>
    <xf numFmtId="0" fontId="39" fillId="0" borderId="63" xfId="0" applyFont="1" applyBorder="1" applyAlignment="1">
      <alignment horizontal="left" vertical="center"/>
    </xf>
    <xf numFmtId="0" fontId="40" fillId="31" borderId="34" xfId="0" applyFont="1" applyFill="1" applyBorder="1" applyAlignment="1">
      <alignment horizontal="left" vertical="center"/>
    </xf>
    <xf numFmtId="9" fontId="0" fillId="0" borderId="0" xfId="2" applyFont="1" applyAlignment="1">
      <alignment vertical="center"/>
    </xf>
    <xf numFmtId="0" fontId="39" fillId="28" borderId="22" xfId="0" applyFont="1" applyFill="1" applyBorder="1" applyAlignment="1">
      <alignment horizontal="left" vertical="center"/>
    </xf>
    <xf numFmtId="0" fontId="39" fillId="28" borderId="91" xfId="0" applyFont="1" applyFill="1" applyBorder="1" applyAlignment="1">
      <alignment horizontal="left" vertical="center"/>
    </xf>
    <xf numFmtId="0" fontId="39" fillId="28" borderId="63" xfId="0" applyFont="1" applyFill="1" applyBorder="1" applyAlignment="1">
      <alignment horizontal="left" vertical="center"/>
    </xf>
    <xf numFmtId="0" fontId="39" fillId="28" borderId="27" xfId="0" applyFont="1" applyFill="1" applyBorder="1" applyAlignment="1">
      <alignment horizontal="left" vertical="center"/>
    </xf>
    <xf numFmtId="0" fontId="38" fillId="2" borderId="34" xfId="0" quotePrefix="1" applyFont="1" applyFill="1" applyBorder="1" applyAlignment="1">
      <alignment horizontal="center" vertical="center"/>
    </xf>
    <xf numFmtId="0" fontId="10" fillId="0" borderId="64" xfId="0" applyFont="1" applyBorder="1" applyAlignment="1">
      <alignment vertical="center"/>
    </xf>
    <xf numFmtId="0" fontId="10" fillId="0" borderId="8" xfId="0" applyFont="1" applyBorder="1" applyAlignment="1">
      <alignment horizontal="left" vertical="center" wrapText="1"/>
    </xf>
    <xf numFmtId="164" fontId="10" fillId="0" borderId="8" xfId="1" applyFont="1" applyFill="1" applyBorder="1" applyAlignment="1">
      <alignment horizontal="right" vertical="center" wrapText="1"/>
    </xf>
    <xf numFmtId="167" fontId="10" fillId="0" borderId="8" xfId="1" applyNumberFormat="1" applyFont="1" applyFill="1" applyBorder="1" applyAlignment="1">
      <alignment horizontal="right" vertical="center"/>
    </xf>
    <xf numFmtId="166" fontId="10" fillId="0" borderId="8" xfId="1" applyNumberFormat="1" applyFont="1" applyFill="1" applyBorder="1" applyAlignment="1">
      <alignment horizontal="right" vertical="center"/>
    </xf>
    <xf numFmtId="10" fontId="10" fillId="0" borderId="8" xfId="2" applyNumberFormat="1" applyFont="1" applyFill="1" applyBorder="1" applyAlignment="1">
      <alignment horizontal="right" vertical="center"/>
    </xf>
    <xf numFmtId="0" fontId="10" fillId="0" borderId="64" xfId="0" applyFont="1" applyBorder="1" applyAlignment="1">
      <alignment vertical="center" wrapText="1"/>
    </xf>
    <xf numFmtId="164" fontId="10" fillId="0" borderId="8" xfId="1" applyFont="1" applyFill="1" applyBorder="1" applyAlignment="1">
      <alignment horizontal="right" vertical="center"/>
    </xf>
    <xf numFmtId="0" fontId="10" fillId="0" borderId="79" xfId="0" applyFont="1" applyBorder="1" applyAlignment="1">
      <alignment vertical="center" wrapText="1"/>
    </xf>
    <xf numFmtId="168" fontId="10" fillId="0" borderId="8" xfId="1" applyNumberFormat="1" applyFont="1" applyFill="1" applyBorder="1" applyAlignment="1">
      <alignment horizontal="right" vertical="center"/>
    </xf>
    <xf numFmtId="10" fontId="10" fillId="0" borderId="8" xfId="1" applyNumberFormat="1" applyFont="1" applyFill="1" applyBorder="1" applyAlignment="1">
      <alignment horizontal="right" vertical="center"/>
    </xf>
    <xf numFmtId="172" fontId="10" fillId="0" borderId="8" xfId="1" applyNumberFormat="1" applyFont="1" applyFill="1" applyBorder="1" applyAlignment="1">
      <alignment horizontal="right" vertical="center"/>
    </xf>
    <xf numFmtId="0" fontId="10" fillId="0" borderId="64" xfId="0" applyFont="1" applyBorder="1" applyAlignment="1">
      <alignment horizontal="left" vertical="center"/>
    </xf>
    <xf numFmtId="164" fontId="10" fillId="0" borderId="8" xfId="0" applyNumberFormat="1" applyFont="1" applyBorder="1" applyAlignment="1">
      <alignment horizontal="center" vertical="center"/>
    </xf>
    <xf numFmtId="0" fontId="10" fillId="0" borderId="64" xfId="4" applyFill="1" applyBorder="1" applyAlignment="1">
      <alignment vertical="center"/>
    </xf>
    <xf numFmtId="10" fontId="10" fillId="0" borderId="8" xfId="0" applyNumberFormat="1" applyFont="1" applyBorder="1" applyAlignment="1">
      <alignment horizontal="right" vertical="center"/>
    </xf>
    <xf numFmtId="0" fontId="10" fillId="0" borderId="70" xfId="0" applyFont="1" applyBorder="1" applyAlignment="1">
      <alignment vertical="center"/>
    </xf>
    <xf numFmtId="10" fontId="10" fillId="0" borderId="61" xfId="2" applyNumberFormat="1" applyFont="1" applyFill="1" applyBorder="1" applyAlignment="1">
      <alignment horizontal="right" vertical="center"/>
    </xf>
    <xf numFmtId="0" fontId="10" fillId="0" borderId="61" xfId="0" applyFont="1" applyBorder="1" applyAlignment="1">
      <alignment horizontal="left" vertical="center" wrapText="1"/>
    </xf>
    <xf numFmtId="0" fontId="10" fillId="0" borderId="54" xfId="0" applyFont="1" applyBorder="1" applyAlignment="1">
      <alignment vertical="center"/>
    </xf>
    <xf numFmtId="0" fontId="10" fillId="0" borderId="47" xfId="0" applyFont="1" applyBorder="1" applyAlignment="1">
      <alignment horizontal="right" vertical="center"/>
    </xf>
    <xf numFmtId="0" fontId="10" fillId="0" borderId="47" xfId="0" applyFont="1" applyBorder="1" applyAlignment="1">
      <alignment horizontal="left" vertical="center" wrapText="1"/>
    </xf>
    <xf numFmtId="0" fontId="41" fillId="4" borderId="17" xfId="0" applyFont="1" applyFill="1" applyBorder="1" applyAlignment="1">
      <alignment horizontal="center" vertical="center"/>
    </xf>
    <xf numFmtId="0" fontId="41" fillId="4" borderId="18" xfId="0" applyFont="1" applyFill="1" applyBorder="1" applyAlignment="1">
      <alignment horizontal="center" vertical="center"/>
    </xf>
    <xf numFmtId="37" fontId="5" fillId="0" borderId="86" xfId="5" applyNumberFormat="1" applyFont="1" applyBorder="1" applyAlignment="1">
      <alignment horizontal="center" vertical="center"/>
    </xf>
    <xf numFmtId="10" fontId="5" fillId="0" borderId="81" xfId="5" applyNumberFormat="1" applyFont="1" applyBorder="1" applyAlignment="1">
      <alignment horizontal="center" vertical="center"/>
    </xf>
    <xf numFmtId="0" fontId="5" fillId="0" borderId="81" xfId="5" applyNumberFormat="1" applyFont="1" applyBorder="1" applyAlignment="1">
      <alignment horizontal="center" vertical="center"/>
    </xf>
    <xf numFmtId="166" fontId="5" fillId="0" borderId="88" xfId="1" applyNumberFormat="1" applyFont="1" applyFill="1" applyBorder="1" applyAlignment="1">
      <alignment horizontal="center" vertical="center"/>
    </xf>
    <xf numFmtId="3" fontId="0" fillId="0" borderId="87" xfId="5" applyNumberFormat="1" applyFont="1" applyBorder="1" applyAlignment="1">
      <alignment horizontal="center" vertical="center"/>
    </xf>
    <xf numFmtId="10" fontId="5" fillId="0" borderId="82" xfId="5" applyNumberFormat="1" applyFont="1" applyBorder="1" applyAlignment="1">
      <alignment horizontal="center" vertical="center"/>
    </xf>
    <xf numFmtId="0" fontId="5" fillId="0" borderId="82" xfId="5" applyNumberFormat="1" applyFont="1" applyBorder="1" applyAlignment="1">
      <alignment horizontal="center" vertical="center"/>
    </xf>
    <xf numFmtId="166" fontId="5" fillId="0" borderId="89" xfId="1" applyNumberFormat="1" applyFont="1" applyFill="1" applyBorder="1" applyAlignment="1">
      <alignment horizontal="center" vertical="center"/>
    </xf>
    <xf numFmtId="10" fontId="5" fillId="0" borderId="89" xfId="2" applyNumberFormat="1" applyFont="1" applyFill="1" applyBorder="1" applyAlignment="1">
      <alignment horizontal="center" vertical="center"/>
    </xf>
    <xf numFmtId="3" fontId="0" fillId="0" borderId="61" xfId="5" applyNumberFormat="1" applyFont="1" applyBorder="1" applyAlignment="1">
      <alignment horizontal="center" vertical="center"/>
    </xf>
    <xf numFmtId="15" fontId="0" fillId="0" borderId="86" xfId="5" applyNumberFormat="1" applyFont="1" applyBorder="1" applyAlignment="1">
      <alignment horizontal="center" vertical="center"/>
    </xf>
    <xf numFmtId="0" fontId="5" fillId="0" borderId="87" xfId="5" applyNumberFormat="1" applyFont="1" applyBorder="1" applyAlignment="1">
      <alignment horizontal="center" vertical="center"/>
    </xf>
    <xf numFmtId="0" fontId="5" fillId="0" borderId="61" xfId="5" applyNumberFormat="1" applyFont="1" applyBorder="1" applyAlignment="1">
      <alignment horizontal="center" vertical="center"/>
    </xf>
    <xf numFmtId="164" fontId="0" fillId="0" borderId="81" xfId="5" applyNumberFormat="1" applyFont="1" applyBorder="1" applyAlignment="1">
      <alignment vertical="center"/>
    </xf>
    <xf numFmtId="166" fontId="0" fillId="0" borderId="82" xfId="5" applyNumberFormat="1" applyFont="1" applyBorder="1" applyAlignment="1">
      <alignment vertical="center"/>
    </xf>
    <xf numFmtId="164" fontId="0" fillId="0" borderId="82" xfId="5" applyNumberFormat="1" applyFont="1" applyBorder="1" applyAlignment="1">
      <alignment vertical="center"/>
    </xf>
    <xf numFmtId="164" fontId="3" fillId="0" borderId="61" xfId="5" applyNumberFormat="1" applyFont="1" applyBorder="1" applyAlignment="1">
      <alignment vertical="center"/>
    </xf>
    <xf numFmtId="166" fontId="0" fillId="0" borderId="86" xfId="5" applyNumberFormat="1" applyFont="1" applyBorder="1" applyAlignment="1">
      <alignment vertical="center"/>
    </xf>
    <xf numFmtId="167" fontId="0" fillId="0" borderId="31" xfId="5" applyFont="1" applyBorder="1" applyAlignment="1">
      <alignment vertical="center"/>
    </xf>
    <xf numFmtId="167" fontId="0" fillId="0" borderId="94" xfId="5" applyFont="1" applyBorder="1" applyAlignment="1">
      <alignment vertical="center"/>
    </xf>
    <xf numFmtId="164" fontId="0" fillId="0" borderId="86" xfId="5" applyNumberFormat="1" applyFont="1" applyBorder="1" applyAlignment="1">
      <alignment vertical="center"/>
    </xf>
    <xf numFmtId="164" fontId="0" fillId="0" borderId="92" xfId="5" applyNumberFormat="1" applyFont="1" applyBorder="1" applyAlignment="1">
      <alignment vertical="center"/>
    </xf>
    <xf numFmtId="164" fontId="3" fillId="0" borderId="86" xfId="5" applyNumberFormat="1" applyFont="1" applyBorder="1" applyAlignment="1">
      <alignment vertical="center"/>
    </xf>
    <xf numFmtId="164" fontId="3" fillId="0" borderId="81" xfId="5" applyNumberFormat="1" applyFont="1" applyBorder="1" applyAlignment="1">
      <alignment vertical="center"/>
    </xf>
    <xf numFmtId="164" fontId="0" fillId="0" borderId="87" xfId="5" applyNumberFormat="1" applyFont="1" applyBorder="1" applyAlignment="1">
      <alignment vertical="center"/>
    </xf>
    <xf numFmtId="164" fontId="3" fillId="0" borderId="82" xfId="5" applyNumberFormat="1" applyFont="1" applyBorder="1" applyAlignment="1">
      <alignment vertical="center"/>
    </xf>
    <xf numFmtId="164" fontId="3" fillId="0" borderId="23" xfId="5" applyNumberFormat="1" applyFont="1" applyBorder="1" applyAlignment="1">
      <alignment vertical="center"/>
    </xf>
    <xf numFmtId="164" fontId="3" fillId="0" borderId="90" xfId="5" applyNumberFormat="1" applyFont="1" applyBorder="1" applyAlignment="1">
      <alignment vertical="center"/>
    </xf>
    <xf numFmtId="164" fontId="0" fillId="5" borderId="81" xfId="5" applyNumberFormat="1" applyFont="1" applyFill="1" applyBorder="1" applyAlignment="1">
      <alignment vertical="center"/>
    </xf>
    <xf numFmtId="164" fontId="0" fillId="5" borderId="82" xfId="5" applyNumberFormat="1" applyFont="1" applyFill="1" applyBorder="1" applyAlignment="1">
      <alignment vertical="center"/>
    </xf>
    <xf numFmtId="164" fontId="0" fillId="0" borderId="28" xfId="5" applyNumberFormat="1" applyFont="1" applyBorder="1" applyAlignment="1">
      <alignment vertical="center"/>
    </xf>
    <xf numFmtId="164" fontId="5" fillId="0" borderId="81" xfId="6" applyNumberFormat="1" applyFont="1" applyBorder="1" applyAlignment="1">
      <alignment vertical="center"/>
    </xf>
    <xf numFmtId="164" fontId="5" fillId="0" borderId="64" xfId="6" applyNumberFormat="1" applyFont="1" applyBorder="1" applyAlignment="1">
      <alignment vertical="center"/>
    </xf>
    <xf numFmtId="173" fontId="0" fillId="0" borderId="23" xfId="5" applyNumberFormat="1" applyFont="1" applyBorder="1" applyAlignment="1">
      <alignment vertical="center"/>
    </xf>
    <xf numFmtId="164" fontId="0" fillId="0" borderId="78" xfId="5" applyNumberFormat="1" applyFont="1" applyBorder="1" applyAlignment="1">
      <alignment vertical="center"/>
    </xf>
    <xf numFmtId="173" fontId="0" fillId="0" borderId="78" xfId="5" applyNumberFormat="1" applyFont="1" applyBorder="1" applyAlignment="1">
      <alignment vertical="center"/>
    </xf>
    <xf numFmtId="173" fontId="0" fillId="0" borderId="82" xfId="5" applyNumberFormat="1" applyFont="1" applyBorder="1" applyAlignment="1">
      <alignment vertical="center"/>
    </xf>
    <xf numFmtId="164" fontId="3" fillId="0" borderId="28" xfId="5" applyNumberFormat="1" applyFont="1" applyBorder="1" applyAlignment="1">
      <alignment vertical="center"/>
    </xf>
    <xf numFmtId="15" fontId="0" fillId="0" borderId="23" xfId="5" applyNumberFormat="1" applyFont="1" applyBorder="1" applyAlignment="1">
      <alignment horizontal="center" vertical="center"/>
    </xf>
    <xf numFmtId="0" fontId="5" fillId="0" borderId="70" xfId="5" applyNumberFormat="1" applyFont="1" applyBorder="1" applyAlignment="1">
      <alignment horizontal="center" vertical="center"/>
    </xf>
    <xf numFmtId="37" fontId="5" fillId="0" borderId="61" xfId="5" applyNumberFormat="1" applyFont="1" applyBorder="1" applyAlignment="1">
      <alignment horizontal="center" vertical="center"/>
    </xf>
    <xf numFmtId="0" fontId="5" fillId="0" borderId="28" xfId="5" applyNumberFormat="1" applyFont="1" applyBorder="1" applyAlignment="1">
      <alignment horizontal="center" vertical="center"/>
    </xf>
    <xf numFmtId="37" fontId="5" fillId="0" borderId="6" xfId="5" applyNumberFormat="1" applyFont="1" applyBorder="1" applyAlignment="1">
      <alignment horizontal="center" vertical="center"/>
    </xf>
    <xf numFmtId="167" fontId="5" fillId="0" borderId="64" xfId="5" applyFont="1" applyBorder="1" applyAlignment="1">
      <alignment horizontal="right" vertical="center"/>
    </xf>
    <xf numFmtId="167" fontId="5" fillId="0" borderId="82" xfId="5" applyFont="1" applyBorder="1" applyAlignment="1">
      <alignment vertical="center"/>
    </xf>
    <xf numFmtId="10" fontId="5" fillId="0" borderId="78" xfId="5" applyNumberFormat="1" applyFont="1" applyBorder="1" applyAlignment="1">
      <alignment horizontal="center" vertical="center"/>
    </xf>
    <xf numFmtId="0" fontId="5" fillId="0" borderId="64" xfId="5" applyNumberFormat="1" applyFont="1" applyBorder="1" applyAlignment="1">
      <alignment horizontal="right" vertical="center"/>
    </xf>
    <xf numFmtId="0" fontId="5" fillId="0" borderId="82" xfId="5" applyNumberFormat="1" applyFont="1" applyBorder="1" applyAlignment="1">
      <alignment vertical="center"/>
    </xf>
    <xf numFmtId="0" fontId="5" fillId="0" borderId="78" xfId="5" applyNumberFormat="1" applyFont="1" applyBorder="1" applyAlignment="1">
      <alignment horizontal="center" vertical="center"/>
    </xf>
    <xf numFmtId="0" fontId="5" fillId="0" borderId="84" xfId="5" applyNumberFormat="1" applyFont="1" applyBorder="1" applyAlignment="1">
      <alignment horizontal="right" vertical="center"/>
    </xf>
    <xf numFmtId="0" fontId="5" fillId="0" borderId="89" xfId="5" applyNumberFormat="1" applyFont="1" applyBorder="1" applyAlignment="1">
      <alignment vertical="center"/>
    </xf>
    <xf numFmtId="37" fontId="5" fillId="0" borderId="89" xfId="1" applyNumberFormat="1" applyFont="1" applyFill="1" applyBorder="1" applyAlignment="1">
      <alignment horizontal="center" vertical="center"/>
    </xf>
    <xf numFmtId="166" fontId="5" fillId="0" borderId="95" xfId="1" applyNumberFormat="1" applyFont="1" applyFill="1" applyBorder="1" applyAlignment="1">
      <alignment horizontal="center" vertical="center"/>
    </xf>
    <xf numFmtId="167" fontId="5" fillId="0" borderId="70" xfId="5" applyFont="1" applyBorder="1" applyAlignment="1">
      <alignment horizontal="right" vertical="center"/>
    </xf>
    <xf numFmtId="3" fontId="0" fillId="0" borderId="61" xfId="5" applyNumberFormat="1" applyFont="1" applyBorder="1" applyAlignment="1">
      <alignment vertical="center"/>
    </xf>
    <xf numFmtId="3" fontId="0" fillId="0" borderId="28" xfId="5" applyNumberFormat="1" applyFont="1" applyBorder="1" applyAlignment="1">
      <alignment horizontal="center" vertical="center"/>
    </xf>
    <xf numFmtId="166" fontId="0" fillId="0" borderId="6" xfId="5" applyNumberFormat="1" applyFont="1" applyBorder="1" applyAlignment="1">
      <alignment vertical="center"/>
    </xf>
    <xf numFmtId="167" fontId="5" fillId="0" borderId="64" xfId="5" applyFont="1" applyBorder="1" applyAlignment="1">
      <alignment horizontal="left" vertical="center"/>
    </xf>
    <xf numFmtId="167" fontId="0" fillId="0" borderId="82" xfId="5" applyFont="1" applyBorder="1" applyAlignment="1">
      <alignment vertical="center"/>
    </xf>
    <xf numFmtId="167" fontId="0" fillId="0" borderId="96" xfId="5" applyFont="1" applyBorder="1" applyAlignment="1">
      <alignment vertical="center"/>
    </xf>
    <xf numFmtId="164" fontId="0" fillId="0" borderId="82" xfId="5" applyNumberFormat="1" applyFont="1" applyBorder="1" applyAlignment="1">
      <alignment horizontal="right" vertical="center"/>
    </xf>
    <xf numFmtId="164" fontId="0" fillId="0" borderId="83" xfId="5" applyNumberFormat="1" applyFont="1" applyBorder="1" applyAlignment="1">
      <alignment vertical="center"/>
    </xf>
    <xf numFmtId="167" fontId="5" fillId="0" borderId="84" xfId="5" applyFont="1" applyBorder="1" applyAlignment="1">
      <alignment horizontal="left" vertical="center"/>
    </xf>
    <xf numFmtId="167" fontId="0" fillId="0" borderId="89" xfId="5" applyFont="1" applyBorder="1" applyAlignment="1">
      <alignment vertical="center"/>
    </xf>
    <xf numFmtId="164" fontId="0" fillId="0" borderId="89" xfId="5" applyNumberFormat="1" applyFont="1" applyBorder="1" applyAlignment="1">
      <alignment vertical="center"/>
    </xf>
    <xf numFmtId="164" fontId="0" fillId="0" borderId="88" xfId="5" applyNumberFormat="1" applyFont="1" applyBorder="1" applyAlignment="1">
      <alignment vertical="center"/>
    </xf>
    <xf numFmtId="164" fontId="0" fillId="0" borderId="85" xfId="5" applyNumberFormat="1" applyFont="1" applyBorder="1" applyAlignment="1">
      <alignment vertical="center"/>
    </xf>
    <xf numFmtId="164" fontId="0" fillId="0" borderId="48" xfId="5" applyNumberFormat="1" applyFont="1" applyBorder="1" applyAlignment="1">
      <alignment vertical="center"/>
    </xf>
    <xf numFmtId="167" fontId="0" fillId="0" borderId="64" xfId="5" applyFont="1" applyBorder="1" applyAlignment="1">
      <alignment horizontal="left" vertical="center"/>
    </xf>
    <xf numFmtId="167" fontId="11" fillId="28" borderId="64" xfId="5" applyFont="1" applyFill="1" applyBorder="1" applyAlignment="1">
      <alignment horizontal="center" vertical="center" wrapText="1"/>
    </xf>
    <xf numFmtId="167" fontId="3" fillId="0" borderId="82" xfId="5" applyFont="1" applyBorder="1" applyAlignment="1">
      <alignment vertical="center"/>
    </xf>
    <xf numFmtId="164" fontId="3" fillId="0" borderId="83" xfId="5" applyNumberFormat="1" applyFont="1" applyBorder="1" applyAlignment="1">
      <alignment vertical="center"/>
    </xf>
    <xf numFmtId="167" fontId="0" fillId="0" borderId="70" xfId="5" applyFont="1" applyBorder="1" applyAlignment="1">
      <alignment horizontal="left" vertical="center"/>
    </xf>
    <xf numFmtId="167" fontId="0" fillId="0" borderId="61" xfId="5" applyFont="1" applyBorder="1" applyAlignment="1">
      <alignment vertical="center"/>
    </xf>
    <xf numFmtId="164" fontId="0" fillId="0" borderId="62" xfId="5" applyNumberFormat="1" applyFont="1" applyBorder="1" applyAlignment="1">
      <alignment vertical="center"/>
    </xf>
    <xf numFmtId="167" fontId="5" fillId="0" borderId="64" xfId="5" applyFont="1" applyBorder="1" applyAlignment="1">
      <alignment vertical="center"/>
    </xf>
    <xf numFmtId="164" fontId="0" fillId="5" borderId="83" xfId="5" applyNumberFormat="1" applyFont="1" applyFill="1" applyBorder="1" applyAlignment="1">
      <alignment vertical="center"/>
    </xf>
    <xf numFmtId="167" fontId="5" fillId="0" borderId="70" xfId="5" quotePrefix="1" applyFont="1" applyBorder="1" applyAlignment="1">
      <alignment horizontal="left" vertical="center"/>
    </xf>
    <xf numFmtId="167" fontId="5" fillId="0" borderId="70" xfId="5" applyFont="1" applyBorder="1" applyAlignment="1">
      <alignment vertical="center"/>
    </xf>
    <xf numFmtId="0" fontId="5" fillId="0" borderId="64" xfId="5" applyNumberFormat="1" applyFont="1" applyBorder="1" applyAlignment="1">
      <alignment vertical="center"/>
    </xf>
    <xf numFmtId="0" fontId="5" fillId="0" borderId="70" xfId="5" applyNumberFormat="1" applyFont="1" applyBorder="1" applyAlignment="1">
      <alignment vertical="center"/>
    </xf>
    <xf numFmtId="0" fontId="5" fillId="0" borderId="69" xfId="6" applyFont="1" applyBorder="1" applyAlignment="1">
      <alignment vertical="center"/>
    </xf>
    <xf numFmtId="0" fontId="5" fillId="0" borderId="76" xfId="6" applyFont="1" applyBorder="1" applyAlignment="1">
      <alignment vertical="center"/>
    </xf>
    <xf numFmtId="15" fontId="5" fillId="0" borderId="63" xfId="6" applyNumberFormat="1" applyFont="1" applyBorder="1" applyAlignment="1">
      <alignment vertical="center"/>
    </xf>
    <xf numFmtId="15" fontId="5" fillId="0" borderId="64" xfId="6" applyNumberFormat="1" applyFont="1" applyBorder="1" applyAlignment="1">
      <alignment vertical="center"/>
    </xf>
    <xf numFmtId="15" fontId="5" fillId="0" borderId="83" xfId="6" applyNumberFormat="1" applyFont="1" applyBorder="1" applyAlignment="1">
      <alignment vertical="center"/>
    </xf>
    <xf numFmtId="15" fontId="5" fillId="0" borderId="78" xfId="6" applyNumberFormat="1" applyFont="1" applyBorder="1" applyAlignment="1">
      <alignment vertical="center"/>
    </xf>
    <xf numFmtId="15" fontId="5" fillId="0" borderId="76" xfId="6" applyNumberFormat="1" applyFont="1" applyBorder="1" applyAlignment="1">
      <alignment vertical="center"/>
    </xf>
    <xf numFmtId="0" fontId="5" fillId="0" borderId="83" xfId="6" applyFont="1" applyBorder="1" applyAlignment="1">
      <alignment vertical="center"/>
    </xf>
    <xf numFmtId="0" fontId="5" fillId="0" borderId="63" xfId="6" applyFont="1" applyBorder="1" applyAlignment="1">
      <alignment vertical="center"/>
    </xf>
    <xf numFmtId="0" fontId="5" fillId="0" borderId="64" xfId="6" applyFont="1" applyBorder="1" applyAlignment="1">
      <alignment vertical="center"/>
    </xf>
    <xf numFmtId="0" fontId="5" fillId="0" borderId="78" xfId="6" applyFont="1" applyBorder="1" applyAlignment="1">
      <alignment vertical="center"/>
    </xf>
    <xf numFmtId="2" fontId="5" fillId="0" borderId="63" xfId="6" applyNumberFormat="1" applyFont="1" applyBorder="1" applyAlignment="1">
      <alignment vertical="center"/>
    </xf>
    <xf numFmtId="2" fontId="5" fillId="0" borderId="64" xfId="6" applyNumberFormat="1" applyFont="1" applyBorder="1" applyAlignment="1">
      <alignment vertical="center"/>
    </xf>
    <xf numFmtId="2" fontId="5" fillId="0" borderId="83" xfId="6" applyNumberFormat="1" applyFont="1" applyBorder="1" applyAlignment="1">
      <alignment vertical="center"/>
    </xf>
    <xf numFmtId="2" fontId="5" fillId="0" borderId="78" xfId="6" applyNumberFormat="1" applyFont="1" applyBorder="1" applyAlignment="1">
      <alignment vertical="center"/>
    </xf>
    <xf numFmtId="164" fontId="5" fillId="0" borderId="83" xfId="6" applyNumberFormat="1" applyFont="1" applyBorder="1" applyAlignment="1">
      <alignment vertical="center"/>
    </xf>
    <xf numFmtId="164" fontId="5" fillId="0" borderId="78" xfId="6" applyNumberFormat="1" applyFont="1" applyBorder="1" applyAlignment="1">
      <alignment vertical="center"/>
    </xf>
    <xf numFmtId="0" fontId="5" fillId="0" borderId="71" xfId="6" applyFont="1" applyBorder="1" applyAlignment="1">
      <alignment vertical="center"/>
    </xf>
    <xf numFmtId="0" fontId="5" fillId="0" borderId="72" xfId="6" applyFont="1" applyBorder="1" applyAlignment="1">
      <alignment vertical="center"/>
    </xf>
    <xf numFmtId="2" fontId="5" fillId="0" borderId="70" xfId="6" applyNumberFormat="1" applyFont="1" applyBorder="1" applyAlignment="1">
      <alignment vertical="center"/>
    </xf>
    <xf numFmtId="2" fontId="5" fillId="0" borderId="62" xfId="6" applyNumberFormat="1" applyFont="1" applyBorder="1" applyAlignment="1">
      <alignment vertical="center"/>
    </xf>
    <xf numFmtId="15" fontId="5" fillId="0" borderId="86" xfId="6" applyNumberFormat="1" applyFont="1" applyBorder="1" applyAlignment="1">
      <alignment vertical="center"/>
    </xf>
    <xf numFmtId="15" fontId="5" fillId="0" borderId="81" xfId="6" applyNumberFormat="1" applyFont="1" applyBorder="1" applyAlignment="1">
      <alignment vertical="center"/>
    </xf>
    <xf numFmtId="0" fontId="5" fillId="0" borderId="81" xfId="6" applyFont="1" applyBorder="1" applyAlignment="1">
      <alignment vertical="center"/>
    </xf>
    <xf numFmtId="2" fontId="5" fillId="0" borderId="81" xfId="6" applyNumberFormat="1" applyFont="1" applyBorder="1" applyAlignment="1">
      <alignment vertical="center"/>
    </xf>
    <xf numFmtId="0" fontId="5" fillId="0" borderId="87" xfId="6" applyFont="1" applyBorder="1" applyAlignment="1">
      <alignment vertical="center"/>
    </xf>
    <xf numFmtId="0" fontId="5" fillId="0" borderId="70" xfId="6" applyFont="1" applyBorder="1" applyAlignment="1">
      <alignment vertical="center"/>
    </xf>
    <xf numFmtId="0" fontId="0" fillId="0" borderId="61" xfId="0" applyBorder="1"/>
    <xf numFmtId="0" fontId="0" fillId="0" borderId="54" xfId="0" applyBorder="1" applyAlignment="1">
      <alignment wrapText="1"/>
    </xf>
    <xf numFmtId="0" fontId="0" fillId="0" borderId="47" xfId="0" applyBorder="1"/>
    <xf numFmtId="14" fontId="0" fillId="29" borderId="48" xfId="0" applyNumberFormat="1" applyFill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10" fontId="3" fillId="0" borderId="47" xfId="2" applyNumberFormat="1" applyFont="1" applyBorder="1" applyAlignment="1">
      <alignment horizontal="center" vertical="center"/>
    </xf>
    <xf numFmtId="10" fontId="3" fillId="0" borderId="82" xfId="0" applyNumberFormat="1" applyFont="1" applyBorder="1" applyAlignment="1">
      <alignment horizontal="center"/>
    </xf>
    <xf numFmtId="10" fontId="3" fillId="0" borderId="82" xfId="2" applyNumberFormat="1" applyFont="1" applyFill="1" applyBorder="1" applyAlignment="1">
      <alignment horizontal="center"/>
    </xf>
    <xf numFmtId="10" fontId="3" fillId="0" borderId="61" xfId="0" applyNumberFormat="1" applyFont="1" applyBorder="1" applyAlignment="1">
      <alignment horizontal="center"/>
    </xf>
    <xf numFmtId="164" fontId="39" fillId="31" borderId="90" xfId="0" applyNumberFormat="1" applyFont="1" applyFill="1" applyBorder="1" applyAlignment="1">
      <alignment vertical="center"/>
    </xf>
    <xf numFmtId="0" fontId="40" fillId="0" borderId="17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3" fillId="28" borderId="32" xfId="0" applyFont="1" applyFill="1" applyBorder="1" applyAlignment="1">
      <alignment horizontal="left" vertical="center"/>
    </xf>
    <xf numFmtId="10" fontId="5" fillId="0" borderId="5" xfId="2" applyNumberFormat="1" applyFont="1" applyBorder="1" applyAlignment="1">
      <alignment horizontal="center" vertical="center"/>
    </xf>
    <xf numFmtId="10" fontId="5" fillId="0" borderId="6" xfId="2" applyNumberFormat="1" applyFont="1" applyBorder="1" applyAlignment="1">
      <alignment horizontal="center" vertical="center"/>
    </xf>
    <xf numFmtId="10" fontId="5" fillId="0" borderId="82" xfId="2" applyNumberFormat="1" applyFont="1" applyBorder="1" applyAlignment="1">
      <alignment horizontal="center" vertical="center"/>
    </xf>
    <xf numFmtId="10" fontId="5" fillId="0" borderId="83" xfId="2" applyNumberFormat="1" applyFont="1" applyBorder="1" applyAlignment="1">
      <alignment horizontal="center" vertical="center"/>
    </xf>
    <xf numFmtId="10" fontId="5" fillId="0" borderId="61" xfId="2" applyNumberFormat="1" applyFont="1" applyBorder="1" applyAlignment="1">
      <alignment horizontal="center" vertical="center"/>
    </xf>
    <xf numFmtId="10" fontId="5" fillId="0" borderId="62" xfId="2" applyNumberFormat="1" applyFont="1" applyFill="1" applyBorder="1" applyAlignment="1">
      <alignment horizontal="center" vertical="center"/>
    </xf>
    <xf numFmtId="9" fontId="11" fillId="0" borderId="97" xfId="2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10" fontId="5" fillId="0" borderId="86" xfId="2" applyNumberFormat="1" applyFont="1" applyFill="1" applyBorder="1" applyAlignment="1">
      <alignment horizontal="center" vertical="center"/>
    </xf>
    <xf numFmtId="10" fontId="5" fillId="0" borderId="81" xfId="2" applyNumberFormat="1" applyFont="1" applyFill="1" applyBorder="1" applyAlignment="1">
      <alignment horizontal="center" vertical="center"/>
    </xf>
    <xf numFmtId="10" fontId="5" fillId="0" borderId="87" xfId="2" applyNumberFormat="1" applyFont="1" applyFill="1" applyBorder="1" applyAlignment="1">
      <alignment horizontal="center" vertical="center"/>
    </xf>
    <xf numFmtId="10" fontId="5" fillId="0" borderId="5" xfId="2" applyNumberFormat="1" applyFont="1" applyFill="1" applyBorder="1" applyAlignment="1">
      <alignment horizontal="center" vertical="center"/>
    </xf>
    <xf numFmtId="10" fontId="5" fillId="0" borderId="82" xfId="2" applyNumberFormat="1" applyFont="1" applyFill="1" applyBorder="1" applyAlignment="1">
      <alignment horizontal="center" vertical="center"/>
    </xf>
    <xf numFmtId="10" fontId="5" fillId="0" borderId="61" xfId="2" applyNumberFormat="1" applyFont="1" applyFill="1" applyBorder="1" applyAlignment="1">
      <alignment horizontal="center" vertical="center"/>
    </xf>
    <xf numFmtId="0" fontId="40" fillId="0" borderId="90" xfId="0" applyFont="1" applyBorder="1" applyAlignment="1">
      <alignment horizontal="center" vertical="center"/>
    </xf>
    <xf numFmtId="0" fontId="40" fillId="0" borderId="34" xfId="0" applyFont="1" applyBorder="1" applyAlignment="1">
      <alignment horizontal="center" vertical="center"/>
    </xf>
    <xf numFmtId="0" fontId="10" fillId="0" borderId="82" xfId="0" applyFont="1" applyBorder="1" applyAlignment="1">
      <alignment horizontal="left" vertical="center" wrapText="1"/>
    </xf>
    <xf numFmtId="0" fontId="8" fillId="0" borderId="83" xfId="3" applyFill="1" applyBorder="1" applyAlignment="1" applyProtection="1">
      <alignment horizontal="left" vertical="center" wrapText="1"/>
    </xf>
    <xf numFmtId="0" fontId="5" fillId="0" borderId="82" xfId="0" applyFont="1" applyBorder="1" applyAlignment="1">
      <alignment horizontal="left" vertical="center" wrapText="1"/>
    </xf>
    <xf numFmtId="164" fontId="39" fillId="0" borderId="81" xfId="0" applyNumberFormat="1" applyFont="1" applyBorder="1" applyAlignment="1">
      <alignment vertical="center"/>
    </xf>
    <xf numFmtId="0" fontId="39" fillId="0" borderId="34" xfId="0" applyFont="1" applyBorder="1" applyAlignment="1">
      <alignment vertical="center"/>
    </xf>
    <xf numFmtId="164" fontId="40" fillId="0" borderId="16" xfId="0" applyNumberFormat="1" applyFont="1" applyBorder="1" applyAlignment="1">
      <alignment vertical="center"/>
    </xf>
    <xf numFmtId="164" fontId="40" fillId="0" borderId="17" xfId="0" applyNumberFormat="1" applyFont="1" applyBorder="1" applyAlignment="1">
      <alignment vertical="center"/>
    </xf>
    <xf numFmtId="164" fontId="40" fillId="0" borderId="18" xfId="0" applyNumberFormat="1" applyFont="1" applyBorder="1" applyAlignment="1">
      <alignment vertical="center"/>
    </xf>
    <xf numFmtId="164" fontId="10" fillId="0" borderId="8" xfId="0" applyNumberFormat="1" applyFont="1" applyBorder="1" applyAlignment="1">
      <alignment horizontal="right" vertical="center"/>
    </xf>
    <xf numFmtId="0" fontId="0" fillId="0" borderId="82" xfId="0" applyBorder="1" applyAlignment="1">
      <alignment vertical="center"/>
    </xf>
    <xf numFmtId="0" fontId="39" fillId="0" borderId="82" xfId="0" applyFont="1" applyBorder="1" applyAlignment="1">
      <alignment horizontal="left" vertical="center"/>
    </xf>
    <xf numFmtId="0" fontId="0" fillId="0" borderId="82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85" xfId="3" applyFill="1" applyBorder="1" applyAlignment="1" applyProtection="1">
      <alignment vertical="center" wrapText="1"/>
    </xf>
    <xf numFmtId="0" fontId="10" fillId="0" borderId="82" xfId="0" applyFont="1" applyBorder="1" applyAlignment="1">
      <alignment vertical="center" wrapText="1"/>
    </xf>
    <xf numFmtId="0" fontId="43" fillId="0" borderId="83" xfId="3" applyFont="1" applyFill="1" applyBorder="1" applyAlignment="1" applyProtection="1">
      <alignment horizontal="left" vertical="center" wrapText="1"/>
    </xf>
    <xf numFmtId="0" fontId="8" fillId="0" borderId="96" xfId="3" applyBorder="1" applyAlignment="1" applyProtection="1">
      <alignment horizontal="fill"/>
    </xf>
    <xf numFmtId="0" fontId="8" fillId="0" borderId="83" xfId="3" applyFill="1" applyBorder="1" applyAlignment="1" applyProtection="1">
      <alignment horizontal="fill" vertical="center" wrapText="1"/>
    </xf>
    <xf numFmtId="0" fontId="8" fillId="0" borderId="0" xfId="3" applyAlignment="1" applyProtection="1"/>
    <xf numFmtId="10" fontId="10" fillId="32" borderId="8" xfId="2" applyNumberFormat="1" applyFont="1" applyFill="1" applyBorder="1" applyAlignment="1">
      <alignment horizontal="right" vertical="center"/>
    </xf>
    <xf numFmtId="0" fontId="3" fillId="0" borderId="76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9" fillId="0" borderId="73" xfId="0" applyFont="1" applyBorder="1" applyAlignment="1">
      <alignment horizontal="center" vertical="center"/>
    </xf>
    <xf numFmtId="0" fontId="39" fillId="0" borderId="74" xfId="0" applyFont="1" applyBorder="1" applyAlignment="1">
      <alignment horizontal="center" vertical="center"/>
    </xf>
    <xf numFmtId="0" fontId="39" fillId="0" borderId="75" xfId="0" applyFont="1" applyBorder="1" applyAlignment="1">
      <alignment horizontal="center" vertical="center"/>
    </xf>
    <xf numFmtId="0" fontId="40" fillId="0" borderId="93" xfId="0" applyFont="1" applyBorder="1" applyAlignment="1">
      <alignment horizontal="center" vertical="center"/>
    </xf>
    <xf numFmtId="0" fontId="39" fillId="0" borderId="93" xfId="0" applyFont="1" applyBorder="1"/>
    <xf numFmtId="0" fontId="39" fillId="0" borderId="23" xfId="0" applyFont="1" applyBorder="1"/>
    <xf numFmtId="0" fontId="39" fillId="0" borderId="92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165" fontId="10" fillId="0" borderId="77" xfId="0" applyNumberFormat="1" applyFont="1" applyBorder="1" applyAlignment="1">
      <alignment horizontal="center" vertical="center"/>
    </xf>
    <xf numFmtId="0" fontId="10" fillId="0" borderId="77" xfId="0" applyFont="1" applyBorder="1"/>
    <xf numFmtId="0" fontId="10" fillId="0" borderId="78" xfId="0" applyFont="1" applyBorder="1"/>
    <xf numFmtId="1" fontId="39" fillId="0" borderId="87" xfId="0" applyNumberFormat="1" applyFont="1" applyBorder="1" applyAlignment="1">
      <alignment horizontal="center" vertical="center"/>
    </xf>
    <xf numFmtId="1" fontId="39" fillId="0" borderId="61" xfId="0" applyNumberFormat="1" applyFont="1" applyBorder="1" applyAlignment="1">
      <alignment horizontal="center" vertical="center"/>
    </xf>
    <xf numFmtId="1" fontId="39" fillId="0" borderId="62" xfId="0" applyNumberFormat="1" applyFont="1" applyBorder="1" applyAlignment="1">
      <alignment horizontal="center" vertical="center"/>
    </xf>
    <xf numFmtId="0" fontId="39" fillId="0" borderId="81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174" fontId="41" fillId="32" borderId="1" xfId="0" applyNumberFormat="1" applyFont="1" applyFill="1" applyBorder="1" applyAlignment="1">
      <alignment horizontal="center" vertical="center"/>
    </xf>
    <xf numFmtId="174" fontId="41" fillId="32" borderId="2" xfId="0" applyNumberFormat="1" applyFont="1" applyFill="1" applyBorder="1" applyAlignment="1">
      <alignment horizontal="center" vertical="center"/>
    </xf>
    <xf numFmtId="174" fontId="41" fillId="32" borderId="3" xfId="0" applyNumberFormat="1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/>
    </xf>
    <xf numFmtId="0" fontId="41" fillId="4" borderId="64" xfId="0" applyFont="1" applyFill="1" applyBorder="1" applyAlignment="1">
      <alignment horizontal="center" vertical="center"/>
    </xf>
    <xf numFmtId="0" fontId="41" fillId="4" borderId="8" xfId="0" applyFont="1" applyFill="1" applyBorder="1" applyAlignment="1">
      <alignment horizontal="center" vertical="center"/>
    </xf>
    <xf numFmtId="0" fontId="42" fillId="0" borderId="13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0" fontId="40" fillId="4" borderId="3" xfId="0" applyFont="1" applyFill="1" applyBorder="1" applyAlignment="1">
      <alignment horizontal="center" vertical="center"/>
    </xf>
    <xf numFmtId="0" fontId="41" fillId="4" borderId="16" xfId="0" applyFont="1" applyFill="1" applyBorder="1" applyAlignment="1">
      <alignment horizontal="center" vertical="center"/>
    </xf>
    <xf numFmtId="0" fontId="41" fillId="4" borderId="17" xfId="0" applyFont="1" applyFill="1" applyBorder="1" applyAlignment="1">
      <alignment horizontal="center" vertical="center"/>
    </xf>
    <xf numFmtId="0" fontId="41" fillId="4" borderId="69" xfId="0" applyFont="1" applyFill="1" applyBorder="1" applyAlignment="1">
      <alignment horizontal="center" vertical="center"/>
    </xf>
    <xf numFmtId="0" fontId="41" fillId="4" borderId="81" xfId="0" applyFont="1" applyFill="1" applyBorder="1" applyAlignment="1">
      <alignment horizontal="center" vertical="center"/>
    </xf>
    <xf numFmtId="0" fontId="3" fillId="0" borderId="2" xfId="5" applyNumberFormat="1" applyFont="1" applyBorder="1" applyAlignment="1">
      <alignment horizontal="center" vertical="center"/>
    </xf>
    <xf numFmtId="0" fontId="3" fillId="0" borderId="3" xfId="5" applyNumberFormat="1" applyFont="1" applyBorder="1" applyAlignment="1">
      <alignment horizontal="center" vertical="center"/>
    </xf>
    <xf numFmtId="15" fontId="5" fillId="0" borderId="1" xfId="6" applyNumberFormat="1" applyFont="1" applyBorder="1" applyAlignment="1">
      <alignment horizontal="center" vertical="center"/>
    </xf>
    <xf numFmtId="15" fontId="5" fillId="0" borderId="3" xfId="6" applyNumberFormat="1" applyFont="1" applyBorder="1" applyAlignment="1">
      <alignment horizontal="center" vertical="center"/>
    </xf>
    <xf numFmtId="167" fontId="2" fillId="3" borderId="0" xfId="5" applyFont="1" applyFill="1" applyAlignment="1">
      <alignment horizontal="center" vertical="center" wrapText="1"/>
    </xf>
    <xf numFmtId="167" fontId="2" fillId="3" borderId="31" xfId="5" applyFont="1" applyFill="1" applyBorder="1" applyAlignment="1">
      <alignment horizontal="center" vertical="center" wrapText="1"/>
    </xf>
    <xf numFmtId="167" fontId="3" fillId="0" borderId="0" xfId="188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0" fontId="31" fillId="0" borderId="10" xfId="2" applyNumberFormat="1" applyFont="1" applyBorder="1" applyAlignment="1">
      <alignment horizontal="center" vertical="center"/>
    </xf>
    <xf numFmtId="10" fontId="31" fillId="0" borderId="11" xfId="2" applyNumberFormat="1" applyFont="1" applyBorder="1" applyAlignment="1">
      <alignment horizontal="center" vertical="center"/>
    </xf>
    <xf numFmtId="10" fontId="31" fillId="0" borderId="12" xfId="2" applyNumberFormat="1" applyFont="1" applyBorder="1" applyAlignment="1">
      <alignment horizontal="center" vertical="center"/>
    </xf>
    <xf numFmtId="0" fontId="35" fillId="3" borderId="29" xfId="0" applyFont="1" applyFill="1" applyBorder="1" applyAlignment="1">
      <alignment horizontal="center" wrapText="1"/>
    </xf>
    <xf numFmtId="0" fontId="35" fillId="3" borderId="0" xfId="0" quotePrefix="1" applyFont="1" applyFill="1" applyAlignment="1">
      <alignment horizontal="center" wrapText="1"/>
    </xf>
    <xf numFmtId="0" fontId="3" fillId="30" borderId="13" xfId="0" quotePrefix="1" applyFont="1" applyFill="1" applyBorder="1" applyAlignment="1">
      <alignment horizontal="center" wrapText="1"/>
    </xf>
    <xf numFmtId="0" fontId="3" fillId="30" borderId="14" xfId="0" quotePrefix="1" applyFont="1" applyFill="1" applyBorder="1" applyAlignment="1">
      <alignment horizontal="center" wrapText="1"/>
    </xf>
    <xf numFmtId="0" fontId="3" fillId="30" borderId="15" xfId="0" quotePrefix="1" applyFont="1" applyFill="1" applyBorder="1" applyAlignment="1">
      <alignment horizontal="center" wrapText="1"/>
    </xf>
    <xf numFmtId="0" fontId="8" fillId="0" borderId="0" xfId="3" applyAlignment="1" applyProtection="1">
      <alignment wrapText="1"/>
    </xf>
    <xf numFmtId="0" fontId="0" fillId="0" borderId="0" xfId="0" applyAlignment="1">
      <alignment wrapText="1"/>
    </xf>
  </cellXfs>
  <cellStyles count="1243">
    <cellStyle name="=C:\WINNT\SYSTEM32\COMMAND.COM" xfId="8" xr:uid="{00000000-0005-0000-0000-000000000000}"/>
    <cellStyle name="20% - Accent1 2 2" xfId="9" xr:uid="{00000000-0005-0000-0000-000001000000}"/>
    <cellStyle name="20% - Accent1 2 2 2" xfId="430" xr:uid="{00000000-0005-0000-0000-000002000000}"/>
    <cellStyle name="20% - Accent1 2 3" xfId="10" xr:uid="{00000000-0005-0000-0000-000003000000}"/>
    <cellStyle name="20% - Accent1 2 3 2" xfId="431" xr:uid="{00000000-0005-0000-0000-000004000000}"/>
    <cellStyle name="20% - Accent1 3 2" xfId="11" xr:uid="{00000000-0005-0000-0000-000005000000}"/>
    <cellStyle name="20% - Accent1 3 2 2" xfId="432" xr:uid="{00000000-0005-0000-0000-000006000000}"/>
    <cellStyle name="20% - Accent1 3 3" xfId="12" xr:uid="{00000000-0005-0000-0000-000007000000}"/>
    <cellStyle name="20% - Accent1 3 3 2" xfId="433" xr:uid="{00000000-0005-0000-0000-000008000000}"/>
    <cellStyle name="20% - Accent2 2 2" xfId="13" xr:uid="{00000000-0005-0000-0000-000009000000}"/>
    <cellStyle name="20% - Accent2 2 2 2" xfId="434" xr:uid="{00000000-0005-0000-0000-00000A000000}"/>
    <cellStyle name="20% - Accent2 2 3" xfId="14" xr:uid="{00000000-0005-0000-0000-00000B000000}"/>
    <cellStyle name="20% - Accent2 2 3 2" xfId="435" xr:uid="{00000000-0005-0000-0000-00000C000000}"/>
    <cellStyle name="20% - Accent2 3 2" xfId="15" xr:uid="{00000000-0005-0000-0000-00000D000000}"/>
    <cellStyle name="20% - Accent2 3 2 2" xfId="436" xr:uid="{00000000-0005-0000-0000-00000E000000}"/>
    <cellStyle name="20% - Accent2 3 3" xfId="16" xr:uid="{00000000-0005-0000-0000-00000F000000}"/>
    <cellStyle name="20% - Accent2 3 3 2" xfId="437" xr:uid="{00000000-0005-0000-0000-000010000000}"/>
    <cellStyle name="20% - Accent3 2 2" xfId="17" xr:uid="{00000000-0005-0000-0000-000011000000}"/>
    <cellStyle name="20% - Accent3 2 2 2" xfId="438" xr:uid="{00000000-0005-0000-0000-000012000000}"/>
    <cellStyle name="20% - Accent3 2 3" xfId="18" xr:uid="{00000000-0005-0000-0000-000013000000}"/>
    <cellStyle name="20% - Accent3 2 3 2" xfId="439" xr:uid="{00000000-0005-0000-0000-000014000000}"/>
    <cellStyle name="20% - Accent3 3 2" xfId="19" xr:uid="{00000000-0005-0000-0000-000015000000}"/>
    <cellStyle name="20% - Accent3 3 2 2" xfId="440" xr:uid="{00000000-0005-0000-0000-000016000000}"/>
    <cellStyle name="20% - Accent3 3 3" xfId="20" xr:uid="{00000000-0005-0000-0000-000017000000}"/>
    <cellStyle name="20% - Accent3 3 3 2" xfId="441" xr:uid="{00000000-0005-0000-0000-000018000000}"/>
    <cellStyle name="20% - Accent4 2 2" xfId="21" xr:uid="{00000000-0005-0000-0000-000019000000}"/>
    <cellStyle name="20% - Accent4 2 2 2" xfId="442" xr:uid="{00000000-0005-0000-0000-00001A000000}"/>
    <cellStyle name="20% - Accent4 2 3" xfId="22" xr:uid="{00000000-0005-0000-0000-00001B000000}"/>
    <cellStyle name="20% - Accent4 2 3 2" xfId="443" xr:uid="{00000000-0005-0000-0000-00001C000000}"/>
    <cellStyle name="20% - Accent4 3 2" xfId="23" xr:uid="{00000000-0005-0000-0000-00001D000000}"/>
    <cellStyle name="20% - Accent4 3 2 2" xfId="444" xr:uid="{00000000-0005-0000-0000-00001E000000}"/>
    <cellStyle name="20% - Accent4 3 3" xfId="24" xr:uid="{00000000-0005-0000-0000-00001F000000}"/>
    <cellStyle name="20% - Accent4 3 3 2" xfId="445" xr:uid="{00000000-0005-0000-0000-000020000000}"/>
    <cellStyle name="20% - Accent5 2 2" xfId="25" xr:uid="{00000000-0005-0000-0000-000021000000}"/>
    <cellStyle name="20% - Accent5 2 2 2" xfId="446" xr:uid="{00000000-0005-0000-0000-000022000000}"/>
    <cellStyle name="20% - Accent5 2 3" xfId="26" xr:uid="{00000000-0005-0000-0000-000023000000}"/>
    <cellStyle name="20% - Accent5 2 3 2" xfId="447" xr:uid="{00000000-0005-0000-0000-000024000000}"/>
    <cellStyle name="20% - Accent5 3 2" xfId="27" xr:uid="{00000000-0005-0000-0000-000025000000}"/>
    <cellStyle name="20% - Accent5 3 2 2" xfId="448" xr:uid="{00000000-0005-0000-0000-000026000000}"/>
    <cellStyle name="20% - Accent5 3 3" xfId="28" xr:uid="{00000000-0005-0000-0000-000027000000}"/>
    <cellStyle name="20% - Accent5 3 3 2" xfId="449" xr:uid="{00000000-0005-0000-0000-000028000000}"/>
    <cellStyle name="20% - Accent6 2 2" xfId="29" xr:uid="{00000000-0005-0000-0000-000029000000}"/>
    <cellStyle name="20% - Accent6 2 2 2" xfId="450" xr:uid="{00000000-0005-0000-0000-00002A000000}"/>
    <cellStyle name="20% - Accent6 2 3" xfId="30" xr:uid="{00000000-0005-0000-0000-00002B000000}"/>
    <cellStyle name="20% - Accent6 2 3 2" xfId="451" xr:uid="{00000000-0005-0000-0000-00002C000000}"/>
    <cellStyle name="20% - Accent6 3 2" xfId="31" xr:uid="{00000000-0005-0000-0000-00002D000000}"/>
    <cellStyle name="20% - Accent6 3 2 2" xfId="452" xr:uid="{00000000-0005-0000-0000-00002E000000}"/>
    <cellStyle name="20% - Accent6 3 3" xfId="32" xr:uid="{00000000-0005-0000-0000-00002F000000}"/>
    <cellStyle name="20% - Accent6 3 3 2" xfId="453" xr:uid="{00000000-0005-0000-0000-000030000000}"/>
    <cellStyle name="40% - Accent1 2 2" xfId="33" xr:uid="{00000000-0005-0000-0000-000031000000}"/>
    <cellStyle name="40% - Accent1 2 2 2" xfId="454" xr:uid="{00000000-0005-0000-0000-000032000000}"/>
    <cellStyle name="40% - Accent1 2 3" xfId="34" xr:uid="{00000000-0005-0000-0000-000033000000}"/>
    <cellStyle name="40% - Accent1 2 3 2" xfId="455" xr:uid="{00000000-0005-0000-0000-000034000000}"/>
    <cellStyle name="40% - Accent1 3 2" xfId="35" xr:uid="{00000000-0005-0000-0000-000035000000}"/>
    <cellStyle name="40% - Accent1 3 2 2" xfId="456" xr:uid="{00000000-0005-0000-0000-000036000000}"/>
    <cellStyle name="40% - Accent1 3 3" xfId="36" xr:uid="{00000000-0005-0000-0000-000037000000}"/>
    <cellStyle name="40% - Accent1 3 3 2" xfId="457" xr:uid="{00000000-0005-0000-0000-000038000000}"/>
    <cellStyle name="40% - Accent2 2 2" xfId="37" xr:uid="{00000000-0005-0000-0000-000039000000}"/>
    <cellStyle name="40% - Accent2 2 2 2" xfId="458" xr:uid="{00000000-0005-0000-0000-00003A000000}"/>
    <cellStyle name="40% - Accent2 2 3" xfId="38" xr:uid="{00000000-0005-0000-0000-00003B000000}"/>
    <cellStyle name="40% - Accent2 2 3 2" xfId="459" xr:uid="{00000000-0005-0000-0000-00003C000000}"/>
    <cellStyle name="40% - Accent2 3 2" xfId="39" xr:uid="{00000000-0005-0000-0000-00003D000000}"/>
    <cellStyle name="40% - Accent2 3 2 2" xfId="460" xr:uid="{00000000-0005-0000-0000-00003E000000}"/>
    <cellStyle name="40% - Accent2 3 3" xfId="40" xr:uid="{00000000-0005-0000-0000-00003F000000}"/>
    <cellStyle name="40% - Accent2 3 3 2" xfId="461" xr:uid="{00000000-0005-0000-0000-000040000000}"/>
    <cellStyle name="40% - Accent3 2 2" xfId="41" xr:uid="{00000000-0005-0000-0000-000041000000}"/>
    <cellStyle name="40% - Accent3 2 2 2" xfId="462" xr:uid="{00000000-0005-0000-0000-000042000000}"/>
    <cellStyle name="40% - Accent3 2 3" xfId="42" xr:uid="{00000000-0005-0000-0000-000043000000}"/>
    <cellStyle name="40% - Accent3 2 3 2" xfId="463" xr:uid="{00000000-0005-0000-0000-000044000000}"/>
    <cellStyle name="40% - Accent3 3 2" xfId="43" xr:uid="{00000000-0005-0000-0000-000045000000}"/>
    <cellStyle name="40% - Accent3 3 2 2" xfId="464" xr:uid="{00000000-0005-0000-0000-000046000000}"/>
    <cellStyle name="40% - Accent3 3 3" xfId="44" xr:uid="{00000000-0005-0000-0000-000047000000}"/>
    <cellStyle name="40% - Accent3 3 3 2" xfId="465" xr:uid="{00000000-0005-0000-0000-000048000000}"/>
    <cellStyle name="40% - Accent4 2 2" xfId="45" xr:uid="{00000000-0005-0000-0000-000049000000}"/>
    <cellStyle name="40% - Accent4 2 2 2" xfId="466" xr:uid="{00000000-0005-0000-0000-00004A000000}"/>
    <cellStyle name="40% - Accent4 2 3" xfId="46" xr:uid="{00000000-0005-0000-0000-00004B000000}"/>
    <cellStyle name="40% - Accent4 2 3 2" xfId="467" xr:uid="{00000000-0005-0000-0000-00004C000000}"/>
    <cellStyle name="40% - Accent4 3 2" xfId="47" xr:uid="{00000000-0005-0000-0000-00004D000000}"/>
    <cellStyle name="40% - Accent4 3 2 2" xfId="468" xr:uid="{00000000-0005-0000-0000-00004E000000}"/>
    <cellStyle name="40% - Accent4 3 3" xfId="48" xr:uid="{00000000-0005-0000-0000-00004F000000}"/>
    <cellStyle name="40% - Accent4 3 3 2" xfId="469" xr:uid="{00000000-0005-0000-0000-000050000000}"/>
    <cellStyle name="40% - Accent5 2 2" xfId="49" xr:uid="{00000000-0005-0000-0000-000051000000}"/>
    <cellStyle name="40% - Accent5 2 2 2" xfId="470" xr:uid="{00000000-0005-0000-0000-000052000000}"/>
    <cellStyle name="40% - Accent5 2 3" xfId="50" xr:uid="{00000000-0005-0000-0000-000053000000}"/>
    <cellStyle name="40% - Accent5 2 3 2" xfId="471" xr:uid="{00000000-0005-0000-0000-000054000000}"/>
    <cellStyle name="40% - Accent5 3 2" xfId="51" xr:uid="{00000000-0005-0000-0000-000055000000}"/>
    <cellStyle name="40% - Accent5 3 2 2" xfId="472" xr:uid="{00000000-0005-0000-0000-000056000000}"/>
    <cellStyle name="40% - Accent5 3 3" xfId="52" xr:uid="{00000000-0005-0000-0000-000057000000}"/>
    <cellStyle name="40% - Accent5 3 3 2" xfId="473" xr:uid="{00000000-0005-0000-0000-000058000000}"/>
    <cellStyle name="40% - Accent6 2 2" xfId="53" xr:uid="{00000000-0005-0000-0000-000059000000}"/>
    <cellStyle name="40% - Accent6 2 2 2" xfId="474" xr:uid="{00000000-0005-0000-0000-00005A000000}"/>
    <cellStyle name="40% - Accent6 2 3" xfId="54" xr:uid="{00000000-0005-0000-0000-00005B000000}"/>
    <cellStyle name="40% - Accent6 2 3 2" xfId="475" xr:uid="{00000000-0005-0000-0000-00005C000000}"/>
    <cellStyle name="40% - Accent6 3 2" xfId="55" xr:uid="{00000000-0005-0000-0000-00005D000000}"/>
    <cellStyle name="40% - Accent6 3 2 2" xfId="476" xr:uid="{00000000-0005-0000-0000-00005E000000}"/>
    <cellStyle name="40% - Accent6 3 3" xfId="56" xr:uid="{00000000-0005-0000-0000-00005F000000}"/>
    <cellStyle name="40% - Accent6 3 3 2" xfId="477" xr:uid="{00000000-0005-0000-0000-000060000000}"/>
    <cellStyle name="60% - Accent1 2 2" xfId="57" xr:uid="{00000000-0005-0000-0000-000061000000}"/>
    <cellStyle name="60% - Accent1 2 3" xfId="58" xr:uid="{00000000-0005-0000-0000-000062000000}"/>
    <cellStyle name="60% - Accent1 3 2" xfId="59" xr:uid="{00000000-0005-0000-0000-000063000000}"/>
    <cellStyle name="60% - Accent1 3 3" xfId="60" xr:uid="{00000000-0005-0000-0000-000064000000}"/>
    <cellStyle name="60% - Accent2 2 2" xfId="61" xr:uid="{00000000-0005-0000-0000-000065000000}"/>
    <cellStyle name="60% - Accent2 2 3" xfId="62" xr:uid="{00000000-0005-0000-0000-000066000000}"/>
    <cellStyle name="60% - Accent2 3 2" xfId="63" xr:uid="{00000000-0005-0000-0000-000067000000}"/>
    <cellStyle name="60% - Accent2 3 3" xfId="64" xr:uid="{00000000-0005-0000-0000-000068000000}"/>
    <cellStyle name="60% - Accent3 2 2" xfId="65" xr:uid="{00000000-0005-0000-0000-000069000000}"/>
    <cellStyle name="60% - Accent3 2 3" xfId="66" xr:uid="{00000000-0005-0000-0000-00006A000000}"/>
    <cellStyle name="60% - Accent3 3 2" xfId="67" xr:uid="{00000000-0005-0000-0000-00006B000000}"/>
    <cellStyle name="60% - Accent3 3 3" xfId="68" xr:uid="{00000000-0005-0000-0000-00006C000000}"/>
    <cellStyle name="60% - Accent4 2 2" xfId="69" xr:uid="{00000000-0005-0000-0000-00006D000000}"/>
    <cellStyle name="60% - Accent4 2 3" xfId="70" xr:uid="{00000000-0005-0000-0000-00006E000000}"/>
    <cellStyle name="60% - Accent4 3 2" xfId="71" xr:uid="{00000000-0005-0000-0000-00006F000000}"/>
    <cellStyle name="60% - Accent4 3 3" xfId="72" xr:uid="{00000000-0005-0000-0000-000070000000}"/>
    <cellStyle name="60% - Accent5 2 2" xfId="73" xr:uid="{00000000-0005-0000-0000-000071000000}"/>
    <cellStyle name="60% - Accent5 2 3" xfId="74" xr:uid="{00000000-0005-0000-0000-000072000000}"/>
    <cellStyle name="60% - Accent5 3 2" xfId="75" xr:uid="{00000000-0005-0000-0000-000073000000}"/>
    <cellStyle name="60% - Accent5 3 3" xfId="76" xr:uid="{00000000-0005-0000-0000-000074000000}"/>
    <cellStyle name="60% - Accent6 2 2" xfId="77" xr:uid="{00000000-0005-0000-0000-000075000000}"/>
    <cellStyle name="60% - Accent6 2 3" xfId="78" xr:uid="{00000000-0005-0000-0000-000076000000}"/>
    <cellStyle name="60% - Accent6 3 2" xfId="79" xr:uid="{00000000-0005-0000-0000-000077000000}"/>
    <cellStyle name="60% - Accent6 3 3" xfId="80" xr:uid="{00000000-0005-0000-0000-000078000000}"/>
    <cellStyle name="Accent1 2 2" xfId="81" xr:uid="{00000000-0005-0000-0000-000079000000}"/>
    <cellStyle name="Accent1 2 3" xfId="82" xr:uid="{00000000-0005-0000-0000-00007A000000}"/>
    <cellStyle name="Accent1 3 2" xfId="83" xr:uid="{00000000-0005-0000-0000-00007B000000}"/>
    <cellStyle name="Accent1 3 3" xfId="84" xr:uid="{00000000-0005-0000-0000-00007C000000}"/>
    <cellStyle name="Accent2 2 2" xfId="85" xr:uid="{00000000-0005-0000-0000-00007D000000}"/>
    <cellStyle name="Accent2 2 3" xfId="86" xr:uid="{00000000-0005-0000-0000-00007E000000}"/>
    <cellStyle name="Accent2 3 2" xfId="87" xr:uid="{00000000-0005-0000-0000-00007F000000}"/>
    <cellStyle name="Accent2 3 3" xfId="88" xr:uid="{00000000-0005-0000-0000-000080000000}"/>
    <cellStyle name="Accent3 2 2" xfId="89" xr:uid="{00000000-0005-0000-0000-000081000000}"/>
    <cellStyle name="Accent3 2 3" xfId="90" xr:uid="{00000000-0005-0000-0000-000082000000}"/>
    <cellStyle name="Accent3 3 2" xfId="91" xr:uid="{00000000-0005-0000-0000-000083000000}"/>
    <cellStyle name="Accent3 3 3" xfId="92" xr:uid="{00000000-0005-0000-0000-000084000000}"/>
    <cellStyle name="Accent4 2 2" xfId="93" xr:uid="{00000000-0005-0000-0000-000085000000}"/>
    <cellStyle name="Accent4 2 3" xfId="94" xr:uid="{00000000-0005-0000-0000-000086000000}"/>
    <cellStyle name="Accent4 3 2" xfId="95" xr:uid="{00000000-0005-0000-0000-000087000000}"/>
    <cellStyle name="Accent4 3 3" xfId="96" xr:uid="{00000000-0005-0000-0000-000088000000}"/>
    <cellStyle name="Accent5 2 2" xfId="97" xr:uid="{00000000-0005-0000-0000-000089000000}"/>
    <cellStyle name="Accent5 2 3" xfId="98" xr:uid="{00000000-0005-0000-0000-00008A000000}"/>
    <cellStyle name="Accent5 3 2" xfId="99" xr:uid="{00000000-0005-0000-0000-00008B000000}"/>
    <cellStyle name="Accent5 3 3" xfId="100" xr:uid="{00000000-0005-0000-0000-00008C000000}"/>
    <cellStyle name="Accent6 2 2" xfId="101" xr:uid="{00000000-0005-0000-0000-00008D000000}"/>
    <cellStyle name="Accent6 2 3" xfId="102" xr:uid="{00000000-0005-0000-0000-00008E000000}"/>
    <cellStyle name="Accent6 3 2" xfId="103" xr:uid="{00000000-0005-0000-0000-00008F000000}"/>
    <cellStyle name="Accent6 3 3" xfId="104" xr:uid="{00000000-0005-0000-0000-000090000000}"/>
    <cellStyle name="Bad 2 2" xfId="105" xr:uid="{00000000-0005-0000-0000-000091000000}"/>
    <cellStyle name="Bad 2 3" xfId="106" xr:uid="{00000000-0005-0000-0000-000092000000}"/>
    <cellStyle name="Bad 3 2" xfId="107" xr:uid="{00000000-0005-0000-0000-000093000000}"/>
    <cellStyle name="Bad 3 3" xfId="108" xr:uid="{00000000-0005-0000-0000-000094000000}"/>
    <cellStyle name="Calculation 2 2" xfId="109" xr:uid="{00000000-0005-0000-0000-000095000000}"/>
    <cellStyle name="Calculation 2 2 10" xfId="478" xr:uid="{00000000-0005-0000-0000-000096000000}"/>
    <cellStyle name="Calculation 2 2 11" xfId="479" xr:uid="{00000000-0005-0000-0000-000097000000}"/>
    <cellStyle name="Calculation 2 2 12" xfId="480" xr:uid="{00000000-0005-0000-0000-000098000000}"/>
    <cellStyle name="Calculation 2 2 13" xfId="481" xr:uid="{00000000-0005-0000-0000-000099000000}"/>
    <cellStyle name="Calculation 2 2 14" xfId="482" xr:uid="{00000000-0005-0000-0000-00009A000000}"/>
    <cellStyle name="Calculation 2 2 15" xfId="483" xr:uid="{00000000-0005-0000-0000-00009B000000}"/>
    <cellStyle name="Calculation 2 2 16" xfId="484" xr:uid="{00000000-0005-0000-0000-00009C000000}"/>
    <cellStyle name="Calculation 2 2 17" xfId="485" xr:uid="{00000000-0005-0000-0000-00009D000000}"/>
    <cellStyle name="Calculation 2 2 18" xfId="486" xr:uid="{00000000-0005-0000-0000-00009E000000}"/>
    <cellStyle name="Calculation 2 2 19" xfId="487" xr:uid="{00000000-0005-0000-0000-00009F000000}"/>
    <cellStyle name="Calculation 2 2 2" xfId="189" xr:uid="{00000000-0005-0000-0000-0000A0000000}"/>
    <cellStyle name="Calculation 2 2 2 10" xfId="488" xr:uid="{00000000-0005-0000-0000-0000A1000000}"/>
    <cellStyle name="Calculation 2 2 2 11" xfId="489" xr:uid="{00000000-0005-0000-0000-0000A2000000}"/>
    <cellStyle name="Calculation 2 2 2 12" xfId="490" xr:uid="{00000000-0005-0000-0000-0000A3000000}"/>
    <cellStyle name="Calculation 2 2 2 13" xfId="491" xr:uid="{00000000-0005-0000-0000-0000A4000000}"/>
    <cellStyle name="Calculation 2 2 2 14" xfId="492" xr:uid="{00000000-0005-0000-0000-0000A5000000}"/>
    <cellStyle name="Calculation 2 2 2 15" xfId="493" xr:uid="{00000000-0005-0000-0000-0000A6000000}"/>
    <cellStyle name="Calculation 2 2 2 16" xfId="494" xr:uid="{00000000-0005-0000-0000-0000A7000000}"/>
    <cellStyle name="Calculation 2 2 2 17" xfId="495" xr:uid="{00000000-0005-0000-0000-0000A8000000}"/>
    <cellStyle name="Calculation 2 2 2 18" xfId="496" xr:uid="{00000000-0005-0000-0000-0000A9000000}"/>
    <cellStyle name="Calculation 2 2 2 19" xfId="497" xr:uid="{00000000-0005-0000-0000-0000AA000000}"/>
    <cellStyle name="Calculation 2 2 2 2" xfId="244" xr:uid="{00000000-0005-0000-0000-0000AB000000}"/>
    <cellStyle name="Calculation 2 2 2 2 2" xfId="1063" xr:uid="{00000000-0005-0000-0000-0000AC000000}"/>
    <cellStyle name="Calculation 2 2 2 20" xfId="1023" xr:uid="{00000000-0005-0000-0000-0000AD000000}"/>
    <cellStyle name="Calculation 2 2 2 3" xfId="269" xr:uid="{00000000-0005-0000-0000-0000AE000000}"/>
    <cellStyle name="Calculation 2 2 2 3 2" xfId="1083" xr:uid="{00000000-0005-0000-0000-0000AF000000}"/>
    <cellStyle name="Calculation 2 2 2 4" xfId="270" xr:uid="{00000000-0005-0000-0000-0000B0000000}"/>
    <cellStyle name="Calculation 2 2 2 4 2" xfId="1084" xr:uid="{00000000-0005-0000-0000-0000B1000000}"/>
    <cellStyle name="Calculation 2 2 2 5" xfId="271" xr:uid="{00000000-0005-0000-0000-0000B2000000}"/>
    <cellStyle name="Calculation 2 2 2 5 2" xfId="1085" xr:uid="{00000000-0005-0000-0000-0000B3000000}"/>
    <cellStyle name="Calculation 2 2 2 6" xfId="272" xr:uid="{00000000-0005-0000-0000-0000B4000000}"/>
    <cellStyle name="Calculation 2 2 2 6 2" xfId="1086" xr:uid="{00000000-0005-0000-0000-0000B5000000}"/>
    <cellStyle name="Calculation 2 2 2 7" xfId="498" xr:uid="{00000000-0005-0000-0000-0000B6000000}"/>
    <cellStyle name="Calculation 2 2 2 8" xfId="499" xr:uid="{00000000-0005-0000-0000-0000B7000000}"/>
    <cellStyle name="Calculation 2 2 2 9" xfId="500" xr:uid="{00000000-0005-0000-0000-0000B8000000}"/>
    <cellStyle name="Calculation 2 2 20" xfId="501" xr:uid="{00000000-0005-0000-0000-0000B9000000}"/>
    <cellStyle name="Calculation 2 2 21" xfId="1003" xr:uid="{00000000-0005-0000-0000-0000BA000000}"/>
    <cellStyle name="Calculation 2 2 3" xfId="221" xr:uid="{00000000-0005-0000-0000-0000BB000000}"/>
    <cellStyle name="Calculation 2 2 3 2" xfId="1043" xr:uid="{00000000-0005-0000-0000-0000BC000000}"/>
    <cellStyle name="Calculation 2 2 4" xfId="273" xr:uid="{00000000-0005-0000-0000-0000BD000000}"/>
    <cellStyle name="Calculation 2 2 4 2" xfId="1087" xr:uid="{00000000-0005-0000-0000-0000BE000000}"/>
    <cellStyle name="Calculation 2 2 5" xfId="274" xr:uid="{00000000-0005-0000-0000-0000BF000000}"/>
    <cellStyle name="Calculation 2 2 5 2" xfId="1088" xr:uid="{00000000-0005-0000-0000-0000C0000000}"/>
    <cellStyle name="Calculation 2 2 6" xfId="275" xr:uid="{00000000-0005-0000-0000-0000C1000000}"/>
    <cellStyle name="Calculation 2 2 6 2" xfId="1089" xr:uid="{00000000-0005-0000-0000-0000C2000000}"/>
    <cellStyle name="Calculation 2 2 7" xfId="276" xr:uid="{00000000-0005-0000-0000-0000C3000000}"/>
    <cellStyle name="Calculation 2 2 7 2" xfId="1090" xr:uid="{00000000-0005-0000-0000-0000C4000000}"/>
    <cellStyle name="Calculation 2 2 8" xfId="502" xr:uid="{00000000-0005-0000-0000-0000C5000000}"/>
    <cellStyle name="Calculation 2 2 9" xfId="503" xr:uid="{00000000-0005-0000-0000-0000C6000000}"/>
    <cellStyle name="Calculation 2 3" xfId="110" xr:uid="{00000000-0005-0000-0000-0000C7000000}"/>
    <cellStyle name="Calculation 2 3 10" xfId="504" xr:uid="{00000000-0005-0000-0000-0000C8000000}"/>
    <cellStyle name="Calculation 2 3 11" xfId="505" xr:uid="{00000000-0005-0000-0000-0000C9000000}"/>
    <cellStyle name="Calculation 2 3 12" xfId="506" xr:uid="{00000000-0005-0000-0000-0000CA000000}"/>
    <cellStyle name="Calculation 2 3 13" xfId="507" xr:uid="{00000000-0005-0000-0000-0000CB000000}"/>
    <cellStyle name="Calculation 2 3 14" xfId="508" xr:uid="{00000000-0005-0000-0000-0000CC000000}"/>
    <cellStyle name="Calculation 2 3 15" xfId="509" xr:uid="{00000000-0005-0000-0000-0000CD000000}"/>
    <cellStyle name="Calculation 2 3 16" xfId="510" xr:uid="{00000000-0005-0000-0000-0000CE000000}"/>
    <cellStyle name="Calculation 2 3 17" xfId="511" xr:uid="{00000000-0005-0000-0000-0000CF000000}"/>
    <cellStyle name="Calculation 2 3 18" xfId="512" xr:uid="{00000000-0005-0000-0000-0000D0000000}"/>
    <cellStyle name="Calculation 2 3 19" xfId="513" xr:uid="{00000000-0005-0000-0000-0000D1000000}"/>
    <cellStyle name="Calculation 2 3 2" xfId="190" xr:uid="{00000000-0005-0000-0000-0000D2000000}"/>
    <cellStyle name="Calculation 2 3 2 10" xfId="514" xr:uid="{00000000-0005-0000-0000-0000D3000000}"/>
    <cellStyle name="Calculation 2 3 2 11" xfId="515" xr:uid="{00000000-0005-0000-0000-0000D4000000}"/>
    <cellStyle name="Calculation 2 3 2 12" xfId="516" xr:uid="{00000000-0005-0000-0000-0000D5000000}"/>
    <cellStyle name="Calculation 2 3 2 13" xfId="517" xr:uid="{00000000-0005-0000-0000-0000D6000000}"/>
    <cellStyle name="Calculation 2 3 2 14" xfId="518" xr:uid="{00000000-0005-0000-0000-0000D7000000}"/>
    <cellStyle name="Calculation 2 3 2 15" xfId="519" xr:uid="{00000000-0005-0000-0000-0000D8000000}"/>
    <cellStyle name="Calculation 2 3 2 16" xfId="520" xr:uid="{00000000-0005-0000-0000-0000D9000000}"/>
    <cellStyle name="Calculation 2 3 2 17" xfId="521" xr:uid="{00000000-0005-0000-0000-0000DA000000}"/>
    <cellStyle name="Calculation 2 3 2 18" xfId="522" xr:uid="{00000000-0005-0000-0000-0000DB000000}"/>
    <cellStyle name="Calculation 2 3 2 19" xfId="523" xr:uid="{00000000-0005-0000-0000-0000DC000000}"/>
    <cellStyle name="Calculation 2 3 2 2" xfId="245" xr:uid="{00000000-0005-0000-0000-0000DD000000}"/>
    <cellStyle name="Calculation 2 3 2 2 2" xfId="1064" xr:uid="{00000000-0005-0000-0000-0000DE000000}"/>
    <cellStyle name="Calculation 2 3 2 20" xfId="1024" xr:uid="{00000000-0005-0000-0000-0000DF000000}"/>
    <cellStyle name="Calculation 2 3 2 3" xfId="277" xr:uid="{00000000-0005-0000-0000-0000E0000000}"/>
    <cellStyle name="Calculation 2 3 2 3 2" xfId="1091" xr:uid="{00000000-0005-0000-0000-0000E1000000}"/>
    <cellStyle name="Calculation 2 3 2 4" xfId="278" xr:uid="{00000000-0005-0000-0000-0000E2000000}"/>
    <cellStyle name="Calculation 2 3 2 4 2" xfId="1092" xr:uid="{00000000-0005-0000-0000-0000E3000000}"/>
    <cellStyle name="Calculation 2 3 2 5" xfId="279" xr:uid="{00000000-0005-0000-0000-0000E4000000}"/>
    <cellStyle name="Calculation 2 3 2 5 2" xfId="1093" xr:uid="{00000000-0005-0000-0000-0000E5000000}"/>
    <cellStyle name="Calculation 2 3 2 6" xfId="280" xr:uid="{00000000-0005-0000-0000-0000E6000000}"/>
    <cellStyle name="Calculation 2 3 2 6 2" xfId="1094" xr:uid="{00000000-0005-0000-0000-0000E7000000}"/>
    <cellStyle name="Calculation 2 3 2 7" xfId="524" xr:uid="{00000000-0005-0000-0000-0000E8000000}"/>
    <cellStyle name="Calculation 2 3 2 8" xfId="525" xr:uid="{00000000-0005-0000-0000-0000E9000000}"/>
    <cellStyle name="Calculation 2 3 2 9" xfId="526" xr:uid="{00000000-0005-0000-0000-0000EA000000}"/>
    <cellStyle name="Calculation 2 3 20" xfId="527" xr:uid="{00000000-0005-0000-0000-0000EB000000}"/>
    <cellStyle name="Calculation 2 3 21" xfId="1004" xr:uid="{00000000-0005-0000-0000-0000EC000000}"/>
    <cellStyle name="Calculation 2 3 3" xfId="222" xr:uid="{00000000-0005-0000-0000-0000ED000000}"/>
    <cellStyle name="Calculation 2 3 3 2" xfId="1044" xr:uid="{00000000-0005-0000-0000-0000EE000000}"/>
    <cellStyle name="Calculation 2 3 4" xfId="281" xr:uid="{00000000-0005-0000-0000-0000EF000000}"/>
    <cellStyle name="Calculation 2 3 4 2" xfId="1095" xr:uid="{00000000-0005-0000-0000-0000F0000000}"/>
    <cellStyle name="Calculation 2 3 5" xfId="282" xr:uid="{00000000-0005-0000-0000-0000F1000000}"/>
    <cellStyle name="Calculation 2 3 5 2" xfId="1096" xr:uid="{00000000-0005-0000-0000-0000F2000000}"/>
    <cellStyle name="Calculation 2 3 6" xfId="283" xr:uid="{00000000-0005-0000-0000-0000F3000000}"/>
    <cellStyle name="Calculation 2 3 6 2" xfId="1097" xr:uid="{00000000-0005-0000-0000-0000F4000000}"/>
    <cellStyle name="Calculation 2 3 7" xfId="284" xr:uid="{00000000-0005-0000-0000-0000F5000000}"/>
    <cellStyle name="Calculation 2 3 7 2" xfId="1098" xr:uid="{00000000-0005-0000-0000-0000F6000000}"/>
    <cellStyle name="Calculation 2 3 8" xfId="528" xr:uid="{00000000-0005-0000-0000-0000F7000000}"/>
    <cellStyle name="Calculation 2 3 9" xfId="529" xr:uid="{00000000-0005-0000-0000-0000F8000000}"/>
    <cellStyle name="Calculation 3 2" xfId="111" xr:uid="{00000000-0005-0000-0000-0000F9000000}"/>
    <cellStyle name="Calculation 3 2 10" xfId="530" xr:uid="{00000000-0005-0000-0000-0000FA000000}"/>
    <cellStyle name="Calculation 3 2 11" xfId="531" xr:uid="{00000000-0005-0000-0000-0000FB000000}"/>
    <cellStyle name="Calculation 3 2 12" xfId="532" xr:uid="{00000000-0005-0000-0000-0000FC000000}"/>
    <cellStyle name="Calculation 3 2 13" xfId="533" xr:uid="{00000000-0005-0000-0000-0000FD000000}"/>
    <cellStyle name="Calculation 3 2 14" xfId="534" xr:uid="{00000000-0005-0000-0000-0000FE000000}"/>
    <cellStyle name="Calculation 3 2 15" xfId="535" xr:uid="{00000000-0005-0000-0000-0000FF000000}"/>
    <cellStyle name="Calculation 3 2 16" xfId="536" xr:uid="{00000000-0005-0000-0000-000000010000}"/>
    <cellStyle name="Calculation 3 2 17" xfId="537" xr:uid="{00000000-0005-0000-0000-000001010000}"/>
    <cellStyle name="Calculation 3 2 18" xfId="538" xr:uid="{00000000-0005-0000-0000-000002010000}"/>
    <cellStyle name="Calculation 3 2 19" xfId="539" xr:uid="{00000000-0005-0000-0000-000003010000}"/>
    <cellStyle name="Calculation 3 2 2" xfId="191" xr:uid="{00000000-0005-0000-0000-000004010000}"/>
    <cellStyle name="Calculation 3 2 2 10" xfId="540" xr:uid="{00000000-0005-0000-0000-000005010000}"/>
    <cellStyle name="Calculation 3 2 2 11" xfId="541" xr:uid="{00000000-0005-0000-0000-000006010000}"/>
    <cellStyle name="Calculation 3 2 2 12" xfId="542" xr:uid="{00000000-0005-0000-0000-000007010000}"/>
    <cellStyle name="Calculation 3 2 2 13" xfId="543" xr:uid="{00000000-0005-0000-0000-000008010000}"/>
    <cellStyle name="Calculation 3 2 2 14" xfId="544" xr:uid="{00000000-0005-0000-0000-000009010000}"/>
    <cellStyle name="Calculation 3 2 2 15" xfId="545" xr:uid="{00000000-0005-0000-0000-00000A010000}"/>
    <cellStyle name="Calculation 3 2 2 16" xfId="546" xr:uid="{00000000-0005-0000-0000-00000B010000}"/>
    <cellStyle name="Calculation 3 2 2 17" xfId="547" xr:uid="{00000000-0005-0000-0000-00000C010000}"/>
    <cellStyle name="Calculation 3 2 2 18" xfId="548" xr:uid="{00000000-0005-0000-0000-00000D010000}"/>
    <cellStyle name="Calculation 3 2 2 19" xfId="549" xr:uid="{00000000-0005-0000-0000-00000E010000}"/>
    <cellStyle name="Calculation 3 2 2 2" xfId="246" xr:uid="{00000000-0005-0000-0000-00000F010000}"/>
    <cellStyle name="Calculation 3 2 2 2 2" xfId="1065" xr:uid="{00000000-0005-0000-0000-000010010000}"/>
    <cellStyle name="Calculation 3 2 2 20" xfId="1025" xr:uid="{00000000-0005-0000-0000-000011010000}"/>
    <cellStyle name="Calculation 3 2 2 3" xfId="285" xr:uid="{00000000-0005-0000-0000-000012010000}"/>
    <cellStyle name="Calculation 3 2 2 3 2" xfId="1099" xr:uid="{00000000-0005-0000-0000-000013010000}"/>
    <cellStyle name="Calculation 3 2 2 4" xfId="286" xr:uid="{00000000-0005-0000-0000-000014010000}"/>
    <cellStyle name="Calculation 3 2 2 4 2" xfId="1100" xr:uid="{00000000-0005-0000-0000-000015010000}"/>
    <cellStyle name="Calculation 3 2 2 5" xfId="287" xr:uid="{00000000-0005-0000-0000-000016010000}"/>
    <cellStyle name="Calculation 3 2 2 5 2" xfId="1101" xr:uid="{00000000-0005-0000-0000-000017010000}"/>
    <cellStyle name="Calculation 3 2 2 6" xfId="288" xr:uid="{00000000-0005-0000-0000-000018010000}"/>
    <cellStyle name="Calculation 3 2 2 6 2" xfId="1102" xr:uid="{00000000-0005-0000-0000-000019010000}"/>
    <cellStyle name="Calculation 3 2 2 7" xfId="550" xr:uid="{00000000-0005-0000-0000-00001A010000}"/>
    <cellStyle name="Calculation 3 2 2 8" xfId="551" xr:uid="{00000000-0005-0000-0000-00001B010000}"/>
    <cellStyle name="Calculation 3 2 2 9" xfId="552" xr:uid="{00000000-0005-0000-0000-00001C010000}"/>
    <cellStyle name="Calculation 3 2 20" xfId="553" xr:uid="{00000000-0005-0000-0000-00001D010000}"/>
    <cellStyle name="Calculation 3 2 21" xfId="1005" xr:uid="{00000000-0005-0000-0000-00001E010000}"/>
    <cellStyle name="Calculation 3 2 3" xfId="223" xr:uid="{00000000-0005-0000-0000-00001F010000}"/>
    <cellStyle name="Calculation 3 2 3 2" xfId="1045" xr:uid="{00000000-0005-0000-0000-000020010000}"/>
    <cellStyle name="Calculation 3 2 4" xfId="289" xr:uid="{00000000-0005-0000-0000-000021010000}"/>
    <cellStyle name="Calculation 3 2 4 2" xfId="1103" xr:uid="{00000000-0005-0000-0000-000022010000}"/>
    <cellStyle name="Calculation 3 2 5" xfId="290" xr:uid="{00000000-0005-0000-0000-000023010000}"/>
    <cellStyle name="Calculation 3 2 5 2" xfId="1104" xr:uid="{00000000-0005-0000-0000-000024010000}"/>
    <cellStyle name="Calculation 3 2 6" xfId="291" xr:uid="{00000000-0005-0000-0000-000025010000}"/>
    <cellStyle name="Calculation 3 2 6 2" xfId="1105" xr:uid="{00000000-0005-0000-0000-000026010000}"/>
    <cellStyle name="Calculation 3 2 7" xfId="292" xr:uid="{00000000-0005-0000-0000-000027010000}"/>
    <cellStyle name="Calculation 3 2 7 2" xfId="1106" xr:uid="{00000000-0005-0000-0000-000028010000}"/>
    <cellStyle name="Calculation 3 2 8" xfId="554" xr:uid="{00000000-0005-0000-0000-000029010000}"/>
    <cellStyle name="Calculation 3 2 9" xfId="555" xr:uid="{00000000-0005-0000-0000-00002A010000}"/>
    <cellStyle name="Calculation 3 3" xfId="112" xr:uid="{00000000-0005-0000-0000-00002B010000}"/>
    <cellStyle name="Calculation 3 3 10" xfId="556" xr:uid="{00000000-0005-0000-0000-00002C010000}"/>
    <cellStyle name="Calculation 3 3 11" xfId="557" xr:uid="{00000000-0005-0000-0000-00002D010000}"/>
    <cellStyle name="Calculation 3 3 12" xfId="558" xr:uid="{00000000-0005-0000-0000-00002E010000}"/>
    <cellStyle name="Calculation 3 3 13" xfId="559" xr:uid="{00000000-0005-0000-0000-00002F010000}"/>
    <cellStyle name="Calculation 3 3 14" xfId="560" xr:uid="{00000000-0005-0000-0000-000030010000}"/>
    <cellStyle name="Calculation 3 3 15" xfId="561" xr:uid="{00000000-0005-0000-0000-000031010000}"/>
    <cellStyle name="Calculation 3 3 16" xfId="562" xr:uid="{00000000-0005-0000-0000-000032010000}"/>
    <cellStyle name="Calculation 3 3 17" xfId="563" xr:uid="{00000000-0005-0000-0000-000033010000}"/>
    <cellStyle name="Calculation 3 3 18" xfId="564" xr:uid="{00000000-0005-0000-0000-000034010000}"/>
    <cellStyle name="Calculation 3 3 19" xfId="565" xr:uid="{00000000-0005-0000-0000-000035010000}"/>
    <cellStyle name="Calculation 3 3 2" xfId="192" xr:uid="{00000000-0005-0000-0000-000036010000}"/>
    <cellStyle name="Calculation 3 3 2 10" xfId="566" xr:uid="{00000000-0005-0000-0000-000037010000}"/>
    <cellStyle name="Calculation 3 3 2 11" xfId="567" xr:uid="{00000000-0005-0000-0000-000038010000}"/>
    <cellStyle name="Calculation 3 3 2 12" xfId="568" xr:uid="{00000000-0005-0000-0000-000039010000}"/>
    <cellStyle name="Calculation 3 3 2 13" xfId="569" xr:uid="{00000000-0005-0000-0000-00003A010000}"/>
    <cellStyle name="Calculation 3 3 2 14" xfId="570" xr:uid="{00000000-0005-0000-0000-00003B010000}"/>
    <cellStyle name="Calculation 3 3 2 15" xfId="571" xr:uid="{00000000-0005-0000-0000-00003C010000}"/>
    <cellStyle name="Calculation 3 3 2 16" xfId="572" xr:uid="{00000000-0005-0000-0000-00003D010000}"/>
    <cellStyle name="Calculation 3 3 2 17" xfId="573" xr:uid="{00000000-0005-0000-0000-00003E010000}"/>
    <cellStyle name="Calculation 3 3 2 18" xfId="574" xr:uid="{00000000-0005-0000-0000-00003F010000}"/>
    <cellStyle name="Calculation 3 3 2 19" xfId="575" xr:uid="{00000000-0005-0000-0000-000040010000}"/>
    <cellStyle name="Calculation 3 3 2 2" xfId="247" xr:uid="{00000000-0005-0000-0000-000041010000}"/>
    <cellStyle name="Calculation 3 3 2 2 2" xfId="1066" xr:uid="{00000000-0005-0000-0000-000042010000}"/>
    <cellStyle name="Calculation 3 3 2 20" xfId="1026" xr:uid="{00000000-0005-0000-0000-000043010000}"/>
    <cellStyle name="Calculation 3 3 2 3" xfId="293" xr:uid="{00000000-0005-0000-0000-000044010000}"/>
    <cellStyle name="Calculation 3 3 2 3 2" xfId="1107" xr:uid="{00000000-0005-0000-0000-000045010000}"/>
    <cellStyle name="Calculation 3 3 2 4" xfId="294" xr:uid="{00000000-0005-0000-0000-000046010000}"/>
    <cellStyle name="Calculation 3 3 2 4 2" xfId="1108" xr:uid="{00000000-0005-0000-0000-000047010000}"/>
    <cellStyle name="Calculation 3 3 2 5" xfId="295" xr:uid="{00000000-0005-0000-0000-000048010000}"/>
    <cellStyle name="Calculation 3 3 2 5 2" xfId="1109" xr:uid="{00000000-0005-0000-0000-000049010000}"/>
    <cellStyle name="Calculation 3 3 2 6" xfId="296" xr:uid="{00000000-0005-0000-0000-00004A010000}"/>
    <cellStyle name="Calculation 3 3 2 6 2" xfId="1110" xr:uid="{00000000-0005-0000-0000-00004B010000}"/>
    <cellStyle name="Calculation 3 3 2 7" xfId="576" xr:uid="{00000000-0005-0000-0000-00004C010000}"/>
    <cellStyle name="Calculation 3 3 2 8" xfId="577" xr:uid="{00000000-0005-0000-0000-00004D010000}"/>
    <cellStyle name="Calculation 3 3 2 9" xfId="578" xr:uid="{00000000-0005-0000-0000-00004E010000}"/>
    <cellStyle name="Calculation 3 3 20" xfId="579" xr:uid="{00000000-0005-0000-0000-00004F010000}"/>
    <cellStyle name="Calculation 3 3 21" xfId="1006" xr:uid="{00000000-0005-0000-0000-000050010000}"/>
    <cellStyle name="Calculation 3 3 3" xfId="224" xr:uid="{00000000-0005-0000-0000-000051010000}"/>
    <cellStyle name="Calculation 3 3 3 2" xfId="1046" xr:uid="{00000000-0005-0000-0000-000052010000}"/>
    <cellStyle name="Calculation 3 3 4" xfId="297" xr:uid="{00000000-0005-0000-0000-000053010000}"/>
    <cellStyle name="Calculation 3 3 4 2" xfId="1111" xr:uid="{00000000-0005-0000-0000-000054010000}"/>
    <cellStyle name="Calculation 3 3 5" xfId="298" xr:uid="{00000000-0005-0000-0000-000055010000}"/>
    <cellStyle name="Calculation 3 3 5 2" xfId="1112" xr:uid="{00000000-0005-0000-0000-000056010000}"/>
    <cellStyle name="Calculation 3 3 6" xfId="299" xr:uid="{00000000-0005-0000-0000-000057010000}"/>
    <cellStyle name="Calculation 3 3 6 2" xfId="1113" xr:uid="{00000000-0005-0000-0000-000058010000}"/>
    <cellStyle name="Calculation 3 3 7" xfId="300" xr:uid="{00000000-0005-0000-0000-000059010000}"/>
    <cellStyle name="Calculation 3 3 7 2" xfId="1114" xr:uid="{00000000-0005-0000-0000-00005A010000}"/>
    <cellStyle name="Calculation 3 3 8" xfId="580" xr:uid="{00000000-0005-0000-0000-00005B010000}"/>
    <cellStyle name="Calculation 3 3 9" xfId="581" xr:uid="{00000000-0005-0000-0000-00005C010000}"/>
    <cellStyle name="Check Cell 2 2" xfId="113" xr:uid="{00000000-0005-0000-0000-00005D010000}"/>
    <cellStyle name="Check Cell 2 3" xfId="114" xr:uid="{00000000-0005-0000-0000-00005E010000}"/>
    <cellStyle name="Check Cell 3 2" xfId="115" xr:uid="{00000000-0005-0000-0000-00005F010000}"/>
    <cellStyle name="Check Cell 3 3" xfId="116" xr:uid="{00000000-0005-0000-0000-000060010000}"/>
    <cellStyle name="Comma" xfId="1" builtinId="3"/>
    <cellStyle name="Comma 2" xfId="117" xr:uid="{00000000-0005-0000-0000-000062010000}"/>
    <cellStyle name="Comma 2 2" xfId="118" xr:uid="{00000000-0005-0000-0000-000063010000}"/>
    <cellStyle name="Comma 2 3" xfId="119" xr:uid="{00000000-0005-0000-0000-000064010000}"/>
    <cellStyle name="Comma 3" xfId="210" xr:uid="{00000000-0005-0000-0000-000065010000}"/>
    <cellStyle name="Comma 3 2" xfId="242" xr:uid="{00000000-0005-0000-0000-000066010000}"/>
    <cellStyle name="Comma 3 3" xfId="266" xr:uid="{00000000-0005-0000-0000-000067010000}"/>
    <cellStyle name="Comma 4" xfId="212" xr:uid="{00000000-0005-0000-0000-000068010000}"/>
    <cellStyle name="Comma 5" xfId="213" xr:uid="{00000000-0005-0000-0000-000069010000}"/>
    <cellStyle name="Comma 5 2" xfId="582" xr:uid="{00000000-0005-0000-0000-00006A010000}"/>
    <cellStyle name="Comma 6" xfId="214" xr:uid="{00000000-0005-0000-0000-00006B010000}"/>
    <cellStyle name="Comma 6 2" xfId="583" xr:uid="{00000000-0005-0000-0000-00006C010000}"/>
    <cellStyle name="Euro" xfId="584" xr:uid="{00000000-0005-0000-0000-00006D010000}"/>
    <cellStyle name="Explanatory Text 2 2" xfId="120" xr:uid="{00000000-0005-0000-0000-00006E010000}"/>
    <cellStyle name="Explanatory Text 2 3" xfId="121" xr:uid="{00000000-0005-0000-0000-00006F010000}"/>
    <cellStyle name="Explanatory Text 3 2" xfId="122" xr:uid="{00000000-0005-0000-0000-000070010000}"/>
    <cellStyle name="Explanatory Text 3 3" xfId="123" xr:uid="{00000000-0005-0000-0000-000071010000}"/>
    <cellStyle name="Good 2 2" xfId="124" xr:uid="{00000000-0005-0000-0000-000072010000}"/>
    <cellStyle name="Good 2 3" xfId="125" xr:uid="{00000000-0005-0000-0000-000073010000}"/>
    <cellStyle name="Good 3 2" xfId="126" xr:uid="{00000000-0005-0000-0000-000074010000}"/>
    <cellStyle name="Good 3 3" xfId="127" xr:uid="{00000000-0005-0000-0000-000075010000}"/>
    <cellStyle name="Heading 1 2 2" xfId="128" xr:uid="{00000000-0005-0000-0000-000076010000}"/>
    <cellStyle name="Heading 1 2 3" xfId="129" xr:uid="{00000000-0005-0000-0000-000077010000}"/>
    <cellStyle name="Heading 1 3 2" xfId="130" xr:uid="{00000000-0005-0000-0000-000078010000}"/>
    <cellStyle name="Heading 1 3 3" xfId="131" xr:uid="{00000000-0005-0000-0000-000079010000}"/>
    <cellStyle name="Heading 2 2 2" xfId="132" xr:uid="{00000000-0005-0000-0000-00007A010000}"/>
    <cellStyle name="Heading 2 2 3" xfId="133" xr:uid="{00000000-0005-0000-0000-00007B010000}"/>
    <cellStyle name="Heading 2 3 2" xfId="134" xr:uid="{00000000-0005-0000-0000-00007C010000}"/>
    <cellStyle name="Heading 2 3 3" xfId="135" xr:uid="{00000000-0005-0000-0000-00007D010000}"/>
    <cellStyle name="Heading 3 2 2" xfId="136" xr:uid="{00000000-0005-0000-0000-00007E010000}"/>
    <cellStyle name="Heading 3 2 3" xfId="137" xr:uid="{00000000-0005-0000-0000-00007F010000}"/>
    <cellStyle name="Heading 3 3 2" xfId="138" xr:uid="{00000000-0005-0000-0000-000080010000}"/>
    <cellStyle name="Heading 3 3 3" xfId="139" xr:uid="{00000000-0005-0000-0000-000081010000}"/>
    <cellStyle name="Heading 4 2 2" xfId="140" xr:uid="{00000000-0005-0000-0000-000082010000}"/>
    <cellStyle name="Heading 4 2 3" xfId="141" xr:uid="{00000000-0005-0000-0000-000083010000}"/>
    <cellStyle name="Heading 4 3 2" xfId="142" xr:uid="{00000000-0005-0000-0000-000084010000}"/>
    <cellStyle name="Heading 4 3 3" xfId="143" xr:uid="{00000000-0005-0000-0000-000085010000}"/>
    <cellStyle name="Hyperlink" xfId="3" builtinId="8"/>
    <cellStyle name="Hyperlink 2" xfId="144" xr:uid="{00000000-0005-0000-0000-000087010000}"/>
    <cellStyle name="Hyperlink 3" xfId="145" xr:uid="{00000000-0005-0000-0000-000088010000}"/>
    <cellStyle name="Hyperlink 4" xfId="146" xr:uid="{00000000-0005-0000-0000-000089010000}"/>
    <cellStyle name="Hyperlink 5" xfId="147" xr:uid="{00000000-0005-0000-0000-00008A010000}"/>
    <cellStyle name="Hyperlink 6" xfId="211" xr:uid="{00000000-0005-0000-0000-00008B010000}"/>
    <cellStyle name="Hyperlink 6 2" xfId="243" xr:uid="{00000000-0005-0000-0000-00008C010000}"/>
    <cellStyle name="Hyperlink 6 2 2" xfId="265" xr:uid="{00000000-0005-0000-0000-00008D010000}"/>
    <cellStyle name="Hyperlink 6 3" xfId="429" xr:uid="{00000000-0005-0000-0000-00008E010000}"/>
    <cellStyle name="Hyperlink 7" xfId="219" xr:uid="{00000000-0005-0000-0000-00008F010000}"/>
    <cellStyle name="Input 2 2" xfId="148" xr:uid="{00000000-0005-0000-0000-000090010000}"/>
    <cellStyle name="Input 2 2 10" xfId="585" xr:uid="{00000000-0005-0000-0000-000091010000}"/>
    <cellStyle name="Input 2 2 11" xfId="586" xr:uid="{00000000-0005-0000-0000-000092010000}"/>
    <cellStyle name="Input 2 2 12" xfId="587" xr:uid="{00000000-0005-0000-0000-000093010000}"/>
    <cellStyle name="Input 2 2 13" xfId="588" xr:uid="{00000000-0005-0000-0000-000094010000}"/>
    <cellStyle name="Input 2 2 14" xfId="589" xr:uid="{00000000-0005-0000-0000-000095010000}"/>
    <cellStyle name="Input 2 2 15" xfId="590" xr:uid="{00000000-0005-0000-0000-000096010000}"/>
    <cellStyle name="Input 2 2 16" xfId="591" xr:uid="{00000000-0005-0000-0000-000097010000}"/>
    <cellStyle name="Input 2 2 17" xfId="592" xr:uid="{00000000-0005-0000-0000-000098010000}"/>
    <cellStyle name="Input 2 2 18" xfId="593" xr:uid="{00000000-0005-0000-0000-000099010000}"/>
    <cellStyle name="Input 2 2 19" xfId="594" xr:uid="{00000000-0005-0000-0000-00009A010000}"/>
    <cellStyle name="Input 2 2 2" xfId="193" xr:uid="{00000000-0005-0000-0000-00009B010000}"/>
    <cellStyle name="Input 2 2 2 10" xfId="595" xr:uid="{00000000-0005-0000-0000-00009C010000}"/>
    <cellStyle name="Input 2 2 2 11" xfId="596" xr:uid="{00000000-0005-0000-0000-00009D010000}"/>
    <cellStyle name="Input 2 2 2 12" xfId="597" xr:uid="{00000000-0005-0000-0000-00009E010000}"/>
    <cellStyle name="Input 2 2 2 13" xfId="598" xr:uid="{00000000-0005-0000-0000-00009F010000}"/>
    <cellStyle name="Input 2 2 2 14" xfId="599" xr:uid="{00000000-0005-0000-0000-0000A0010000}"/>
    <cellStyle name="Input 2 2 2 15" xfId="600" xr:uid="{00000000-0005-0000-0000-0000A1010000}"/>
    <cellStyle name="Input 2 2 2 16" xfId="601" xr:uid="{00000000-0005-0000-0000-0000A2010000}"/>
    <cellStyle name="Input 2 2 2 17" xfId="602" xr:uid="{00000000-0005-0000-0000-0000A3010000}"/>
    <cellStyle name="Input 2 2 2 18" xfId="603" xr:uid="{00000000-0005-0000-0000-0000A4010000}"/>
    <cellStyle name="Input 2 2 2 19" xfId="604" xr:uid="{00000000-0005-0000-0000-0000A5010000}"/>
    <cellStyle name="Input 2 2 2 2" xfId="248" xr:uid="{00000000-0005-0000-0000-0000A6010000}"/>
    <cellStyle name="Input 2 2 2 2 2" xfId="1067" xr:uid="{00000000-0005-0000-0000-0000A7010000}"/>
    <cellStyle name="Input 2 2 2 20" xfId="1027" xr:uid="{00000000-0005-0000-0000-0000A8010000}"/>
    <cellStyle name="Input 2 2 2 3" xfId="301" xr:uid="{00000000-0005-0000-0000-0000A9010000}"/>
    <cellStyle name="Input 2 2 2 3 2" xfId="1115" xr:uid="{00000000-0005-0000-0000-0000AA010000}"/>
    <cellStyle name="Input 2 2 2 4" xfId="302" xr:uid="{00000000-0005-0000-0000-0000AB010000}"/>
    <cellStyle name="Input 2 2 2 4 2" xfId="1116" xr:uid="{00000000-0005-0000-0000-0000AC010000}"/>
    <cellStyle name="Input 2 2 2 5" xfId="303" xr:uid="{00000000-0005-0000-0000-0000AD010000}"/>
    <cellStyle name="Input 2 2 2 5 2" xfId="1117" xr:uid="{00000000-0005-0000-0000-0000AE010000}"/>
    <cellStyle name="Input 2 2 2 6" xfId="304" xr:uid="{00000000-0005-0000-0000-0000AF010000}"/>
    <cellStyle name="Input 2 2 2 6 2" xfId="1118" xr:uid="{00000000-0005-0000-0000-0000B0010000}"/>
    <cellStyle name="Input 2 2 2 7" xfId="605" xr:uid="{00000000-0005-0000-0000-0000B1010000}"/>
    <cellStyle name="Input 2 2 2 8" xfId="606" xr:uid="{00000000-0005-0000-0000-0000B2010000}"/>
    <cellStyle name="Input 2 2 2 9" xfId="607" xr:uid="{00000000-0005-0000-0000-0000B3010000}"/>
    <cellStyle name="Input 2 2 20" xfId="608" xr:uid="{00000000-0005-0000-0000-0000B4010000}"/>
    <cellStyle name="Input 2 2 21" xfId="1007" xr:uid="{00000000-0005-0000-0000-0000B5010000}"/>
    <cellStyle name="Input 2 2 3" xfId="225" xr:uid="{00000000-0005-0000-0000-0000B6010000}"/>
    <cellStyle name="Input 2 2 3 2" xfId="1047" xr:uid="{00000000-0005-0000-0000-0000B7010000}"/>
    <cellStyle name="Input 2 2 4" xfId="305" xr:uid="{00000000-0005-0000-0000-0000B8010000}"/>
    <cellStyle name="Input 2 2 4 2" xfId="1119" xr:uid="{00000000-0005-0000-0000-0000B9010000}"/>
    <cellStyle name="Input 2 2 5" xfId="306" xr:uid="{00000000-0005-0000-0000-0000BA010000}"/>
    <cellStyle name="Input 2 2 5 2" xfId="1120" xr:uid="{00000000-0005-0000-0000-0000BB010000}"/>
    <cellStyle name="Input 2 2 6" xfId="307" xr:uid="{00000000-0005-0000-0000-0000BC010000}"/>
    <cellStyle name="Input 2 2 6 2" xfId="1121" xr:uid="{00000000-0005-0000-0000-0000BD010000}"/>
    <cellStyle name="Input 2 2 7" xfId="308" xr:uid="{00000000-0005-0000-0000-0000BE010000}"/>
    <cellStyle name="Input 2 2 7 2" xfId="1122" xr:uid="{00000000-0005-0000-0000-0000BF010000}"/>
    <cellStyle name="Input 2 2 8" xfId="609" xr:uid="{00000000-0005-0000-0000-0000C0010000}"/>
    <cellStyle name="Input 2 2 9" xfId="610" xr:uid="{00000000-0005-0000-0000-0000C1010000}"/>
    <cellStyle name="Input 2 3" xfId="149" xr:uid="{00000000-0005-0000-0000-0000C2010000}"/>
    <cellStyle name="Input 2 3 10" xfId="611" xr:uid="{00000000-0005-0000-0000-0000C3010000}"/>
    <cellStyle name="Input 2 3 11" xfId="612" xr:uid="{00000000-0005-0000-0000-0000C4010000}"/>
    <cellStyle name="Input 2 3 12" xfId="613" xr:uid="{00000000-0005-0000-0000-0000C5010000}"/>
    <cellStyle name="Input 2 3 13" xfId="614" xr:uid="{00000000-0005-0000-0000-0000C6010000}"/>
    <cellStyle name="Input 2 3 14" xfId="615" xr:uid="{00000000-0005-0000-0000-0000C7010000}"/>
    <cellStyle name="Input 2 3 15" xfId="616" xr:uid="{00000000-0005-0000-0000-0000C8010000}"/>
    <cellStyle name="Input 2 3 16" xfId="617" xr:uid="{00000000-0005-0000-0000-0000C9010000}"/>
    <cellStyle name="Input 2 3 17" xfId="618" xr:uid="{00000000-0005-0000-0000-0000CA010000}"/>
    <cellStyle name="Input 2 3 18" xfId="619" xr:uid="{00000000-0005-0000-0000-0000CB010000}"/>
    <cellStyle name="Input 2 3 19" xfId="620" xr:uid="{00000000-0005-0000-0000-0000CC010000}"/>
    <cellStyle name="Input 2 3 2" xfId="194" xr:uid="{00000000-0005-0000-0000-0000CD010000}"/>
    <cellStyle name="Input 2 3 2 10" xfId="621" xr:uid="{00000000-0005-0000-0000-0000CE010000}"/>
    <cellStyle name="Input 2 3 2 11" xfId="622" xr:uid="{00000000-0005-0000-0000-0000CF010000}"/>
    <cellStyle name="Input 2 3 2 12" xfId="623" xr:uid="{00000000-0005-0000-0000-0000D0010000}"/>
    <cellStyle name="Input 2 3 2 13" xfId="624" xr:uid="{00000000-0005-0000-0000-0000D1010000}"/>
    <cellStyle name="Input 2 3 2 14" xfId="625" xr:uid="{00000000-0005-0000-0000-0000D2010000}"/>
    <cellStyle name="Input 2 3 2 15" xfId="626" xr:uid="{00000000-0005-0000-0000-0000D3010000}"/>
    <cellStyle name="Input 2 3 2 16" xfId="627" xr:uid="{00000000-0005-0000-0000-0000D4010000}"/>
    <cellStyle name="Input 2 3 2 17" xfId="628" xr:uid="{00000000-0005-0000-0000-0000D5010000}"/>
    <cellStyle name="Input 2 3 2 18" xfId="629" xr:uid="{00000000-0005-0000-0000-0000D6010000}"/>
    <cellStyle name="Input 2 3 2 19" xfId="630" xr:uid="{00000000-0005-0000-0000-0000D7010000}"/>
    <cellStyle name="Input 2 3 2 2" xfId="249" xr:uid="{00000000-0005-0000-0000-0000D8010000}"/>
    <cellStyle name="Input 2 3 2 2 2" xfId="1068" xr:uid="{00000000-0005-0000-0000-0000D9010000}"/>
    <cellStyle name="Input 2 3 2 20" xfId="1028" xr:uid="{00000000-0005-0000-0000-0000DA010000}"/>
    <cellStyle name="Input 2 3 2 3" xfId="309" xr:uid="{00000000-0005-0000-0000-0000DB010000}"/>
    <cellStyle name="Input 2 3 2 3 2" xfId="1123" xr:uid="{00000000-0005-0000-0000-0000DC010000}"/>
    <cellStyle name="Input 2 3 2 4" xfId="310" xr:uid="{00000000-0005-0000-0000-0000DD010000}"/>
    <cellStyle name="Input 2 3 2 4 2" xfId="1124" xr:uid="{00000000-0005-0000-0000-0000DE010000}"/>
    <cellStyle name="Input 2 3 2 5" xfId="311" xr:uid="{00000000-0005-0000-0000-0000DF010000}"/>
    <cellStyle name="Input 2 3 2 5 2" xfId="1125" xr:uid="{00000000-0005-0000-0000-0000E0010000}"/>
    <cellStyle name="Input 2 3 2 6" xfId="312" xr:uid="{00000000-0005-0000-0000-0000E1010000}"/>
    <cellStyle name="Input 2 3 2 6 2" xfId="1126" xr:uid="{00000000-0005-0000-0000-0000E2010000}"/>
    <cellStyle name="Input 2 3 2 7" xfId="631" xr:uid="{00000000-0005-0000-0000-0000E3010000}"/>
    <cellStyle name="Input 2 3 2 8" xfId="632" xr:uid="{00000000-0005-0000-0000-0000E4010000}"/>
    <cellStyle name="Input 2 3 2 9" xfId="633" xr:uid="{00000000-0005-0000-0000-0000E5010000}"/>
    <cellStyle name="Input 2 3 20" xfId="634" xr:uid="{00000000-0005-0000-0000-0000E6010000}"/>
    <cellStyle name="Input 2 3 21" xfId="1008" xr:uid="{00000000-0005-0000-0000-0000E7010000}"/>
    <cellStyle name="Input 2 3 3" xfId="226" xr:uid="{00000000-0005-0000-0000-0000E8010000}"/>
    <cellStyle name="Input 2 3 3 2" xfId="1048" xr:uid="{00000000-0005-0000-0000-0000E9010000}"/>
    <cellStyle name="Input 2 3 4" xfId="313" xr:uid="{00000000-0005-0000-0000-0000EA010000}"/>
    <cellStyle name="Input 2 3 4 2" xfId="1127" xr:uid="{00000000-0005-0000-0000-0000EB010000}"/>
    <cellStyle name="Input 2 3 5" xfId="314" xr:uid="{00000000-0005-0000-0000-0000EC010000}"/>
    <cellStyle name="Input 2 3 5 2" xfId="1128" xr:uid="{00000000-0005-0000-0000-0000ED010000}"/>
    <cellStyle name="Input 2 3 6" xfId="315" xr:uid="{00000000-0005-0000-0000-0000EE010000}"/>
    <cellStyle name="Input 2 3 6 2" xfId="1129" xr:uid="{00000000-0005-0000-0000-0000EF010000}"/>
    <cellStyle name="Input 2 3 7" xfId="316" xr:uid="{00000000-0005-0000-0000-0000F0010000}"/>
    <cellStyle name="Input 2 3 7 2" xfId="1130" xr:uid="{00000000-0005-0000-0000-0000F1010000}"/>
    <cellStyle name="Input 2 3 8" xfId="635" xr:uid="{00000000-0005-0000-0000-0000F2010000}"/>
    <cellStyle name="Input 2 3 9" xfId="636" xr:uid="{00000000-0005-0000-0000-0000F3010000}"/>
    <cellStyle name="Input 3 2" xfId="150" xr:uid="{00000000-0005-0000-0000-0000F4010000}"/>
    <cellStyle name="Input 3 2 10" xfId="637" xr:uid="{00000000-0005-0000-0000-0000F5010000}"/>
    <cellStyle name="Input 3 2 11" xfId="638" xr:uid="{00000000-0005-0000-0000-0000F6010000}"/>
    <cellStyle name="Input 3 2 12" xfId="639" xr:uid="{00000000-0005-0000-0000-0000F7010000}"/>
    <cellStyle name="Input 3 2 13" xfId="640" xr:uid="{00000000-0005-0000-0000-0000F8010000}"/>
    <cellStyle name="Input 3 2 14" xfId="641" xr:uid="{00000000-0005-0000-0000-0000F9010000}"/>
    <cellStyle name="Input 3 2 15" xfId="642" xr:uid="{00000000-0005-0000-0000-0000FA010000}"/>
    <cellStyle name="Input 3 2 16" xfId="643" xr:uid="{00000000-0005-0000-0000-0000FB010000}"/>
    <cellStyle name="Input 3 2 17" xfId="644" xr:uid="{00000000-0005-0000-0000-0000FC010000}"/>
    <cellStyle name="Input 3 2 18" xfId="645" xr:uid="{00000000-0005-0000-0000-0000FD010000}"/>
    <cellStyle name="Input 3 2 19" xfId="646" xr:uid="{00000000-0005-0000-0000-0000FE010000}"/>
    <cellStyle name="Input 3 2 2" xfId="195" xr:uid="{00000000-0005-0000-0000-0000FF010000}"/>
    <cellStyle name="Input 3 2 2 10" xfId="647" xr:uid="{00000000-0005-0000-0000-000000020000}"/>
    <cellStyle name="Input 3 2 2 11" xfId="648" xr:uid="{00000000-0005-0000-0000-000001020000}"/>
    <cellStyle name="Input 3 2 2 12" xfId="649" xr:uid="{00000000-0005-0000-0000-000002020000}"/>
    <cellStyle name="Input 3 2 2 13" xfId="650" xr:uid="{00000000-0005-0000-0000-000003020000}"/>
    <cellStyle name="Input 3 2 2 14" xfId="651" xr:uid="{00000000-0005-0000-0000-000004020000}"/>
    <cellStyle name="Input 3 2 2 15" xfId="652" xr:uid="{00000000-0005-0000-0000-000005020000}"/>
    <cellStyle name="Input 3 2 2 16" xfId="653" xr:uid="{00000000-0005-0000-0000-000006020000}"/>
    <cellStyle name="Input 3 2 2 17" xfId="654" xr:uid="{00000000-0005-0000-0000-000007020000}"/>
    <cellStyle name="Input 3 2 2 18" xfId="655" xr:uid="{00000000-0005-0000-0000-000008020000}"/>
    <cellStyle name="Input 3 2 2 19" xfId="656" xr:uid="{00000000-0005-0000-0000-000009020000}"/>
    <cellStyle name="Input 3 2 2 2" xfId="250" xr:uid="{00000000-0005-0000-0000-00000A020000}"/>
    <cellStyle name="Input 3 2 2 2 2" xfId="1069" xr:uid="{00000000-0005-0000-0000-00000B020000}"/>
    <cellStyle name="Input 3 2 2 20" xfId="1029" xr:uid="{00000000-0005-0000-0000-00000C020000}"/>
    <cellStyle name="Input 3 2 2 3" xfId="317" xr:uid="{00000000-0005-0000-0000-00000D020000}"/>
    <cellStyle name="Input 3 2 2 3 2" xfId="1131" xr:uid="{00000000-0005-0000-0000-00000E020000}"/>
    <cellStyle name="Input 3 2 2 4" xfId="318" xr:uid="{00000000-0005-0000-0000-00000F020000}"/>
    <cellStyle name="Input 3 2 2 4 2" xfId="1132" xr:uid="{00000000-0005-0000-0000-000010020000}"/>
    <cellStyle name="Input 3 2 2 5" xfId="319" xr:uid="{00000000-0005-0000-0000-000011020000}"/>
    <cellStyle name="Input 3 2 2 5 2" xfId="1133" xr:uid="{00000000-0005-0000-0000-000012020000}"/>
    <cellStyle name="Input 3 2 2 6" xfId="320" xr:uid="{00000000-0005-0000-0000-000013020000}"/>
    <cellStyle name="Input 3 2 2 6 2" xfId="1134" xr:uid="{00000000-0005-0000-0000-000014020000}"/>
    <cellStyle name="Input 3 2 2 7" xfId="657" xr:uid="{00000000-0005-0000-0000-000015020000}"/>
    <cellStyle name="Input 3 2 2 8" xfId="658" xr:uid="{00000000-0005-0000-0000-000016020000}"/>
    <cellStyle name="Input 3 2 2 9" xfId="659" xr:uid="{00000000-0005-0000-0000-000017020000}"/>
    <cellStyle name="Input 3 2 20" xfId="660" xr:uid="{00000000-0005-0000-0000-000018020000}"/>
    <cellStyle name="Input 3 2 21" xfId="1009" xr:uid="{00000000-0005-0000-0000-000019020000}"/>
    <cellStyle name="Input 3 2 3" xfId="227" xr:uid="{00000000-0005-0000-0000-00001A020000}"/>
    <cellStyle name="Input 3 2 3 2" xfId="1049" xr:uid="{00000000-0005-0000-0000-00001B020000}"/>
    <cellStyle name="Input 3 2 4" xfId="321" xr:uid="{00000000-0005-0000-0000-00001C020000}"/>
    <cellStyle name="Input 3 2 4 2" xfId="1135" xr:uid="{00000000-0005-0000-0000-00001D020000}"/>
    <cellStyle name="Input 3 2 5" xfId="322" xr:uid="{00000000-0005-0000-0000-00001E020000}"/>
    <cellStyle name="Input 3 2 5 2" xfId="1136" xr:uid="{00000000-0005-0000-0000-00001F020000}"/>
    <cellStyle name="Input 3 2 6" xfId="323" xr:uid="{00000000-0005-0000-0000-000020020000}"/>
    <cellStyle name="Input 3 2 6 2" xfId="1137" xr:uid="{00000000-0005-0000-0000-000021020000}"/>
    <cellStyle name="Input 3 2 7" xfId="324" xr:uid="{00000000-0005-0000-0000-000022020000}"/>
    <cellStyle name="Input 3 2 7 2" xfId="1138" xr:uid="{00000000-0005-0000-0000-000023020000}"/>
    <cellStyle name="Input 3 2 8" xfId="661" xr:uid="{00000000-0005-0000-0000-000024020000}"/>
    <cellStyle name="Input 3 2 9" xfId="662" xr:uid="{00000000-0005-0000-0000-000025020000}"/>
    <cellStyle name="Input 3 3" xfId="151" xr:uid="{00000000-0005-0000-0000-000026020000}"/>
    <cellStyle name="Input 3 3 10" xfId="663" xr:uid="{00000000-0005-0000-0000-000027020000}"/>
    <cellStyle name="Input 3 3 11" xfId="664" xr:uid="{00000000-0005-0000-0000-000028020000}"/>
    <cellStyle name="Input 3 3 12" xfId="665" xr:uid="{00000000-0005-0000-0000-000029020000}"/>
    <cellStyle name="Input 3 3 13" xfId="666" xr:uid="{00000000-0005-0000-0000-00002A020000}"/>
    <cellStyle name="Input 3 3 14" xfId="667" xr:uid="{00000000-0005-0000-0000-00002B020000}"/>
    <cellStyle name="Input 3 3 15" xfId="668" xr:uid="{00000000-0005-0000-0000-00002C020000}"/>
    <cellStyle name="Input 3 3 16" xfId="669" xr:uid="{00000000-0005-0000-0000-00002D020000}"/>
    <cellStyle name="Input 3 3 17" xfId="670" xr:uid="{00000000-0005-0000-0000-00002E020000}"/>
    <cellStyle name="Input 3 3 18" xfId="671" xr:uid="{00000000-0005-0000-0000-00002F020000}"/>
    <cellStyle name="Input 3 3 19" xfId="672" xr:uid="{00000000-0005-0000-0000-000030020000}"/>
    <cellStyle name="Input 3 3 2" xfId="196" xr:uid="{00000000-0005-0000-0000-000031020000}"/>
    <cellStyle name="Input 3 3 2 10" xfId="673" xr:uid="{00000000-0005-0000-0000-000032020000}"/>
    <cellStyle name="Input 3 3 2 11" xfId="674" xr:uid="{00000000-0005-0000-0000-000033020000}"/>
    <cellStyle name="Input 3 3 2 12" xfId="675" xr:uid="{00000000-0005-0000-0000-000034020000}"/>
    <cellStyle name="Input 3 3 2 13" xfId="676" xr:uid="{00000000-0005-0000-0000-000035020000}"/>
    <cellStyle name="Input 3 3 2 14" xfId="677" xr:uid="{00000000-0005-0000-0000-000036020000}"/>
    <cellStyle name="Input 3 3 2 15" xfId="678" xr:uid="{00000000-0005-0000-0000-000037020000}"/>
    <cellStyle name="Input 3 3 2 16" xfId="679" xr:uid="{00000000-0005-0000-0000-000038020000}"/>
    <cellStyle name="Input 3 3 2 17" xfId="680" xr:uid="{00000000-0005-0000-0000-000039020000}"/>
    <cellStyle name="Input 3 3 2 18" xfId="681" xr:uid="{00000000-0005-0000-0000-00003A020000}"/>
    <cellStyle name="Input 3 3 2 19" xfId="682" xr:uid="{00000000-0005-0000-0000-00003B020000}"/>
    <cellStyle name="Input 3 3 2 2" xfId="251" xr:uid="{00000000-0005-0000-0000-00003C020000}"/>
    <cellStyle name="Input 3 3 2 2 2" xfId="1070" xr:uid="{00000000-0005-0000-0000-00003D020000}"/>
    <cellStyle name="Input 3 3 2 20" xfId="1030" xr:uid="{00000000-0005-0000-0000-00003E020000}"/>
    <cellStyle name="Input 3 3 2 3" xfId="325" xr:uid="{00000000-0005-0000-0000-00003F020000}"/>
    <cellStyle name="Input 3 3 2 3 2" xfId="1139" xr:uid="{00000000-0005-0000-0000-000040020000}"/>
    <cellStyle name="Input 3 3 2 4" xfId="326" xr:uid="{00000000-0005-0000-0000-000041020000}"/>
    <cellStyle name="Input 3 3 2 4 2" xfId="1140" xr:uid="{00000000-0005-0000-0000-000042020000}"/>
    <cellStyle name="Input 3 3 2 5" xfId="327" xr:uid="{00000000-0005-0000-0000-000043020000}"/>
    <cellStyle name="Input 3 3 2 5 2" xfId="1141" xr:uid="{00000000-0005-0000-0000-000044020000}"/>
    <cellStyle name="Input 3 3 2 6" xfId="328" xr:uid="{00000000-0005-0000-0000-000045020000}"/>
    <cellStyle name="Input 3 3 2 6 2" xfId="1142" xr:uid="{00000000-0005-0000-0000-000046020000}"/>
    <cellStyle name="Input 3 3 2 7" xfId="683" xr:uid="{00000000-0005-0000-0000-000047020000}"/>
    <cellStyle name="Input 3 3 2 8" xfId="684" xr:uid="{00000000-0005-0000-0000-000048020000}"/>
    <cellStyle name="Input 3 3 2 9" xfId="685" xr:uid="{00000000-0005-0000-0000-000049020000}"/>
    <cellStyle name="Input 3 3 20" xfId="686" xr:uid="{00000000-0005-0000-0000-00004A020000}"/>
    <cellStyle name="Input 3 3 21" xfId="1010" xr:uid="{00000000-0005-0000-0000-00004B020000}"/>
    <cellStyle name="Input 3 3 3" xfId="228" xr:uid="{00000000-0005-0000-0000-00004C020000}"/>
    <cellStyle name="Input 3 3 3 2" xfId="1050" xr:uid="{00000000-0005-0000-0000-00004D020000}"/>
    <cellStyle name="Input 3 3 4" xfId="329" xr:uid="{00000000-0005-0000-0000-00004E020000}"/>
    <cellStyle name="Input 3 3 4 2" xfId="1143" xr:uid="{00000000-0005-0000-0000-00004F020000}"/>
    <cellStyle name="Input 3 3 5" xfId="330" xr:uid="{00000000-0005-0000-0000-000050020000}"/>
    <cellStyle name="Input 3 3 5 2" xfId="1144" xr:uid="{00000000-0005-0000-0000-000051020000}"/>
    <cellStyle name="Input 3 3 6" xfId="331" xr:uid="{00000000-0005-0000-0000-000052020000}"/>
    <cellStyle name="Input 3 3 6 2" xfId="1145" xr:uid="{00000000-0005-0000-0000-000053020000}"/>
    <cellStyle name="Input 3 3 7" xfId="332" xr:uid="{00000000-0005-0000-0000-000054020000}"/>
    <cellStyle name="Input 3 3 7 2" xfId="1146" xr:uid="{00000000-0005-0000-0000-000055020000}"/>
    <cellStyle name="Input 3 3 8" xfId="687" xr:uid="{00000000-0005-0000-0000-000056020000}"/>
    <cellStyle name="Input 3 3 9" xfId="688" xr:uid="{00000000-0005-0000-0000-000057020000}"/>
    <cellStyle name="Linked Cell 2 2" xfId="152" xr:uid="{00000000-0005-0000-0000-000058020000}"/>
    <cellStyle name="Linked Cell 2 3" xfId="153" xr:uid="{00000000-0005-0000-0000-000059020000}"/>
    <cellStyle name="Linked Cell 3 2" xfId="154" xr:uid="{00000000-0005-0000-0000-00005A020000}"/>
    <cellStyle name="Linked Cell 3 3" xfId="155" xr:uid="{00000000-0005-0000-0000-00005B020000}"/>
    <cellStyle name="Neutral 2 2" xfId="156" xr:uid="{00000000-0005-0000-0000-00005C020000}"/>
    <cellStyle name="Neutral 2 3" xfId="157" xr:uid="{00000000-0005-0000-0000-00005D020000}"/>
    <cellStyle name="Neutral 3 2" xfId="158" xr:uid="{00000000-0005-0000-0000-00005E020000}"/>
    <cellStyle name="Neutral 3 3" xfId="159" xr:uid="{00000000-0005-0000-0000-00005F020000}"/>
    <cellStyle name="Normal" xfId="0" builtinId="0"/>
    <cellStyle name="Normal 2" xfId="160" xr:uid="{00000000-0005-0000-0000-000061020000}"/>
    <cellStyle name="Normal 2 2" xfId="161" xr:uid="{00000000-0005-0000-0000-000062020000}"/>
    <cellStyle name="Normal 2 3" xfId="162" xr:uid="{00000000-0005-0000-0000-000063020000}"/>
    <cellStyle name="Normal 3" xfId="5" xr:uid="{00000000-0005-0000-0000-000064020000}"/>
    <cellStyle name="Normal 3 2" xfId="7" xr:uid="{00000000-0005-0000-0000-000065020000}"/>
    <cellStyle name="Normal 3 3" xfId="163" xr:uid="{00000000-0005-0000-0000-000066020000}"/>
    <cellStyle name="Normal 3 4" xfId="188" xr:uid="{00000000-0005-0000-0000-000067020000}"/>
    <cellStyle name="Normal 3 5" xfId="220" xr:uid="{00000000-0005-0000-0000-000068020000}"/>
    <cellStyle name="Normal 3_Beta calculation" xfId="215" xr:uid="{00000000-0005-0000-0000-000069020000}"/>
    <cellStyle name="Normal 4" xfId="164" xr:uid="{00000000-0005-0000-0000-00006A020000}"/>
    <cellStyle name="Normal 5" xfId="6" xr:uid="{00000000-0005-0000-0000-00006B020000}"/>
    <cellStyle name="Normal 6" xfId="241" xr:uid="{00000000-0005-0000-0000-00006C020000}"/>
    <cellStyle name="Normal 6 2" xfId="268" xr:uid="{00000000-0005-0000-0000-00006D020000}"/>
    <cellStyle name="Normal 6 3" xfId="267" xr:uid="{00000000-0005-0000-0000-00006E020000}"/>
    <cellStyle name="Normal_Ushakal 07.01.2008" xfId="4" xr:uid="{00000000-0005-0000-0000-00006F020000}"/>
    <cellStyle name="Note 2 2" xfId="165" xr:uid="{00000000-0005-0000-0000-000070020000}"/>
    <cellStyle name="Note 2 2 10" xfId="689" xr:uid="{00000000-0005-0000-0000-000071020000}"/>
    <cellStyle name="Note 2 2 11" xfId="690" xr:uid="{00000000-0005-0000-0000-000072020000}"/>
    <cellStyle name="Note 2 2 12" xfId="691" xr:uid="{00000000-0005-0000-0000-000073020000}"/>
    <cellStyle name="Note 2 2 13" xfId="692" xr:uid="{00000000-0005-0000-0000-000074020000}"/>
    <cellStyle name="Note 2 2 14" xfId="693" xr:uid="{00000000-0005-0000-0000-000075020000}"/>
    <cellStyle name="Note 2 2 15" xfId="694" xr:uid="{00000000-0005-0000-0000-000076020000}"/>
    <cellStyle name="Note 2 2 16" xfId="695" xr:uid="{00000000-0005-0000-0000-000077020000}"/>
    <cellStyle name="Note 2 2 17" xfId="696" xr:uid="{00000000-0005-0000-0000-000078020000}"/>
    <cellStyle name="Note 2 2 18" xfId="697" xr:uid="{00000000-0005-0000-0000-000079020000}"/>
    <cellStyle name="Note 2 2 19" xfId="698" xr:uid="{00000000-0005-0000-0000-00007A020000}"/>
    <cellStyle name="Note 2 2 2" xfId="197" xr:uid="{00000000-0005-0000-0000-00007B020000}"/>
    <cellStyle name="Note 2 2 2 10" xfId="699" xr:uid="{00000000-0005-0000-0000-00007C020000}"/>
    <cellStyle name="Note 2 2 2 11" xfId="700" xr:uid="{00000000-0005-0000-0000-00007D020000}"/>
    <cellStyle name="Note 2 2 2 12" xfId="701" xr:uid="{00000000-0005-0000-0000-00007E020000}"/>
    <cellStyle name="Note 2 2 2 13" xfId="702" xr:uid="{00000000-0005-0000-0000-00007F020000}"/>
    <cellStyle name="Note 2 2 2 14" xfId="703" xr:uid="{00000000-0005-0000-0000-000080020000}"/>
    <cellStyle name="Note 2 2 2 15" xfId="704" xr:uid="{00000000-0005-0000-0000-000081020000}"/>
    <cellStyle name="Note 2 2 2 16" xfId="705" xr:uid="{00000000-0005-0000-0000-000082020000}"/>
    <cellStyle name="Note 2 2 2 17" xfId="706" xr:uid="{00000000-0005-0000-0000-000083020000}"/>
    <cellStyle name="Note 2 2 2 18" xfId="707" xr:uid="{00000000-0005-0000-0000-000084020000}"/>
    <cellStyle name="Note 2 2 2 19" xfId="708" xr:uid="{00000000-0005-0000-0000-000085020000}"/>
    <cellStyle name="Note 2 2 2 2" xfId="252" xr:uid="{00000000-0005-0000-0000-000086020000}"/>
    <cellStyle name="Note 2 2 2 2 2" xfId="1071" xr:uid="{00000000-0005-0000-0000-000087020000}"/>
    <cellStyle name="Note 2 2 2 20" xfId="1031" xr:uid="{00000000-0005-0000-0000-000088020000}"/>
    <cellStyle name="Note 2 2 2 3" xfId="333" xr:uid="{00000000-0005-0000-0000-000089020000}"/>
    <cellStyle name="Note 2 2 2 3 2" xfId="1147" xr:uid="{00000000-0005-0000-0000-00008A020000}"/>
    <cellStyle name="Note 2 2 2 4" xfId="334" xr:uid="{00000000-0005-0000-0000-00008B020000}"/>
    <cellStyle name="Note 2 2 2 4 2" xfId="1148" xr:uid="{00000000-0005-0000-0000-00008C020000}"/>
    <cellStyle name="Note 2 2 2 5" xfId="335" xr:uid="{00000000-0005-0000-0000-00008D020000}"/>
    <cellStyle name="Note 2 2 2 5 2" xfId="1149" xr:uid="{00000000-0005-0000-0000-00008E020000}"/>
    <cellStyle name="Note 2 2 2 6" xfId="336" xr:uid="{00000000-0005-0000-0000-00008F020000}"/>
    <cellStyle name="Note 2 2 2 6 2" xfId="1150" xr:uid="{00000000-0005-0000-0000-000090020000}"/>
    <cellStyle name="Note 2 2 2 7" xfId="709" xr:uid="{00000000-0005-0000-0000-000091020000}"/>
    <cellStyle name="Note 2 2 2 8" xfId="710" xr:uid="{00000000-0005-0000-0000-000092020000}"/>
    <cellStyle name="Note 2 2 2 9" xfId="711" xr:uid="{00000000-0005-0000-0000-000093020000}"/>
    <cellStyle name="Note 2 2 20" xfId="712" xr:uid="{00000000-0005-0000-0000-000094020000}"/>
    <cellStyle name="Note 2 2 21" xfId="1011" xr:uid="{00000000-0005-0000-0000-000095020000}"/>
    <cellStyle name="Note 2 2 3" xfId="229" xr:uid="{00000000-0005-0000-0000-000096020000}"/>
    <cellStyle name="Note 2 2 3 2" xfId="1051" xr:uid="{00000000-0005-0000-0000-000097020000}"/>
    <cellStyle name="Note 2 2 4" xfId="337" xr:uid="{00000000-0005-0000-0000-000098020000}"/>
    <cellStyle name="Note 2 2 4 2" xfId="1151" xr:uid="{00000000-0005-0000-0000-000099020000}"/>
    <cellStyle name="Note 2 2 5" xfId="338" xr:uid="{00000000-0005-0000-0000-00009A020000}"/>
    <cellStyle name="Note 2 2 5 2" xfId="1152" xr:uid="{00000000-0005-0000-0000-00009B020000}"/>
    <cellStyle name="Note 2 2 6" xfId="339" xr:uid="{00000000-0005-0000-0000-00009C020000}"/>
    <cellStyle name="Note 2 2 6 2" xfId="1153" xr:uid="{00000000-0005-0000-0000-00009D020000}"/>
    <cellStyle name="Note 2 2 7" xfId="340" xr:uid="{00000000-0005-0000-0000-00009E020000}"/>
    <cellStyle name="Note 2 2 7 2" xfId="1154" xr:uid="{00000000-0005-0000-0000-00009F020000}"/>
    <cellStyle name="Note 2 2 8" xfId="713" xr:uid="{00000000-0005-0000-0000-0000A0020000}"/>
    <cellStyle name="Note 2 2 9" xfId="714" xr:uid="{00000000-0005-0000-0000-0000A1020000}"/>
    <cellStyle name="Note 2 3" xfId="166" xr:uid="{00000000-0005-0000-0000-0000A2020000}"/>
    <cellStyle name="Note 2 3 10" xfId="715" xr:uid="{00000000-0005-0000-0000-0000A3020000}"/>
    <cellStyle name="Note 2 3 11" xfId="716" xr:uid="{00000000-0005-0000-0000-0000A4020000}"/>
    <cellStyle name="Note 2 3 12" xfId="717" xr:uid="{00000000-0005-0000-0000-0000A5020000}"/>
    <cellStyle name="Note 2 3 13" xfId="718" xr:uid="{00000000-0005-0000-0000-0000A6020000}"/>
    <cellStyle name="Note 2 3 14" xfId="719" xr:uid="{00000000-0005-0000-0000-0000A7020000}"/>
    <cellStyle name="Note 2 3 15" xfId="720" xr:uid="{00000000-0005-0000-0000-0000A8020000}"/>
    <cellStyle name="Note 2 3 16" xfId="721" xr:uid="{00000000-0005-0000-0000-0000A9020000}"/>
    <cellStyle name="Note 2 3 17" xfId="722" xr:uid="{00000000-0005-0000-0000-0000AA020000}"/>
    <cellStyle name="Note 2 3 18" xfId="723" xr:uid="{00000000-0005-0000-0000-0000AB020000}"/>
    <cellStyle name="Note 2 3 19" xfId="724" xr:uid="{00000000-0005-0000-0000-0000AC020000}"/>
    <cellStyle name="Note 2 3 2" xfId="198" xr:uid="{00000000-0005-0000-0000-0000AD020000}"/>
    <cellStyle name="Note 2 3 2 10" xfId="725" xr:uid="{00000000-0005-0000-0000-0000AE020000}"/>
    <cellStyle name="Note 2 3 2 11" xfId="726" xr:uid="{00000000-0005-0000-0000-0000AF020000}"/>
    <cellStyle name="Note 2 3 2 12" xfId="727" xr:uid="{00000000-0005-0000-0000-0000B0020000}"/>
    <cellStyle name="Note 2 3 2 13" xfId="728" xr:uid="{00000000-0005-0000-0000-0000B1020000}"/>
    <cellStyle name="Note 2 3 2 14" xfId="729" xr:uid="{00000000-0005-0000-0000-0000B2020000}"/>
    <cellStyle name="Note 2 3 2 15" xfId="730" xr:uid="{00000000-0005-0000-0000-0000B3020000}"/>
    <cellStyle name="Note 2 3 2 16" xfId="731" xr:uid="{00000000-0005-0000-0000-0000B4020000}"/>
    <cellStyle name="Note 2 3 2 17" xfId="732" xr:uid="{00000000-0005-0000-0000-0000B5020000}"/>
    <cellStyle name="Note 2 3 2 18" xfId="733" xr:uid="{00000000-0005-0000-0000-0000B6020000}"/>
    <cellStyle name="Note 2 3 2 19" xfId="734" xr:uid="{00000000-0005-0000-0000-0000B7020000}"/>
    <cellStyle name="Note 2 3 2 2" xfId="253" xr:uid="{00000000-0005-0000-0000-0000B8020000}"/>
    <cellStyle name="Note 2 3 2 2 2" xfId="1072" xr:uid="{00000000-0005-0000-0000-0000B9020000}"/>
    <cellStyle name="Note 2 3 2 20" xfId="1032" xr:uid="{00000000-0005-0000-0000-0000BA020000}"/>
    <cellStyle name="Note 2 3 2 3" xfId="341" xr:uid="{00000000-0005-0000-0000-0000BB020000}"/>
    <cellStyle name="Note 2 3 2 3 2" xfId="1155" xr:uid="{00000000-0005-0000-0000-0000BC020000}"/>
    <cellStyle name="Note 2 3 2 4" xfId="342" xr:uid="{00000000-0005-0000-0000-0000BD020000}"/>
    <cellStyle name="Note 2 3 2 4 2" xfId="1156" xr:uid="{00000000-0005-0000-0000-0000BE020000}"/>
    <cellStyle name="Note 2 3 2 5" xfId="343" xr:uid="{00000000-0005-0000-0000-0000BF020000}"/>
    <cellStyle name="Note 2 3 2 5 2" xfId="1157" xr:uid="{00000000-0005-0000-0000-0000C0020000}"/>
    <cellStyle name="Note 2 3 2 6" xfId="344" xr:uid="{00000000-0005-0000-0000-0000C1020000}"/>
    <cellStyle name="Note 2 3 2 6 2" xfId="1158" xr:uid="{00000000-0005-0000-0000-0000C2020000}"/>
    <cellStyle name="Note 2 3 2 7" xfId="735" xr:uid="{00000000-0005-0000-0000-0000C3020000}"/>
    <cellStyle name="Note 2 3 2 8" xfId="736" xr:uid="{00000000-0005-0000-0000-0000C4020000}"/>
    <cellStyle name="Note 2 3 2 9" xfId="737" xr:uid="{00000000-0005-0000-0000-0000C5020000}"/>
    <cellStyle name="Note 2 3 20" xfId="738" xr:uid="{00000000-0005-0000-0000-0000C6020000}"/>
    <cellStyle name="Note 2 3 21" xfId="1012" xr:uid="{00000000-0005-0000-0000-0000C7020000}"/>
    <cellStyle name="Note 2 3 3" xfId="230" xr:uid="{00000000-0005-0000-0000-0000C8020000}"/>
    <cellStyle name="Note 2 3 3 2" xfId="1052" xr:uid="{00000000-0005-0000-0000-0000C9020000}"/>
    <cellStyle name="Note 2 3 4" xfId="345" xr:uid="{00000000-0005-0000-0000-0000CA020000}"/>
    <cellStyle name="Note 2 3 4 2" xfId="1159" xr:uid="{00000000-0005-0000-0000-0000CB020000}"/>
    <cellStyle name="Note 2 3 5" xfId="346" xr:uid="{00000000-0005-0000-0000-0000CC020000}"/>
    <cellStyle name="Note 2 3 5 2" xfId="1160" xr:uid="{00000000-0005-0000-0000-0000CD020000}"/>
    <cellStyle name="Note 2 3 6" xfId="347" xr:uid="{00000000-0005-0000-0000-0000CE020000}"/>
    <cellStyle name="Note 2 3 6 2" xfId="1161" xr:uid="{00000000-0005-0000-0000-0000CF020000}"/>
    <cellStyle name="Note 2 3 7" xfId="348" xr:uid="{00000000-0005-0000-0000-0000D0020000}"/>
    <cellStyle name="Note 2 3 7 2" xfId="1162" xr:uid="{00000000-0005-0000-0000-0000D1020000}"/>
    <cellStyle name="Note 2 3 8" xfId="739" xr:uid="{00000000-0005-0000-0000-0000D2020000}"/>
    <cellStyle name="Note 2 3 9" xfId="740" xr:uid="{00000000-0005-0000-0000-0000D3020000}"/>
    <cellStyle name="Note 3 2" xfId="167" xr:uid="{00000000-0005-0000-0000-0000D4020000}"/>
    <cellStyle name="Note 3 2 10" xfId="741" xr:uid="{00000000-0005-0000-0000-0000D5020000}"/>
    <cellStyle name="Note 3 2 11" xfId="742" xr:uid="{00000000-0005-0000-0000-0000D6020000}"/>
    <cellStyle name="Note 3 2 12" xfId="743" xr:uid="{00000000-0005-0000-0000-0000D7020000}"/>
    <cellStyle name="Note 3 2 13" xfId="744" xr:uid="{00000000-0005-0000-0000-0000D8020000}"/>
    <cellStyle name="Note 3 2 14" xfId="745" xr:uid="{00000000-0005-0000-0000-0000D9020000}"/>
    <cellStyle name="Note 3 2 15" xfId="746" xr:uid="{00000000-0005-0000-0000-0000DA020000}"/>
    <cellStyle name="Note 3 2 16" xfId="747" xr:uid="{00000000-0005-0000-0000-0000DB020000}"/>
    <cellStyle name="Note 3 2 17" xfId="748" xr:uid="{00000000-0005-0000-0000-0000DC020000}"/>
    <cellStyle name="Note 3 2 18" xfId="749" xr:uid="{00000000-0005-0000-0000-0000DD020000}"/>
    <cellStyle name="Note 3 2 19" xfId="750" xr:uid="{00000000-0005-0000-0000-0000DE020000}"/>
    <cellStyle name="Note 3 2 2" xfId="199" xr:uid="{00000000-0005-0000-0000-0000DF020000}"/>
    <cellStyle name="Note 3 2 2 10" xfId="751" xr:uid="{00000000-0005-0000-0000-0000E0020000}"/>
    <cellStyle name="Note 3 2 2 11" xfId="752" xr:uid="{00000000-0005-0000-0000-0000E1020000}"/>
    <cellStyle name="Note 3 2 2 12" xfId="753" xr:uid="{00000000-0005-0000-0000-0000E2020000}"/>
    <cellStyle name="Note 3 2 2 13" xfId="754" xr:uid="{00000000-0005-0000-0000-0000E3020000}"/>
    <cellStyle name="Note 3 2 2 14" xfId="755" xr:uid="{00000000-0005-0000-0000-0000E4020000}"/>
    <cellStyle name="Note 3 2 2 15" xfId="756" xr:uid="{00000000-0005-0000-0000-0000E5020000}"/>
    <cellStyle name="Note 3 2 2 16" xfId="757" xr:uid="{00000000-0005-0000-0000-0000E6020000}"/>
    <cellStyle name="Note 3 2 2 17" xfId="758" xr:uid="{00000000-0005-0000-0000-0000E7020000}"/>
    <cellStyle name="Note 3 2 2 18" xfId="759" xr:uid="{00000000-0005-0000-0000-0000E8020000}"/>
    <cellStyle name="Note 3 2 2 19" xfId="760" xr:uid="{00000000-0005-0000-0000-0000E9020000}"/>
    <cellStyle name="Note 3 2 2 2" xfId="254" xr:uid="{00000000-0005-0000-0000-0000EA020000}"/>
    <cellStyle name="Note 3 2 2 2 2" xfId="1073" xr:uid="{00000000-0005-0000-0000-0000EB020000}"/>
    <cellStyle name="Note 3 2 2 20" xfId="1033" xr:uid="{00000000-0005-0000-0000-0000EC020000}"/>
    <cellStyle name="Note 3 2 2 3" xfId="349" xr:uid="{00000000-0005-0000-0000-0000ED020000}"/>
    <cellStyle name="Note 3 2 2 3 2" xfId="1163" xr:uid="{00000000-0005-0000-0000-0000EE020000}"/>
    <cellStyle name="Note 3 2 2 4" xfId="350" xr:uid="{00000000-0005-0000-0000-0000EF020000}"/>
    <cellStyle name="Note 3 2 2 4 2" xfId="1164" xr:uid="{00000000-0005-0000-0000-0000F0020000}"/>
    <cellStyle name="Note 3 2 2 5" xfId="351" xr:uid="{00000000-0005-0000-0000-0000F1020000}"/>
    <cellStyle name="Note 3 2 2 5 2" xfId="1165" xr:uid="{00000000-0005-0000-0000-0000F2020000}"/>
    <cellStyle name="Note 3 2 2 6" xfId="352" xr:uid="{00000000-0005-0000-0000-0000F3020000}"/>
    <cellStyle name="Note 3 2 2 6 2" xfId="1166" xr:uid="{00000000-0005-0000-0000-0000F4020000}"/>
    <cellStyle name="Note 3 2 2 7" xfId="761" xr:uid="{00000000-0005-0000-0000-0000F5020000}"/>
    <cellStyle name="Note 3 2 2 8" xfId="762" xr:uid="{00000000-0005-0000-0000-0000F6020000}"/>
    <cellStyle name="Note 3 2 2 9" xfId="763" xr:uid="{00000000-0005-0000-0000-0000F7020000}"/>
    <cellStyle name="Note 3 2 20" xfId="764" xr:uid="{00000000-0005-0000-0000-0000F8020000}"/>
    <cellStyle name="Note 3 2 21" xfId="1013" xr:uid="{00000000-0005-0000-0000-0000F9020000}"/>
    <cellStyle name="Note 3 2 3" xfId="231" xr:uid="{00000000-0005-0000-0000-0000FA020000}"/>
    <cellStyle name="Note 3 2 3 2" xfId="1053" xr:uid="{00000000-0005-0000-0000-0000FB020000}"/>
    <cellStyle name="Note 3 2 4" xfId="353" xr:uid="{00000000-0005-0000-0000-0000FC020000}"/>
    <cellStyle name="Note 3 2 4 2" xfId="1167" xr:uid="{00000000-0005-0000-0000-0000FD020000}"/>
    <cellStyle name="Note 3 2 5" xfId="354" xr:uid="{00000000-0005-0000-0000-0000FE020000}"/>
    <cellStyle name="Note 3 2 5 2" xfId="1168" xr:uid="{00000000-0005-0000-0000-0000FF020000}"/>
    <cellStyle name="Note 3 2 6" xfId="355" xr:uid="{00000000-0005-0000-0000-000000030000}"/>
    <cellStyle name="Note 3 2 6 2" xfId="1169" xr:uid="{00000000-0005-0000-0000-000001030000}"/>
    <cellStyle name="Note 3 2 7" xfId="356" xr:uid="{00000000-0005-0000-0000-000002030000}"/>
    <cellStyle name="Note 3 2 7 2" xfId="1170" xr:uid="{00000000-0005-0000-0000-000003030000}"/>
    <cellStyle name="Note 3 2 8" xfId="765" xr:uid="{00000000-0005-0000-0000-000004030000}"/>
    <cellStyle name="Note 3 2 9" xfId="766" xr:uid="{00000000-0005-0000-0000-000005030000}"/>
    <cellStyle name="Note 3 3" xfId="168" xr:uid="{00000000-0005-0000-0000-000006030000}"/>
    <cellStyle name="Note 3 3 10" xfId="767" xr:uid="{00000000-0005-0000-0000-000007030000}"/>
    <cellStyle name="Note 3 3 11" xfId="768" xr:uid="{00000000-0005-0000-0000-000008030000}"/>
    <cellStyle name="Note 3 3 12" xfId="769" xr:uid="{00000000-0005-0000-0000-000009030000}"/>
    <cellStyle name="Note 3 3 13" xfId="770" xr:uid="{00000000-0005-0000-0000-00000A030000}"/>
    <cellStyle name="Note 3 3 14" xfId="771" xr:uid="{00000000-0005-0000-0000-00000B030000}"/>
    <cellStyle name="Note 3 3 15" xfId="772" xr:uid="{00000000-0005-0000-0000-00000C030000}"/>
    <cellStyle name="Note 3 3 16" xfId="773" xr:uid="{00000000-0005-0000-0000-00000D030000}"/>
    <cellStyle name="Note 3 3 17" xfId="774" xr:uid="{00000000-0005-0000-0000-00000E030000}"/>
    <cellStyle name="Note 3 3 18" xfId="775" xr:uid="{00000000-0005-0000-0000-00000F030000}"/>
    <cellStyle name="Note 3 3 19" xfId="776" xr:uid="{00000000-0005-0000-0000-000010030000}"/>
    <cellStyle name="Note 3 3 2" xfId="200" xr:uid="{00000000-0005-0000-0000-000011030000}"/>
    <cellStyle name="Note 3 3 2 10" xfId="777" xr:uid="{00000000-0005-0000-0000-000012030000}"/>
    <cellStyle name="Note 3 3 2 11" xfId="778" xr:uid="{00000000-0005-0000-0000-000013030000}"/>
    <cellStyle name="Note 3 3 2 12" xfId="779" xr:uid="{00000000-0005-0000-0000-000014030000}"/>
    <cellStyle name="Note 3 3 2 13" xfId="780" xr:uid="{00000000-0005-0000-0000-000015030000}"/>
    <cellStyle name="Note 3 3 2 14" xfId="781" xr:uid="{00000000-0005-0000-0000-000016030000}"/>
    <cellStyle name="Note 3 3 2 15" xfId="782" xr:uid="{00000000-0005-0000-0000-000017030000}"/>
    <cellStyle name="Note 3 3 2 16" xfId="783" xr:uid="{00000000-0005-0000-0000-000018030000}"/>
    <cellStyle name="Note 3 3 2 17" xfId="784" xr:uid="{00000000-0005-0000-0000-000019030000}"/>
    <cellStyle name="Note 3 3 2 18" xfId="785" xr:uid="{00000000-0005-0000-0000-00001A030000}"/>
    <cellStyle name="Note 3 3 2 19" xfId="786" xr:uid="{00000000-0005-0000-0000-00001B030000}"/>
    <cellStyle name="Note 3 3 2 2" xfId="255" xr:uid="{00000000-0005-0000-0000-00001C030000}"/>
    <cellStyle name="Note 3 3 2 2 2" xfId="1074" xr:uid="{00000000-0005-0000-0000-00001D030000}"/>
    <cellStyle name="Note 3 3 2 20" xfId="1034" xr:uid="{00000000-0005-0000-0000-00001E030000}"/>
    <cellStyle name="Note 3 3 2 3" xfId="357" xr:uid="{00000000-0005-0000-0000-00001F030000}"/>
    <cellStyle name="Note 3 3 2 3 2" xfId="1171" xr:uid="{00000000-0005-0000-0000-000020030000}"/>
    <cellStyle name="Note 3 3 2 4" xfId="358" xr:uid="{00000000-0005-0000-0000-000021030000}"/>
    <cellStyle name="Note 3 3 2 4 2" xfId="1172" xr:uid="{00000000-0005-0000-0000-000022030000}"/>
    <cellStyle name="Note 3 3 2 5" xfId="359" xr:uid="{00000000-0005-0000-0000-000023030000}"/>
    <cellStyle name="Note 3 3 2 5 2" xfId="1173" xr:uid="{00000000-0005-0000-0000-000024030000}"/>
    <cellStyle name="Note 3 3 2 6" xfId="360" xr:uid="{00000000-0005-0000-0000-000025030000}"/>
    <cellStyle name="Note 3 3 2 6 2" xfId="1174" xr:uid="{00000000-0005-0000-0000-000026030000}"/>
    <cellStyle name="Note 3 3 2 7" xfId="787" xr:uid="{00000000-0005-0000-0000-000027030000}"/>
    <cellStyle name="Note 3 3 2 8" xfId="788" xr:uid="{00000000-0005-0000-0000-000028030000}"/>
    <cellStyle name="Note 3 3 2 9" xfId="789" xr:uid="{00000000-0005-0000-0000-000029030000}"/>
    <cellStyle name="Note 3 3 20" xfId="790" xr:uid="{00000000-0005-0000-0000-00002A030000}"/>
    <cellStyle name="Note 3 3 21" xfId="1014" xr:uid="{00000000-0005-0000-0000-00002B030000}"/>
    <cellStyle name="Note 3 3 3" xfId="232" xr:uid="{00000000-0005-0000-0000-00002C030000}"/>
    <cellStyle name="Note 3 3 3 2" xfId="1054" xr:uid="{00000000-0005-0000-0000-00002D030000}"/>
    <cellStyle name="Note 3 3 4" xfId="361" xr:uid="{00000000-0005-0000-0000-00002E030000}"/>
    <cellStyle name="Note 3 3 4 2" xfId="1175" xr:uid="{00000000-0005-0000-0000-00002F030000}"/>
    <cellStyle name="Note 3 3 5" xfId="362" xr:uid="{00000000-0005-0000-0000-000030030000}"/>
    <cellStyle name="Note 3 3 5 2" xfId="1176" xr:uid="{00000000-0005-0000-0000-000031030000}"/>
    <cellStyle name="Note 3 3 6" xfId="363" xr:uid="{00000000-0005-0000-0000-000032030000}"/>
    <cellStyle name="Note 3 3 6 2" xfId="1177" xr:uid="{00000000-0005-0000-0000-000033030000}"/>
    <cellStyle name="Note 3 3 7" xfId="364" xr:uid="{00000000-0005-0000-0000-000034030000}"/>
    <cellStyle name="Note 3 3 7 2" xfId="1178" xr:uid="{00000000-0005-0000-0000-000035030000}"/>
    <cellStyle name="Note 3 3 8" xfId="791" xr:uid="{00000000-0005-0000-0000-000036030000}"/>
    <cellStyle name="Note 3 3 9" xfId="792" xr:uid="{00000000-0005-0000-0000-000037030000}"/>
    <cellStyle name="Output 2 2" xfId="169" xr:uid="{00000000-0005-0000-0000-000038030000}"/>
    <cellStyle name="Output 2 2 10" xfId="793" xr:uid="{00000000-0005-0000-0000-000039030000}"/>
    <cellStyle name="Output 2 2 11" xfId="794" xr:uid="{00000000-0005-0000-0000-00003A030000}"/>
    <cellStyle name="Output 2 2 12" xfId="795" xr:uid="{00000000-0005-0000-0000-00003B030000}"/>
    <cellStyle name="Output 2 2 13" xfId="796" xr:uid="{00000000-0005-0000-0000-00003C030000}"/>
    <cellStyle name="Output 2 2 14" xfId="797" xr:uid="{00000000-0005-0000-0000-00003D030000}"/>
    <cellStyle name="Output 2 2 15" xfId="798" xr:uid="{00000000-0005-0000-0000-00003E030000}"/>
    <cellStyle name="Output 2 2 16" xfId="799" xr:uid="{00000000-0005-0000-0000-00003F030000}"/>
    <cellStyle name="Output 2 2 17" xfId="800" xr:uid="{00000000-0005-0000-0000-000040030000}"/>
    <cellStyle name="Output 2 2 18" xfId="801" xr:uid="{00000000-0005-0000-0000-000041030000}"/>
    <cellStyle name="Output 2 2 19" xfId="802" xr:uid="{00000000-0005-0000-0000-000042030000}"/>
    <cellStyle name="Output 2 2 2" xfId="201" xr:uid="{00000000-0005-0000-0000-000043030000}"/>
    <cellStyle name="Output 2 2 2 10" xfId="803" xr:uid="{00000000-0005-0000-0000-000044030000}"/>
    <cellStyle name="Output 2 2 2 11" xfId="804" xr:uid="{00000000-0005-0000-0000-000045030000}"/>
    <cellStyle name="Output 2 2 2 12" xfId="805" xr:uid="{00000000-0005-0000-0000-000046030000}"/>
    <cellStyle name="Output 2 2 2 13" xfId="806" xr:uid="{00000000-0005-0000-0000-000047030000}"/>
    <cellStyle name="Output 2 2 2 14" xfId="807" xr:uid="{00000000-0005-0000-0000-000048030000}"/>
    <cellStyle name="Output 2 2 2 15" xfId="808" xr:uid="{00000000-0005-0000-0000-000049030000}"/>
    <cellStyle name="Output 2 2 2 16" xfId="809" xr:uid="{00000000-0005-0000-0000-00004A030000}"/>
    <cellStyle name="Output 2 2 2 17" xfId="810" xr:uid="{00000000-0005-0000-0000-00004B030000}"/>
    <cellStyle name="Output 2 2 2 18" xfId="811" xr:uid="{00000000-0005-0000-0000-00004C030000}"/>
    <cellStyle name="Output 2 2 2 19" xfId="812" xr:uid="{00000000-0005-0000-0000-00004D030000}"/>
    <cellStyle name="Output 2 2 2 2" xfId="256" xr:uid="{00000000-0005-0000-0000-00004E030000}"/>
    <cellStyle name="Output 2 2 2 2 2" xfId="1075" xr:uid="{00000000-0005-0000-0000-00004F030000}"/>
    <cellStyle name="Output 2 2 2 20" xfId="1035" xr:uid="{00000000-0005-0000-0000-000050030000}"/>
    <cellStyle name="Output 2 2 2 3" xfId="365" xr:uid="{00000000-0005-0000-0000-000051030000}"/>
    <cellStyle name="Output 2 2 2 3 2" xfId="1179" xr:uid="{00000000-0005-0000-0000-000052030000}"/>
    <cellStyle name="Output 2 2 2 4" xfId="366" xr:uid="{00000000-0005-0000-0000-000053030000}"/>
    <cellStyle name="Output 2 2 2 4 2" xfId="1180" xr:uid="{00000000-0005-0000-0000-000054030000}"/>
    <cellStyle name="Output 2 2 2 5" xfId="367" xr:uid="{00000000-0005-0000-0000-000055030000}"/>
    <cellStyle name="Output 2 2 2 5 2" xfId="1181" xr:uid="{00000000-0005-0000-0000-000056030000}"/>
    <cellStyle name="Output 2 2 2 6" xfId="368" xr:uid="{00000000-0005-0000-0000-000057030000}"/>
    <cellStyle name="Output 2 2 2 6 2" xfId="1182" xr:uid="{00000000-0005-0000-0000-000058030000}"/>
    <cellStyle name="Output 2 2 2 7" xfId="813" xr:uid="{00000000-0005-0000-0000-000059030000}"/>
    <cellStyle name="Output 2 2 2 8" xfId="814" xr:uid="{00000000-0005-0000-0000-00005A030000}"/>
    <cellStyle name="Output 2 2 2 9" xfId="815" xr:uid="{00000000-0005-0000-0000-00005B030000}"/>
    <cellStyle name="Output 2 2 20" xfId="816" xr:uid="{00000000-0005-0000-0000-00005C030000}"/>
    <cellStyle name="Output 2 2 21" xfId="1015" xr:uid="{00000000-0005-0000-0000-00005D030000}"/>
    <cellStyle name="Output 2 2 3" xfId="233" xr:uid="{00000000-0005-0000-0000-00005E030000}"/>
    <cellStyle name="Output 2 2 3 2" xfId="1055" xr:uid="{00000000-0005-0000-0000-00005F030000}"/>
    <cellStyle name="Output 2 2 4" xfId="369" xr:uid="{00000000-0005-0000-0000-000060030000}"/>
    <cellStyle name="Output 2 2 4 2" xfId="1183" xr:uid="{00000000-0005-0000-0000-000061030000}"/>
    <cellStyle name="Output 2 2 5" xfId="370" xr:uid="{00000000-0005-0000-0000-000062030000}"/>
    <cellStyle name="Output 2 2 5 2" xfId="1184" xr:uid="{00000000-0005-0000-0000-000063030000}"/>
    <cellStyle name="Output 2 2 6" xfId="371" xr:uid="{00000000-0005-0000-0000-000064030000}"/>
    <cellStyle name="Output 2 2 6 2" xfId="1185" xr:uid="{00000000-0005-0000-0000-000065030000}"/>
    <cellStyle name="Output 2 2 7" xfId="372" xr:uid="{00000000-0005-0000-0000-000066030000}"/>
    <cellStyle name="Output 2 2 7 2" xfId="1186" xr:uid="{00000000-0005-0000-0000-000067030000}"/>
    <cellStyle name="Output 2 2 8" xfId="817" xr:uid="{00000000-0005-0000-0000-000068030000}"/>
    <cellStyle name="Output 2 2 9" xfId="818" xr:uid="{00000000-0005-0000-0000-000069030000}"/>
    <cellStyle name="Output 2 3" xfId="170" xr:uid="{00000000-0005-0000-0000-00006A030000}"/>
    <cellStyle name="Output 2 3 10" xfId="819" xr:uid="{00000000-0005-0000-0000-00006B030000}"/>
    <cellStyle name="Output 2 3 11" xfId="820" xr:uid="{00000000-0005-0000-0000-00006C030000}"/>
    <cellStyle name="Output 2 3 12" xfId="821" xr:uid="{00000000-0005-0000-0000-00006D030000}"/>
    <cellStyle name="Output 2 3 13" xfId="822" xr:uid="{00000000-0005-0000-0000-00006E030000}"/>
    <cellStyle name="Output 2 3 14" xfId="823" xr:uid="{00000000-0005-0000-0000-00006F030000}"/>
    <cellStyle name="Output 2 3 15" xfId="824" xr:uid="{00000000-0005-0000-0000-000070030000}"/>
    <cellStyle name="Output 2 3 16" xfId="825" xr:uid="{00000000-0005-0000-0000-000071030000}"/>
    <cellStyle name="Output 2 3 17" xfId="826" xr:uid="{00000000-0005-0000-0000-000072030000}"/>
    <cellStyle name="Output 2 3 18" xfId="827" xr:uid="{00000000-0005-0000-0000-000073030000}"/>
    <cellStyle name="Output 2 3 19" xfId="828" xr:uid="{00000000-0005-0000-0000-000074030000}"/>
    <cellStyle name="Output 2 3 2" xfId="202" xr:uid="{00000000-0005-0000-0000-000075030000}"/>
    <cellStyle name="Output 2 3 2 10" xfId="829" xr:uid="{00000000-0005-0000-0000-000076030000}"/>
    <cellStyle name="Output 2 3 2 11" xfId="830" xr:uid="{00000000-0005-0000-0000-000077030000}"/>
    <cellStyle name="Output 2 3 2 12" xfId="831" xr:uid="{00000000-0005-0000-0000-000078030000}"/>
    <cellStyle name="Output 2 3 2 13" xfId="832" xr:uid="{00000000-0005-0000-0000-000079030000}"/>
    <cellStyle name="Output 2 3 2 14" xfId="833" xr:uid="{00000000-0005-0000-0000-00007A030000}"/>
    <cellStyle name="Output 2 3 2 15" xfId="834" xr:uid="{00000000-0005-0000-0000-00007B030000}"/>
    <cellStyle name="Output 2 3 2 16" xfId="835" xr:uid="{00000000-0005-0000-0000-00007C030000}"/>
    <cellStyle name="Output 2 3 2 17" xfId="836" xr:uid="{00000000-0005-0000-0000-00007D030000}"/>
    <cellStyle name="Output 2 3 2 18" xfId="837" xr:uid="{00000000-0005-0000-0000-00007E030000}"/>
    <cellStyle name="Output 2 3 2 19" xfId="838" xr:uid="{00000000-0005-0000-0000-00007F030000}"/>
    <cellStyle name="Output 2 3 2 2" xfId="257" xr:uid="{00000000-0005-0000-0000-000080030000}"/>
    <cellStyle name="Output 2 3 2 2 2" xfId="1076" xr:uid="{00000000-0005-0000-0000-000081030000}"/>
    <cellStyle name="Output 2 3 2 20" xfId="1036" xr:uid="{00000000-0005-0000-0000-000082030000}"/>
    <cellStyle name="Output 2 3 2 3" xfId="373" xr:uid="{00000000-0005-0000-0000-000083030000}"/>
    <cellStyle name="Output 2 3 2 3 2" xfId="1187" xr:uid="{00000000-0005-0000-0000-000084030000}"/>
    <cellStyle name="Output 2 3 2 4" xfId="374" xr:uid="{00000000-0005-0000-0000-000085030000}"/>
    <cellStyle name="Output 2 3 2 4 2" xfId="1188" xr:uid="{00000000-0005-0000-0000-000086030000}"/>
    <cellStyle name="Output 2 3 2 5" xfId="375" xr:uid="{00000000-0005-0000-0000-000087030000}"/>
    <cellStyle name="Output 2 3 2 5 2" xfId="1189" xr:uid="{00000000-0005-0000-0000-000088030000}"/>
    <cellStyle name="Output 2 3 2 6" xfId="376" xr:uid="{00000000-0005-0000-0000-000089030000}"/>
    <cellStyle name="Output 2 3 2 6 2" xfId="1190" xr:uid="{00000000-0005-0000-0000-00008A030000}"/>
    <cellStyle name="Output 2 3 2 7" xfId="839" xr:uid="{00000000-0005-0000-0000-00008B030000}"/>
    <cellStyle name="Output 2 3 2 8" xfId="840" xr:uid="{00000000-0005-0000-0000-00008C030000}"/>
    <cellStyle name="Output 2 3 2 9" xfId="841" xr:uid="{00000000-0005-0000-0000-00008D030000}"/>
    <cellStyle name="Output 2 3 20" xfId="842" xr:uid="{00000000-0005-0000-0000-00008E030000}"/>
    <cellStyle name="Output 2 3 21" xfId="1016" xr:uid="{00000000-0005-0000-0000-00008F030000}"/>
    <cellStyle name="Output 2 3 3" xfId="234" xr:uid="{00000000-0005-0000-0000-000090030000}"/>
    <cellStyle name="Output 2 3 3 2" xfId="1056" xr:uid="{00000000-0005-0000-0000-000091030000}"/>
    <cellStyle name="Output 2 3 4" xfId="377" xr:uid="{00000000-0005-0000-0000-000092030000}"/>
    <cellStyle name="Output 2 3 4 2" xfId="1191" xr:uid="{00000000-0005-0000-0000-000093030000}"/>
    <cellStyle name="Output 2 3 5" xfId="378" xr:uid="{00000000-0005-0000-0000-000094030000}"/>
    <cellStyle name="Output 2 3 5 2" xfId="1192" xr:uid="{00000000-0005-0000-0000-000095030000}"/>
    <cellStyle name="Output 2 3 6" xfId="379" xr:uid="{00000000-0005-0000-0000-000096030000}"/>
    <cellStyle name="Output 2 3 6 2" xfId="1193" xr:uid="{00000000-0005-0000-0000-000097030000}"/>
    <cellStyle name="Output 2 3 7" xfId="380" xr:uid="{00000000-0005-0000-0000-000098030000}"/>
    <cellStyle name="Output 2 3 7 2" xfId="1194" xr:uid="{00000000-0005-0000-0000-000099030000}"/>
    <cellStyle name="Output 2 3 8" xfId="843" xr:uid="{00000000-0005-0000-0000-00009A030000}"/>
    <cellStyle name="Output 2 3 9" xfId="844" xr:uid="{00000000-0005-0000-0000-00009B030000}"/>
    <cellStyle name="Output 3 2" xfId="171" xr:uid="{00000000-0005-0000-0000-00009C030000}"/>
    <cellStyle name="Output 3 2 10" xfId="845" xr:uid="{00000000-0005-0000-0000-00009D030000}"/>
    <cellStyle name="Output 3 2 11" xfId="846" xr:uid="{00000000-0005-0000-0000-00009E030000}"/>
    <cellStyle name="Output 3 2 12" xfId="847" xr:uid="{00000000-0005-0000-0000-00009F030000}"/>
    <cellStyle name="Output 3 2 13" xfId="848" xr:uid="{00000000-0005-0000-0000-0000A0030000}"/>
    <cellStyle name="Output 3 2 14" xfId="849" xr:uid="{00000000-0005-0000-0000-0000A1030000}"/>
    <cellStyle name="Output 3 2 15" xfId="850" xr:uid="{00000000-0005-0000-0000-0000A2030000}"/>
    <cellStyle name="Output 3 2 16" xfId="851" xr:uid="{00000000-0005-0000-0000-0000A3030000}"/>
    <cellStyle name="Output 3 2 17" xfId="852" xr:uid="{00000000-0005-0000-0000-0000A4030000}"/>
    <cellStyle name="Output 3 2 18" xfId="853" xr:uid="{00000000-0005-0000-0000-0000A5030000}"/>
    <cellStyle name="Output 3 2 19" xfId="854" xr:uid="{00000000-0005-0000-0000-0000A6030000}"/>
    <cellStyle name="Output 3 2 2" xfId="203" xr:uid="{00000000-0005-0000-0000-0000A7030000}"/>
    <cellStyle name="Output 3 2 2 10" xfId="855" xr:uid="{00000000-0005-0000-0000-0000A8030000}"/>
    <cellStyle name="Output 3 2 2 11" xfId="856" xr:uid="{00000000-0005-0000-0000-0000A9030000}"/>
    <cellStyle name="Output 3 2 2 12" xfId="857" xr:uid="{00000000-0005-0000-0000-0000AA030000}"/>
    <cellStyle name="Output 3 2 2 13" xfId="858" xr:uid="{00000000-0005-0000-0000-0000AB030000}"/>
    <cellStyle name="Output 3 2 2 14" xfId="859" xr:uid="{00000000-0005-0000-0000-0000AC030000}"/>
    <cellStyle name="Output 3 2 2 15" xfId="860" xr:uid="{00000000-0005-0000-0000-0000AD030000}"/>
    <cellStyle name="Output 3 2 2 16" xfId="861" xr:uid="{00000000-0005-0000-0000-0000AE030000}"/>
    <cellStyle name="Output 3 2 2 17" xfId="862" xr:uid="{00000000-0005-0000-0000-0000AF030000}"/>
    <cellStyle name="Output 3 2 2 18" xfId="863" xr:uid="{00000000-0005-0000-0000-0000B0030000}"/>
    <cellStyle name="Output 3 2 2 19" xfId="864" xr:uid="{00000000-0005-0000-0000-0000B1030000}"/>
    <cellStyle name="Output 3 2 2 2" xfId="258" xr:uid="{00000000-0005-0000-0000-0000B2030000}"/>
    <cellStyle name="Output 3 2 2 2 2" xfId="1077" xr:uid="{00000000-0005-0000-0000-0000B3030000}"/>
    <cellStyle name="Output 3 2 2 20" xfId="1037" xr:uid="{00000000-0005-0000-0000-0000B4030000}"/>
    <cellStyle name="Output 3 2 2 3" xfId="381" xr:uid="{00000000-0005-0000-0000-0000B5030000}"/>
    <cellStyle name="Output 3 2 2 3 2" xfId="1195" xr:uid="{00000000-0005-0000-0000-0000B6030000}"/>
    <cellStyle name="Output 3 2 2 4" xfId="382" xr:uid="{00000000-0005-0000-0000-0000B7030000}"/>
    <cellStyle name="Output 3 2 2 4 2" xfId="1196" xr:uid="{00000000-0005-0000-0000-0000B8030000}"/>
    <cellStyle name="Output 3 2 2 5" xfId="383" xr:uid="{00000000-0005-0000-0000-0000B9030000}"/>
    <cellStyle name="Output 3 2 2 5 2" xfId="1197" xr:uid="{00000000-0005-0000-0000-0000BA030000}"/>
    <cellStyle name="Output 3 2 2 6" xfId="384" xr:uid="{00000000-0005-0000-0000-0000BB030000}"/>
    <cellStyle name="Output 3 2 2 6 2" xfId="1198" xr:uid="{00000000-0005-0000-0000-0000BC030000}"/>
    <cellStyle name="Output 3 2 2 7" xfId="865" xr:uid="{00000000-0005-0000-0000-0000BD030000}"/>
    <cellStyle name="Output 3 2 2 8" xfId="866" xr:uid="{00000000-0005-0000-0000-0000BE030000}"/>
    <cellStyle name="Output 3 2 2 9" xfId="867" xr:uid="{00000000-0005-0000-0000-0000BF030000}"/>
    <cellStyle name="Output 3 2 20" xfId="868" xr:uid="{00000000-0005-0000-0000-0000C0030000}"/>
    <cellStyle name="Output 3 2 21" xfId="1017" xr:uid="{00000000-0005-0000-0000-0000C1030000}"/>
    <cellStyle name="Output 3 2 3" xfId="235" xr:uid="{00000000-0005-0000-0000-0000C2030000}"/>
    <cellStyle name="Output 3 2 3 2" xfId="1057" xr:uid="{00000000-0005-0000-0000-0000C3030000}"/>
    <cellStyle name="Output 3 2 4" xfId="385" xr:uid="{00000000-0005-0000-0000-0000C4030000}"/>
    <cellStyle name="Output 3 2 4 2" xfId="1199" xr:uid="{00000000-0005-0000-0000-0000C5030000}"/>
    <cellStyle name="Output 3 2 5" xfId="386" xr:uid="{00000000-0005-0000-0000-0000C6030000}"/>
    <cellStyle name="Output 3 2 5 2" xfId="1200" xr:uid="{00000000-0005-0000-0000-0000C7030000}"/>
    <cellStyle name="Output 3 2 6" xfId="387" xr:uid="{00000000-0005-0000-0000-0000C8030000}"/>
    <cellStyle name="Output 3 2 6 2" xfId="1201" xr:uid="{00000000-0005-0000-0000-0000C9030000}"/>
    <cellStyle name="Output 3 2 7" xfId="388" xr:uid="{00000000-0005-0000-0000-0000CA030000}"/>
    <cellStyle name="Output 3 2 7 2" xfId="1202" xr:uid="{00000000-0005-0000-0000-0000CB030000}"/>
    <cellStyle name="Output 3 2 8" xfId="869" xr:uid="{00000000-0005-0000-0000-0000CC030000}"/>
    <cellStyle name="Output 3 2 9" xfId="870" xr:uid="{00000000-0005-0000-0000-0000CD030000}"/>
    <cellStyle name="Output 3 3" xfId="172" xr:uid="{00000000-0005-0000-0000-0000CE030000}"/>
    <cellStyle name="Output 3 3 10" xfId="871" xr:uid="{00000000-0005-0000-0000-0000CF030000}"/>
    <cellStyle name="Output 3 3 11" xfId="872" xr:uid="{00000000-0005-0000-0000-0000D0030000}"/>
    <cellStyle name="Output 3 3 12" xfId="873" xr:uid="{00000000-0005-0000-0000-0000D1030000}"/>
    <cellStyle name="Output 3 3 13" xfId="874" xr:uid="{00000000-0005-0000-0000-0000D2030000}"/>
    <cellStyle name="Output 3 3 14" xfId="875" xr:uid="{00000000-0005-0000-0000-0000D3030000}"/>
    <cellStyle name="Output 3 3 15" xfId="876" xr:uid="{00000000-0005-0000-0000-0000D4030000}"/>
    <cellStyle name="Output 3 3 16" xfId="877" xr:uid="{00000000-0005-0000-0000-0000D5030000}"/>
    <cellStyle name="Output 3 3 17" xfId="878" xr:uid="{00000000-0005-0000-0000-0000D6030000}"/>
    <cellStyle name="Output 3 3 18" xfId="879" xr:uid="{00000000-0005-0000-0000-0000D7030000}"/>
    <cellStyle name="Output 3 3 19" xfId="880" xr:uid="{00000000-0005-0000-0000-0000D8030000}"/>
    <cellStyle name="Output 3 3 2" xfId="204" xr:uid="{00000000-0005-0000-0000-0000D9030000}"/>
    <cellStyle name="Output 3 3 2 10" xfId="881" xr:uid="{00000000-0005-0000-0000-0000DA030000}"/>
    <cellStyle name="Output 3 3 2 11" xfId="882" xr:uid="{00000000-0005-0000-0000-0000DB030000}"/>
    <cellStyle name="Output 3 3 2 12" xfId="883" xr:uid="{00000000-0005-0000-0000-0000DC030000}"/>
    <cellStyle name="Output 3 3 2 13" xfId="884" xr:uid="{00000000-0005-0000-0000-0000DD030000}"/>
    <cellStyle name="Output 3 3 2 14" xfId="885" xr:uid="{00000000-0005-0000-0000-0000DE030000}"/>
    <cellStyle name="Output 3 3 2 15" xfId="886" xr:uid="{00000000-0005-0000-0000-0000DF030000}"/>
    <cellStyle name="Output 3 3 2 16" xfId="887" xr:uid="{00000000-0005-0000-0000-0000E0030000}"/>
    <cellStyle name="Output 3 3 2 17" xfId="888" xr:uid="{00000000-0005-0000-0000-0000E1030000}"/>
    <cellStyle name="Output 3 3 2 18" xfId="889" xr:uid="{00000000-0005-0000-0000-0000E2030000}"/>
    <cellStyle name="Output 3 3 2 19" xfId="890" xr:uid="{00000000-0005-0000-0000-0000E3030000}"/>
    <cellStyle name="Output 3 3 2 2" xfId="259" xr:uid="{00000000-0005-0000-0000-0000E4030000}"/>
    <cellStyle name="Output 3 3 2 2 2" xfId="1078" xr:uid="{00000000-0005-0000-0000-0000E5030000}"/>
    <cellStyle name="Output 3 3 2 20" xfId="1038" xr:uid="{00000000-0005-0000-0000-0000E6030000}"/>
    <cellStyle name="Output 3 3 2 3" xfId="389" xr:uid="{00000000-0005-0000-0000-0000E7030000}"/>
    <cellStyle name="Output 3 3 2 3 2" xfId="1203" xr:uid="{00000000-0005-0000-0000-0000E8030000}"/>
    <cellStyle name="Output 3 3 2 4" xfId="390" xr:uid="{00000000-0005-0000-0000-0000E9030000}"/>
    <cellStyle name="Output 3 3 2 4 2" xfId="1204" xr:uid="{00000000-0005-0000-0000-0000EA030000}"/>
    <cellStyle name="Output 3 3 2 5" xfId="391" xr:uid="{00000000-0005-0000-0000-0000EB030000}"/>
    <cellStyle name="Output 3 3 2 5 2" xfId="1205" xr:uid="{00000000-0005-0000-0000-0000EC030000}"/>
    <cellStyle name="Output 3 3 2 6" xfId="392" xr:uid="{00000000-0005-0000-0000-0000ED030000}"/>
    <cellStyle name="Output 3 3 2 6 2" xfId="1206" xr:uid="{00000000-0005-0000-0000-0000EE030000}"/>
    <cellStyle name="Output 3 3 2 7" xfId="891" xr:uid="{00000000-0005-0000-0000-0000EF030000}"/>
    <cellStyle name="Output 3 3 2 8" xfId="892" xr:uid="{00000000-0005-0000-0000-0000F0030000}"/>
    <cellStyle name="Output 3 3 2 9" xfId="893" xr:uid="{00000000-0005-0000-0000-0000F1030000}"/>
    <cellStyle name="Output 3 3 20" xfId="894" xr:uid="{00000000-0005-0000-0000-0000F2030000}"/>
    <cellStyle name="Output 3 3 21" xfId="1018" xr:uid="{00000000-0005-0000-0000-0000F3030000}"/>
    <cellStyle name="Output 3 3 3" xfId="236" xr:uid="{00000000-0005-0000-0000-0000F4030000}"/>
    <cellStyle name="Output 3 3 3 2" xfId="1058" xr:uid="{00000000-0005-0000-0000-0000F5030000}"/>
    <cellStyle name="Output 3 3 4" xfId="393" xr:uid="{00000000-0005-0000-0000-0000F6030000}"/>
    <cellStyle name="Output 3 3 4 2" xfId="1207" xr:uid="{00000000-0005-0000-0000-0000F7030000}"/>
    <cellStyle name="Output 3 3 5" xfId="394" xr:uid="{00000000-0005-0000-0000-0000F8030000}"/>
    <cellStyle name="Output 3 3 5 2" xfId="1208" xr:uid="{00000000-0005-0000-0000-0000F9030000}"/>
    <cellStyle name="Output 3 3 6" xfId="395" xr:uid="{00000000-0005-0000-0000-0000FA030000}"/>
    <cellStyle name="Output 3 3 6 2" xfId="1209" xr:uid="{00000000-0005-0000-0000-0000FB030000}"/>
    <cellStyle name="Output 3 3 7" xfId="396" xr:uid="{00000000-0005-0000-0000-0000FC030000}"/>
    <cellStyle name="Output 3 3 7 2" xfId="1210" xr:uid="{00000000-0005-0000-0000-0000FD030000}"/>
    <cellStyle name="Output 3 3 8" xfId="895" xr:uid="{00000000-0005-0000-0000-0000FE030000}"/>
    <cellStyle name="Output 3 3 9" xfId="896" xr:uid="{00000000-0005-0000-0000-0000FF030000}"/>
    <cellStyle name="Percent" xfId="2" builtinId="5"/>
    <cellStyle name="Percent 2" xfId="173" xr:uid="{00000000-0005-0000-0000-000001040000}"/>
    <cellStyle name="Percent 2 2" xfId="209" xr:uid="{00000000-0005-0000-0000-000002040000}"/>
    <cellStyle name="Percent 2 2 2" xfId="897" xr:uid="{00000000-0005-0000-0000-000003040000}"/>
    <cellStyle name="Percent 3" xfId="216" xr:uid="{00000000-0005-0000-0000-000004040000}"/>
    <cellStyle name="Percent 3 2" xfId="174" xr:uid="{00000000-0005-0000-0000-000005040000}"/>
    <cellStyle name="Percent 3 3" xfId="175" xr:uid="{00000000-0005-0000-0000-000006040000}"/>
    <cellStyle name="Percent 3 4" xfId="264" xr:uid="{00000000-0005-0000-0000-000007040000}"/>
    <cellStyle name="Percent 4" xfId="217" xr:uid="{00000000-0005-0000-0000-000008040000}"/>
    <cellStyle name="Percent 5" xfId="218" xr:uid="{00000000-0005-0000-0000-000009040000}"/>
    <cellStyle name="Percent 5 2" xfId="898" xr:uid="{00000000-0005-0000-0000-00000A040000}"/>
    <cellStyle name="Title 2 2" xfId="176" xr:uid="{00000000-0005-0000-0000-00000B040000}"/>
    <cellStyle name="Title 2 3" xfId="177" xr:uid="{00000000-0005-0000-0000-00000C040000}"/>
    <cellStyle name="Title 3 2" xfId="178" xr:uid="{00000000-0005-0000-0000-00000D040000}"/>
    <cellStyle name="Title 3 3" xfId="179" xr:uid="{00000000-0005-0000-0000-00000E040000}"/>
    <cellStyle name="Total 2 2" xfId="180" xr:uid="{00000000-0005-0000-0000-00000F040000}"/>
    <cellStyle name="Total 2 2 10" xfId="899" xr:uid="{00000000-0005-0000-0000-000010040000}"/>
    <cellStyle name="Total 2 2 11" xfId="900" xr:uid="{00000000-0005-0000-0000-000011040000}"/>
    <cellStyle name="Total 2 2 12" xfId="901" xr:uid="{00000000-0005-0000-0000-000012040000}"/>
    <cellStyle name="Total 2 2 13" xfId="902" xr:uid="{00000000-0005-0000-0000-000013040000}"/>
    <cellStyle name="Total 2 2 14" xfId="903" xr:uid="{00000000-0005-0000-0000-000014040000}"/>
    <cellStyle name="Total 2 2 15" xfId="904" xr:uid="{00000000-0005-0000-0000-000015040000}"/>
    <cellStyle name="Total 2 2 16" xfId="905" xr:uid="{00000000-0005-0000-0000-000016040000}"/>
    <cellStyle name="Total 2 2 17" xfId="906" xr:uid="{00000000-0005-0000-0000-000017040000}"/>
    <cellStyle name="Total 2 2 18" xfId="907" xr:uid="{00000000-0005-0000-0000-000018040000}"/>
    <cellStyle name="Total 2 2 19" xfId="908" xr:uid="{00000000-0005-0000-0000-000019040000}"/>
    <cellStyle name="Total 2 2 2" xfId="205" xr:uid="{00000000-0005-0000-0000-00001A040000}"/>
    <cellStyle name="Total 2 2 2 10" xfId="909" xr:uid="{00000000-0005-0000-0000-00001B040000}"/>
    <cellStyle name="Total 2 2 2 11" xfId="910" xr:uid="{00000000-0005-0000-0000-00001C040000}"/>
    <cellStyle name="Total 2 2 2 12" xfId="911" xr:uid="{00000000-0005-0000-0000-00001D040000}"/>
    <cellStyle name="Total 2 2 2 13" xfId="912" xr:uid="{00000000-0005-0000-0000-00001E040000}"/>
    <cellStyle name="Total 2 2 2 14" xfId="913" xr:uid="{00000000-0005-0000-0000-00001F040000}"/>
    <cellStyle name="Total 2 2 2 15" xfId="914" xr:uid="{00000000-0005-0000-0000-000020040000}"/>
    <cellStyle name="Total 2 2 2 16" xfId="915" xr:uid="{00000000-0005-0000-0000-000021040000}"/>
    <cellStyle name="Total 2 2 2 17" xfId="916" xr:uid="{00000000-0005-0000-0000-000022040000}"/>
    <cellStyle name="Total 2 2 2 18" xfId="917" xr:uid="{00000000-0005-0000-0000-000023040000}"/>
    <cellStyle name="Total 2 2 2 19" xfId="918" xr:uid="{00000000-0005-0000-0000-000024040000}"/>
    <cellStyle name="Total 2 2 2 2" xfId="260" xr:uid="{00000000-0005-0000-0000-000025040000}"/>
    <cellStyle name="Total 2 2 2 2 2" xfId="1079" xr:uid="{00000000-0005-0000-0000-000026040000}"/>
    <cellStyle name="Total 2 2 2 20" xfId="1039" xr:uid="{00000000-0005-0000-0000-000027040000}"/>
    <cellStyle name="Total 2 2 2 3" xfId="397" xr:uid="{00000000-0005-0000-0000-000028040000}"/>
    <cellStyle name="Total 2 2 2 3 2" xfId="1211" xr:uid="{00000000-0005-0000-0000-000029040000}"/>
    <cellStyle name="Total 2 2 2 4" xfId="398" xr:uid="{00000000-0005-0000-0000-00002A040000}"/>
    <cellStyle name="Total 2 2 2 4 2" xfId="1212" xr:uid="{00000000-0005-0000-0000-00002B040000}"/>
    <cellStyle name="Total 2 2 2 5" xfId="399" xr:uid="{00000000-0005-0000-0000-00002C040000}"/>
    <cellStyle name="Total 2 2 2 5 2" xfId="1213" xr:uid="{00000000-0005-0000-0000-00002D040000}"/>
    <cellStyle name="Total 2 2 2 6" xfId="400" xr:uid="{00000000-0005-0000-0000-00002E040000}"/>
    <cellStyle name="Total 2 2 2 6 2" xfId="1214" xr:uid="{00000000-0005-0000-0000-00002F040000}"/>
    <cellStyle name="Total 2 2 2 7" xfId="919" xr:uid="{00000000-0005-0000-0000-000030040000}"/>
    <cellStyle name="Total 2 2 2 8" xfId="920" xr:uid="{00000000-0005-0000-0000-000031040000}"/>
    <cellStyle name="Total 2 2 2 9" xfId="921" xr:uid="{00000000-0005-0000-0000-000032040000}"/>
    <cellStyle name="Total 2 2 20" xfId="922" xr:uid="{00000000-0005-0000-0000-000033040000}"/>
    <cellStyle name="Total 2 2 21" xfId="1019" xr:uid="{00000000-0005-0000-0000-000034040000}"/>
    <cellStyle name="Total 2 2 3" xfId="237" xr:uid="{00000000-0005-0000-0000-000035040000}"/>
    <cellStyle name="Total 2 2 3 2" xfId="1059" xr:uid="{00000000-0005-0000-0000-000036040000}"/>
    <cellStyle name="Total 2 2 4" xfId="401" xr:uid="{00000000-0005-0000-0000-000037040000}"/>
    <cellStyle name="Total 2 2 4 2" xfId="1215" xr:uid="{00000000-0005-0000-0000-000038040000}"/>
    <cellStyle name="Total 2 2 5" xfId="402" xr:uid="{00000000-0005-0000-0000-000039040000}"/>
    <cellStyle name="Total 2 2 5 2" xfId="1216" xr:uid="{00000000-0005-0000-0000-00003A040000}"/>
    <cellStyle name="Total 2 2 6" xfId="403" xr:uid="{00000000-0005-0000-0000-00003B040000}"/>
    <cellStyle name="Total 2 2 6 2" xfId="1217" xr:uid="{00000000-0005-0000-0000-00003C040000}"/>
    <cellStyle name="Total 2 2 7" xfId="404" xr:uid="{00000000-0005-0000-0000-00003D040000}"/>
    <cellStyle name="Total 2 2 7 2" xfId="1218" xr:uid="{00000000-0005-0000-0000-00003E040000}"/>
    <cellStyle name="Total 2 2 8" xfId="923" xr:uid="{00000000-0005-0000-0000-00003F040000}"/>
    <cellStyle name="Total 2 2 9" xfId="924" xr:uid="{00000000-0005-0000-0000-000040040000}"/>
    <cellStyle name="Total 2 3" xfId="181" xr:uid="{00000000-0005-0000-0000-000041040000}"/>
    <cellStyle name="Total 2 3 10" xfId="925" xr:uid="{00000000-0005-0000-0000-000042040000}"/>
    <cellStyle name="Total 2 3 11" xfId="926" xr:uid="{00000000-0005-0000-0000-000043040000}"/>
    <cellStyle name="Total 2 3 12" xfId="927" xr:uid="{00000000-0005-0000-0000-000044040000}"/>
    <cellStyle name="Total 2 3 13" xfId="928" xr:uid="{00000000-0005-0000-0000-000045040000}"/>
    <cellStyle name="Total 2 3 14" xfId="929" xr:uid="{00000000-0005-0000-0000-000046040000}"/>
    <cellStyle name="Total 2 3 15" xfId="930" xr:uid="{00000000-0005-0000-0000-000047040000}"/>
    <cellStyle name="Total 2 3 16" xfId="931" xr:uid="{00000000-0005-0000-0000-000048040000}"/>
    <cellStyle name="Total 2 3 17" xfId="932" xr:uid="{00000000-0005-0000-0000-000049040000}"/>
    <cellStyle name="Total 2 3 18" xfId="933" xr:uid="{00000000-0005-0000-0000-00004A040000}"/>
    <cellStyle name="Total 2 3 19" xfId="934" xr:uid="{00000000-0005-0000-0000-00004B040000}"/>
    <cellStyle name="Total 2 3 2" xfId="206" xr:uid="{00000000-0005-0000-0000-00004C040000}"/>
    <cellStyle name="Total 2 3 2 10" xfId="935" xr:uid="{00000000-0005-0000-0000-00004D040000}"/>
    <cellStyle name="Total 2 3 2 11" xfId="936" xr:uid="{00000000-0005-0000-0000-00004E040000}"/>
    <cellStyle name="Total 2 3 2 12" xfId="937" xr:uid="{00000000-0005-0000-0000-00004F040000}"/>
    <cellStyle name="Total 2 3 2 13" xfId="938" xr:uid="{00000000-0005-0000-0000-000050040000}"/>
    <cellStyle name="Total 2 3 2 14" xfId="939" xr:uid="{00000000-0005-0000-0000-000051040000}"/>
    <cellStyle name="Total 2 3 2 15" xfId="940" xr:uid="{00000000-0005-0000-0000-000052040000}"/>
    <cellStyle name="Total 2 3 2 16" xfId="941" xr:uid="{00000000-0005-0000-0000-000053040000}"/>
    <cellStyle name="Total 2 3 2 17" xfId="942" xr:uid="{00000000-0005-0000-0000-000054040000}"/>
    <cellStyle name="Total 2 3 2 18" xfId="943" xr:uid="{00000000-0005-0000-0000-000055040000}"/>
    <cellStyle name="Total 2 3 2 19" xfId="944" xr:uid="{00000000-0005-0000-0000-000056040000}"/>
    <cellStyle name="Total 2 3 2 2" xfId="261" xr:uid="{00000000-0005-0000-0000-000057040000}"/>
    <cellStyle name="Total 2 3 2 2 2" xfId="1080" xr:uid="{00000000-0005-0000-0000-000058040000}"/>
    <cellStyle name="Total 2 3 2 20" xfId="1040" xr:uid="{00000000-0005-0000-0000-000059040000}"/>
    <cellStyle name="Total 2 3 2 3" xfId="405" xr:uid="{00000000-0005-0000-0000-00005A040000}"/>
    <cellStyle name="Total 2 3 2 3 2" xfId="1219" xr:uid="{00000000-0005-0000-0000-00005B040000}"/>
    <cellStyle name="Total 2 3 2 4" xfId="406" xr:uid="{00000000-0005-0000-0000-00005C040000}"/>
    <cellStyle name="Total 2 3 2 4 2" xfId="1220" xr:uid="{00000000-0005-0000-0000-00005D040000}"/>
    <cellStyle name="Total 2 3 2 5" xfId="407" xr:uid="{00000000-0005-0000-0000-00005E040000}"/>
    <cellStyle name="Total 2 3 2 5 2" xfId="1221" xr:uid="{00000000-0005-0000-0000-00005F040000}"/>
    <cellStyle name="Total 2 3 2 6" xfId="408" xr:uid="{00000000-0005-0000-0000-000060040000}"/>
    <cellStyle name="Total 2 3 2 6 2" xfId="1222" xr:uid="{00000000-0005-0000-0000-000061040000}"/>
    <cellStyle name="Total 2 3 2 7" xfId="945" xr:uid="{00000000-0005-0000-0000-000062040000}"/>
    <cellStyle name="Total 2 3 2 8" xfId="946" xr:uid="{00000000-0005-0000-0000-000063040000}"/>
    <cellStyle name="Total 2 3 2 9" xfId="947" xr:uid="{00000000-0005-0000-0000-000064040000}"/>
    <cellStyle name="Total 2 3 20" xfId="948" xr:uid="{00000000-0005-0000-0000-000065040000}"/>
    <cellStyle name="Total 2 3 21" xfId="1020" xr:uid="{00000000-0005-0000-0000-000066040000}"/>
    <cellStyle name="Total 2 3 3" xfId="238" xr:uid="{00000000-0005-0000-0000-000067040000}"/>
    <cellStyle name="Total 2 3 3 2" xfId="1060" xr:uid="{00000000-0005-0000-0000-000068040000}"/>
    <cellStyle name="Total 2 3 4" xfId="409" xr:uid="{00000000-0005-0000-0000-000069040000}"/>
    <cellStyle name="Total 2 3 4 2" xfId="1223" xr:uid="{00000000-0005-0000-0000-00006A040000}"/>
    <cellStyle name="Total 2 3 5" xfId="410" xr:uid="{00000000-0005-0000-0000-00006B040000}"/>
    <cellStyle name="Total 2 3 5 2" xfId="1224" xr:uid="{00000000-0005-0000-0000-00006C040000}"/>
    <cellStyle name="Total 2 3 6" xfId="411" xr:uid="{00000000-0005-0000-0000-00006D040000}"/>
    <cellStyle name="Total 2 3 6 2" xfId="1225" xr:uid="{00000000-0005-0000-0000-00006E040000}"/>
    <cellStyle name="Total 2 3 7" xfId="412" xr:uid="{00000000-0005-0000-0000-00006F040000}"/>
    <cellStyle name="Total 2 3 7 2" xfId="1226" xr:uid="{00000000-0005-0000-0000-000070040000}"/>
    <cellStyle name="Total 2 3 8" xfId="949" xr:uid="{00000000-0005-0000-0000-000071040000}"/>
    <cellStyle name="Total 2 3 9" xfId="950" xr:uid="{00000000-0005-0000-0000-000072040000}"/>
    <cellStyle name="Total 3 2" xfId="182" xr:uid="{00000000-0005-0000-0000-000073040000}"/>
    <cellStyle name="Total 3 2 10" xfId="951" xr:uid="{00000000-0005-0000-0000-000074040000}"/>
    <cellStyle name="Total 3 2 11" xfId="952" xr:uid="{00000000-0005-0000-0000-000075040000}"/>
    <cellStyle name="Total 3 2 12" xfId="953" xr:uid="{00000000-0005-0000-0000-000076040000}"/>
    <cellStyle name="Total 3 2 13" xfId="954" xr:uid="{00000000-0005-0000-0000-000077040000}"/>
    <cellStyle name="Total 3 2 14" xfId="955" xr:uid="{00000000-0005-0000-0000-000078040000}"/>
    <cellStyle name="Total 3 2 15" xfId="956" xr:uid="{00000000-0005-0000-0000-000079040000}"/>
    <cellStyle name="Total 3 2 16" xfId="957" xr:uid="{00000000-0005-0000-0000-00007A040000}"/>
    <cellStyle name="Total 3 2 17" xfId="958" xr:uid="{00000000-0005-0000-0000-00007B040000}"/>
    <cellStyle name="Total 3 2 18" xfId="959" xr:uid="{00000000-0005-0000-0000-00007C040000}"/>
    <cellStyle name="Total 3 2 19" xfId="960" xr:uid="{00000000-0005-0000-0000-00007D040000}"/>
    <cellStyle name="Total 3 2 2" xfId="207" xr:uid="{00000000-0005-0000-0000-00007E040000}"/>
    <cellStyle name="Total 3 2 2 10" xfId="961" xr:uid="{00000000-0005-0000-0000-00007F040000}"/>
    <cellStyle name="Total 3 2 2 11" xfId="962" xr:uid="{00000000-0005-0000-0000-000080040000}"/>
    <cellStyle name="Total 3 2 2 12" xfId="963" xr:uid="{00000000-0005-0000-0000-000081040000}"/>
    <cellStyle name="Total 3 2 2 13" xfId="964" xr:uid="{00000000-0005-0000-0000-000082040000}"/>
    <cellStyle name="Total 3 2 2 14" xfId="965" xr:uid="{00000000-0005-0000-0000-000083040000}"/>
    <cellStyle name="Total 3 2 2 15" xfId="966" xr:uid="{00000000-0005-0000-0000-000084040000}"/>
    <cellStyle name="Total 3 2 2 16" xfId="967" xr:uid="{00000000-0005-0000-0000-000085040000}"/>
    <cellStyle name="Total 3 2 2 17" xfId="968" xr:uid="{00000000-0005-0000-0000-000086040000}"/>
    <cellStyle name="Total 3 2 2 18" xfId="969" xr:uid="{00000000-0005-0000-0000-000087040000}"/>
    <cellStyle name="Total 3 2 2 19" xfId="970" xr:uid="{00000000-0005-0000-0000-000088040000}"/>
    <cellStyle name="Total 3 2 2 2" xfId="262" xr:uid="{00000000-0005-0000-0000-000089040000}"/>
    <cellStyle name="Total 3 2 2 2 2" xfId="1081" xr:uid="{00000000-0005-0000-0000-00008A040000}"/>
    <cellStyle name="Total 3 2 2 20" xfId="1041" xr:uid="{00000000-0005-0000-0000-00008B040000}"/>
    <cellStyle name="Total 3 2 2 3" xfId="413" xr:uid="{00000000-0005-0000-0000-00008C040000}"/>
    <cellStyle name="Total 3 2 2 3 2" xfId="1227" xr:uid="{00000000-0005-0000-0000-00008D040000}"/>
    <cellStyle name="Total 3 2 2 4" xfId="414" xr:uid="{00000000-0005-0000-0000-00008E040000}"/>
    <cellStyle name="Total 3 2 2 4 2" xfId="1228" xr:uid="{00000000-0005-0000-0000-00008F040000}"/>
    <cellStyle name="Total 3 2 2 5" xfId="415" xr:uid="{00000000-0005-0000-0000-000090040000}"/>
    <cellStyle name="Total 3 2 2 5 2" xfId="1229" xr:uid="{00000000-0005-0000-0000-000091040000}"/>
    <cellStyle name="Total 3 2 2 6" xfId="416" xr:uid="{00000000-0005-0000-0000-000092040000}"/>
    <cellStyle name="Total 3 2 2 6 2" xfId="1230" xr:uid="{00000000-0005-0000-0000-000093040000}"/>
    <cellStyle name="Total 3 2 2 7" xfId="971" xr:uid="{00000000-0005-0000-0000-000094040000}"/>
    <cellStyle name="Total 3 2 2 8" xfId="972" xr:uid="{00000000-0005-0000-0000-000095040000}"/>
    <cellStyle name="Total 3 2 2 9" xfId="973" xr:uid="{00000000-0005-0000-0000-000096040000}"/>
    <cellStyle name="Total 3 2 20" xfId="974" xr:uid="{00000000-0005-0000-0000-000097040000}"/>
    <cellStyle name="Total 3 2 21" xfId="1021" xr:uid="{00000000-0005-0000-0000-000098040000}"/>
    <cellStyle name="Total 3 2 3" xfId="239" xr:uid="{00000000-0005-0000-0000-000099040000}"/>
    <cellStyle name="Total 3 2 3 2" xfId="1061" xr:uid="{00000000-0005-0000-0000-00009A040000}"/>
    <cellStyle name="Total 3 2 4" xfId="417" xr:uid="{00000000-0005-0000-0000-00009B040000}"/>
    <cellStyle name="Total 3 2 4 2" xfId="1231" xr:uid="{00000000-0005-0000-0000-00009C040000}"/>
    <cellStyle name="Total 3 2 5" xfId="418" xr:uid="{00000000-0005-0000-0000-00009D040000}"/>
    <cellStyle name="Total 3 2 5 2" xfId="1232" xr:uid="{00000000-0005-0000-0000-00009E040000}"/>
    <cellStyle name="Total 3 2 6" xfId="419" xr:uid="{00000000-0005-0000-0000-00009F040000}"/>
    <cellStyle name="Total 3 2 6 2" xfId="1233" xr:uid="{00000000-0005-0000-0000-0000A0040000}"/>
    <cellStyle name="Total 3 2 7" xfId="420" xr:uid="{00000000-0005-0000-0000-0000A1040000}"/>
    <cellStyle name="Total 3 2 7 2" xfId="1234" xr:uid="{00000000-0005-0000-0000-0000A2040000}"/>
    <cellStyle name="Total 3 2 8" xfId="975" xr:uid="{00000000-0005-0000-0000-0000A3040000}"/>
    <cellStyle name="Total 3 2 9" xfId="976" xr:uid="{00000000-0005-0000-0000-0000A4040000}"/>
    <cellStyle name="Total 3 3" xfId="183" xr:uid="{00000000-0005-0000-0000-0000A5040000}"/>
    <cellStyle name="Total 3 3 10" xfId="977" xr:uid="{00000000-0005-0000-0000-0000A6040000}"/>
    <cellStyle name="Total 3 3 11" xfId="978" xr:uid="{00000000-0005-0000-0000-0000A7040000}"/>
    <cellStyle name="Total 3 3 12" xfId="979" xr:uid="{00000000-0005-0000-0000-0000A8040000}"/>
    <cellStyle name="Total 3 3 13" xfId="980" xr:uid="{00000000-0005-0000-0000-0000A9040000}"/>
    <cellStyle name="Total 3 3 14" xfId="981" xr:uid="{00000000-0005-0000-0000-0000AA040000}"/>
    <cellStyle name="Total 3 3 15" xfId="982" xr:uid="{00000000-0005-0000-0000-0000AB040000}"/>
    <cellStyle name="Total 3 3 16" xfId="983" xr:uid="{00000000-0005-0000-0000-0000AC040000}"/>
    <cellStyle name="Total 3 3 17" xfId="984" xr:uid="{00000000-0005-0000-0000-0000AD040000}"/>
    <cellStyle name="Total 3 3 18" xfId="985" xr:uid="{00000000-0005-0000-0000-0000AE040000}"/>
    <cellStyle name="Total 3 3 19" xfId="986" xr:uid="{00000000-0005-0000-0000-0000AF040000}"/>
    <cellStyle name="Total 3 3 2" xfId="208" xr:uid="{00000000-0005-0000-0000-0000B0040000}"/>
    <cellStyle name="Total 3 3 2 10" xfId="987" xr:uid="{00000000-0005-0000-0000-0000B1040000}"/>
    <cellStyle name="Total 3 3 2 11" xfId="988" xr:uid="{00000000-0005-0000-0000-0000B2040000}"/>
    <cellStyle name="Total 3 3 2 12" xfId="989" xr:uid="{00000000-0005-0000-0000-0000B3040000}"/>
    <cellStyle name="Total 3 3 2 13" xfId="990" xr:uid="{00000000-0005-0000-0000-0000B4040000}"/>
    <cellStyle name="Total 3 3 2 14" xfId="991" xr:uid="{00000000-0005-0000-0000-0000B5040000}"/>
    <cellStyle name="Total 3 3 2 15" xfId="992" xr:uid="{00000000-0005-0000-0000-0000B6040000}"/>
    <cellStyle name="Total 3 3 2 16" xfId="993" xr:uid="{00000000-0005-0000-0000-0000B7040000}"/>
    <cellStyle name="Total 3 3 2 17" xfId="994" xr:uid="{00000000-0005-0000-0000-0000B8040000}"/>
    <cellStyle name="Total 3 3 2 18" xfId="995" xr:uid="{00000000-0005-0000-0000-0000B9040000}"/>
    <cellStyle name="Total 3 3 2 19" xfId="996" xr:uid="{00000000-0005-0000-0000-0000BA040000}"/>
    <cellStyle name="Total 3 3 2 2" xfId="263" xr:uid="{00000000-0005-0000-0000-0000BB040000}"/>
    <cellStyle name="Total 3 3 2 2 2" xfId="1082" xr:uid="{00000000-0005-0000-0000-0000BC040000}"/>
    <cellStyle name="Total 3 3 2 20" xfId="1042" xr:uid="{00000000-0005-0000-0000-0000BD040000}"/>
    <cellStyle name="Total 3 3 2 3" xfId="421" xr:uid="{00000000-0005-0000-0000-0000BE040000}"/>
    <cellStyle name="Total 3 3 2 3 2" xfId="1235" xr:uid="{00000000-0005-0000-0000-0000BF040000}"/>
    <cellStyle name="Total 3 3 2 4" xfId="422" xr:uid="{00000000-0005-0000-0000-0000C0040000}"/>
    <cellStyle name="Total 3 3 2 4 2" xfId="1236" xr:uid="{00000000-0005-0000-0000-0000C1040000}"/>
    <cellStyle name="Total 3 3 2 5" xfId="423" xr:uid="{00000000-0005-0000-0000-0000C2040000}"/>
    <cellStyle name="Total 3 3 2 5 2" xfId="1237" xr:uid="{00000000-0005-0000-0000-0000C3040000}"/>
    <cellStyle name="Total 3 3 2 6" xfId="424" xr:uid="{00000000-0005-0000-0000-0000C4040000}"/>
    <cellStyle name="Total 3 3 2 6 2" xfId="1238" xr:uid="{00000000-0005-0000-0000-0000C5040000}"/>
    <cellStyle name="Total 3 3 2 7" xfId="997" xr:uid="{00000000-0005-0000-0000-0000C6040000}"/>
    <cellStyle name="Total 3 3 2 8" xfId="998" xr:uid="{00000000-0005-0000-0000-0000C7040000}"/>
    <cellStyle name="Total 3 3 2 9" xfId="999" xr:uid="{00000000-0005-0000-0000-0000C8040000}"/>
    <cellStyle name="Total 3 3 20" xfId="1000" xr:uid="{00000000-0005-0000-0000-0000C9040000}"/>
    <cellStyle name="Total 3 3 21" xfId="1022" xr:uid="{00000000-0005-0000-0000-0000CA040000}"/>
    <cellStyle name="Total 3 3 3" xfId="240" xr:uid="{00000000-0005-0000-0000-0000CB040000}"/>
    <cellStyle name="Total 3 3 3 2" xfId="1062" xr:uid="{00000000-0005-0000-0000-0000CC040000}"/>
    <cellStyle name="Total 3 3 4" xfId="425" xr:uid="{00000000-0005-0000-0000-0000CD040000}"/>
    <cellStyle name="Total 3 3 4 2" xfId="1239" xr:uid="{00000000-0005-0000-0000-0000CE040000}"/>
    <cellStyle name="Total 3 3 5" xfId="426" xr:uid="{00000000-0005-0000-0000-0000CF040000}"/>
    <cellStyle name="Total 3 3 5 2" xfId="1240" xr:uid="{00000000-0005-0000-0000-0000D0040000}"/>
    <cellStyle name="Total 3 3 6" xfId="427" xr:uid="{00000000-0005-0000-0000-0000D1040000}"/>
    <cellStyle name="Total 3 3 6 2" xfId="1241" xr:uid="{00000000-0005-0000-0000-0000D2040000}"/>
    <cellStyle name="Total 3 3 7" xfId="428" xr:uid="{00000000-0005-0000-0000-0000D3040000}"/>
    <cellStyle name="Total 3 3 7 2" xfId="1242" xr:uid="{00000000-0005-0000-0000-0000D4040000}"/>
    <cellStyle name="Total 3 3 8" xfId="1001" xr:uid="{00000000-0005-0000-0000-0000D5040000}"/>
    <cellStyle name="Total 3 3 9" xfId="1002" xr:uid="{00000000-0005-0000-0000-0000D6040000}"/>
    <cellStyle name="Warning Text 2 2" xfId="184" xr:uid="{00000000-0005-0000-0000-0000D7040000}"/>
    <cellStyle name="Warning Text 2 3" xfId="185" xr:uid="{00000000-0005-0000-0000-0000D8040000}"/>
    <cellStyle name="Warning Text 3 2" xfId="186" xr:uid="{00000000-0005-0000-0000-0000D9040000}"/>
    <cellStyle name="Warning Text 3 3" xfId="187" xr:uid="{00000000-0005-0000-0000-0000DA040000}"/>
  </cellStyles>
  <dxfs count="0"/>
  <tableStyles count="0" defaultTableStyle="TableStyleMedium9" defaultPivotStyle="PivotStyleLight16"/>
  <colors>
    <mruColors>
      <color rgb="FFFF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ankbazaar.com/tax/corporate-tax.html" TargetMode="External"/><Relationship Id="rId3" Type="http://schemas.openxmlformats.org/officeDocument/2006/relationships/hyperlink" Target="http://rerc.rajasthan.gov.in/TariffOrders/Order216.pdf" TargetMode="External"/><Relationship Id="rId7" Type="http://schemas.openxmlformats.org/officeDocument/2006/relationships/hyperlink" Target="https://taxguru.in/income-tax/education-cess-increased-3-4-health-education-cess-fy201819-effect-taxpayers-tax-liability.html" TargetMode="External"/><Relationship Id="rId2" Type="http://schemas.openxmlformats.org/officeDocument/2006/relationships/hyperlink" Target="http://www.rerc.rajasthan.gov.in/Regulations/Reg%2076.pdf" TargetMode="External"/><Relationship Id="rId1" Type="http://schemas.openxmlformats.org/officeDocument/2006/relationships/hyperlink" Target="http://www.taxafin.com/Income_Tax/Tax_Rates/Depreciation_Rates.html" TargetMode="External"/><Relationship Id="rId6" Type="http://schemas.openxmlformats.org/officeDocument/2006/relationships/hyperlink" Target="https://taxguru.in/income-tax/income-tax-slabs-ay-201819-fy-201718.html" TargetMode="External"/><Relationship Id="rId5" Type="http://schemas.openxmlformats.org/officeDocument/2006/relationships/hyperlink" Target="https://www.indiabudget.gov.in/budget2017-2018/ub2017-18/fb/bill.pdf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www.indiabudget.gov.in/budget2017-2018/ub2017-18/fb/bill.pdf" TargetMode="External"/><Relationship Id="rId9" Type="http://schemas.openxmlformats.org/officeDocument/2006/relationships/hyperlink" Target="http://rerc.rajasthan.gov.in/TariffOrders/errorP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dm.unfccc.int/methodologies/PAmethodologies/tools/am-tool-27-v9.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24"/>
  <sheetViews>
    <sheetView showGridLines="0" zoomScale="87" zoomScaleNormal="87" workbookViewId="0">
      <selection activeCell="H9" sqref="H9"/>
    </sheetView>
  </sheetViews>
  <sheetFormatPr defaultRowHeight="14.4" x14ac:dyDescent="0.3"/>
  <cols>
    <col min="1" max="1" width="3.33203125" style="1" customWidth="1"/>
    <col min="2" max="2" width="42.5546875" style="1" bestFit="1" customWidth="1"/>
    <col min="3" max="3" width="14.109375" style="1" customWidth="1"/>
    <col min="4" max="4" width="13.6640625" style="1" customWidth="1"/>
    <col min="5" max="5" width="15" style="1" customWidth="1"/>
    <col min="6" max="6" width="5.109375" style="1" customWidth="1"/>
    <col min="7" max="7" width="7.5546875" style="2" bestFit="1" customWidth="1"/>
    <col min="8" max="8" width="16.44140625" style="1" bestFit="1" customWidth="1"/>
    <col min="9" max="9" width="42.5546875" style="1" bestFit="1" customWidth="1"/>
    <col min="10" max="10" width="13.6640625" style="1" bestFit="1" customWidth="1"/>
    <col min="11" max="11" width="13.5546875" style="1" bestFit="1" customWidth="1"/>
    <col min="12" max="12" width="9.109375" style="1"/>
    <col min="13" max="13" width="16.6640625" style="1" bestFit="1" customWidth="1"/>
    <col min="14" max="14" width="18.44140625" style="1" bestFit="1" customWidth="1"/>
    <col min="15" max="246" width="9.109375" style="1"/>
    <col min="247" max="247" width="6" style="1" customWidth="1"/>
    <col min="248" max="251" width="9.109375" style="1"/>
    <col min="252" max="252" width="13.44140625" style="1" customWidth="1"/>
    <col min="253" max="253" width="9.109375" style="1"/>
    <col min="254" max="254" width="11.33203125" style="1" customWidth="1"/>
    <col min="255" max="255" width="13.44140625" style="1" customWidth="1"/>
    <col min="256" max="256" width="9.109375" style="1" customWidth="1"/>
    <col min="257" max="257" width="11.33203125" style="1" customWidth="1"/>
    <col min="258" max="260" width="9.109375" style="1" customWidth="1"/>
    <col min="261" max="502" width="9.109375" style="1"/>
    <col min="503" max="503" width="6" style="1" customWidth="1"/>
    <col min="504" max="507" width="9.109375" style="1"/>
    <col min="508" max="508" width="13.44140625" style="1" customWidth="1"/>
    <col min="509" max="509" width="9.109375" style="1"/>
    <col min="510" max="510" width="11.33203125" style="1" customWidth="1"/>
    <col min="511" max="511" width="13.44140625" style="1" customWidth="1"/>
    <col min="512" max="512" width="9.109375" style="1" customWidth="1"/>
    <col min="513" max="513" width="11.33203125" style="1" customWidth="1"/>
    <col min="514" max="516" width="9.109375" style="1" customWidth="1"/>
    <col min="517" max="758" width="9.109375" style="1"/>
    <col min="759" max="759" width="6" style="1" customWidth="1"/>
    <col min="760" max="763" width="9.109375" style="1"/>
    <col min="764" max="764" width="13.44140625" style="1" customWidth="1"/>
    <col min="765" max="765" width="9.109375" style="1"/>
    <col min="766" max="766" width="11.33203125" style="1" customWidth="1"/>
    <col min="767" max="767" width="13.44140625" style="1" customWidth="1"/>
    <col min="768" max="768" width="9.109375" style="1" customWidth="1"/>
    <col min="769" max="769" width="11.33203125" style="1" customWidth="1"/>
    <col min="770" max="772" width="9.109375" style="1" customWidth="1"/>
    <col min="773" max="1014" width="9.109375" style="1"/>
    <col min="1015" max="1015" width="6" style="1" customWidth="1"/>
    <col min="1016" max="1019" width="9.109375" style="1"/>
    <col min="1020" max="1020" width="13.44140625" style="1" customWidth="1"/>
    <col min="1021" max="1021" width="9.109375" style="1"/>
    <col min="1022" max="1022" width="11.33203125" style="1" customWidth="1"/>
    <col min="1023" max="1023" width="13.44140625" style="1" customWidth="1"/>
    <col min="1024" max="1024" width="9.109375" style="1" customWidth="1"/>
    <col min="1025" max="1025" width="11.33203125" style="1" customWidth="1"/>
    <col min="1026" max="1028" width="9.109375" style="1" customWidth="1"/>
    <col min="1029" max="1270" width="9.109375" style="1"/>
    <col min="1271" max="1271" width="6" style="1" customWidth="1"/>
    <col min="1272" max="1275" width="9.109375" style="1"/>
    <col min="1276" max="1276" width="13.44140625" style="1" customWidth="1"/>
    <col min="1277" max="1277" width="9.109375" style="1"/>
    <col min="1278" max="1278" width="11.33203125" style="1" customWidth="1"/>
    <col min="1279" max="1279" width="13.44140625" style="1" customWidth="1"/>
    <col min="1280" max="1280" width="9.109375" style="1" customWidth="1"/>
    <col min="1281" max="1281" width="11.33203125" style="1" customWidth="1"/>
    <col min="1282" max="1284" width="9.109375" style="1" customWidth="1"/>
    <col min="1285" max="1526" width="9.109375" style="1"/>
    <col min="1527" max="1527" width="6" style="1" customWidth="1"/>
    <col min="1528" max="1531" width="9.109375" style="1"/>
    <col min="1532" max="1532" width="13.44140625" style="1" customWidth="1"/>
    <col min="1533" max="1533" width="9.109375" style="1"/>
    <col min="1534" max="1534" width="11.33203125" style="1" customWidth="1"/>
    <col min="1535" max="1535" width="13.44140625" style="1" customWidth="1"/>
    <col min="1536" max="1536" width="9.109375" style="1" customWidth="1"/>
    <col min="1537" max="1537" width="11.33203125" style="1" customWidth="1"/>
    <col min="1538" max="1540" width="9.109375" style="1" customWidth="1"/>
    <col min="1541" max="1782" width="9.109375" style="1"/>
    <col min="1783" max="1783" width="6" style="1" customWidth="1"/>
    <col min="1784" max="1787" width="9.109375" style="1"/>
    <col min="1788" max="1788" width="13.44140625" style="1" customWidth="1"/>
    <col min="1789" max="1789" width="9.109375" style="1"/>
    <col min="1790" max="1790" width="11.33203125" style="1" customWidth="1"/>
    <col min="1791" max="1791" width="13.44140625" style="1" customWidth="1"/>
    <col min="1792" max="1792" width="9.109375" style="1" customWidth="1"/>
    <col min="1793" max="1793" width="11.33203125" style="1" customWidth="1"/>
    <col min="1794" max="1796" width="9.109375" style="1" customWidth="1"/>
    <col min="1797" max="2038" width="9.109375" style="1"/>
    <col min="2039" max="2039" width="6" style="1" customWidth="1"/>
    <col min="2040" max="2043" width="9.109375" style="1"/>
    <col min="2044" max="2044" width="13.44140625" style="1" customWidth="1"/>
    <col min="2045" max="2045" width="9.109375" style="1"/>
    <col min="2046" max="2046" width="11.33203125" style="1" customWidth="1"/>
    <col min="2047" max="2047" width="13.44140625" style="1" customWidth="1"/>
    <col min="2048" max="2048" width="9.109375" style="1" customWidth="1"/>
    <col min="2049" max="2049" width="11.33203125" style="1" customWidth="1"/>
    <col min="2050" max="2052" width="9.109375" style="1" customWidth="1"/>
    <col min="2053" max="2294" width="9.109375" style="1"/>
    <col min="2295" max="2295" width="6" style="1" customWidth="1"/>
    <col min="2296" max="2299" width="9.109375" style="1"/>
    <col min="2300" max="2300" width="13.44140625" style="1" customWidth="1"/>
    <col min="2301" max="2301" width="9.109375" style="1"/>
    <col min="2302" max="2302" width="11.33203125" style="1" customWidth="1"/>
    <col min="2303" max="2303" width="13.44140625" style="1" customWidth="1"/>
    <col min="2304" max="2304" width="9.109375" style="1" customWidth="1"/>
    <col min="2305" max="2305" width="11.33203125" style="1" customWidth="1"/>
    <col min="2306" max="2308" width="9.109375" style="1" customWidth="1"/>
    <col min="2309" max="2550" width="9.109375" style="1"/>
    <col min="2551" max="2551" width="6" style="1" customWidth="1"/>
    <col min="2552" max="2555" width="9.109375" style="1"/>
    <col min="2556" max="2556" width="13.44140625" style="1" customWidth="1"/>
    <col min="2557" max="2557" width="9.109375" style="1"/>
    <col min="2558" max="2558" width="11.33203125" style="1" customWidth="1"/>
    <col min="2559" max="2559" width="13.44140625" style="1" customWidth="1"/>
    <col min="2560" max="2560" width="9.109375" style="1" customWidth="1"/>
    <col min="2561" max="2561" width="11.33203125" style="1" customWidth="1"/>
    <col min="2562" max="2564" width="9.109375" style="1" customWidth="1"/>
    <col min="2565" max="2806" width="9.109375" style="1"/>
    <col min="2807" max="2807" width="6" style="1" customWidth="1"/>
    <col min="2808" max="2811" width="9.109375" style="1"/>
    <col min="2812" max="2812" width="13.44140625" style="1" customWidth="1"/>
    <col min="2813" max="2813" width="9.109375" style="1"/>
    <col min="2814" max="2814" width="11.33203125" style="1" customWidth="1"/>
    <col min="2815" max="2815" width="13.44140625" style="1" customWidth="1"/>
    <col min="2816" max="2816" width="9.109375" style="1" customWidth="1"/>
    <col min="2817" max="2817" width="11.33203125" style="1" customWidth="1"/>
    <col min="2818" max="2820" width="9.109375" style="1" customWidth="1"/>
    <col min="2821" max="3062" width="9.109375" style="1"/>
    <col min="3063" max="3063" width="6" style="1" customWidth="1"/>
    <col min="3064" max="3067" width="9.109375" style="1"/>
    <col min="3068" max="3068" width="13.44140625" style="1" customWidth="1"/>
    <col min="3069" max="3069" width="9.109375" style="1"/>
    <col min="3070" max="3070" width="11.33203125" style="1" customWidth="1"/>
    <col min="3071" max="3071" width="13.44140625" style="1" customWidth="1"/>
    <col min="3072" max="3072" width="9.109375" style="1" customWidth="1"/>
    <col min="3073" max="3073" width="11.33203125" style="1" customWidth="1"/>
    <col min="3074" max="3076" width="9.109375" style="1" customWidth="1"/>
    <col min="3077" max="3318" width="9.109375" style="1"/>
    <col min="3319" max="3319" width="6" style="1" customWidth="1"/>
    <col min="3320" max="3323" width="9.109375" style="1"/>
    <col min="3324" max="3324" width="13.44140625" style="1" customWidth="1"/>
    <col min="3325" max="3325" width="9.109375" style="1"/>
    <col min="3326" max="3326" width="11.33203125" style="1" customWidth="1"/>
    <col min="3327" max="3327" width="13.44140625" style="1" customWidth="1"/>
    <col min="3328" max="3328" width="9.109375" style="1" customWidth="1"/>
    <col min="3329" max="3329" width="11.33203125" style="1" customWidth="1"/>
    <col min="3330" max="3332" width="9.109375" style="1" customWidth="1"/>
    <col min="3333" max="3574" width="9.109375" style="1"/>
    <col min="3575" max="3575" width="6" style="1" customWidth="1"/>
    <col min="3576" max="3579" width="9.109375" style="1"/>
    <col min="3580" max="3580" width="13.44140625" style="1" customWidth="1"/>
    <col min="3581" max="3581" width="9.109375" style="1"/>
    <col min="3582" max="3582" width="11.33203125" style="1" customWidth="1"/>
    <col min="3583" max="3583" width="13.44140625" style="1" customWidth="1"/>
    <col min="3584" max="3584" width="9.109375" style="1" customWidth="1"/>
    <col min="3585" max="3585" width="11.33203125" style="1" customWidth="1"/>
    <col min="3586" max="3588" width="9.109375" style="1" customWidth="1"/>
    <col min="3589" max="3830" width="9.109375" style="1"/>
    <col min="3831" max="3831" width="6" style="1" customWidth="1"/>
    <col min="3832" max="3835" width="9.109375" style="1"/>
    <col min="3836" max="3836" width="13.44140625" style="1" customWidth="1"/>
    <col min="3837" max="3837" width="9.109375" style="1"/>
    <col min="3838" max="3838" width="11.33203125" style="1" customWidth="1"/>
    <col min="3839" max="3839" width="13.44140625" style="1" customWidth="1"/>
    <col min="3840" max="3840" width="9.109375" style="1" customWidth="1"/>
    <col min="3841" max="3841" width="11.33203125" style="1" customWidth="1"/>
    <col min="3842" max="3844" width="9.109375" style="1" customWidth="1"/>
    <col min="3845" max="4086" width="9.109375" style="1"/>
    <col min="4087" max="4087" width="6" style="1" customWidth="1"/>
    <col min="4088" max="4091" width="9.109375" style="1"/>
    <col min="4092" max="4092" width="13.44140625" style="1" customWidth="1"/>
    <col min="4093" max="4093" width="9.109375" style="1"/>
    <col min="4094" max="4094" width="11.33203125" style="1" customWidth="1"/>
    <col min="4095" max="4095" width="13.44140625" style="1" customWidth="1"/>
    <col min="4096" max="4096" width="9.109375" style="1" customWidth="1"/>
    <col min="4097" max="4097" width="11.33203125" style="1" customWidth="1"/>
    <col min="4098" max="4100" width="9.109375" style="1" customWidth="1"/>
    <col min="4101" max="4342" width="9.109375" style="1"/>
    <col min="4343" max="4343" width="6" style="1" customWidth="1"/>
    <col min="4344" max="4347" width="9.109375" style="1"/>
    <col min="4348" max="4348" width="13.44140625" style="1" customWidth="1"/>
    <col min="4349" max="4349" width="9.109375" style="1"/>
    <col min="4350" max="4350" width="11.33203125" style="1" customWidth="1"/>
    <col min="4351" max="4351" width="13.44140625" style="1" customWidth="1"/>
    <col min="4352" max="4352" width="9.109375" style="1" customWidth="1"/>
    <col min="4353" max="4353" width="11.33203125" style="1" customWidth="1"/>
    <col min="4354" max="4356" width="9.109375" style="1" customWidth="1"/>
    <col min="4357" max="4598" width="9.109375" style="1"/>
    <col min="4599" max="4599" width="6" style="1" customWidth="1"/>
    <col min="4600" max="4603" width="9.109375" style="1"/>
    <col min="4604" max="4604" width="13.44140625" style="1" customWidth="1"/>
    <col min="4605" max="4605" width="9.109375" style="1"/>
    <col min="4606" max="4606" width="11.33203125" style="1" customWidth="1"/>
    <col min="4607" max="4607" width="13.44140625" style="1" customWidth="1"/>
    <col min="4608" max="4608" width="9.109375" style="1" customWidth="1"/>
    <col min="4609" max="4609" width="11.33203125" style="1" customWidth="1"/>
    <col min="4610" max="4612" width="9.109375" style="1" customWidth="1"/>
    <col min="4613" max="4854" width="9.109375" style="1"/>
    <col min="4855" max="4855" width="6" style="1" customWidth="1"/>
    <col min="4856" max="4859" width="9.109375" style="1"/>
    <col min="4860" max="4860" width="13.44140625" style="1" customWidth="1"/>
    <col min="4861" max="4861" width="9.109375" style="1"/>
    <col min="4862" max="4862" width="11.33203125" style="1" customWidth="1"/>
    <col min="4863" max="4863" width="13.44140625" style="1" customWidth="1"/>
    <col min="4864" max="4864" width="9.109375" style="1" customWidth="1"/>
    <col min="4865" max="4865" width="11.33203125" style="1" customWidth="1"/>
    <col min="4866" max="4868" width="9.109375" style="1" customWidth="1"/>
    <col min="4869" max="5110" width="9.109375" style="1"/>
    <col min="5111" max="5111" width="6" style="1" customWidth="1"/>
    <col min="5112" max="5115" width="9.109375" style="1"/>
    <col min="5116" max="5116" width="13.44140625" style="1" customWidth="1"/>
    <col min="5117" max="5117" width="9.109375" style="1"/>
    <col min="5118" max="5118" width="11.33203125" style="1" customWidth="1"/>
    <col min="5119" max="5119" width="13.44140625" style="1" customWidth="1"/>
    <col min="5120" max="5120" width="9.109375" style="1" customWidth="1"/>
    <col min="5121" max="5121" width="11.33203125" style="1" customWidth="1"/>
    <col min="5122" max="5124" width="9.109375" style="1" customWidth="1"/>
    <col min="5125" max="5366" width="9.109375" style="1"/>
    <col min="5367" max="5367" width="6" style="1" customWidth="1"/>
    <col min="5368" max="5371" width="9.109375" style="1"/>
    <col min="5372" max="5372" width="13.44140625" style="1" customWidth="1"/>
    <col min="5373" max="5373" width="9.109375" style="1"/>
    <col min="5374" max="5374" width="11.33203125" style="1" customWidth="1"/>
    <col min="5375" max="5375" width="13.44140625" style="1" customWidth="1"/>
    <col min="5376" max="5376" width="9.109375" style="1" customWidth="1"/>
    <col min="5377" max="5377" width="11.33203125" style="1" customWidth="1"/>
    <col min="5378" max="5380" width="9.109375" style="1" customWidth="1"/>
    <col min="5381" max="5622" width="9.109375" style="1"/>
    <col min="5623" max="5623" width="6" style="1" customWidth="1"/>
    <col min="5624" max="5627" width="9.109375" style="1"/>
    <col min="5628" max="5628" width="13.44140625" style="1" customWidth="1"/>
    <col min="5629" max="5629" width="9.109375" style="1"/>
    <col min="5630" max="5630" width="11.33203125" style="1" customWidth="1"/>
    <col min="5631" max="5631" width="13.44140625" style="1" customWidth="1"/>
    <col min="5632" max="5632" width="9.109375" style="1" customWidth="1"/>
    <col min="5633" max="5633" width="11.33203125" style="1" customWidth="1"/>
    <col min="5634" max="5636" width="9.109375" style="1" customWidth="1"/>
    <col min="5637" max="5878" width="9.109375" style="1"/>
    <col min="5879" max="5879" width="6" style="1" customWidth="1"/>
    <col min="5880" max="5883" width="9.109375" style="1"/>
    <col min="5884" max="5884" width="13.44140625" style="1" customWidth="1"/>
    <col min="5885" max="5885" width="9.109375" style="1"/>
    <col min="5886" max="5886" width="11.33203125" style="1" customWidth="1"/>
    <col min="5887" max="5887" width="13.44140625" style="1" customWidth="1"/>
    <col min="5888" max="5888" width="9.109375" style="1" customWidth="1"/>
    <col min="5889" max="5889" width="11.33203125" style="1" customWidth="1"/>
    <col min="5890" max="5892" width="9.109375" style="1" customWidth="1"/>
    <col min="5893" max="6134" width="9.109375" style="1"/>
    <col min="6135" max="6135" width="6" style="1" customWidth="1"/>
    <col min="6136" max="6139" width="9.109375" style="1"/>
    <col min="6140" max="6140" width="13.44140625" style="1" customWidth="1"/>
    <col min="6141" max="6141" width="9.109375" style="1"/>
    <col min="6142" max="6142" width="11.33203125" style="1" customWidth="1"/>
    <col min="6143" max="6143" width="13.44140625" style="1" customWidth="1"/>
    <col min="6144" max="6144" width="9.109375" style="1" customWidth="1"/>
    <col min="6145" max="6145" width="11.33203125" style="1" customWidth="1"/>
    <col min="6146" max="6148" width="9.109375" style="1" customWidth="1"/>
    <col min="6149" max="6390" width="9.109375" style="1"/>
    <col min="6391" max="6391" width="6" style="1" customWidth="1"/>
    <col min="6392" max="6395" width="9.109375" style="1"/>
    <col min="6396" max="6396" width="13.44140625" style="1" customWidth="1"/>
    <col min="6397" max="6397" width="9.109375" style="1"/>
    <col min="6398" max="6398" width="11.33203125" style="1" customWidth="1"/>
    <col min="6399" max="6399" width="13.44140625" style="1" customWidth="1"/>
    <col min="6400" max="6400" width="9.109375" style="1" customWidth="1"/>
    <col min="6401" max="6401" width="11.33203125" style="1" customWidth="1"/>
    <col min="6402" max="6404" width="9.109375" style="1" customWidth="1"/>
    <col min="6405" max="6646" width="9.109375" style="1"/>
    <col min="6647" max="6647" width="6" style="1" customWidth="1"/>
    <col min="6648" max="6651" width="9.109375" style="1"/>
    <col min="6652" max="6652" width="13.44140625" style="1" customWidth="1"/>
    <col min="6653" max="6653" width="9.109375" style="1"/>
    <col min="6654" max="6654" width="11.33203125" style="1" customWidth="1"/>
    <col min="6655" max="6655" width="13.44140625" style="1" customWidth="1"/>
    <col min="6656" max="6656" width="9.109375" style="1" customWidth="1"/>
    <col min="6657" max="6657" width="11.33203125" style="1" customWidth="1"/>
    <col min="6658" max="6660" width="9.109375" style="1" customWidth="1"/>
    <col min="6661" max="6902" width="9.109375" style="1"/>
    <col min="6903" max="6903" width="6" style="1" customWidth="1"/>
    <col min="6904" max="6907" width="9.109375" style="1"/>
    <col min="6908" max="6908" width="13.44140625" style="1" customWidth="1"/>
    <col min="6909" max="6909" width="9.109375" style="1"/>
    <col min="6910" max="6910" width="11.33203125" style="1" customWidth="1"/>
    <col min="6911" max="6911" width="13.44140625" style="1" customWidth="1"/>
    <col min="6912" max="6912" width="9.109375" style="1" customWidth="1"/>
    <col min="6913" max="6913" width="11.33203125" style="1" customWidth="1"/>
    <col min="6914" max="6916" width="9.109375" style="1" customWidth="1"/>
    <col min="6917" max="7158" width="9.109375" style="1"/>
    <col min="7159" max="7159" width="6" style="1" customWidth="1"/>
    <col min="7160" max="7163" width="9.109375" style="1"/>
    <col min="7164" max="7164" width="13.44140625" style="1" customWidth="1"/>
    <col min="7165" max="7165" width="9.109375" style="1"/>
    <col min="7166" max="7166" width="11.33203125" style="1" customWidth="1"/>
    <col min="7167" max="7167" width="13.44140625" style="1" customWidth="1"/>
    <col min="7168" max="7168" width="9.109375" style="1" customWidth="1"/>
    <col min="7169" max="7169" width="11.33203125" style="1" customWidth="1"/>
    <col min="7170" max="7172" width="9.109375" style="1" customWidth="1"/>
    <col min="7173" max="7414" width="9.109375" style="1"/>
    <col min="7415" max="7415" width="6" style="1" customWidth="1"/>
    <col min="7416" max="7419" width="9.109375" style="1"/>
    <col min="7420" max="7420" width="13.44140625" style="1" customWidth="1"/>
    <col min="7421" max="7421" width="9.109375" style="1"/>
    <col min="7422" max="7422" width="11.33203125" style="1" customWidth="1"/>
    <col min="7423" max="7423" width="13.44140625" style="1" customWidth="1"/>
    <col min="7424" max="7424" width="9.109375" style="1" customWidth="1"/>
    <col min="7425" max="7425" width="11.33203125" style="1" customWidth="1"/>
    <col min="7426" max="7428" width="9.109375" style="1" customWidth="1"/>
    <col min="7429" max="7670" width="9.109375" style="1"/>
    <col min="7671" max="7671" width="6" style="1" customWidth="1"/>
    <col min="7672" max="7675" width="9.109375" style="1"/>
    <col min="7676" max="7676" width="13.44140625" style="1" customWidth="1"/>
    <col min="7677" max="7677" width="9.109375" style="1"/>
    <col min="7678" max="7678" width="11.33203125" style="1" customWidth="1"/>
    <col min="7679" max="7679" width="13.44140625" style="1" customWidth="1"/>
    <col min="7680" max="7680" width="9.109375" style="1" customWidth="1"/>
    <col min="7681" max="7681" width="11.33203125" style="1" customWidth="1"/>
    <col min="7682" max="7684" width="9.109375" style="1" customWidth="1"/>
    <col min="7685" max="7926" width="9.109375" style="1"/>
    <col min="7927" max="7927" width="6" style="1" customWidth="1"/>
    <col min="7928" max="7931" width="9.109375" style="1"/>
    <col min="7932" max="7932" width="13.44140625" style="1" customWidth="1"/>
    <col min="7933" max="7933" width="9.109375" style="1"/>
    <col min="7934" max="7934" width="11.33203125" style="1" customWidth="1"/>
    <col min="7935" max="7935" width="13.44140625" style="1" customWidth="1"/>
    <col min="7936" max="7936" width="9.109375" style="1" customWidth="1"/>
    <col min="7937" max="7937" width="11.33203125" style="1" customWidth="1"/>
    <col min="7938" max="7940" width="9.109375" style="1" customWidth="1"/>
    <col min="7941" max="8182" width="9.109375" style="1"/>
    <col min="8183" max="8183" width="6" style="1" customWidth="1"/>
    <col min="8184" max="8187" width="9.109375" style="1"/>
    <col min="8188" max="8188" width="13.44140625" style="1" customWidth="1"/>
    <col min="8189" max="8189" width="9.109375" style="1"/>
    <col min="8190" max="8190" width="11.33203125" style="1" customWidth="1"/>
    <col min="8191" max="8191" width="13.44140625" style="1" customWidth="1"/>
    <col min="8192" max="8192" width="9.109375" style="1" customWidth="1"/>
    <col min="8193" max="8193" width="11.33203125" style="1" customWidth="1"/>
    <col min="8194" max="8196" width="9.109375" style="1" customWidth="1"/>
    <col min="8197" max="8438" width="9.109375" style="1"/>
    <col min="8439" max="8439" width="6" style="1" customWidth="1"/>
    <col min="8440" max="8443" width="9.109375" style="1"/>
    <col min="8444" max="8444" width="13.44140625" style="1" customWidth="1"/>
    <col min="8445" max="8445" width="9.109375" style="1"/>
    <col min="8446" max="8446" width="11.33203125" style="1" customWidth="1"/>
    <col min="8447" max="8447" width="13.44140625" style="1" customWidth="1"/>
    <col min="8448" max="8448" width="9.109375" style="1" customWidth="1"/>
    <col min="8449" max="8449" width="11.33203125" style="1" customWidth="1"/>
    <col min="8450" max="8452" width="9.109375" style="1" customWidth="1"/>
    <col min="8453" max="8694" width="9.109375" style="1"/>
    <col min="8695" max="8695" width="6" style="1" customWidth="1"/>
    <col min="8696" max="8699" width="9.109375" style="1"/>
    <col min="8700" max="8700" width="13.44140625" style="1" customWidth="1"/>
    <col min="8701" max="8701" width="9.109375" style="1"/>
    <col min="8702" max="8702" width="11.33203125" style="1" customWidth="1"/>
    <col min="8703" max="8703" width="13.44140625" style="1" customWidth="1"/>
    <col min="8704" max="8704" width="9.109375" style="1" customWidth="1"/>
    <col min="8705" max="8705" width="11.33203125" style="1" customWidth="1"/>
    <col min="8706" max="8708" width="9.109375" style="1" customWidth="1"/>
    <col min="8709" max="8950" width="9.109375" style="1"/>
    <col min="8951" max="8951" width="6" style="1" customWidth="1"/>
    <col min="8952" max="8955" width="9.109375" style="1"/>
    <col min="8956" max="8956" width="13.44140625" style="1" customWidth="1"/>
    <col min="8957" max="8957" width="9.109375" style="1"/>
    <col min="8958" max="8958" width="11.33203125" style="1" customWidth="1"/>
    <col min="8959" max="8959" width="13.44140625" style="1" customWidth="1"/>
    <col min="8960" max="8960" width="9.109375" style="1" customWidth="1"/>
    <col min="8961" max="8961" width="11.33203125" style="1" customWidth="1"/>
    <col min="8962" max="8964" width="9.109375" style="1" customWidth="1"/>
    <col min="8965" max="9206" width="9.109375" style="1"/>
    <col min="9207" max="9207" width="6" style="1" customWidth="1"/>
    <col min="9208" max="9211" width="9.109375" style="1"/>
    <col min="9212" max="9212" width="13.44140625" style="1" customWidth="1"/>
    <col min="9213" max="9213" width="9.109375" style="1"/>
    <col min="9214" max="9214" width="11.33203125" style="1" customWidth="1"/>
    <col min="9215" max="9215" width="13.44140625" style="1" customWidth="1"/>
    <col min="9216" max="9216" width="9.109375" style="1" customWidth="1"/>
    <col min="9217" max="9217" width="11.33203125" style="1" customWidth="1"/>
    <col min="9218" max="9220" width="9.109375" style="1" customWidth="1"/>
    <col min="9221" max="9462" width="9.109375" style="1"/>
    <col min="9463" max="9463" width="6" style="1" customWidth="1"/>
    <col min="9464" max="9467" width="9.109375" style="1"/>
    <col min="9468" max="9468" width="13.44140625" style="1" customWidth="1"/>
    <col min="9469" max="9469" width="9.109375" style="1"/>
    <col min="9470" max="9470" width="11.33203125" style="1" customWidth="1"/>
    <col min="9471" max="9471" width="13.44140625" style="1" customWidth="1"/>
    <col min="9472" max="9472" width="9.109375" style="1" customWidth="1"/>
    <col min="9473" max="9473" width="11.33203125" style="1" customWidth="1"/>
    <col min="9474" max="9476" width="9.109375" style="1" customWidth="1"/>
    <col min="9477" max="9718" width="9.109375" style="1"/>
    <col min="9719" max="9719" width="6" style="1" customWidth="1"/>
    <col min="9720" max="9723" width="9.109375" style="1"/>
    <col min="9724" max="9724" width="13.44140625" style="1" customWidth="1"/>
    <col min="9725" max="9725" width="9.109375" style="1"/>
    <col min="9726" max="9726" width="11.33203125" style="1" customWidth="1"/>
    <col min="9727" max="9727" width="13.44140625" style="1" customWidth="1"/>
    <col min="9728" max="9728" width="9.109375" style="1" customWidth="1"/>
    <col min="9729" max="9729" width="11.33203125" style="1" customWidth="1"/>
    <col min="9730" max="9732" width="9.109375" style="1" customWidth="1"/>
    <col min="9733" max="9974" width="9.109375" style="1"/>
    <col min="9975" max="9975" width="6" style="1" customWidth="1"/>
    <col min="9976" max="9979" width="9.109375" style="1"/>
    <col min="9980" max="9980" width="13.44140625" style="1" customWidth="1"/>
    <col min="9981" max="9981" width="9.109375" style="1"/>
    <col min="9982" max="9982" width="11.33203125" style="1" customWidth="1"/>
    <col min="9983" max="9983" width="13.44140625" style="1" customWidth="1"/>
    <col min="9984" max="9984" width="9.109375" style="1" customWidth="1"/>
    <col min="9985" max="9985" width="11.33203125" style="1" customWidth="1"/>
    <col min="9986" max="9988" width="9.109375" style="1" customWidth="1"/>
    <col min="9989" max="10230" width="9.109375" style="1"/>
    <col min="10231" max="10231" width="6" style="1" customWidth="1"/>
    <col min="10232" max="10235" width="9.109375" style="1"/>
    <col min="10236" max="10236" width="13.44140625" style="1" customWidth="1"/>
    <col min="10237" max="10237" width="9.109375" style="1"/>
    <col min="10238" max="10238" width="11.33203125" style="1" customWidth="1"/>
    <col min="10239" max="10239" width="13.44140625" style="1" customWidth="1"/>
    <col min="10240" max="10240" width="9.109375" style="1" customWidth="1"/>
    <col min="10241" max="10241" width="11.33203125" style="1" customWidth="1"/>
    <col min="10242" max="10244" width="9.109375" style="1" customWidth="1"/>
    <col min="10245" max="10486" width="9.109375" style="1"/>
    <col min="10487" max="10487" width="6" style="1" customWidth="1"/>
    <col min="10488" max="10491" width="9.109375" style="1"/>
    <col min="10492" max="10492" width="13.44140625" style="1" customWidth="1"/>
    <col min="10493" max="10493" width="9.109375" style="1"/>
    <col min="10494" max="10494" width="11.33203125" style="1" customWidth="1"/>
    <col min="10495" max="10495" width="13.44140625" style="1" customWidth="1"/>
    <col min="10496" max="10496" width="9.109375" style="1" customWidth="1"/>
    <col min="10497" max="10497" width="11.33203125" style="1" customWidth="1"/>
    <col min="10498" max="10500" width="9.109375" style="1" customWidth="1"/>
    <col min="10501" max="10742" width="9.109375" style="1"/>
    <col min="10743" max="10743" width="6" style="1" customWidth="1"/>
    <col min="10744" max="10747" width="9.109375" style="1"/>
    <col min="10748" max="10748" width="13.44140625" style="1" customWidth="1"/>
    <col min="10749" max="10749" width="9.109375" style="1"/>
    <col min="10750" max="10750" width="11.33203125" style="1" customWidth="1"/>
    <col min="10751" max="10751" width="13.44140625" style="1" customWidth="1"/>
    <col min="10752" max="10752" width="9.109375" style="1" customWidth="1"/>
    <col min="10753" max="10753" width="11.33203125" style="1" customWidth="1"/>
    <col min="10754" max="10756" width="9.109375" style="1" customWidth="1"/>
    <col min="10757" max="10998" width="9.109375" style="1"/>
    <col min="10999" max="10999" width="6" style="1" customWidth="1"/>
    <col min="11000" max="11003" width="9.109375" style="1"/>
    <col min="11004" max="11004" width="13.44140625" style="1" customWidth="1"/>
    <col min="11005" max="11005" width="9.109375" style="1"/>
    <col min="11006" max="11006" width="11.33203125" style="1" customWidth="1"/>
    <col min="11007" max="11007" width="13.44140625" style="1" customWidth="1"/>
    <col min="11008" max="11008" width="9.109375" style="1" customWidth="1"/>
    <col min="11009" max="11009" width="11.33203125" style="1" customWidth="1"/>
    <col min="11010" max="11012" width="9.109375" style="1" customWidth="1"/>
    <col min="11013" max="11254" width="9.109375" style="1"/>
    <col min="11255" max="11255" width="6" style="1" customWidth="1"/>
    <col min="11256" max="11259" width="9.109375" style="1"/>
    <col min="11260" max="11260" width="13.44140625" style="1" customWidth="1"/>
    <col min="11261" max="11261" width="9.109375" style="1"/>
    <col min="11262" max="11262" width="11.33203125" style="1" customWidth="1"/>
    <col min="11263" max="11263" width="13.44140625" style="1" customWidth="1"/>
    <col min="11264" max="11264" width="9.109375" style="1" customWidth="1"/>
    <col min="11265" max="11265" width="11.33203125" style="1" customWidth="1"/>
    <col min="11266" max="11268" width="9.109375" style="1" customWidth="1"/>
    <col min="11269" max="11510" width="9.109375" style="1"/>
    <col min="11511" max="11511" width="6" style="1" customWidth="1"/>
    <col min="11512" max="11515" width="9.109375" style="1"/>
    <col min="11516" max="11516" width="13.44140625" style="1" customWidth="1"/>
    <col min="11517" max="11517" width="9.109375" style="1"/>
    <col min="11518" max="11518" width="11.33203125" style="1" customWidth="1"/>
    <col min="11519" max="11519" width="13.44140625" style="1" customWidth="1"/>
    <col min="11520" max="11520" width="9.109375" style="1" customWidth="1"/>
    <col min="11521" max="11521" width="11.33203125" style="1" customWidth="1"/>
    <col min="11522" max="11524" width="9.109375" style="1" customWidth="1"/>
    <col min="11525" max="11766" width="9.109375" style="1"/>
    <col min="11767" max="11767" width="6" style="1" customWidth="1"/>
    <col min="11768" max="11771" width="9.109375" style="1"/>
    <col min="11772" max="11772" width="13.44140625" style="1" customWidth="1"/>
    <col min="11773" max="11773" width="9.109375" style="1"/>
    <col min="11774" max="11774" width="11.33203125" style="1" customWidth="1"/>
    <col min="11775" max="11775" width="13.44140625" style="1" customWidth="1"/>
    <col min="11776" max="11776" width="9.109375" style="1" customWidth="1"/>
    <col min="11777" max="11777" width="11.33203125" style="1" customWidth="1"/>
    <col min="11778" max="11780" width="9.109375" style="1" customWidth="1"/>
    <col min="11781" max="12022" width="9.109375" style="1"/>
    <col min="12023" max="12023" width="6" style="1" customWidth="1"/>
    <col min="12024" max="12027" width="9.109375" style="1"/>
    <col min="12028" max="12028" width="13.44140625" style="1" customWidth="1"/>
    <col min="12029" max="12029" width="9.109375" style="1"/>
    <col min="12030" max="12030" width="11.33203125" style="1" customWidth="1"/>
    <col min="12031" max="12031" width="13.44140625" style="1" customWidth="1"/>
    <col min="12032" max="12032" width="9.109375" style="1" customWidth="1"/>
    <col min="12033" max="12033" width="11.33203125" style="1" customWidth="1"/>
    <col min="12034" max="12036" width="9.109375" style="1" customWidth="1"/>
    <col min="12037" max="12278" width="9.109375" style="1"/>
    <col min="12279" max="12279" width="6" style="1" customWidth="1"/>
    <col min="12280" max="12283" width="9.109375" style="1"/>
    <col min="12284" max="12284" width="13.44140625" style="1" customWidth="1"/>
    <col min="12285" max="12285" width="9.109375" style="1"/>
    <col min="12286" max="12286" width="11.33203125" style="1" customWidth="1"/>
    <col min="12287" max="12287" width="13.44140625" style="1" customWidth="1"/>
    <col min="12288" max="12288" width="9.109375" style="1" customWidth="1"/>
    <col min="12289" max="12289" width="11.33203125" style="1" customWidth="1"/>
    <col min="12290" max="12292" width="9.109375" style="1" customWidth="1"/>
    <col min="12293" max="12534" width="9.109375" style="1"/>
    <col min="12535" max="12535" width="6" style="1" customWidth="1"/>
    <col min="12536" max="12539" width="9.109375" style="1"/>
    <col min="12540" max="12540" width="13.44140625" style="1" customWidth="1"/>
    <col min="12541" max="12541" width="9.109375" style="1"/>
    <col min="12542" max="12542" width="11.33203125" style="1" customWidth="1"/>
    <col min="12543" max="12543" width="13.44140625" style="1" customWidth="1"/>
    <col min="12544" max="12544" width="9.109375" style="1" customWidth="1"/>
    <col min="12545" max="12545" width="11.33203125" style="1" customWidth="1"/>
    <col min="12546" max="12548" width="9.109375" style="1" customWidth="1"/>
    <col min="12549" max="12790" width="9.109375" style="1"/>
    <col min="12791" max="12791" width="6" style="1" customWidth="1"/>
    <col min="12792" max="12795" width="9.109375" style="1"/>
    <col min="12796" max="12796" width="13.44140625" style="1" customWidth="1"/>
    <col min="12797" max="12797" width="9.109375" style="1"/>
    <col min="12798" max="12798" width="11.33203125" style="1" customWidth="1"/>
    <col min="12799" max="12799" width="13.44140625" style="1" customWidth="1"/>
    <col min="12800" max="12800" width="9.109375" style="1" customWidth="1"/>
    <col min="12801" max="12801" width="11.33203125" style="1" customWidth="1"/>
    <col min="12802" max="12804" width="9.109375" style="1" customWidth="1"/>
    <col min="12805" max="13046" width="9.109375" style="1"/>
    <col min="13047" max="13047" width="6" style="1" customWidth="1"/>
    <col min="13048" max="13051" width="9.109375" style="1"/>
    <col min="13052" max="13052" width="13.44140625" style="1" customWidth="1"/>
    <col min="13053" max="13053" width="9.109375" style="1"/>
    <col min="13054" max="13054" width="11.33203125" style="1" customWidth="1"/>
    <col min="13055" max="13055" width="13.44140625" style="1" customWidth="1"/>
    <col min="13056" max="13056" width="9.109375" style="1" customWidth="1"/>
    <col min="13057" max="13057" width="11.33203125" style="1" customWidth="1"/>
    <col min="13058" max="13060" width="9.109375" style="1" customWidth="1"/>
    <col min="13061" max="13302" width="9.109375" style="1"/>
    <col min="13303" max="13303" width="6" style="1" customWidth="1"/>
    <col min="13304" max="13307" width="9.109375" style="1"/>
    <col min="13308" max="13308" width="13.44140625" style="1" customWidth="1"/>
    <col min="13309" max="13309" width="9.109375" style="1"/>
    <col min="13310" max="13310" width="11.33203125" style="1" customWidth="1"/>
    <col min="13311" max="13311" width="13.44140625" style="1" customWidth="1"/>
    <col min="13312" max="13312" width="9.109375" style="1" customWidth="1"/>
    <col min="13313" max="13313" width="11.33203125" style="1" customWidth="1"/>
    <col min="13314" max="13316" width="9.109375" style="1" customWidth="1"/>
    <col min="13317" max="13558" width="9.109375" style="1"/>
    <col min="13559" max="13559" width="6" style="1" customWidth="1"/>
    <col min="13560" max="13563" width="9.109375" style="1"/>
    <col min="13564" max="13564" width="13.44140625" style="1" customWidth="1"/>
    <col min="13565" max="13565" width="9.109375" style="1"/>
    <col min="13566" max="13566" width="11.33203125" style="1" customWidth="1"/>
    <col min="13567" max="13567" width="13.44140625" style="1" customWidth="1"/>
    <col min="13568" max="13568" width="9.109375" style="1" customWidth="1"/>
    <col min="13569" max="13569" width="11.33203125" style="1" customWidth="1"/>
    <col min="13570" max="13572" width="9.109375" style="1" customWidth="1"/>
    <col min="13573" max="13814" width="9.109375" style="1"/>
    <col min="13815" max="13815" width="6" style="1" customWidth="1"/>
    <col min="13816" max="13819" width="9.109375" style="1"/>
    <col min="13820" max="13820" width="13.44140625" style="1" customWidth="1"/>
    <col min="13821" max="13821" width="9.109375" style="1"/>
    <col min="13822" max="13822" width="11.33203125" style="1" customWidth="1"/>
    <col min="13823" max="13823" width="13.44140625" style="1" customWidth="1"/>
    <col min="13824" max="13824" width="9.109375" style="1" customWidth="1"/>
    <col min="13825" max="13825" width="11.33203125" style="1" customWidth="1"/>
    <col min="13826" max="13828" width="9.109375" style="1" customWidth="1"/>
    <col min="13829" max="14070" width="9.109375" style="1"/>
    <col min="14071" max="14071" width="6" style="1" customWidth="1"/>
    <col min="14072" max="14075" width="9.109375" style="1"/>
    <col min="14076" max="14076" width="13.44140625" style="1" customWidth="1"/>
    <col min="14077" max="14077" width="9.109375" style="1"/>
    <col min="14078" max="14078" width="11.33203125" style="1" customWidth="1"/>
    <col min="14079" max="14079" width="13.44140625" style="1" customWidth="1"/>
    <col min="14080" max="14080" width="9.109375" style="1" customWidth="1"/>
    <col min="14081" max="14081" width="11.33203125" style="1" customWidth="1"/>
    <col min="14082" max="14084" width="9.109375" style="1" customWidth="1"/>
    <col min="14085" max="14326" width="9.109375" style="1"/>
    <col min="14327" max="14327" width="6" style="1" customWidth="1"/>
    <col min="14328" max="14331" width="9.109375" style="1"/>
    <col min="14332" max="14332" width="13.44140625" style="1" customWidth="1"/>
    <col min="14333" max="14333" width="9.109375" style="1"/>
    <col min="14334" max="14334" width="11.33203125" style="1" customWidth="1"/>
    <col min="14335" max="14335" width="13.44140625" style="1" customWidth="1"/>
    <col min="14336" max="14336" width="9.109375" style="1" customWidth="1"/>
    <col min="14337" max="14337" width="11.33203125" style="1" customWidth="1"/>
    <col min="14338" max="14340" width="9.109375" style="1" customWidth="1"/>
    <col min="14341" max="14582" width="9.109375" style="1"/>
    <col min="14583" max="14583" width="6" style="1" customWidth="1"/>
    <col min="14584" max="14587" width="9.109375" style="1"/>
    <col min="14588" max="14588" width="13.44140625" style="1" customWidth="1"/>
    <col min="14589" max="14589" width="9.109375" style="1"/>
    <col min="14590" max="14590" width="11.33203125" style="1" customWidth="1"/>
    <col min="14591" max="14591" width="13.44140625" style="1" customWidth="1"/>
    <col min="14592" max="14592" width="9.109375" style="1" customWidth="1"/>
    <col min="14593" max="14593" width="11.33203125" style="1" customWidth="1"/>
    <col min="14594" max="14596" width="9.109375" style="1" customWidth="1"/>
    <col min="14597" max="14838" width="9.109375" style="1"/>
    <col min="14839" max="14839" width="6" style="1" customWidth="1"/>
    <col min="14840" max="14843" width="9.109375" style="1"/>
    <col min="14844" max="14844" width="13.44140625" style="1" customWidth="1"/>
    <col min="14845" max="14845" width="9.109375" style="1"/>
    <col min="14846" max="14846" width="11.33203125" style="1" customWidth="1"/>
    <col min="14847" max="14847" width="13.44140625" style="1" customWidth="1"/>
    <col min="14848" max="14848" width="9.109375" style="1" customWidth="1"/>
    <col min="14849" max="14849" width="11.33203125" style="1" customWidth="1"/>
    <col min="14850" max="14852" width="9.109375" style="1" customWidth="1"/>
    <col min="14853" max="15094" width="9.109375" style="1"/>
    <col min="15095" max="15095" width="6" style="1" customWidth="1"/>
    <col min="15096" max="15099" width="9.109375" style="1"/>
    <col min="15100" max="15100" width="13.44140625" style="1" customWidth="1"/>
    <col min="15101" max="15101" width="9.109375" style="1"/>
    <col min="15102" max="15102" width="11.33203125" style="1" customWidth="1"/>
    <col min="15103" max="15103" width="13.44140625" style="1" customWidth="1"/>
    <col min="15104" max="15104" width="9.109375" style="1" customWidth="1"/>
    <col min="15105" max="15105" width="11.33203125" style="1" customWidth="1"/>
    <col min="15106" max="15108" width="9.109375" style="1" customWidth="1"/>
    <col min="15109" max="15350" width="9.109375" style="1"/>
    <col min="15351" max="15351" width="6" style="1" customWidth="1"/>
    <col min="15352" max="15355" width="9.109375" style="1"/>
    <col min="15356" max="15356" width="13.44140625" style="1" customWidth="1"/>
    <col min="15357" max="15357" width="9.109375" style="1"/>
    <col min="15358" max="15358" width="11.33203125" style="1" customWidth="1"/>
    <col min="15359" max="15359" width="13.44140625" style="1" customWidth="1"/>
    <col min="15360" max="15360" width="9.109375" style="1" customWidth="1"/>
    <col min="15361" max="15361" width="11.33203125" style="1" customWidth="1"/>
    <col min="15362" max="15364" width="9.109375" style="1" customWidth="1"/>
    <col min="15365" max="15606" width="9.109375" style="1"/>
    <col min="15607" max="15607" width="6" style="1" customWidth="1"/>
    <col min="15608" max="15611" width="9.109375" style="1"/>
    <col min="15612" max="15612" width="13.44140625" style="1" customWidth="1"/>
    <col min="15613" max="15613" width="9.109375" style="1"/>
    <col min="15614" max="15614" width="11.33203125" style="1" customWidth="1"/>
    <col min="15615" max="15615" width="13.44140625" style="1" customWidth="1"/>
    <col min="15616" max="15616" width="9.109375" style="1" customWidth="1"/>
    <col min="15617" max="15617" width="11.33203125" style="1" customWidth="1"/>
    <col min="15618" max="15620" width="9.109375" style="1" customWidth="1"/>
    <col min="15621" max="15862" width="9.109375" style="1"/>
    <col min="15863" max="15863" width="6" style="1" customWidth="1"/>
    <col min="15864" max="15867" width="9.109375" style="1"/>
    <col min="15868" max="15868" width="13.44140625" style="1" customWidth="1"/>
    <col min="15869" max="15869" width="9.109375" style="1"/>
    <col min="15870" max="15870" width="11.33203125" style="1" customWidth="1"/>
    <col min="15871" max="15871" width="13.44140625" style="1" customWidth="1"/>
    <col min="15872" max="15872" width="9.109375" style="1" customWidth="1"/>
    <col min="15873" max="15873" width="11.33203125" style="1" customWidth="1"/>
    <col min="15874" max="15876" width="9.109375" style="1" customWidth="1"/>
    <col min="15877" max="16118" width="9.109375" style="1"/>
    <col min="16119" max="16119" width="6" style="1" customWidth="1"/>
    <col min="16120" max="16123" width="9.109375" style="1"/>
    <col min="16124" max="16124" width="13.44140625" style="1" customWidth="1"/>
    <col min="16125" max="16125" width="9.109375" style="1"/>
    <col min="16126" max="16126" width="11.33203125" style="1" customWidth="1"/>
    <col min="16127" max="16127" width="13.44140625" style="1" customWidth="1"/>
    <col min="16128" max="16128" width="9.109375" style="1" customWidth="1"/>
    <col min="16129" max="16129" width="11.33203125" style="1" customWidth="1"/>
    <col min="16130" max="16132" width="9.109375" style="1" customWidth="1"/>
    <col min="16133" max="16384" width="9.109375" style="1"/>
  </cols>
  <sheetData>
    <row r="1" spans="2:11" ht="15" thickBot="1" x14ac:dyDescent="0.35"/>
    <row r="2" spans="2:11" ht="15" thickBot="1" x14ac:dyDescent="0.35">
      <c r="B2" s="209" t="s">
        <v>0</v>
      </c>
      <c r="C2" s="160"/>
      <c r="D2" s="160"/>
      <c r="E2" s="160"/>
      <c r="G2" s="110"/>
    </row>
    <row r="3" spans="2:11" x14ac:dyDescent="0.25">
      <c r="B3" s="205" t="s">
        <v>161</v>
      </c>
      <c r="C3" s="404" t="s">
        <v>192</v>
      </c>
      <c r="D3" s="405"/>
      <c r="E3" s="406"/>
    </row>
    <row r="4" spans="2:11" x14ac:dyDescent="0.3">
      <c r="B4" s="206" t="s">
        <v>1</v>
      </c>
      <c r="C4" s="407" t="s">
        <v>193</v>
      </c>
      <c r="D4" s="408"/>
      <c r="E4" s="409"/>
      <c r="G4" s="1"/>
      <c r="I4" s="399" t="s">
        <v>189</v>
      </c>
      <c r="J4" s="400"/>
    </row>
    <row r="5" spans="2:11" x14ac:dyDescent="0.3">
      <c r="B5" s="206" t="s">
        <v>150</v>
      </c>
      <c r="C5" s="416" t="s">
        <v>194</v>
      </c>
      <c r="D5" s="417"/>
      <c r="E5" s="418"/>
      <c r="G5" s="1"/>
      <c r="I5" s="389" t="s">
        <v>191</v>
      </c>
      <c r="J5" s="390">
        <v>1410</v>
      </c>
    </row>
    <row r="6" spans="2:11" x14ac:dyDescent="0.3">
      <c r="B6" s="207" t="s">
        <v>178</v>
      </c>
      <c r="C6" s="416">
        <v>300</v>
      </c>
      <c r="D6" s="417"/>
      <c r="E6" s="418"/>
      <c r="G6" s="1"/>
      <c r="I6" s="388" t="s">
        <v>187</v>
      </c>
      <c r="J6" s="390">
        <f>1410*10</f>
        <v>14100</v>
      </c>
      <c r="K6" s="204">
        <f>(E15-J6)/E15</f>
        <v>0.06</v>
      </c>
    </row>
    <row r="7" spans="2:11" x14ac:dyDescent="0.25">
      <c r="B7" s="207" t="s">
        <v>2</v>
      </c>
      <c r="C7" s="410">
        <v>43343</v>
      </c>
      <c r="D7" s="411"/>
      <c r="E7" s="412"/>
      <c r="G7" s="1"/>
      <c r="I7" s="389" t="s">
        <v>188</v>
      </c>
      <c r="J7" s="390">
        <f>J6/C6</f>
        <v>47</v>
      </c>
    </row>
    <row r="8" spans="2:11" ht="15" thickBot="1" x14ac:dyDescent="0.35">
      <c r="B8" s="208" t="s">
        <v>3</v>
      </c>
      <c r="C8" s="413">
        <v>25</v>
      </c>
      <c r="D8" s="414"/>
      <c r="E8" s="415"/>
      <c r="G8" s="1"/>
      <c r="I8" s="161"/>
    </row>
    <row r="9" spans="2:11" ht="15" thickBot="1" x14ac:dyDescent="0.35">
      <c r="B9" s="161"/>
      <c r="C9" s="162"/>
      <c r="D9" s="162"/>
      <c r="E9" s="162"/>
      <c r="G9" s="1"/>
      <c r="I9" s="388" t="s">
        <v>183</v>
      </c>
      <c r="J9" s="390" t="s">
        <v>190</v>
      </c>
    </row>
    <row r="10" spans="2:11" ht="15" thickBot="1" x14ac:dyDescent="0.35">
      <c r="B10" s="160"/>
      <c r="C10" s="422" t="s">
        <v>174</v>
      </c>
      <c r="D10" s="423"/>
      <c r="E10" s="424"/>
      <c r="G10" s="1"/>
    </row>
    <row r="11" spans="2:11" ht="15" thickBot="1" x14ac:dyDescent="0.35">
      <c r="B11" s="160"/>
      <c r="C11" s="419">
        <v>42808</v>
      </c>
      <c r="D11" s="420"/>
      <c r="E11" s="421"/>
      <c r="G11" s="1"/>
    </row>
    <row r="12" spans="2:11" ht="15" thickBot="1" x14ac:dyDescent="0.35">
      <c r="B12" s="160"/>
      <c r="C12" s="160"/>
      <c r="D12" s="160"/>
      <c r="E12" s="163" t="s">
        <v>80</v>
      </c>
      <c r="G12" s="1"/>
      <c r="I12" s="2" t="s">
        <v>182</v>
      </c>
    </row>
    <row r="13" spans="2:11" ht="15" thickBot="1" x14ac:dyDescent="0.35">
      <c r="B13" s="378" t="s">
        <v>4</v>
      </c>
      <c r="C13" s="377" t="s">
        <v>5</v>
      </c>
      <c r="D13" s="355" t="s">
        <v>6</v>
      </c>
      <c r="E13" s="356" t="s">
        <v>7</v>
      </c>
      <c r="G13" s="1"/>
      <c r="H13" s="180"/>
    </row>
    <row r="14" spans="2:11" ht="15" thickBot="1" x14ac:dyDescent="0.35">
      <c r="B14" s="202" t="s">
        <v>185</v>
      </c>
      <c r="C14" s="382">
        <f>500*3*10</f>
        <v>15000</v>
      </c>
      <c r="D14" s="200">
        <v>0</v>
      </c>
      <c r="E14" s="201">
        <f t="shared" ref="E14" si="0">C14+D14</f>
        <v>15000</v>
      </c>
    </row>
    <row r="15" spans="2:11" ht="15" thickBot="1" x14ac:dyDescent="0.35">
      <c r="B15" s="203" t="s">
        <v>154</v>
      </c>
      <c r="C15" s="354">
        <f>SUM(C14:C14)</f>
        <v>15000</v>
      </c>
      <c r="D15" s="164">
        <f>SUM(D14:D14)</f>
        <v>0</v>
      </c>
      <c r="E15" s="165">
        <f>SUM(E14:E14)</f>
        <v>15000</v>
      </c>
      <c r="G15" s="93">
        <f>E15/C6</f>
        <v>50</v>
      </c>
    </row>
    <row r="16" spans="2:11" ht="15" thickBot="1" x14ac:dyDescent="0.35">
      <c r="B16" s="160"/>
      <c r="E16" s="160"/>
      <c r="G16" s="1"/>
    </row>
    <row r="17" spans="2:13" ht="15" thickBot="1" x14ac:dyDescent="0.35">
      <c r="B17" s="383" t="s">
        <v>107</v>
      </c>
      <c r="C17" s="384">
        <f>(500000*C6)/1000000</f>
        <v>150</v>
      </c>
      <c r="D17" s="385">
        <v>0</v>
      </c>
      <c r="E17" s="386">
        <f>(C17+D17)</f>
        <v>150</v>
      </c>
      <c r="G17" s="93">
        <f>E17/C6</f>
        <v>0.5</v>
      </c>
      <c r="I17" s="180"/>
    </row>
    <row r="18" spans="2:13" ht="15" thickBot="1" x14ac:dyDescent="0.35">
      <c r="B18" s="160"/>
      <c r="C18" s="401" t="s">
        <v>209</v>
      </c>
      <c r="D18" s="402"/>
      <c r="E18" s="403"/>
      <c r="G18" s="1"/>
    </row>
    <row r="19" spans="2:13" x14ac:dyDescent="0.3">
      <c r="G19" s="1"/>
    </row>
    <row r="20" spans="2:13" x14ac:dyDescent="0.3">
      <c r="G20" s="1"/>
    </row>
    <row r="21" spans="2:13" x14ac:dyDescent="0.3">
      <c r="G21" s="1"/>
      <c r="I21" s="1">
        <f>4503659503/1000000</f>
        <v>4503.6595029999999</v>
      </c>
    </row>
    <row r="22" spans="2:13" x14ac:dyDescent="0.3">
      <c r="G22" s="1"/>
      <c r="M22" s="204"/>
    </row>
    <row r="23" spans="2:13" x14ac:dyDescent="0.3">
      <c r="G23" s="1"/>
    </row>
    <row r="24" spans="2:13" x14ac:dyDescent="0.3">
      <c r="G24" s="1"/>
    </row>
    <row r="25" spans="2:13" x14ac:dyDescent="0.3">
      <c r="G25" s="1"/>
    </row>
    <row r="26" spans="2:13" x14ac:dyDescent="0.3">
      <c r="G26" s="1"/>
    </row>
    <row r="27" spans="2:13" x14ac:dyDescent="0.3">
      <c r="G27" s="1"/>
      <c r="J27" s="204"/>
    </row>
    <row r="28" spans="2:13" x14ac:dyDescent="0.3">
      <c r="G28" s="1"/>
    </row>
    <row r="29" spans="2:13" x14ac:dyDescent="0.3">
      <c r="G29" s="1"/>
    </row>
    <row r="30" spans="2:13" x14ac:dyDescent="0.3">
      <c r="G30" s="1"/>
    </row>
    <row r="31" spans="2:13" x14ac:dyDescent="0.3">
      <c r="G31" s="1"/>
    </row>
    <row r="32" spans="2:13" x14ac:dyDescent="0.3">
      <c r="G32" s="1"/>
    </row>
    <row r="33" spans="7:7" x14ac:dyDescent="0.3">
      <c r="G33" s="1"/>
    </row>
    <row r="34" spans="7:7" x14ac:dyDescent="0.3">
      <c r="G34" s="1"/>
    </row>
    <row r="35" spans="7:7" x14ac:dyDescent="0.3">
      <c r="G35" s="1"/>
    </row>
    <row r="36" spans="7:7" x14ac:dyDescent="0.3">
      <c r="G36" s="1"/>
    </row>
    <row r="37" spans="7:7" x14ac:dyDescent="0.3">
      <c r="G37" s="1"/>
    </row>
    <row r="38" spans="7:7" x14ac:dyDescent="0.3">
      <c r="G38" s="1"/>
    </row>
    <row r="39" spans="7:7" x14ac:dyDescent="0.3">
      <c r="G39" s="1"/>
    </row>
    <row r="40" spans="7:7" x14ac:dyDescent="0.3">
      <c r="G40" s="1"/>
    </row>
    <row r="41" spans="7:7" x14ac:dyDescent="0.3">
      <c r="G41" s="1"/>
    </row>
    <row r="42" spans="7:7" x14ac:dyDescent="0.3">
      <c r="G42" s="1"/>
    </row>
    <row r="43" spans="7:7" x14ac:dyDescent="0.3">
      <c r="G43" s="1"/>
    </row>
    <row r="44" spans="7:7" x14ac:dyDescent="0.3">
      <c r="G44" s="1"/>
    </row>
    <row r="45" spans="7:7" x14ac:dyDescent="0.3">
      <c r="G45" s="1"/>
    </row>
    <row r="46" spans="7:7" x14ac:dyDescent="0.3">
      <c r="G46" s="1"/>
    </row>
    <row r="47" spans="7:7" x14ac:dyDescent="0.3">
      <c r="G47" s="1"/>
    </row>
    <row r="48" spans="7:7" x14ac:dyDescent="0.3">
      <c r="G48" s="1"/>
    </row>
    <row r="49" spans="7:7" x14ac:dyDescent="0.3">
      <c r="G49" s="1"/>
    </row>
    <row r="50" spans="7:7" x14ac:dyDescent="0.3">
      <c r="G50" s="1"/>
    </row>
    <row r="51" spans="7:7" x14ac:dyDescent="0.3">
      <c r="G51" s="1"/>
    </row>
    <row r="52" spans="7:7" x14ac:dyDescent="0.3">
      <c r="G52" s="1"/>
    </row>
    <row r="53" spans="7:7" x14ac:dyDescent="0.3">
      <c r="G53" s="1"/>
    </row>
    <row r="54" spans="7:7" x14ac:dyDescent="0.3">
      <c r="G54" s="1"/>
    </row>
    <row r="55" spans="7:7" x14ac:dyDescent="0.3">
      <c r="G55" s="1"/>
    </row>
    <row r="56" spans="7:7" x14ac:dyDescent="0.3">
      <c r="G56" s="1"/>
    </row>
    <row r="57" spans="7:7" x14ac:dyDescent="0.3">
      <c r="G57" s="1"/>
    </row>
    <row r="58" spans="7:7" x14ac:dyDescent="0.3">
      <c r="G58" s="1"/>
    </row>
    <row r="59" spans="7:7" x14ac:dyDescent="0.3">
      <c r="G59" s="1"/>
    </row>
    <row r="60" spans="7:7" x14ac:dyDescent="0.3">
      <c r="G60" s="1"/>
    </row>
    <row r="61" spans="7:7" x14ac:dyDescent="0.3">
      <c r="G61" s="1"/>
    </row>
    <row r="62" spans="7:7" x14ac:dyDescent="0.3">
      <c r="G62" s="1"/>
    </row>
    <row r="63" spans="7:7" x14ac:dyDescent="0.3">
      <c r="G63" s="1"/>
    </row>
    <row r="64" spans="7:7" x14ac:dyDescent="0.3">
      <c r="G64" s="1"/>
    </row>
    <row r="65" spans="7:7" x14ac:dyDescent="0.3">
      <c r="G65" s="1"/>
    </row>
    <row r="66" spans="7:7" x14ac:dyDescent="0.3">
      <c r="G66" s="1"/>
    </row>
    <row r="67" spans="7:7" x14ac:dyDescent="0.3">
      <c r="G67" s="1"/>
    </row>
    <row r="68" spans="7:7" x14ac:dyDescent="0.3">
      <c r="G68" s="1"/>
    </row>
    <row r="69" spans="7:7" x14ac:dyDescent="0.3">
      <c r="G69" s="1"/>
    </row>
    <row r="70" spans="7:7" x14ac:dyDescent="0.3">
      <c r="G70" s="1"/>
    </row>
    <row r="71" spans="7:7" x14ac:dyDescent="0.3">
      <c r="G71" s="1"/>
    </row>
    <row r="72" spans="7:7" x14ac:dyDescent="0.3">
      <c r="G72" s="1"/>
    </row>
    <row r="73" spans="7:7" x14ac:dyDescent="0.3">
      <c r="G73" s="1"/>
    </row>
    <row r="74" spans="7:7" x14ac:dyDescent="0.3">
      <c r="G74" s="1"/>
    </row>
    <row r="75" spans="7:7" x14ac:dyDescent="0.3">
      <c r="G75" s="1"/>
    </row>
    <row r="76" spans="7:7" x14ac:dyDescent="0.3">
      <c r="G76" s="1"/>
    </row>
    <row r="77" spans="7:7" x14ac:dyDescent="0.3">
      <c r="G77" s="1"/>
    </row>
    <row r="78" spans="7:7" x14ac:dyDescent="0.3">
      <c r="G78" s="1"/>
    </row>
    <row r="79" spans="7:7" x14ac:dyDescent="0.3">
      <c r="G79" s="1"/>
    </row>
    <row r="80" spans="7:7" x14ac:dyDescent="0.3">
      <c r="G80" s="1"/>
    </row>
    <row r="81" spans="7:7" x14ac:dyDescent="0.3">
      <c r="G81" s="1"/>
    </row>
    <row r="82" spans="7:7" x14ac:dyDescent="0.3">
      <c r="G82" s="1"/>
    </row>
    <row r="83" spans="7:7" x14ac:dyDescent="0.3">
      <c r="G83" s="1"/>
    </row>
    <row r="84" spans="7:7" x14ac:dyDescent="0.3">
      <c r="G84" s="1"/>
    </row>
    <row r="85" spans="7:7" x14ac:dyDescent="0.3">
      <c r="G85" s="1"/>
    </row>
    <row r="86" spans="7:7" x14ac:dyDescent="0.3">
      <c r="G86" s="1"/>
    </row>
    <row r="87" spans="7:7" x14ac:dyDescent="0.3">
      <c r="G87" s="1"/>
    </row>
    <row r="88" spans="7:7" x14ac:dyDescent="0.3">
      <c r="G88" s="1"/>
    </row>
    <row r="89" spans="7:7" x14ac:dyDescent="0.3">
      <c r="G89" s="1"/>
    </row>
    <row r="90" spans="7:7" x14ac:dyDescent="0.3">
      <c r="G90" s="1"/>
    </row>
    <row r="91" spans="7:7" x14ac:dyDescent="0.3">
      <c r="G91" s="1"/>
    </row>
    <row r="92" spans="7:7" x14ac:dyDescent="0.3">
      <c r="G92" s="1"/>
    </row>
    <row r="93" spans="7:7" x14ac:dyDescent="0.3">
      <c r="G93" s="1"/>
    </row>
    <row r="94" spans="7:7" x14ac:dyDescent="0.3">
      <c r="G94" s="1"/>
    </row>
    <row r="95" spans="7:7" x14ac:dyDescent="0.3">
      <c r="G95" s="1"/>
    </row>
    <row r="96" spans="7:7" x14ac:dyDescent="0.3">
      <c r="G96" s="1"/>
    </row>
    <row r="97" spans="7:7" x14ac:dyDescent="0.3">
      <c r="G97" s="1"/>
    </row>
    <row r="98" spans="7:7" x14ac:dyDescent="0.3">
      <c r="G98" s="1"/>
    </row>
    <row r="99" spans="7:7" x14ac:dyDescent="0.3">
      <c r="G99" s="1"/>
    </row>
    <row r="100" spans="7:7" x14ac:dyDescent="0.3">
      <c r="G100" s="1"/>
    </row>
    <row r="101" spans="7:7" x14ac:dyDescent="0.3">
      <c r="G101" s="1"/>
    </row>
    <row r="102" spans="7:7" x14ac:dyDescent="0.3">
      <c r="G102" s="1"/>
    </row>
    <row r="103" spans="7:7" x14ac:dyDescent="0.3">
      <c r="G103" s="1"/>
    </row>
    <row r="104" spans="7:7" x14ac:dyDescent="0.3">
      <c r="G104" s="1"/>
    </row>
    <row r="105" spans="7:7" x14ac:dyDescent="0.3">
      <c r="G105" s="1"/>
    </row>
    <row r="106" spans="7:7" x14ac:dyDescent="0.3">
      <c r="G106" s="1"/>
    </row>
    <row r="107" spans="7:7" x14ac:dyDescent="0.3">
      <c r="G107" s="1"/>
    </row>
    <row r="108" spans="7:7" x14ac:dyDescent="0.3">
      <c r="G108" s="1"/>
    </row>
    <row r="109" spans="7:7" x14ac:dyDescent="0.3">
      <c r="G109" s="1"/>
    </row>
    <row r="110" spans="7:7" x14ac:dyDescent="0.3">
      <c r="G110" s="1"/>
    </row>
    <row r="111" spans="7:7" x14ac:dyDescent="0.3">
      <c r="G111" s="1"/>
    </row>
    <row r="112" spans="7:7" x14ac:dyDescent="0.3">
      <c r="G112" s="1"/>
    </row>
    <row r="113" spans="7:7" x14ac:dyDescent="0.3">
      <c r="G113" s="1"/>
    </row>
    <row r="114" spans="7:7" x14ac:dyDescent="0.3">
      <c r="G114" s="1"/>
    </row>
    <row r="115" spans="7:7" x14ac:dyDescent="0.3">
      <c r="G115" s="1"/>
    </row>
    <row r="116" spans="7:7" x14ac:dyDescent="0.3">
      <c r="G116" s="1"/>
    </row>
    <row r="117" spans="7:7" x14ac:dyDescent="0.3">
      <c r="G117" s="1"/>
    </row>
    <row r="118" spans="7:7" x14ac:dyDescent="0.3">
      <c r="G118" s="1"/>
    </row>
    <row r="119" spans="7:7" x14ac:dyDescent="0.3">
      <c r="G119" s="1"/>
    </row>
    <row r="120" spans="7:7" x14ac:dyDescent="0.3">
      <c r="G120" s="1"/>
    </row>
    <row r="121" spans="7:7" x14ac:dyDescent="0.3">
      <c r="G121" s="1"/>
    </row>
    <row r="122" spans="7:7" x14ac:dyDescent="0.3">
      <c r="G122" s="1"/>
    </row>
    <row r="123" spans="7:7" x14ac:dyDescent="0.3">
      <c r="G123" s="1"/>
    </row>
    <row r="124" spans="7:7" x14ac:dyDescent="0.3">
      <c r="G124" s="1"/>
    </row>
  </sheetData>
  <mergeCells count="10">
    <mergeCell ref="I4:J4"/>
    <mergeCell ref="C18:E18"/>
    <mergeCell ref="C3:E3"/>
    <mergeCell ref="C4:E4"/>
    <mergeCell ref="C7:E7"/>
    <mergeCell ref="C8:E8"/>
    <mergeCell ref="C5:E5"/>
    <mergeCell ref="C6:E6"/>
    <mergeCell ref="C11:E11"/>
    <mergeCell ref="C10:E10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showGridLines="0" tabSelected="1" zoomScale="85" zoomScaleNormal="85" workbookViewId="0">
      <selection activeCell="G13" sqref="G13"/>
    </sheetView>
  </sheetViews>
  <sheetFormatPr defaultColWidth="9.109375" defaultRowHeight="14.4" x14ac:dyDescent="0.3"/>
  <cols>
    <col min="1" max="1" width="11.44140625" style="2" customWidth="1"/>
    <col min="2" max="2" width="38" style="2" bestFit="1" customWidth="1"/>
    <col min="3" max="3" width="16.33203125" style="3" customWidth="1"/>
    <col min="4" max="4" width="27.33203125" style="96" customWidth="1"/>
    <col min="5" max="5" width="63.33203125" style="96" customWidth="1"/>
    <col min="6" max="7" width="26.44140625" style="2" customWidth="1"/>
    <col min="8" max="8" width="9.109375" style="2"/>
    <col min="9" max="9" width="10.109375" style="2" customWidth="1"/>
    <col min="10" max="16384" width="9.109375" style="2"/>
  </cols>
  <sheetData>
    <row r="1" spans="2:10" ht="15" thickBot="1" x14ac:dyDescent="0.35"/>
    <row r="2" spans="2:10" x14ac:dyDescent="0.3">
      <c r="B2" s="427" t="str">
        <f>CONCATENATE("SPV Name - ",'Project Cost'!C3)</f>
        <v>SPV Name - SB Energy One Private Limited</v>
      </c>
      <c r="C2" s="428"/>
      <c r="D2" s="357" t="s">
        <v>8</v>
      </c>
      <c r="E2" s="166" t="s">
        <v>9</v>
      </c>
    </row>
    <row r="3" spans="2:10" ht="15" thickBot="1" x14ac:dyDescent="0.35">
      <c r="B3" s="429"/>
      <c r="C3" s="430"/>
      <c r="D3" s="167">
        <f>Sensitivity!C13</f>
        <v>7.6349768042564395E-2</v>
      </c>
      <c r="E3" s="168">
        <f>Sensitivity!E13</f>
        <v>0.13413070000000005</v>
      </c>
    </row>
    <row r="4" spans="2:10" ht="15" thickBot="1" x14ac:dyDescent="0.35">
      <c r="B4" s="169"/>
      <c r="C4" s="169"/>
      <c r="D4" s="170"/>
      <c r="E4" s="170"/>
    </row>
    <row r="5" spans="2:10" ht="15" thickBot="1" x14ac:dyDescent="0.35">
      <c r="B5" s="431" t="s">
        <v>10</v>
      </c>
      <c r="C5" s="432"/>
      <c r="D5" s="432"/>
      <c r="E5" s="433"/>
    </row>
    <row r="6" spans="2:10" ht="15" thickBot="1" x14ac:dyDescent="0.35">
      <c r="B6" s="171"/>
      <c r="C6" s="172"/>
      <c r="D6" s="173"/>
      <c r="E6" s="173"/>
    </row>
    <row r="7" spans="2:10" ht="15" thickBot="1" x14ac:dyDescent="0.35">
      <c r="B7" s="434" t="s">
        <v>11</v>
      </c>
      <c r="C7" s="435"/>
      <c r="D7" s="232" t="s">
        <v>12</v>
      </c>
      <c r="E7" s="233" t="s">
        <v>13</v>
      </c>
    </row>
    <row r="8" spans="2:10" x14ac:dyDescent="0.3">
      <c r="B8" s="229" t="s">
        <v>14</v>
      </c>
      <c r="C8" s="230" t="str">
        <f>'Project Cost'!C5:E5</f>
        <v>Rajasthan</v>
      </c>
      <c r="D8" s="231" t="s">
        <v>175</v>
      </c>
      <c r="E8" s="178"/>
    </row>
    <row r="9" spans="2:10" x14ac:dyDescent="0.3">
      <c r="B9" s="210" t="s">
        <v>84</v>
      </c>
      <c r="C9" s="212">
        <f>'Project Cost'!C6:E6</f>
        <v>300</v>
      </c>
      <c r="D9" s="211" t="s">
        <v>175</v>
      </c>
      <c r="E9" s="175"/>
    </row>
    <row r="10" spans="2:10" x14ac:dyDescent="0.3">
      <c r="B10" s="210" t="s">
        <v>2</v>
      </c>
      <c r="C10" s="213">
        <f>'Project Cost'!C7</f>
        <v>43343</v>
      </c>
      <c r="D10" s="211" t="s">
        <v>175</v>
      </c>
      <c r="E10" s="175"/>
      <c r="F10" s="183"/>
      <c r="G10" s="184"/>
    </row>
    <row r="11" spans="2:10" ht="26.4" x14ac:dyDescent="0.3">
      <c r="B11" s="210" t="s">
        <v>85</v>
      </c>
      <c r="C11" s="214">
        <f>'Project Cost'!C8</f>
        <v>25</v>
      </c>
      <c r="D11" s="379" t="s">
        <v>204</v>
      </c>
      <c r="E11" s="380" t="s">
        <v>205</v>
      </c>
      <c r="F11" s="183"/>
      <c r="G11" s="185"/>
      <c r="H11" s="5"/>
      <c r="I11" s="5"/>
      <c r="J11" s="5"/>
    </row>
    <row r="12" spans="2:10" x14ac:dyDescent="0.3">
      <c r="B12" s="425" t="s">
        <v>110</v>
      </c>
      <c r="C12" s="426"/>
      <c r="D12" s="174"/>
      <c r="E12" s="175"/>
      <c r="F12" s="186"/>
      <c r="G12" s="187"/>
    </row>
    <row r="13" spans="2:10" ht="26.4" x14ac:dyDescent="0.3">
      <c r="B13" s="210" t="s">
        <v>106</v>
      </c>
      <c r="C13" s="398">
        <f>28.08%*(1+Sensitivity!F7)</f>
        <v>0.28079999999999999</v>
      </c>
      <c r="D13" s="211" t="s">
        <v>213</v>
      </c>
      <c r="E13" s="177"/>
      <c r="F13" s="183"/>
      <c r="G13" s="187"/>
    </row>
    <row r="14" spans="2:10" x14ac:dyDescent="0.3">
      <c r="B14" s="210" t="s">
        <v>86</v>
      </c>
      <c r="C14" s="214">
        <f>C9*C13*8760*1000</f>
        <v>737942399.99999988</v>
      </c>
      <c r="D14" s="211" t="s">
        <v>83</v>
      </c>
      <c r="E14" s="175"/>
      <c r="F14" s="114"/>
      <c r="G14" s="114"/>
    </row>
    <row r="15" spans="2:10" ht="26.4" x14ac:dyDescent="0.3">
      <c r="B15" s="210" t="s">
        <v>164</v>
      </c>
      <c r="C15" s="215">
        <v>5.0000000000000001E-3</v>
      </c>
      <c r="D15" s="211" t="s">
        <v>211</v>
      </c>
      <c r="E15" s="397" t="s">
        <v>210</v>
      </c>
      <c r="G15" s="114"/>
      <c r="H15" s="114"/>
    </row>
    <row r="16" spans="2:10" x14ac:dyDescent="0.3">
      <c r="B16" s="216" t="s">
        <v>169</v>
      </c>
      <c r="C16" s="217">
        <f>2.45*(1+Sensitivity!$F$10)</f>
        <v>2.4500000000000002</v>
      </c>
      <c r="D16" s="211" t="s">
        <v>175</v>
      </c>
      <c r="E16" s="177"/>
      <c r="G16" s="114"/>
    </row>
    <row r="17" spans="2:10" x14ac:dyDescent="0.3">
      <c r="B17" s="218" t="s">
        <v>167</v>
      </c>
      <c r="C17" s="219">
        <v>0</v>
      </c>
      <c r="D17" s="211"/>
      <c r="E17" s="177"/>
      <c r="G17" s="114"/>
    </row>
    <row r="18" spans="2:10" x14ac:dyDescent="0.3">
      <c r="B18" s="210" t="s">
        <v>151</v>
      </c>
      <c r="C18" s="215">
        <v>0</v>
      </c>
      <c r="D18" s="211"/>
      <c r="E18" s="177"/>
      <c r="G18" s="145"/>
    </row>
    <row r="19" spans="2:10" x14ac:dyDescent="0.3">
      <c r="B19" s="425" t="s">
        <v>15</v>
      </c>
      <c r="C19" s="426"/>
      <c r="D19" s="174"/>
      <c r="E19" s="175"/>
      <c r="F19" s="6"/>
      <c r="G19" s="6"/>
      <c r="H19" s="6"/>
      <c r="I19" s="6"/>
      <c r="J19" s="6"/>
    </row>
    <row r="20" spans="2:10" x14ac:dyDescent="0.3">
      <c r="B20" s="210" t="s">
        <v>108</v>
      </c>
      <c r="C20" s="217">
        <f>'Project Cost'!E17*(1+Sensitivity!$F$8)</f>
        <v>150</v>
      </c>
      <c r="D20" s="211" t="s">
        <v>175</v>
      </c>
      <c r="E20" s="177"/>
      <c r="F20" s="6"/>
      <c r="G20" s="6"/>
      <c r="H20" s="6"/>
      <c r="I20" s="6"/>
      <c r="J20" s="6"/>
    </row>
    <row r="21" spans="2:10" x14ac:dyDescent="0.3">
      <c r="B21" s="216" t="s">
        <v>158</v>
      </c>
      <c r="C21" s="217">
        <v>0</v>
      </c>
      <c r="D21" s="211"/>
      <c r="E21" s="175"/>
      <c r="F21" s="6"/>
      <c r="G21" s="6"/>
      <c r="H21" s="6"/>
      <c r="I21" s="6"/>
      <c r="J21" s="6"/>
    </row>
    <row r="22" spans="2:10" x14ac:dyDescent="0.3">
      <c r="B22" s="210" t="s">
        <v>109</v>
      </c>
      <c r="C22" s="215">
        <v>0.05</v>
      </c>
      <c r="D22" s="211" t="s">
        <v>175</v>
      </c>
      <c r="E22" s="177"/>
    </row>
    <row r="23" spans="2:10" x14ac:dyDescent="0.3">
      <c r="B23" s="210" t="s">
        <v>95</v>
      </c>
      <c r="C23" s="217">
        <f>C25*1%</f>
        <v>150</v>
      </c>
      <c r="D23" s="211" t="s">
        <v>173</v>
      </c>
      <c r="E23" s="188" t="s">
        <v>168</v>
      </c>
    </row>
    <row r="24" spans="2:10" ht="17.25" customHeight="1" x14ac:dyDescent="0.3">
      <c r="B24" s="425" t="s">
        <v>16</v>
      </c>
      <c r="C24" s="426"/>
      <c r="D24" s="174"/>
      <c r="E24" s="175"/>
    </row>
    <row r="25" spans="2:10" x14ac:dyDescent="0.3">
      <c r="B25" s="210" t="s">
        <v>87</v>
      </c>
      <c r="C25" s="387">
        <f>'Project Cost'!E15*(1+Sensitivity!$F$9)</f>
        <v>15000</v>
      </c>
      <c r="D25" s="211" t="s">
        <v>184</v>
      </c>
      <c r="E25" s="175"/>
    </row>
    <row r="26" spans="2:10" x14ac:dyDescent="0.3">
      <c r="B26" s="210" t="s">
        <v>88</v>
      </c>
      <c r="C26" s="387">
        <f>C29</f>
        <v>10500</v>
      </c>
      <c r="D26" s="211" t="s">
        <v>184</v>
      </c>
      <c r="E26" s="175"/>
    </row>
    <row r="27" spans="2:10" x14ac:dyDescent="0.3">
      <c r="B27" s="210" t="s">
        <v>89</v>
      </c>
      <c r="C27" s="387">
        <f>C25-C26</f>
        <v>4500</v>
      </c>
      <c r="D27" s="211" t="s">
        <v>184</v>
      </c>
      <c r="E27" s="175"/>
    </row>
    <row r="28" spans="2:10" ht="15" customHeight="1" x14ac:dyDescent="0.3">
      <c r="B28" s="425" t="s">
        <v>102</v>
      </c>
      <c r="C28" s="426"/>
      <c r="D28" s="174"/>
      <c r="E28" s="175"/>
    </row>
    <row r="29" spans="2:10" x14ac:dyDescent="0.3">
      <c r="B29" s="210" t="s">
        <v>88</v>
      </c>
      <c r="C29" s="217">
        <f>C25*70%</f>
        <v>10500</v>
      </c>
      <c r="D29" s="211" t="s">
        <v>184</v>
      </c>
      <c r="E29" s="177"/>
    </row>
    <row r="30" spans="2:10" x14ac:dyDescent="0.3">
      <c r="B30" s="210" t="s">
        <v>113</v>
      </c>
      <c r="C30" s="220">
        <v>0.11</v>
      </c>
      <c r="D30" s="211" t="s">
        <v>184</v>
      </c>
      <c r="E30" s="177"/>
    </row>
    <row r="31" spans="2:10" x14ac:dyDescent="0.3">
      <c r="B31" s="210" t="s">
        <v>114</v>
      </c>
      <c r="C31" s="214">
        <v>48</v>
      </c>
      <c r="D31" s="211" t="s">
        <v>184</v>
      </c>
      <c r="E31" s="177"/>
    </row>
    <row r="32" spans="2:10" ht="15" customHeight="1" x14ac:dyDescent="0.3">
      <c r="B32" s="210" t="s">
        <v>115</v>
      </c>
      <c r="C32" s="214">
        <v>0</v>
      </c>
      <c r="D32" s="211" t="s">
        <v>201</v>
      </c>
      <c r="E32" s="176"/>
    </row>
    <row r="33" spans="2:6" ht="15" customHeight="1" x14ac:dyDescent="0.3">
      <c r="B33" s="210" t="s">
        <v>116</v>
      </c>
      <c r="C33" s="214">
        <f>C31-C32</f>
        <v>48</v>
      </c>
      <c r="D33" s="211" t="s">
        <v>83</v>
      </c>
      <c r="E33" s="190"/>
    </row>
    <row r="34" spans="2:6" ht="15" customHeight="1" x14ac:dyDescent="0.3">
      <c r="B34" s="210" t="s">
        <v>117</v>
      </c>
      <c r="C34" s="221">
        <f>C29/C33</f>
        <v>218.75</v>
      </c>
      <c r="D34" s="211" t="s">
        <v>83</v>
      </c>
      <c r="E34" s="190"/>
    </row>
    <row r="35" spans="2:6" ht="26.4" x14ac:dyDescent="0.3">
      <c r="B35" s="210" t="s">
        <v>118</v>
      </c>
      <c r="C35" s="213">
        <f>DATE(YEAR(EOMONTH(C10,IF(C32=0,3,C32*3))),CEILING(MONTH(EOMONTH(C10,IF(C32=0,3,C32*3))),3)+1,0)</f>
        <v>43465</v>
      </c>
      <c r="D35" s="211" t="s">
        <v>119</v>
      </c>
      <c r="E35" s="190"/>
    </row>
    <row r="36" spans="2:6" x14ac:dyDescent="0.3">
      <c r="B36" s="425" t="s">
        <v>103</v>
      </c>
      <c r="C36" s="426"/>
      <c r="D36" s="174"/>
      <c r="E36" s="175"/>
      <c r="F36" s="146"/>
    </row>
    <row r="37" spans="2:6" x14ac:dyDescent="0.3">
      <c r="B37" s="222" t="s">
        <v>112</v>
      </c>
      <c r="C37" s="223">
        <v>0</v>
      </c>
      <c r="D37" s="211"/>
      <c r="E37" s="175"/>
    </row>
    <row r="38" spans="2:6" x14ac:dyDescent="0.3">
      <c r="B38" s="222" t="s">
        <v>90</v>
      </c>
      <c r="C38" s="223">
        <f>C25</f>
        <v>15000</v>
      </c>
      <c r="D38" s="211" t="s">
        <v>83</v>
      </c>
      <c r="E38" s="175"/>
    </row>
    <row r="39" spans="2:6" ht="26.4" x14ac:dyDescent="0.3">
      <c r="B39" s="222" t="s">
        <v>99</v>
      </c>
      <c r="C39" s="215">
        <v>0.1</v>
      </c>
      <c r="D39" s="393" t="s">
        <v>202</v>
      </c>
      <c r="E39" s="394" t="s">
        <v>203</v>
      </c>
    </row>
    <row r="40" spans="2:6" x14ac:dyDescent="0.3">
      <c r="B40" s="222" t="s">
        <v>101</v>
      </c>
      <c r="C40" s="223">
        <f>C38*C39</f>
        <v>1500</v>
      </c>
      <c r="D40" s="211" t="s">
        <v>83</v>
      </c>
      <c r="E40" s="175"/>
    </row>
    <row r="41" spans="2:6" x14ac:dyDescent="0.3">
      <c r="B41" s="222" t="s">
        <v>100</v>
      </c>
      <c r="C41" s="223">
        <f>C38-C40</f>
        <v>13500</v>
      </c>
      <c r="D41" s="211" t="s">
        <v>83</v>
      </c>
      <c r="E41" s="175"/>
    </row>
    <row r="42" spans="2:6" x14ac:dyDescent="0.3">
      <c r="B42" s="216" t="s">
        <v>104</v>
      </c>
      <c r="C42" s="223">
        <f>C40+C37</f>
        <v>1500</v>
      </c>
      <c r="D42" s="211" t="s">
        <v>83</v>
      </c>
      <c r="E42" s="177"/>
    </row>
    <row r="43" spans="2:6" x14ac:dyDescent="0.3">
      <c r="B43" s="425" t="s">
        <v>105</v>
      </c>
      <c r="C43" s="426"/>
      <c r="D43" s="174"/>
      <c r="E43" s="175"/>
    </row>
    <row r="44" spans="2:6" ht="28.8" x14ac:dyDescent="0.3">
      <c r="B44" s="210" t="s">
        <v>172</v>
      </c>
      <c r="C44" s="215">
        <v>0.8</v>
      </c>
      <c r="D44" s="379" t="s">
        <v>170</v>
      </c>
      <c r="E44" s="392" t="s">
        <v>186</v>
      </c>
    </row>
    <row r="45" spans="2:6" x14ac:dyDescent="0.3">
      <c r="B45" s="436" t="s">
        <v>19</v>
      </c>
      <c r="C45" s="437"/>
      <c r="D45" s="174"/>
      <c r="E45" s="175"/>
    </row>
    <row r="46" spans="2:6" x14ac:dyDescent="0.3">
      <c r="B46" s="191" t="s">
        <v>20</v>
      </c>
      <c r="C46" s="189" t="str">
        <f>CONCATENATE("FY"," ",IF(MONTH(C10)&lt;4,YEAR(C10)-1&amp;"-"&amp;RIGHT(YEAR(C10),2),YEAR(C10)&amp;"-"&amp;RIGHT(YEAR(C10)+1,2)))</f>
        <v>FY 2018-19</v>
      </c>
      <c r="D46" s="174"/>
      <c r="E46" s="175"/>
    </row>
    <row r="47" spans="2:6" x14ac:dyDescent="0.3">
      <c r="B47" s="224" t="s">
        <v>91</v>
      </c>
      <c r="C47" s="215">
        <v>0.3</v>
      </c>
      <c r="D47" s="381" t="s">
        <v>149</v>
      </c>
      <c r="E47" s="395" t="s">
        <v>206</v>
      </c>
    </row>
    <row r="48" spans="2:6" x14ac:dyDescent="0.3">
      <c r="B48" s="210" t="s">
        <v>181</v>
      </c>
      <c r="C48" s="215">
        <v>0.33</v>
      </c>
      <c r="D48" s="381" t="s">
        <v>179</v>
      </c>
      <c r="E48" s="396" t="s">
        <v>180</v>
      </c>
    </row>
    <row r="49" spans="1:11" x14ac:dyDescent="0.3">
      <c r="B49" s="210" t="s">
        <v>212</v>
      </c>
      <c r="C49" s="215">
        <v>0.18</v>
      </c>
      <c r="D49" s="379" t="s">
        <v>149</v>
      </c>
      <c r="E49" s="395" t="s">
        <v>206</v>
      </c>
    </row>
    <row r="50" spans="1:11" x14ac:dyDescent="0.3">
      <c r="B50" s="210" t="s">
        <v>93</v>
      </c>
      <c r="C50" s="215">
        <v>0.1</v>
      </c>
      <c r="D50" s="379" t="s">
        <v>149</v>
      </c>
      <c r="E50" s="395" t="s">
        <v>207</v>
      </c>
    </row>
    <row r="51" spans="1:11" x14ac:dyDescent="0.3">
      <c r="B51" s="210" t="s">
        <v>94</v>
      </c>
      <c r="C51" s="215">
        <v>0.04</v>
      </c>
      <c r="D51" s="379" t="s">
        <v>149</v>
      </c>
      <c r="E51" s="395" t="s">
        <v>208</v>
      </c>
    </row>
    <row r="52" spans="1:11" x14ac:dyDescent="0.3">
      <c r="B52" s="425" t="s">
        <v>22</v>
      </c>
      <c r="C52" s="426"/>
      <c r="D52" s="174"/>
      <c r="E52" s="178"/>
    </row>
    <row r="53" spans="1:11" x14ac:dyDescent="0.3">
      <c r="B53" s="224" t="s">
        <v>91</v>
      </c>
      <c r="C53" s="225">
        <f>(C47+C47*$C$50)+(C47+C47*$C$50)*$C$51</f>
        <v>0.34319999999999995</v>
      </c>
      <c r="D53" s="211" t="s">
        <v>83</v>
      </c>
      <c r="E53" s="175"/>
    </row>
    <row r="54" spans="1:11" x14ac:dyDescent="0.3">
      <c r="B54" s="210" t="s">
        <v>92</v>
      </c>
      <c r="C54" s="225">
        <f>(C48+C48*$C$50)+(C48+C48*$C$50)*$C$51</f>
        <v>0.37751999999999997</v>
      </c>
      <c r="D54" s="211" t="s">
        <v>83</v>
      </c>
      <c r="E54" s="175"/>
    </row>
    <row r="55" spans="1:11" ht="15" thickBot="1" x14ac:dyDescent="0.35">
      <c r="A55" s="4"/>
      <c r="B55" s="226" t="s">
        <v>212</v>
      </c>
      <c r="C55" s="227">
        <f>C49+(C49*C51)</f>
        <v>0.18720000000000001</v>
      </c>
      <c r="D55" s="228" t="s">
        <v>83</v>
      </c>
      <c r="E55" s="192"/>
      <c r="G55" s="5"/>
      <c r="H55" s="5"/>
      <c r="I55" s="5"/>
      <c r="J55" s="5"/>
      <c r="K55" s="5"/>
    </row>
    <row r="56" spans="1:11" x14ac:dyDescent="0.3">
      <c r="C56" s="7"/>
      <c r="D56" s="97"/>
    </row>
    <row r="57" spans="1:11" x14ac:dyDescent="0.3">
      <c r="C57" s="2"/>
    </row>
    <row r="58" spans="1:11" x14ac:dyDescent="0.3">
      <c r="C58" s="2"/>
    </row>
    <row r="59" spans="1:11" x14ac:dyDescent="0.3">
      <c r="C59" s="2"/>
    </row>
  </sheetData>
  <mergeCells count="11">
    <mergeCell ref="B52:C52"/>
    <mergeCell ref="B2:C3"/>
    <mergeCell ref="B5:E5"/>
    <mergeCell ref="B7:C7"/>
    <mergeCell ref="B12:C12"/>
    <mergeCell ref="B19:C19"/>
    <mergeCell ref="B24:C24"/>
    <mergeCell ref="B36:C36"/>
    <mergeCell ref="B43:C43"/>
    <mergeCell ref="B45:C45"/>
    <mergeCell ref="B28:C28"/>
  </mergeCells>
  <hyperlinks>
    <hyperlink ref="E44" r:id="rId1" display="http://www.taxafin.com/Income_Tax/Tax_Rates/Depreciation_Rates.html " xr:uid="{00000000-0004-0000-0100-000000000000}"/>
    <hyperlink ref="E39" r:id="rId2" xr:uid="{00000000-0004-0000-0100-000001000000}"/>
    <hyperlink ref="E11" r:id="rId3" xr:uid="{00000000-0004-0000-0100-000002000000}"/>
    <hyperlink ref="E47" r:id="rId4" xr:uid="{00000000-0004-0000-0100-000003000000}"/>
    <hyperlink ref="E49" r:id="rId5" xr:uid="{00000000-0004-0000-0100-000004000000}"/>
    <hyperlink ref="E50" r:id="rId6" xr:uid="{00000000-0004-0000-0100-000005000000}"/>
    <hyperlink ref="E51" r:id="rId7" xr:uid="{00000000-0004-0000-0100-000006000000}"/>
    <hyperlink ref="E48" r:id="rId8" xr:uid="{00000000-0004-0000-0100-000007000000}"/>
    <hyperlink ref="E15" r:id="rId9" xr:uid="{00000000-0004-0000-0100-000008000000}"/>
  </hyperlinks>
  <pageMargins left="0.7" right="0.7" top="0.75" bottom="0.75" header="0.3" footer="0.3"/>
  <pageSetup paperSize="9"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33"/>
  <sheetViews>
    <sheetView showGridLines="0" zoomScale="85" zoomScaleNormal="85" workbookViewId="0">
      <pane xSplit="2" ySplit="7" topLeftCell="C8" activePane="bottomRight" state="frozen"/>
      <selection pane="topRight"/>
      <selection pane="bottomLeft"/>
      <selection pane="bottomRight" activeCell="A29" sqref="A29:XFD29"/>
    </sheetView>
  </sheetViews>
  <sheetFormatPr defaultColWidth="9.109375" defaultRowHeight="14.4" x14ac:dyDescent="0.3"/>
  <cols>
    <col min="1" max="1" width="5.109375" style="8" bestFit="1" customWidth="1"/>
    <col min="2" max="2" width="40.6640625" style="8" customWidth="1"/>
    <col min="3" max="3" width="11" style="8" customWidth="1"/>
    <col min="4" max="4" width="12.109375" style="8" customWidth="1"/>
    <col min="5" max="29" width="12.88671875" style="8" customWidth="1"/>
    <col min="30" max="50" width="11.88671875" style="8" customWidth="1"/>
    <col min="51" max="54" width="12.109375" style="8" customWidth="1"/>
    <col min="55" max="56" width="10.5546875" style="8" bestFit="1" customWidth="1"/>
    <col min="57" max="16384" width="9.109375" style="8"/>
  </cols>
  <sheetData>
    <row r="1" spans="1:29" ht="15" thickBot="1" x14ac:dyDescent="0.35">
      <c r="E1" s="9"/>
      <c r="T1" s="10"/>
      <c r="U1" s="9"/>
      <c r="W1" s="11"/>
      <c r="X1" s="11"/>
    </row>
    <row r="2" spans="1:29" ht="15" thickBot="1" x14ac:dyDescent="0.35">
      <c r="B2" s="159" t="s">
        <v>23</v>
      </c>
      <c r="C2" s="438" t="str">
        <f>'Project Cost'!C3</f>
        <v>SB Energy One Private Limited</v>
      </c>
      <c r="D2" s="438"/>
      <c r="E2" s="439"/>
      <c r="T2" s="10"/>
      <c r="U2" s="9"/>
      <c r="W2" s="11"/>
      <c r="X2" s="11"/>
    </row>
    <row r="3" spans="1:29" x14ac:dyDescent="0.3">
      <c r="T3" s="10"/>
      <c r="U3" s="9"/>
      <c r="W3" s="11"/>
      <c r="X3" s="11"/>
    </row>
    <row r="4" spans="1:29" x14ac:dyDescent="0.3">
      <c r="B4" s="442" t="s">
        <v>24</v>
      </c>
      <c r="C4" s="443"/>
      <c r="L4" s="13"/>
      <c r="T4" s="10"/>
      <c r="U4" s="9"/>
      <c r="W4" s="11"/>
      <c r="X4" s="11"/>
    </row>
    <row r="5" spans="1:29" ht="15" thickBot="1" x14ac:dyDescent="0.35"/>
    <row r="6" spans="1:29" x14ac:dyDescent="0.3">
      <c r="A6" s="14"/>
      <c r="B6" s="15" t="s">
        <v>25</v>
      </c>
      <c r="C6" s="16">
        <f>Assumption!C10</f>
        <v>43343</v>
      </c>
      <c r="D6" s="17">
        <f>IF(MONTH(C6)&lt;=3,DATE(YEAR(C6),3,31),DATE(YEAR(C6)+1,3,31))</f>
        <v>43555</v>
      </c>
      <c r="E6" s="17">
        <f t="shared" ref="E6:W6" si="0">DATE(YEAR(D6)+1,3,31)</f>
        <v>43921</v>
      </c>
      <c r="F6" s="17">
        <f t="shared" si="0"/>
        <v>44286</v>
      </c>
      <c r="G6" s="17">
        <f t="shared" si="0"/>
        <v>44651</v>
      </c>
      <c r="H6" s="17">
        <f t="shared" si="0"/>
        <v>45016</v>
      </c>
      <c r="I6" s="17">
        <f t="shared" si="0"/>
        <v>45382</v>
      </c>
      <c r="J6" s="17">
        <f t="shared" si="0"/>
        <v>45747</v>
      </c>
      <c r="K6" s="17">
        <f t="shared" si="0"/>
        <v>46112</v>
      </c>
      <c r="L6" s="17">
        <f t="shared" si="0"/>
        <v>46477</v>
      </c>
      <c r="M6" s="17">
        <f t="shared" si="0"/>
        <v>46843</v>
      </c>
      <c r="N6" s="17">
        <f t="shared" si="0"/>
        <v>47208</v>
      </c>
      <c r="O6" s="17">
        <f t="shared" si="0"/>
        <v>47573</v>
      </c>
      <c r="P6" s="17">
        <f t="shared" si="0"/>
        <v>47938</v>
      </c>
      <c r="Q6" s="17">
        <f t="shared" si="0"/>
        <v>48304</v>
      </c>
      <c r="R6" s="17">
        <f t="shared" si="0"/>
        <v>48669</v>
      </c>
      <c r="S6" s="17">
        <f t="shared" si="0"/>
        <v>49034</v>
      </c>
      <c r="T6" s="17">
        <f t="shared" si="0"/>
        <v>49399</v>
      </c>
      <c r="U6" s="17">
        <f t="shared" si="0"/>
        <v>49765</v>
      </c>
      <c r="V6" s="17">
        <f t="shared" si="0"/>
        <v>50130</v>
      </c>
      <c r="W6" s="17">
        <f t="shared" si="0"/>
        <v>50495</v>
      </c>
      <c r="X6" s="17">
        <f t="shared" ref="X6" si="1">DATE(YEAR(W6)+1,3,31)</f>
        <v>50860</v>
      </c>
      <c r="Y6" s="244">
        <f t="shared" ref="Y6" si="2">DATE(YEAR(X6)+1,3,31)</f>
        <v>51226</v>
      </c>
      <c r="Z6" s="17">
        <f t="shared" ref="Z6" si="3">DATE(YEAR(Y6)+1,3,31)</f>
        <v>51591</v>
      </c>
      <c r="AA6" s="244">
        <f t="shared" ref="AA6" si="4">DATE(YEAR(Z6)+1,3,31)</f>
        <v>51956</v>
      </c>
      <c r="AB6" s="17">
        <f t="shared" ref="AB6" si="5">DATE(YEAR(AA6)+1,3,31)</f>
        <v>52321</v>
      </c>
      <c r="AC6" s="272">
        <f>DATE(YEAR(AB6)+1,3,31)-1</f>
        <v>52686</v>
      </c>
    </row>
    <row r="7" spans="1:29" s="13" customFormat="1" ht="15" thickBot="1" x14ac:dyDescent="0.35">
      <c r="A7" s="18"/>
      <c r="B7" s="273" t="s">
        <v>26</v>
      </c>
      <c r="C7" s="246"/>
      <c r="D7" s="274">
        <f>IF(D6=C6,0,1)</f>
        <v>1</v>
      </c>
      <c r="E7" s="246">
        <f>D7+1</f>
        <v>2</v>
      </c>
      <c r="F7" s="246">
        <f t="shared" ref="F7:W7" si="6">E7+1</f>
        <v>3</v>
      </c>
      <c r="G7" s="246">
        <f t="shared" si="6"/>
        <v>4</v>
      </c>
      <c r="H7" s="246">
        <f t="shared" si="6"/>
        <v>5</v>
      </c>
      <c r="I7" s="246">
        <f t="shared" si="6"/>
        <v>6</v>
      </c>
      <c r="J7" s="246">
        <f t="shared" si="6"/>
        <v>7</v>
      </c>
      <c r="K7" s="246">
        <f t="shared" si="6"/>
        <v>8</v>
      </c>
      <c r="L7" s="246">
        <f t="shared" si="6"/>
        <v>9</v>
      </c>
      <c r="M7" s="246">
        <f t="shared" si="6"/>
        <v>10</v>
      </c>
      <c r="N7" s="246">
        <f t="shared" si="6"/>
        <v>11</v>
      </c>
      <c r="O7" s="246">
        <f t="shared" si="6"/>
        <v>12</v>
      </c>
      <c r="P7" s="246">
        <f t="shared" si="6"/>
        <v>13</v>
      </c>
      <c r="Q7" s="246">
        <f t="shared" si="6"/>
        <v>14</v>
      </c>
      <c r="R7" s="246">
        <f t="shared" si="6"/>
        <v>15</v>
      </c>
      <c r="S7" s="246">
        <f t="shared" si="6"/>
        <v>16</v>
      </c>
      <c r="T7" s="246">
        <f t="shared" si="6"/>
        <v>17</v>
      </c>
      <c r="U7" s="246">
        <f t="shared" si="6"/>
        <v>18</v>
      </c>
      <c r="V7" s="246">
        <f t="shared" si="6"/>
        <v>19</v>
      </c>
      <c r="W7" s="246">
        <f t="shared" si="6"/>
        <v>20</v>
      </c>
      <c r="X7" s="246">
        <f>W7+1</f>
        <v>21</v>
      </c>
      <c r="Y7" s="245">
        <f t="shared" ref="Y7" si="7">X7+1</f>
        <v>22</v>
      </c>
      <c r="Z7" s="246">
        <f>Y7+1</f>
        <v>23</v>
      </c>
      <c r="AA7" s="245">
        <f t="shared" ref="AA7:AB7" si="8">Z7+1</f>
        <v>24</v>
      </c>
      <c r="AB7" s="246">
        <f t="shared" si="8"/>
        <v>25</v>
      </c>
      <c r="AC7" s="275">
        <f t="shared" ref="AC7" si="9">AB7+1</f>
        <v>26</v>
      </c>
    </row>
    <row r="8" spans="1:29" s="13" customFormat="1" ht="15" thickBot="1" x14ac:dyDescent="0.35">
      <c r="A8" s="18"/>
      <c r="B8" s="19"/>
      <c r="C8" s="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9" s="13" customFormat="1" x14ac:dyDescent="0.3">
      <c r="A9" s="18"/>
      <c r="B9" s="22" t="s">
        <v>27</v>
      </c>
      <c r="C9" s="23" t="s">
        <v>28</v>
      </c>
      <c r="D9" s="118">
        <f>Assumption!C9*1000</f>
        <v>300000</v>
      </c>
      <c r="E9" s="118">
        <f>D9</f>
        <v>300000</v>
      </c>
      <c r="F9" s="118">
        <f t="shared" ref="F9:AC9" si="10">E9</f>
        <v>300000</v>
      </c>
      <c r="G9" s="118">
        <f t="shared" si="10"/>
        <v>300000</v>
      </c>
      <c r="H9" s="118">
        <f t="shared" si="10"/>
        <v>300000</v>
      </c>
      <c r="I9" s="118">
        <f t="shared" si="10"/>
        <v>300000</v>
      </c>
      <c r="J9" s="118">
        <f t="shared" si="10"/>
        <v>300000</v>
      </c>
      <c r="K9" s="118">
        <f t="shared" si="10"/>
        <v>300000</v>
      </c>
      <c r="L9" s="118">
        <f t="shared" si="10"/>
        <v>300000</v>
      </c>
      <c r="M9" s="118">
        <f t="shared" si="10"/>
        <v>300000</v>
      </c>
      <c r="N9" s="118">
        <f t="shared" si="10"/>
        <v>300000</v>
      </c>
      <c r="O9" s="118">
        <f t="shared" si="10"/>
        <v>300000</v>
      </c>
      <c r="P9" s="118">
        <f t="shared" si="10"/>
        <v>300000</v>
      </c>
      <c r="Q9" s="118">
        <f t="shared" si="10"/>
        <v>300000</v>
      </c>
      <c r="R9" s="118">
        <f t="shared" si="10"/>
        <v>300000</v>
      </c>
      <c r="S9" s="118">
        <f t="shared" si="10"/>
        <v>300000</v>
      </c>
      <c r="T9" s="118">
        <f t="shared" si="10"/>
        <v>300000</v>
      </c>
      <c r="U9" s="118">
        <f t="shared" si="10"/>
        <v>300000</v>
      </c>
      <c r="V9" s="118">
        <f t="shared" si="10"/>
        <v>300000</v>
      </c>
      <c r="W9" s="118">
        <f t="shared" si="10"/>
        <v>300000</v>
      </c>
      <c r="X9" s="118">
        <f t="shared" si="10"/>
        <v>300000</v>
      </c>
      <c r="Y9" s="234">
        <f t="shared" si="10"/>
        <v>300000</v>
      </c>
      <c r="Z9" s="118">
        <f t="shared" si="10"/>
        <v>300000</v>
      </c>
      <c r="AA9" s="234">
        <f t="shared" si="10"/>
        <v>300000</v>
      </c>
      <c r="AB9" s="118">
        <f t="shared" si="10"/>
        <v>300000</v>
      </c>
      <c r="AC9" s="276">
        <f t="shared" si="10"/>
        <v>300000</v>
      </c>
    </row>
    <row r="10" spans="1:29" x14ac:dyDescent="0.3">
      <c r="A10" s="14"/>
      <c r="B10" s="277" t="s">
        <v>29</v>
      </c>
      <c r="C10" s="278" t="s">
        <v>18</v>
      </c>
      <c r="D10" s="239">
        <f>Assumption!$C$13</f>
        <v>0.28079999999999999</v>
      </c>
      <c r="E10" s="239">
        <f>Assumption!$C$13</f>
        <v>0.28079999999999999</v>
      </c>
      <c r="F10" s="239">
        <f>Assumption!$C$13</f>
        <v>0.28079999999999999</v>
      </c>
      <c r="G10" s="239">
        <f>Assumption!$C$13</f>
        <v>0.28079999999999999</v>
      </c>
      <c r="H10" s="239">
        <f>Assumption!$C$13</f>
        <v>0.28079999999999999</v>
      </c>
      <c r="I10" s="239">
        <f>Assumption!$C$13</f>
        <v>0.28079999999999999</v>
      </c>
      <c r="J10" s="239">
        <f>Assumption!$C$13</f>
        <v>0.28079999999999999</v>
      </c>
      <c r="K10" s="239">
        <f>Assumption!$C$13</f>
        <v>0.28079999999999999</v>
      </c>
      <c r="L10" s="239">
        <f>Assumption!$C$13</f>
        <v>0.28079999999999999</v>
      </c>
      <c r="M10" s="239">
        <f>Assumption!$C$13</f>
        <v>0.28079999999999999</v>
      </c>
      <c r="N10" s="239">
        <f>Assumption!$C$13</f>
        <v>0.28079999999999999</v>
      </c>
      <c r="O10" s="239">
        <f>Assumption!$C$13</f>
        <v>0.28079999999999999</v>
      </c>
      <c r="P10" s="239">
        <f>Assumption!$C$13</f>
        <v>0.28079999999999999</v>
      </c>
      <c r="Q10" s="239">
        <f>Assumption!$C$13</f>
        <v>0.28079999999999999</v>
      </c>
      <c r="R10" s="239">
        <f>Assumption!$C$13</f>
        <v>0.28079999999999999</v>
      </c>
      <c r="S10" s="239">
        <f>Assumption!$C$13</f>
        <v>0.28079999999999999</v>
      </c>
      <c r="T10" s="239">
        <f>Assumption!$C$13</f>
        <v>0.28079999999999999</v>
      </c>
      <c r="U10" s="239">
        <f>Assumption!$C$13</f>
        <v>0.28079999999999999</v>
      </c>
      <c r="V10" s="239">
        <f>Assumption!$C$13</f>
        <v>0.28079999999999999</v>
      </c>
      <c r="W10" s="239">
        <f>Assumption!$C$13</f>
        <v>0.28079999999999999</v>
      </c>
      <c r="X10" s="239">
        <f>Assumption!$C$13</f>
        <v>0.28079999999999999</v>
      </c>
      <c r="Y10" s="235">
        <f>Assumption!$C$13</f>
        <v>0.28079999999999999</v>
      </c>
      <c r="Z10" s="239">
        <f>Assumption!$C$13</f>
        <v>0.28079999999999999</v>
      </c>
      <c r="AA10" s="235">
        <f>Assumption!$C$13</f>
        <v>0.28079999999999999</v>
      </c>
      <c r="AB10" s="239">
        <f>Assumption!$C$13</f>
        <v>0.28079999999999999</v>
      </c>
      <c r="AC10" s="279">
        <f>Assumption!$C$13</f>
        <v>0.28079999999999999</v>
      </c>
    </row>
    <row r="11" spans="1:29" s="13" customFormat="1" x14ac:dyDescent="0.3">
      <c r="A11" s="18"/>
      <c r="B11" s="280" t="s">
        <v>30</v>
      </c>
      <c r="C11" s="281"/>
      <c r="D11" s="240">
        <f>D6-C6+1</f>
        <v>213</v>
      </c>
      <c r="E11" s="240">
        <f t="shared" ref="E11:W11" si="11">E6-D6</f>
        <v>366</v>
      </c>
      <c r="F11" s="240">
        <f t="shared" si="11"/>
        <v>365</v>
      </c>
      <c r="G11" s="240">
        <f t="shared" si="11"/>
        <v>365</v>
      </c>
      <c r="H11" s="240">
        <f t="shared" si="11"/>
        <v>365</v>
      </c>
      <c r="I11" s="240">
        <f t="shared" si="11"/>
        <v>366</v>
      </c>
      <c r="J11" s="240">
        <f t="shared" si="11"/>
        <v>365</v>
      </c>
      <c r="K11" s="240">
        <f t="shared" si="11"/>
        <v>365</v>
      </c>
      <c r="L11" s="240">
        <f t="shared" si="11"/>
        <v>365</v>
      </c>
      <c r="M11" s="240">
        <f t="shared" si="11"/>
        <v>366</v>
      </c>
      <c r="N11" s="240">
        <f t="shared" si="11"/>
        <v>365</v>
      </c>
      <c r="O11" s="240">
        <f t="shared" si="11"/>
        <v>365</v>
      </c>
      <c r="P11" s="240">
        <f t="shared" si="11"/>
        <v>365</v>
      </c>
      <c r="Q11" s="240">
        <f t="shared" si="11"/>
        <v>366</v>
      </c>
      <c r="R11" s="240">
        <f t="shared" si="11"/>
        <v>365</v>
      </c>
      <c r="S11" s="240">
        <f t="shared" si="11"/>
        <v>365</v>
      </c>
      <c r="T11" s="240">
        <f t="shared" si="11"/>
        <v>365</v>
      </c>
      <c r="U11" s="240">
        <f t="shared" si="11"/>
        <v>366</v>
      </c>
      <c r="V11" s="240">
        <f t="shared" si="11"/>
        <v>365</v>
      </c>
      <c r="W11" s="240">
        <f t="shared" si="11"/>
        <v>365</v>
      </c>
      <c r="X11" s="240">
        <f>X6-W6</f>
        <v>365</v>
      </c>
      <c r="Y11" s="236">
        <f t="shared" ref="Y11:Z11" si="12">Y6-X6</f>
        <v>366</v>
      </c>
      <c r="Z11" s="240">
        <f t="shared" si="12"/>
        <v>365</v>
      </c>
      <c r="AA11" s="236">
        <f t="shared" ref="AA11:AB11" si="13">AA6-Z6</f>
        <v>365</v>
      </c>
      <c r="AB11" s="240">
        <f t="shared" si="13"/>
        <v>365</v>
      </c>
      <c r="AC11" s="282">
        <f>AC6-AB6-D11</f>
        <v>152</v>
      </c>
    </row>
    <row r="12" spans="1:29" s="13" customFormat="1" x14ac:dyDescent="0.3">
      <c r="A12" s="18"/>
      <c r="B12" s="280" t="s">
        <v>31</v>
      </c>
      <c r="C12" s="281" t="s">
        <v>32</v>
      </c>
      <c r="D12" s="240">
        <f t="shared" ref="D12:AB12" si="14">D11*24</f>
        <v>5112</v>
      </c>
      <c r="E12" s="240">
        <f t="shared" si="14"/>
        <v>8784</v>
      </c>
      <c r="F12" s="240">
        <f t="shared" si="14"/>
        <v>8760</v>
      </c>
      <c r="G12" s="240">
        <f t="shared" si="14"/>
        <v>8760</v>
      </c>
      <c r="H12" s="240">
        <f t="shared" si="14"/>
        <v>8760</v>
      </c>
      <c r="I12" s="240">
        <f t="shared" si="14"/>
        <v>8784</v>
      </c>
      <c r="J12" s="240">
        <f t="shared" si="14"/>
        <v>8760</v>
      </c>
      <c r="K12" s="240">
        <f t="shared" si="14"/>
        <v>8760</v>
      </c>
      <c r="L12" s="240">
        <f t="shared" si="14"/>
        <v>8760</v>
      </c>
      <c r="M12" s="240">
        <f t="shared" si="14"/>
        <v>8784</v>
      </c>
      <c r="N12" s="240">
        <f t="shared" si="14"/>
        <v>8760</v>
      </c>
      <c r="O12" s="240">
        <f t="shared" si="14"/>
        <v>8760</v>
      </c>
      <c r="P12" s="240">
        <f t="shared" si="14"/>
        <v>8760</v>
      </c>
      <c r="Q12" s="240">
        <f t="shared" si="14"/>
        <v>8784</v>
      </c>
      <c r="R12" s="240">
        <f t="shared" si="14"/>
        <v>8760</v>
      </c>
      <c r="S12" s="240">
        <f t="shared" si="14"/>
        <v>8760</v>
      </c>
      <c r="T12" s="240">
        <f t="shared" si="14"/>
        <v>8760</v>
      </c>
      <c r="U12" s="240">
        <f t="shared" si="14"/>
        <v>8784</v>
      </c>
      <c r="V12" s="240">
        <f t="shared" si="14"/>
        <v>8760</v>
      </c>
      <c r="W12" s="240">
        <f t="shared" ref="W12:AC12" si="15">W11*24</f>
        <v>8760</v>
      </c>
      <c r="X12" s="240">
        <f t="shared" si="14"/>
        <v>8760</v>
      </c>
      <c r="Y12" s="236">
        <f t="shared" si="15"/>
        <v>8784</v>
      </c>
      <c r="Z12" s="240">
        <f t="shared" si="14"/>
        <v>8760</v>
      </c>
      <c r="AA12" s="236">
        <f t="shared" si="15"/>
        <v>8760</v>
      </c>
      <c r="AB12" s="240">
        <f t="shared" si="14"/>
        <v>8760</v>
      </c>
      <c r="AC12" s="282">
        <f t="shared" si="15"/>
        <v>3648</v>
      </c>
    </row>
    <row r="13" spans="1:29" s="13" customFormat="1" x14ac:dyDescent="0.3">
      <c r="A13" s="18"/>
      <c r="B13" s="283" t="s">
        <v>97</v>
      </c>
      <c r="C13" s="284" t="s">
        <v>98</v>
      </c>
      <c r="D13" s="285">
        <f>D9*D10*D12</f>
        <v>430634880</v>
      </c>
      <c r="E13" s="241">
        <f t="shared" ref="E13:AC13" si="16">E9*E10*E12</f>
        <v>739964160</v>
      </c>
      <c r="F13" s="241">
        <f t="shared" si="16"/>
        <v>737942400</v>
      </c>
      <c r="G13" s="241">
        <f t="shared" si="16"/>
        <v>737942400</v>
      </c>
      <c r="H13" s="241">
        <f t="shared" si="16"/>
        <v>737942400</v>
      </c>
      <c r="I13" s="241">
        <f t="shared" si="16"/>
        <v>739964160</v>
      </c>
      <c r="J13" s="241">
        <f t="shared" si="16"/>
        <v>737942400</v>
      </c>
      <c r="K13" s="241">
        <f t="shared" si="16"/>
        <v>737942400</v>
      </c>
      <c r="L13" s="241">
        <f t="shared" si="16"/>
        <v>737942400</v>
      </c>
      <c r="M13" s="241">
        <f t="shared" si="16"/>
        <v>739964160</v>
      </c>
      <c r="N13" s="241">
        <f t="shared" si="16"/>
        <v>737942400</v>
      </c>
      <c r="O13" s="241">
        <f t="shared" si="16"/>
        <v>737942400</v>
      </c>
      <c r="P13" s="241">
        <f t="shared" si="16"/>
        <v>737942400</v>
      </c>
      <c r="Q13" s="241">
        <f t="shared" si="16"/>
        <v>739964160</v>
      </c>
      <c r="R13" s="241">
        <f t="shared" si="16"/>
        <v>737942400</v>
      </c>
      <c r="S13" s="241">
        <f t="shared" si="16"/>
        <v>737942400</v>
      </c>
      <c r="T13" s="241">
        <f t="shared" si="16"/>
        <v>737942400</v>
      </c>
      <c r="U13" s="241">
        <f t="shared" si="16"/>
        <v>739964160</v>
      </c>
      <c r="V13" s="241">
        <f t="shared" si="16"/>
        <v>737942400</v>
      </c>
      <c r="W13" s="241">
        <f t="shared" si="16"/>
        <v>737942400</v>
      </c>
      <c r="X13" s="241">
        <f t="shared" si="16"/>
        <v>737942400</v>
      </c>
      <c r="Y13" s="237">
        <f t="shared" si="16"/>
        <v>739964160</v>
      </c>
      <c r="Z13" s="241">
        <f t="shared" si="16"/>
        <v>737942400</v>
      </c>
      <c r="AA13" s="237">
        <f t="shared" si="16"/>
        <v>737942400</v>
      </c>
      <c r="AB13" s="241">
        <f t="shared" si="16"/>
        <v>737942400</v>
      </c>
      <c r="AC13" s="286">
        <f t="shared" si="16"/>
        <v>307307520</v>
      </c>
    </row>
    <row r="14" spans="1:29" s="13" customFormat="1" x14ac:dyDescent="0.3">
      <c r="A14" s="18"/>
      <c r="B14" s="283" t="s">
        <v>165</v>
      </c>
      <c r="C14" s="284" t="s">
        <v>18</v>
      </c>
      <c r="D14" s="242"/>
      <c r="E14" s="242">
        <f>Assumption!C15</f>
        <v>5.0000000000000001E-3</v>
      </c>
      <c r="F14" s="242">
        <f>E14+Assumption!$C$15</f>
        <v>0.01</v>
      </c>
      <c r="G14" s="242">
        <f>F14+Assumption!$C$15</f>
        <v>1.4999999999999999E-2</v>
      </c>
      <c r="H14" s="242">
        <f>G14+Assumption!$C$15</f>
        <v>0.02</v>
      </c>
      <c r="I14" s="242">
        <f>H14+Assumption!$C$15</f>
        <v>2.5000000000000001E-2</v>
      </c>
      <c r="J14" s="242">
        <f>I14+Assumption!$C$15</f>
        <v>3.0000000000000002E-2</v>
      </c>
      <c r="K14" s="242">
        <f>J14+Assumption!$C$15</f>
        <v>3.5000000000000003E-2</v>
      </c>
      <c r="L14" s="242">
        <f>K14+Assumption!$C$15</f>
        <v>0.04</v>
      </c>
      <c r="M14" s="242">
        <f>L14+Assumption!$C$15</f>
        <v>4.4999999999999998E-2</v>
      </c>
      <c r="N14" s="242">
        <f>M14+Assumption!$C$15</f>
        <v>4.9999999999999996E-2</v>
      </c>
      <c r="O14" s="242">
        <f>N14+Assumption!$C$15</f>
        <v>5.4999999999999993E-2</v>
      </c>
      <c r="P14" s="242">
        <f>O14+Assumption!$C$15</f>
        <v>5.9999999999999991E-2</v>
      </c>
      <c r="Q14" s="242">
        <f>P14+Assumption!$C$15</f>
        <v>6.4999999999999988E-2</v>
      </c>
      <c r="R14" s="242">
        <f>Q14+Assumption!$C$15</f>
        <v>6.9999999999999993E-2</v>
      </c>
      <c r="S14" s="242">
        <f>R14+Assumption!$C$15</f>
        <v>7.4999999999999997E-2</v>
      </c>
      <c r="T14" s="242">
        <f>S14+Assumption!$C$15</f>
        <v>0.08</v>
      </c>
      <c r="U14" s="242">
        <f>T14+Assumption!$C$15</f>
        <v>8.5000000000000006E-2</v>
      </c>
      <c r="V14" s="242">
        <f>U14+Assumption!$C$15</f>
        <v>9.0000000000000011E-2</v>
      </c>
      <c r="W14" s="242">
        <f>V14+Assumption!$C$15</f>
        <v>9.5000000000000015E-2</v>
      </c>
      <c r="X14" s="242">
        <f>W14+Assumption!$C$15</f>
        <v>0.10000000000000002</v>
      </c>
      <c r="Y14" s="242">
        <f>X14+Assumption!$C$15</f>
        <v>0.10500000000000002</v>
      </c>
      <c r="Z14" s="242">
        <f>Y14+Assumption!$C$15</f>
        <v>0.11000000000000003</v>
      </c>
      <c r="AA14" s="242">
        <f>Z14+Assumption!$C$15</f>
        <v>0.11500000000000003</v>
      </c>
      <c r="AB14" s="242">
        <f>AA14+Assumption!$C$15</f>
        <v>0.12000000000000004</v>
      </c>
      <c r="AC14" s="242">
        <f>AB14+Assumption!$C$15</f>
        <v>0.12500000000000003</v>
      </c>
    </row>
    <row r="15" spans="1:29" ht="15" thickBot="1" x14ac:dyDescent="0.35">
      <c r="B15" s="287" t="s">
        <v>111</v>
      </c>
      <c r="C15" s="288" t="s">
        <v>98</v>
      </c>
      <c r="D15" s="243">
        <f>D13*(1-D14)</f>
        <v>430634880</v>
      </c>
      <c r="E15" s="243">
        <f t="shared" ref="E15:AC15" si="17">E13*(1-E14)</f>
        <v>736264339.20000005</v>
      </c>
      <c r="F15" s="243">
        <f t="shared" si="17"/>
        <v>730562976</v>
      </c>
      <c r="G15" s="243">
        <f t="shared" si="17"/>
        <v>726873264</v>
      </c>
      <c r="H15" s="243">
        <f t="shared" si="17"/>
        <v>723183552</v>
      </c>
      <c r="I15" s="243">
        <f t="shared" si="17"/>
        <v>721465056</v>
      </c>
      <c r="J15" s="243">
        <f t="shared" si="17"/>
        <v>715804128</v>
      </c>
      <c r="K15" s="243">
        <f t="shared" si="17"/>
        <v>712114416</v>
      </c>
      <c r="L15" s="243">
        <f t="shared" si="17"/>
        <v>708424704</v>
      </c>
      <c r="M15" s="243">
        <f t="shared" si="17"/>
        <v>706665772.79999995</v>
      </c>
      <c r="N15" s="243">
        <f t="shared" si="17"/>
        <v>701045280</v>
      </c>
      <c r="O15" s="243">
        <f t="shared" si="17"/>
        <v>697355568</v>
      </c>
      <c r="P15" s="243">
        <f t="shared" si="17"/>
        <v>693665856</v>
      </c>
      <c r="Q15" s="243">
        <f t="shared" si="17"/>
        <v>691866489.60000002</v>
      </c>
      <c r="R15" s="243">
        <f t="shared" si="17"/>
        <v>686286432</v>
      </c>
      <c r="S15" s="243">
        <f t="shared" si="17"/>
        <v>682596720</v>
      </c>
      <c r="T15" s="243">
        <f t="shared" si="17"/>
        <v>678907008</v>
      </c>
      <c r="U15" s="243">
        <f t="shared" si="17"/>
        <v>677067206.39999998</v>
      </c>
      <c r="V15" s="243">
        <f t="shared" si="17"/>
        <v>671527584</v>
      </c>
      <c r="W15" s="243">
        <f t="shared" si="17"/>
        <v>667837872</v>
      </c>
      <c r="X15" s="243">
        <f t="shared" si="17"/>
        <v>664148160</v>
      </c>
      <c r="Y15" s="238">
        <f t="shared" si="17"/>
        <v>662267923.20000005</v>
      </c>
      <c r="Z15" s="243">
        <f t="shared" si="17"/>
        <v>656768736</v>
      </c>
      <c r="AA15" s="238">
        <f t="shared" si="17"/>
        <v>653079024</v>
      </c>
      <c r="AB15" s="243">
        <f t="shared" si="17"/>
        <v>649389312</v>
      </c>
      <c r="AC15" s="289">
        <f t="shared" si="17"/>
        <v>268894080</v>
      </c>
    </row>
    <row r="16" spans="1:29" ht="15" thickBot="1" x14ac:dyDescent="0.35">
      <c r="B16" s="115"/>
      <c r="D16" s="116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</row>
    <row r="17" spans="1:29" ht="15" thickBot="1" x14ac:dyDescent="0.35">
      <c r="A17" s="14"/>
      <c r="B17" s="98" t="s">
        <v>159</v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spans="1:29" x14ac:dyDescent="0.3">
      <c r="B18" s="27" t="s">
        <v>160</v>
      </c>
      <c r="C18" s="28" t="s">
        <v>98</v>
      </c>
      <c r="D18" s="29">
        <f>D15*(1-Assumption!$C$18)</f>
        <v>430634880</v>
      </c>
      <c r="E18" s="29">
        <f>E15*(1-Assumption!$C$18)</f>
        <v>736264339.20000005</v>
      </c>
      <c r="F18" s="29">
        <f>F15*(1-Assumption!$C$18)</f>
        <v>730562976</v>
      </c>
      <c r="G18" s="29">
        <f>G15*(1-Assumption!$C$18)</f>
        <v>726873264</v>
      </c>
      <c r="H18" s="29">
        <f>H15*(1-Assumption!$C$18)</f>
        <v>723183552</v>
      </c>
      <c r="I18" s="29">
        <f>I15*(1-Assumption!$C$18)</f>
        <v>721465056</v>
      </c>
      <c r="J18" s="29">
        <f>J15*(1-Assumption!$C$18)</f>
        <v>715804128</v>
      </c>
      <c r="K18" s="29">
        <f>K15*(1-Assumption!$C$18)</f>
        <v>712114416</v>
      </c>
      <c r="L18" s="29">
        <f>L15*(1-Assumption!$C$18)</f>
        <v>708424704</v>
      </c>
      <c r="M18" s="29">
        <f>M15*(1-Assumption!$C$18)</f>
        <v>706665772.79999995</v>
      </c>
      <c r="N18" s="29">
        <f>N15*(1-Assumption!$C$18)</f>
        <v>701045280</v>
      </c>
      <c r="O18" s="29">
        <f>O15*(1-Assumption!$C$18)</f>
        <v>697355568</v>
      </c>
      <c r="P18" s="29">
        <f>P15*(1-Assumption!$C$18)</f>
        <v>693665856</v>
      </c>
      <c r="Q18" s="29">
        <f>Q15*(1-Assumption!$C$18)</f>
        <v>691866489.60000002</v>
      </c>
      <c r="R18" s="29">
        <f>R15*(1-Assumption!$C$18)</f>
        <v>686286432</v>
      </c>
      <c r="S18" s="29">
        <f>S15*(1-Assumption!$C$18)</f>
        <v>682596720</v>
      </c>
      <c r="T18" s="29">
        <f>T15*(1-Assumption!$C$18)</f>
        <v>678907008</v>
      </c>
      <c r="U18" s="29">
        <f>U15*(1-Assumption!$C$18)</f>
        <v>677067206.39999998</v>
      </c>
      <c r="V18" s="29">
        <f>V15*(1-Assumption!$C$18)</f>
        <v>671527584</v>
      </c>
      <c r="W18" s="29">
        <f>W15*(1-Assumption!$C$18)</f>
        <v>667837872</v>
      </c>
      <c r="X18" s="29">
        <f>X15*(1-Assumption!$C$18)</f>
        <v>664148160</v>
      </c>
      <c r="Y18" s="29">
        <f>Y15*(1-Assumption!$C$18)</f>
        <v>662267923.20000005</v>
      </c>
      <c r="Z18" s="29">
        <f>Z15*(1-Assumption!$C$18)</f>
        <v>656768736</v>
      </c>
      <c r="AA18" s="251">
        <f>AA15*(1-Assumption!$C$18)</f>
        <v>653079024</v>
      </c>
      <c r="AB18" s="29">
        <f>AB15*(1-Assumption!$C$18)</f>
        <v>649389312</v>
      </c>
      <c r="AC18" s="290">
        <f>AC15*(1-Assumption!$C$18)</f>
        <v>268894080</v>
      </c>
    </row>
    <row r="19" spans="1:29" x14ac:dyDescent="0.3">
      <c r="B19" s="291"/>
      <c r="C19" s="292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53"/>
      <c r="Z19" s="253"/>
      <c r="AA19" s="252"/>
      <c r="AB19" s="253"/>
      <c r="AC19" s="293"/>
    </row>
    <row r="20" spans="1:29" x14ac:dyDescent="0.3">
      <c r="A20" s="14"/>
      <c r="B20" s="291" t="s">
        <v>33</v>
      </c>
      <c r="C20" s="292" t="s">
        <v>34</v>
      </c>
      <c r="D20" s="294">
        <f>Assumption!C16</f>
        <v>2.4500000000000002</v>
      </c>
      <c r="E20" s="249">
        <f>D20*(1+Assumption!$C$17)</f>
        <v>2.4500000000000002</v>
      </c>
      <c r="F20" s="249">
        <f>E20*(1+Assumption!$C$17)</f>
        <v>2.4500000000000002</v>
      </c>
      <c r="G20" s="249">
        <f>F20*(1+Assumption!$C$17)</f>
        <v>2.4500000000000002</v>
      </c>
      <c r="H20" s="249">
        <f>G20*(1+Assumption!$C$17)</f>
        <v>2.4500000000000002</v>
      </c>
      <c r="I20" s="249">
        <f>H20*(1+Assumption!$C$17)</f>
        <v>2.4500000000000002</v>
      </c>
      <c r="J20" s="249">
        <f>I20*(1+Assumption!$C$17)</f>
        <v>2.4500000000000002</v>
      </c>
      <c r="K20" s="249">
        <f>J20*(1+Assumption!$C$17)</f>
        <v>2.4500000000000002</v>
      </c>
      <c r="L20" s="249">
        <f>K20*(1+Assumption!$C$17)</f>
        <v>2.4500000000000002</v>
      </c>
      <c r="M20" s="249">
        <f>L20*(1+Assumption!$C$17)</f>
        <v>2.4500000000000002</v>
      </c>
      <c r="N20" s="249">
        <f>M20</f>
        <v>2.4500000000000002</v>
      </c>
      <c r="O20" s="249">
        <f>N20</f>
        <v>2.4500000000000002</v>
      </c>
      <c r="P20" s="249">
        <f t="shared" ref="P20:AC20" si="18">O20</f>
        <v>2.4500000000000002</v>
      </c>
      <c r="Q20" s="249">
        <f t="shared" si="18"/>
        <v>2.4500000000000002</v>
      </c>
      <c r="R20" s="249">
        <f t="shared" si="18"/>
        <v>2.4500000000000002</v>
      </c>
      <c r="S20" s="249">
        <f t="shared" si="18"/>
        <v>2.4500000000000002</v>
      </c>
      <c r="T20" s="249">
        <f t="shared" si="18"/>
        <v>2.4500000000000002</v>
      </c>
      <c r="U20" s="249">
        <f t="shared" si="18"/>
        <v>2.4500000000000002</v>
      </c>
      <c r="V20" s="249">
        <f t="shared" si="18"/>
        <v>2.4500000000000002</v>
      </c>
      <c r="W20" s="249">
        <f t="shared" si="18"/>
        <v>2.4500000000000002</v>
      </c>
      <c r="X20" s="249">
        <f t="shared" si="18"/>
        <v>2.4500000000000002</v>
      </c>
      <c r="Y20" s="249">
        <f t="shared" si="18"/>
        <v>2.4500000000000002</v>
      </c>
      <c r="Z20" s="249">
        <f t="shared" si="18"/>
        <v>2.4500000000000002</v>
      </c>
      <c r="AA20" s="247">
        <f t="shared" si="18"/>
        <v>2.4500000000000002</v>
      </c>
      <c r="AB20" s="249">
        <f t="shared" si="18"/>
        <v>2.4500000000000002</v>
      </c>
      <c r="AC20" s="295">
        <f t="shared" si="18"/>
        <v>2.4500000000000002</v>
      </c>
    </row>
    <row r="21" spans="1:29" x14ac:dyDescent="0.3">
      <c r="A21" s="18"/>
      <c r="B21" s="291"/>
      <c r="C21" s="292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53"/>
      <c r="Z21" s="253"/>
      <c r="AA21" s="252"/>
      <c r="AB21" s="253"/>
      <c r="AC21" s="293"/>
    </row>
    <row r="22" spans="1:29" x14ac:dyDescent="0.3">
      <c r="A22" s="18"/>
      <c r="B22" s="291" t="s">
        <v>176</v>
      </c>
      <c r="C22" s="292" t="s">
        <v>35</v>
      </c>
      <c r="D22" s="249">
        <f t="shared" ref="D22:T22" si="19">D18*D20/1000000</f>
        <v>1055.055456</v>
      </c>
      <c r="E22" s="249">
        <f t="shared" si="19"/>
        <v>1803.8476310400001</v>
      </c>
      <c r="F22" s="249">
        <f t="shared" si="19"/>
        <v>1789.8792912000001</v>
      </c>
      <c r="G22" s="249">
        <f t="shared" si="19"/>
        <v>1780.8394968000002</v>
      </c>
      <c r="H22" s="249">
        <f t="shared" si="19"/>
        <v>1771.7997024000001</v>
      </c>
      <c r="I22" s="249">
        <f t="shared" si="19"/>
        <v>1767.5893872000001</v>
      </c>
      <c r="J22" s="249">
        <f t="shared" si="19"/>
        <v>1753.7201136000001</v>
      </c>
      <c r="K22" s="249">
        <f t="shared" si="19"/>
        <v>1744.6803192</v>
      </c>
      <c r="L22" s="249">
        <f t="shared" si="19"/>
        <v>1735.6405248000001</v>
      </c>
      <c r="M22" s="249">
        <f t="shared" si="19"/>
        <v>1731.3311433599999</v>
      </c>
      <c r="N22" s="249">
        <f t="shared" si="19"/>
        <v>1717.5609360000003</v>
      </c>
      <c r="O22" s="249">
        <f t="shared" si="19"/>
        <v>1708.5211416000002</v>
      </c>
      <c r="P22" s="249">
        <f t="shared" si="19"/>
        <v>1699.4813472000001</v>
      </c>
      <c r="Q22" s="249">
        <f t="shared" si="19"/>
        <v>1695.0728995200002</v>
      </c>
      <c r="R22" s="249">
        <f t="shared" si="19"/>
        <v>1681.4017584000001</v>
      </c>
      <c r="S22" s="249">
        <f t="shared" si="19"/>
        <v>1672.3619640000002</v>
      </c>
      <c r="T22" s="249">
        <f t="shared" si="19"/>
        <v>1663.3221696000001</v>
      </c>
      <c r="U22" s="249">
        <f t="shared" ref="U22:AC22" si="20">U18*U20/1000000</f>
        <v>1658.81465568</v>
      </c>
      <c r="V22" s="249">
        <f t="shared" si="20"/>
        <v>1645.2425808000003</v>
      </c>
      <c r="W22" s="249">
        <f t="shared" si="20"/>
        <v>1636.2027864000002</v>
      </c>
      <c r="X22" s="249">
        <f t="shared" si="20"/>
        <v>1627.162992</v>
      </c>
      <c r="Y22" s="249">
        <f t="shared" si="20"/>
        <v>1622.5564118400002</v>
      </c>
      <c r="Z22" s="249">
        <f t="shared" si="20"/>
        <v>1609.0834032</v>
      </c>
      <c r="AA22" s="247">
        <f t="shared" si="20"/>
        <v>1600.0436088000001</v>
      </c>
      <c r="AB22" s="249">
        <f t="shared" si="20"/>
        <v>1591.0038144</v>
      </c>
      <c r="AC22" s="295">
        <f t="shared" si="20"/>
        <v>658.79049599999996</v>
      </c>
    </row>
    <row r="23" spans="1:29" ht="15" thickBot="1" x14ac:dyDescent="0.35">
      <c r="A23" s="14"/>
      <c r="B23" s="296"/>
      <c r="C23" s="297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9"/>
      <c r="AB23" s="298"/>
      <c r="AC23" s="300"/>
    </row>
    <row r="24" spans="1:29" s="12" customFormat="1" ht="15" thickBot="1" x14ac:dyDescent="0.35">
      <c r="A24" s="31"/>
      <c r="B24" s="100" t="s">
        <v>36</v>
      </c>
      <c r="C24" s="42" t="s">
        <v>35</v>
      </c>
      <c r="D24" s="43">
        <f t="shared" ref="D24:AC24" si="21">SUM(D22:D22)</f>
        <v>1055.055456</v>
      </c>
      <c r="E24" s="43">
        <f t="shared" si="21"/>
        <v>1803.8476310400001</v>
      </c>
      <c r="F24" s="43">
        <f t="shared" si="21"/>
        <v>1789.8792912000001</v>
      </c>
      <c r="G24" s="43">
        <f t="shared" si="21"/>
        <v>1780.8394968000002</v>
      </c>
      <c r="H24" s="43">
        <f t="shared" si="21"/>
        <v>1771.7997024000001</v>
      </c>
      <c r="I24" s="43">
        <f t="shared" si="21"/>
        <v>1767.5893872000001</v>
      </c>
      <c r="J24" s="43">
        <f t="shared" si="21"/>
        <v>1753.7201136000001</v>
      </c>
      <c r="K24" s="43">
        <f t="shared" si="21"/>
        <v>1744.6803192</v>
      </c>
      <c r="L24" s="43">
        <f t="shared" si="21"/>
        <v>1735.6405248000001</v>
      </c>
      <c r="M24" s="43">
        <f t="shared" si="21"/>
        <v>1731.3311433599999</v>
      </c>
      <c r="N24" s="43">
        <f t="shared" si="21"/>
        <v>1717.5609360000003</v>
      </c>
      <c r="O24" s="43">
        <f t="shared" si="21"/>
        <v>1708.5211416000002</v>
      </c>
      <c r="P24" s="43">
        <f t="shared" si="21"/>
        <v>1699.4813472000001</v>
      </c>
      <c r="Q24" s="43">
        <f t="shared" si="21"/>
        <v>1695.0728995200002</v>
      </c>
      <c r="R24" s="43">
        <f t="shared" si="21"/>
        <v>1681.4017584000001</v>
      </c>
      <c r="S24" s="43">
        <f t="shared" si="21"/>
        <v>1672.3619640000002</v>
      </c>
      <c r="T24" s="43">
        <f t="shared" si="21"/>
        <v>1663.3221696000001</v>
      </c>
      <c r="U24" s="43">
        <f t="shared" si="21"/>
        <v>1658.81465568</v>
      </c>
      <c r="V24" s="43">
        <f t="shared" si="21"/>
        <v>1645.2425808000003</v>
      </c>
      <c r="W24" s="43">
        <f t="shared" si="21"/>
        <v>1636.2027864000002</v>
      </c>
      <c r="X24" s="43">
        <f t="shared" si="21"/>
        <v>1627.162992</v>
      </c>
      <c r="Y24" s="43">
        <f t="shared" si="21"/>
        <v>1622.5564118400002</v>
      </c>
      <c r="Z24" s="43">
        <f t="shared" si="21"/>
        <v>1609.0834032</v>
      </c>
      <c r="AA24" s="261">
        <f t="shared" si="21"/>
        <v>1600.0436088000001</v>
      </c>
      <c r="AB24" s="43">
        <f t="shared" si="21"/>
        <v>1591.0038144</v>
      </c>
      <c r="AC24" s="44">
        <f t="shared" si="21"/>
        <v>658.79049599999996</v>
      </c>
    </row>
    <row r="25" spans="1:29" ht="15" thickBot="1" x14ac:dyDescent="0.35">
      <c r="A25" s="14"/>
      <c r="B25" s="3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6" spans="1:29" ht="15" thickBot="1" x14ac:dyDescent="0.35">
      <c r="A26" s="14"/>
      <c r="B26" s="98" t="s">
        <v>37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</row>
    <row r="27" spans="1:29" s="13" customFormat="1" x14ac:dyDescent="0.3">
      <c r="A27" s="18"/>
      <c r="B27" s="35" t="s">
        <v>162</v>
      </c>
      <c r="C27" s="94" t="s">
        <v>35</v>
      </c>
      <c r="D27" s="36">
        <f>D93</f>
        <v>87.123287671232873</v>
      </c>
      <c r="E27" s="36">
        <f>F93</f>
        <v>154.53654839434091</v>
      </c>
      <c r="F27" s="36">
        <f>H93</f>
        <v>161.89358859196048</v>
      </c>
      <c r="G27" s="36">
        <f>J93</f>
        <v>170.17767123287672</v>
      </c>
      <c r="H27" s="36">
        <f>L93</f>
        <v>178.68655479452056</v>
      </c>
      <c r="I27" s="36">
        <f>N93</f>
        <v>187.84014042674883</v>
      </c>
      <c r="J27" s="36">
        <f>P93</f>
        <v>196.78266876845669</v>
      </c>
      <c r="K27" s="36">
        <f>R93</f>
        <v>206.85202299400692</v>
      </c>
      <c r="L27" s="36">
        <f>T93</f>
        <v>217.19462414370724</v>
      </c>
      <c r="M27" s="36">
        <f>V93</f>
        <v>228.32086468959091</v>
      </c>
      <c r="N27" s="36">
        <f>X93</f>
        <v>239.19056377973897</v>
      </c>
      <c r="O27" s="36">
        <f>Z93</f>
        <v>251.4299267743591</v>
      </c>
      <c r="P27" s="36">
        <f>AB93</f>
        <v>264.00142311307712</v>
      </c>
      <c r="Q27" s="36">
        <f>AD93</f>
        <v>277.52543803560218</v>
      </c>
      <c r="R27" s="36">
        <f>AF93</f>
        <v>290.73762521529642</v>
      </c>
      <c r="S27" s="36">
        <f>AH93</f>
        <v>305.61464743127601</v>
      </c>
      <c r="T27" s="36">
        <f>AJ93</f>
        <v>320.89537980283978</v>
      </c>
      <c r="U27" s="36">
        <f>AL93</f>
        <v>337.3339044662622</v>
      </c>
      <c r="V27" s="36">
        <f>AN93</f>
        <v>353.39340055935043</v>
      </c>
      <c r="W27" s="36">
        <f>AP93</f>
        <v>371.47651404426244</v>
      </c>
      <c r="X27" s="36">
        <f>AR93</f>
        <v>390.05033974647552</v>
      </c>
      <c r="Y27" s="254">
        <f>AT93</f>
        <v>410.03146921564468</v>
      </c>
      <c r="Z27" s="36">
        <f>AV93</f>
        <v>429.55188708864404</v>
      </c>
      <c r="AA27" s="36">
        <f>AX93</f>
        <v>451.53202454901384</v>
      </c>
      <c r="AB27" s="254">
        <f>AZ93</f>
        <v>474.10862577646458</v>
      </c>
      <c r="AC27" s="37">
        <f>BB93</f>
        <v>498.39581352829885</v>
      </c>
    </row>
    <row r="28" spans="1:29" s="13" customFormat="1" ht="15" thickBot="1" x14ac:dyDescent="0.35">
      <c r="A28" s="18"/>
      <c r="B28" s="111" t="s">
        <v>96</v>
      </c>
      <c r="C28" s="112" t="s">
        <v>35</v>
      </c>
      <c r="D28" s="113">
        <f>Assumption!$C$23*D11/365</f>
        <v>87.534246575342465</v>
      </c>
      <c r="E28" s="113">
        <f>Assumption!$C$23</f>
        <v>150</v>
      </c>
      <c r="F28" s="113">
        <f>Assumption!$C$23</f>
        <v>150</v>
      </c>
      <c r="G28" s="113">
        <f>Assumption!$C$23</f>
        <v>150</v>
      </c>
      <c r="H28" s="113">
        <f>Assumption!$C$23</f>
        <v>150</v>
      </c>
      <c r="I28" s="113">
        <f>Assumption!$C$23</f>
        <v>150</v>
      </c>
      <c r="J28" s="113">
        <f>Assumption!$C$23</f>
        <v>150</v>
      </c>
      <c r="K28" s="113">
        <f>Assumption!$C$23</f>
        <v>150</v>
      </c>
      <c r="L28" s="113">
        <f>Assumption!$C$23</f>
        <v>150</v>
      </c>
      <c r="M28" s="113">
        <f>Assumption!$C$23</f>
        <v>150</v>
      </c>
      <c r="N28" s="113">
        <f>Assumption!$C$23</f>
        <v>150</v>
      </c>
      <c r="O28" s="113">
        <f>Assumption!$C$23</f>
        <v>150</v>
      </c>
      <c r="P28" s="113">
        <f>Assumption!$C$23</f>
        <v>150</v>
      </c>
      <c r="Q28" s="113">
        <f>Assumption!$C$23</f>
        <v>150</v>
      </c>
      <c r="R28" s="113">
        <f>Assumption!$C$23</f>
        <v>150</v>
      </c>
      <c r="S28" s="113">
        <f>Assumption!$C$23</f>
        <v>150</v>
      </c>
      <c r="T28" s="113">
        <f>Assumption!$C$23</f>
        <v>150</v>
      </c>
      <c r="U28" s="113">
        <f>Assumption!$C$23</f>
        <v>150</v>
      </c>
      <c r="V28" s="113">
        <f>Assumption!$C$23</f>
        <v>150</v>
      </c>
      <c r="W28" s="113">
        <f>Assumption!$C$23</f>
        <v>150</v>
      </c>
      <c r="X28" s="113">
        <f>Assumption!$C$23</f>
        <v>150</v>
      </c>
      <c r="Y28" s="255">
        <f>Assumption!$C$23</f>
        <v>150</v>
      </c>
      <c r="Z28" s="113">
        <f>Assumption!$C$23</f>
        <v>150</v>
      </c>
      <c r="AA28" s="113">
        <f>Assumption!$C$23</f>
        <v>150</v>
      </c>
      <c r="AB28" s="255">
        <f>Assumption!$C$23</f>
        <v>150</v>
      </c>
      <c r="AC28" s="301">
        <f>Assumption!$C$23</f>
        <v>150</v>
      </c>
    </row>
    <row r="29" spans="1:29" s="12" customFormat="1" ht="15" thickBot="1" x14ac:dyDescent="0.35">
      <c r="A29" s="31"/>
      <c r="B29" s="100" t="s">
        <v>38</v>
      </c>
      <c r="C29" s="42" t="s">
        <v>35</v>
      </c>
      <c r="D29" s="43">
        <f t="shared" ref="D29:AC29" si="22">SUM(D27:D28)</f>
        <v>174.65753424657532</v>
      </c>
      <c r="E29" s="43">
        <f t="shared" si="22"/>
        <v>304.53654839434091</v>
      </c>
      <c r="F29" s="43">
        <f t="shared" si="22"/>
        <v>311.89358859196045</v>
      </c>
      <c r="G29" s="43">
        <f t="shared" si="22"/>
        <v>320.17767123287672</v>
      </c>
      <c r="H29" s="43">
        <f t="shared" si="22"/>
        <v>328.68655479452059</v>
      </c>
      <c r="I29" s="43">
        <f t="shared" si="22"/>
        <v>337.8401404267488</v>
      </c>
      <c r="J29" s="43">
        <f t="shared" si="22"/>
        <v>346.78266876845669</v>
      </c>
      <c r="K29" s="43">
        <f t="shared" si="22"/>
        <v>356.85202299400692</v>
      </c>
      <c r="L29" s="43">
        <f t="shared" si="22"/>
        <v>367.19462414370724</v>
      </c>
      <c r="M29" s="43">
        <f t="shared" si="22"/>
        <v>378.32086468959091</v>
      </c>
      <c r="N29" s="43">
        <f t="shared" si="22"/>
        <v>389.19056377973897</v>
      </c>
      <c r="O29" s="43">
        <f t="shared" si="22"/>
        <v>401.4299267743591</v>
      </c>
      <c r="P29" s="43">
        <f t="shared" si="22"/>
        <v>414.00142311307712</v>
      </c>
      <c r="Q29" s="43">
        <f t="shared" si="22"/>
        <v>427.52543803560218</v>
      </c>
      <c r="R29" s="43">
        <f t="shared" si="22"/>
        <v>440.73762521529642</v>
      </c>
      <c r="S29" s="43">
        <f t="shared" si="22"/>
        <v>455.61464743127601</v>
      </c>
      <c r="T29" s="43">
        <f t="shared" si="22"/>
        <v>470.89537980283978</v>
      </c>
      <c r="U29" s="43">
        <f t="shared" si="22"/>
        <v>487.3339044662622</v>
      </c>
      <c r="V29" s="43">
        <f t="shared" si="22"/>
        <v>503.39340055935043</v>
      </c>
      <c r="W29" s="43">
        <f t="shared" si="22"/>
        <v>521.47651404426244</v>
      </c>
      <c r="X29" s="43">
        <f t="shared" si="22"/>
        <v>540.05033974647552</v>
      </c>
      <c r="Y29" s="261">
        <f t="shared" si="22"/>
        <v>560.03146921564462</v>
      </c>
      <c r="Z29" s="43">
        <f t="shared" si="22"/>
        <v>579.55188708864398</v>
      </c>
      <c r="AA29" s="43">
        <f t="shared" si="22"/>
        <v>601.53202454901384</v>
      </c>
      <c r="AB29" s="261">
        <f t="shared" si="22"/>
        <v>624.10862577646458</v>
      </c>
      <c r="AC29" s="44">
        <f t="shared" si="22"/>
        <v>648.39581352829885</v>
      </c>
    </row>
    <row r="30" spans="1:29" ht="15" thickBot="1" x14ac:dyDescent="0.35">
      <c r="A30" s="14"/>
      <c r="B30" s="38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1:29" s="12" customFormat="1" x14ac:dyDescent="0.3">
      <c r="A31" s="31"/>
      <c r="B31" s="99" t="s">
        <v>39</v>
      </c>
      <c r="C31" s="39" t="s">
        <v>35</v>
      </c>
      <c r="D31" s="40">
        <f t="shared" ref="D31:AC31" si="23">D24-D29</f>
        <v>880.39792175342473</v>
      </c>
      <c r="E31" s="40">
        <f t="shared" si="23"/>
        <v>1499.3110826456591</v>
      </c>
      <c r="F31" s="40">
        <f t="shared" si="23"/>
        <v>1477.9857026080397</v>
      </c>
      <c r="G31" s="40">
        <f t="shared" si="23"/>
        <v>1460.6618255671235</v>
      </c>
      <c r="H31" s="40">
        <f t="shared" si="23"/>
        <v>1443.1131476054795</v>
      </c>
      <c r="I31" s="40">
        <f t="shared" si="23"/>
        <v>1429.7492467732513</v>
      </c>
      <c r="J31" s="40">
        <f t="shared" si="23"/>
        <v>1406.9374448315434</v>
      </c>
      <c r="K31" s="40">
        <f t="shared" si="23"/>
        <v>1387.828296205993</v>
      </c>
      <c r="L31" s="40">
        <f t="shared" si="23"/>
        <v>1368.4459006562929</v>
      </c>
      <c r="M31" s="40">
        <f t="shared" si="23"/>
        <v>1353.010278670409</v>
      </c>
      <c r="N31" s="40">
        <f t="shared" si="23"/>
        <v>1328.3703722202613</v>
      </c>
      <c r="O31" s="40">
        <f t="shared" si="23"/>
        <v>1307.0912148256411</v>
      </c>
      <c r="P31" s="40">
        <f t="shared" si="23"/>
        <v>1285.4799240869229</v>
      </c>
      <c r="Q31" s="40">
        <f t="shared" si="23"/>
        <v>1267.5474614843979</v>
      </c>
      <c r="R31" s="40">
        <f t="shared" si="23"/>
        <v>1240.6641331847036</v>
      </c>
      <c r="S31" s="40">
        <f t="shared" si="23"/>
        <v>1216.7473165687243</v>
      </c>
      <c r="T31" s="40">
        <f t="shared" si="23"/>
        <v>1192.4267897971604</v>
      </c>
      <c r="U31" s="40">
        <f t="shared" si="23"/>
        <v>1171.4807512137377</v>
      </c>
      <c r="V31" s="40">
        <f t="shared" si="23"/>
        <v>1141.8491802406497</v>
      </c>
      <c r="W31" s="40">
        <f t="shared" si="23"/>
        <v>1114.7262723557378</v>
      </c>
      <c r="X31" s="40">
        <f t="shared" si="23"/>
        <v>1087.1126522535246</v>
      </c>
      <c r="Y31" s="256">
        <f t="shared" si="23"/>
        <v>1062.5249426243556</v>
      </c>
      <c r="Z31" s="40">
        <f t="shared" si="23"/>
        <v>1029.531516111356</v>
      </c>
      <c r="AA31" s="40">
        <f t="shared" si="23"/>
        <v>998.51158425098629</v>
      </c>
      <c r="AB31" s="40">
        <f t="shared" si="23"/>
        <v>966.89518862353543</v>
      </c>
      <c r="AC31" s="260">
        <f t="shared" si="23"/>
        <v>10.394682471701117</v>
      </c>
    </row>
    <row r="32" spans="1:29" x14ac:dyDescent="0.3">
      <c r="A32" s="14" t="s">
        <v>40</v>
      </c>
      <c r="B32" s="302" t="s">
        <v>41</v>
      </c>
      <c r="C32" s="292" t="s">
        <v>35</v>
      </c>
      <c r="D32" s="249">
        <f>Assumption!$C$41/Assumption!$C$11*D11/365</f>
        <v>315.1232876712329</v>
      </c>
      <c r="E32" s="249">
        <f>Assumption!$C$41/Assumption!$C$11</f>
        <v>540</v>
      </c>
      <c r="F32" s="249">
        <f>Assumption!$C$41/Assumption!$C$11</f>
        <v>540</v>
      </c>
      <c r="G32" s="249">
        <f>Assumption!$C$41/Assumption!$C$11</f>
        <v>540</v>
      </c>
      <c r="H32" s="249">
        <f>Assumption!$C$41/Assumption!$C$11</f>
        <v>540</v>
      </c>
      <c r="I32" s="249">
        <f>Assumption!$C$41/Assumption!$C$11</f>
        <v>540</v>
      </c>
      <c r="J32" s="249">
        <f>Assumption!$C$41/Assumption!$C$11</f>
        <v>540</v>
      </c>
      <c r="K32" s="249">
        <f>Assumption!$C$41/Assumption!$C$11</f>
        <v>540</v>
      </c>
      <c r="L32" s="249">
        <f>Assumption!$C$41/Assumption!$C$11</f>
        <v>540</v>
      </c>
      <c r="M32" s="249">
        <f>Assumption!$C$41/Assumption!$C$11</f>
        <v>540</v>
      </c>
      <c r="N32" s="249">
        <f>Assumption!$C$41/Assumption!$C$11</f>
        <v>540</v>
      </c>
      <c r="O32" s="249">
        <f>Assumption!$C$41/Assumption!$C$11</f>
        <v>540</v>
      </c>
      <c r="P32" s="249">
        <f>Assumption!$C$41/Assumption!$C$11</f>
        <v>540</v>
      </c>
      <c r="Q32" s="249">
        <f>Assumption!$C$41/Assumption!$C$11</f>
        <v>540</v>
      </c>
      <c r="R32" s="249">
        <f>Assumption!$C$41/Assumption!$C$11</f>
        <v>540</v>
      </c>
      <c r="S32" s="249">
        <f>Assumption!$C$41/Assumption!$C$11</f>
        <v>540</v>
      </c>
      <c r="T32" s="249">
        <f>Assumption!$C$41/Assumption!$C$11</f>
        <v>540</v>
      </c>
      <c r="U32" s="249">
        <f>Assumption!$C$41/Assumption!$C$11</f>
        <v>540</v>
      </c>
      <c r="V32" s="249">
        <f>Assumption!$C$41/Assumption!$C$11</f>
        <v>540</v>
      </c>
      <c r="W32" s="249">
        <f>Assumption!$C$41/Assumption!$C$11</f>
        <v>540</v>
      </c>
      <c r="X32" s="249">
        <f>Assumption!$C$41/Assumption!$C$11*X11/365</f>
        <v>540</v>
      </c>
      <c r="Y32" s="247">
        <f>Assumption!$C$41/Assumption!$C$11</f>
        <v>540</v>
      </c>
      <c r="Z32" s="249">
        <f>Assumption!$C$41/Assumption!$C$11</f>
        <v>540</v>
      </c>
      <c r="AA32" s="249">
        <f>Assumption!$C$41/Assumption!$C$11*AA11/365</f>
        <v>540</v>
      </c>
      <c r="AB32" s="247">
        <f>Assumption!$C$41/Assumption!$C$11</f>
        <v>540</v>
      </c>
      <c r="AC32" s="295">
        <f>Assumption!$C$41/Assumption!$C$11</f>
        <v>540</v>
      </c>
    </row>
    <row r="33" spans="1:29" x14ac:dyDescent="0.3">
      <c r="A33" s="14"/>
      <c r="B33" s="302"/>
      <c r="C33" s="292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7"/>
      <c r="Z33" s="249"/>
      <c r="AA33" s="249"/>
      <c r="AB33" s="247"/>
      <c r="AC33" s="295"/>
    </row>
    <row r="34" spans="1:29" s="12" customFormat="1" x14ac:dyDescent="0.3">
      <c r="A34" s="31"/>
      <c r="B34" s="303" t="s">
        <v>42</v>
      </c>
      <c r="C34" s="304" t="s">
        <v>35</v>
      </c>
      <c r="D34" s="259">
        <f t="shared" ref="D34:AC34" si="24">D31-D32</f>
        <v>565.27463408219182</v>
      </c>
      <c r="E34" s="259">
        <f t="shared" si="24"/>
        <v>959.3110826456591</v>
      </c>
      <c r="F34" s="259">
        <f t="shared" si="24"/>
        <v>937.98570260803967</v>
      </c>
      <c r="G34" s="259">
        <f t="shared" si="24"/>
        <v>920.66182556712351</v>
      </c>
      <c r="H34" s="259">
        <f t="shared" si="24"/>
        <v>903.11314760547953</v>
      </c>
      <c r="I34" s="259">
        <f t="shared" si="24"/>
        <v>889.74924677325134</v>
      </c>
      <c r="J34" s="259">
        <f t="shared" si="24"/>
        <v>866.93744483154342</v>
      </c>
      <c r="K34" s="259">
        <f t="shared" si="24"/>
        <v>847.82829620599296</v>
      </c>
      <c r="L34" s="259">
        <f t="shared" si="24"/>
        <v>828.44590065629291</v>
      </c>
      <c r="M34" s="259">
        <f t="shared" si="24"/>
        <v>813.01027867040898</v>
      </c>
      <c r="N34" s="259">
        <f t="shared" si="24"/>
        <v>788.37037222026129</v>
      </c>
      <c r="O34" s="259">
        <f t="shared" si="24"/>
        <v>767.09121482564115</v>
      </c>
      <c r="P34" s="259">
        <f t="shared" si="24"/>
        <v>745.47992408692289</v>
      </c>
      <c r="Q34" s="259">
        <f t="shared" si="24"/>
        <v>727.5474614843979</v>
      </c>
      <c r="R34" s="259">
        <f t="shared" si="24"/>
        <v>700.66413318470359</v>
      </c>
      <c r="S34" s="259">
        <f t="shared" si="24"/>
        <v>676.74731656872427</v>
      </c>
      <c r="T34" s="259">
        <f t="shared" si="24"/>
        <v>652.42678979716038</v>
      </c>
      <c r="U34" s="259">
        <f t="shared" si="24"/>
        <v>631.48075121373768</v>
      </c>
      <c r="V34" s="259">
        <f t="shared" si="24"/>
        <v>601.84918024064973</v>
      </c>
      <c r="W34" s="259">
        <f t="shared" ref="W34" si="25">W31-W32</f>
        <v>574.72627235573782</v>
      </c>
      <c r="X34" s="259">
        <f t="shared" si="24"/>
        <v>547.11265225352463</v>
      </c>
      <c r="Y34" s="257">
        <f t="shared" si="24"/>
        <v>522.52494262435562</v>
      </c>
      <c r="Z34" s="259">
        <f t="shared" si="24"/>
        <v>489.53151611135604</v>
      </c>
      <c r="AA34" s="259">
        <f t="shared" si="24"/>
        <v>458.51158425098629</v>
      </c>
      <c r="AB34" s="257">
        <f t="shared" si="24"/>
        <v>426.89518862353543</v>
      </c>
      <c r="AC34" s="305">
        <f t="shared" si="24"/>
        <v>-529.60531752829888</v>
      </c>
    </row>
    <row r="35" spans="1:29" x14ac:dyDescent="0.3">
      <c r="A35" s="14" t="s">
        <v>40</v>
      </c>
      <c r="B35" s="302" t="s">
        <v>43</v>
      </c>
      <c r="C35" s="304" t="s">
        <v>35</v>
      </c>
      <c r="D35" s="249">
        <f>D132</f>
        <v>860.234375</v>
      </c>
      <c r="E35" s="249">
        <f t="shared" ref="E35:AC35" si="26">E132</f>
        <v>1070.78125</v>
      </c>
      <c r="F35" s="249">
        <f t="shared" si="26"/>
        <v>974.53125</v>
      </c>
      <c r="G35" s="249">
        <f t="shared" si="26"/>
        <v>878.28125</v>
      </c>
      <c r="H35" s="249">
        <f t="shared" si="26"/>
        <v>782.03125</v>
      </c>
      <c r="I35" s="249">
        <f t="shared" si="26"/>
        <v>685.78125</v>
      </c>
      <c r="J35" s="249">
        <f t="shared" si="26"/>
        <v>589.53125</v>
      </c>
      <c r="K35" s="249">
        <f t="shared" si="26"/>
        <v>493.28125</v>
      </c>
      <c r="L35" s="249">
        <f t="shared" si="26"/>
        <v>397.03125</v>
      </c>
      <c r="M35" s="249">
        <f t="shared" si="26"/>
        <v>300.78125</v>
      </c>
      <c r="N35" s="249">
        <f t="shared" si="26"/>
        <v>204.53125</v>
      </c>
      <c r="O35" s="249">
        <f t="shared" si="26"/>
        <v>108.28125</v>
      </c>
      <c r="P35" s="249">
        <f t="shared" si="26"/>
        <v>18.046875</v>
      </c>
      <c r="Q35" s="249">
        <f t="shared" si="26"/>
        <v>0</v>
      </c>
      <c r="R35" s="249">
        <f t="shared" si="26"/>
        <v>0</v>
      </c>
      <c r="S35" s="249">
        <f t="shared" si="26"/>
        <v>0</v>
      </c>
      <c r="T35" s="249">
        <f t="shared" si="26"/>
        <v>0</v>
      </c>
      <c r="U35" s="249">
        <f t="shared" si="26"/>
        <v>0</v>
      </c>
      <c r="V35" s="249">
        <f t="shared" si="26"/>
        <v>0</v>
      </c>
      <c r="W35" s="249">
        <f t="shared" si="26"/>
        <v>0</v>
      </c>
      <c r="X35" s="249">
        <f t="shared" si="26"/>
        <v>0</v>
      </c>
      <c r="Y35" s="247">
        <f t="shared" si="26"/>
        <v>0</v>
      </c>
      <c r="Z35" s="249">
        <f t="shared" si="26"/>
        <v>0</v>
      </c>
      <c r="AA35" s="249">
        <f t="shared" si="26"/>
        <v>0</v>
      </c>
      <c r="AB35" s="247">
        <f t="shared" si="26"/>
        <v>0</v>
      </c>
      <c r="AC35" s="295">
        <f t="shared" si="26"/>
        <v>0</v>
      </c>
    </row>
    <row r="36" spans="1:29" x14ac:dyDescent="0.3">
      <c r="A36" s="14"/>
      <c r="B36" s="302"/>
      <c r="C36" s="292"/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7"/>
      <c r="Z36" s="249"/>
      <c r="AA36" s="249"/>
      <c r="AB36" s="247"/>
      <c r="AC36" s="295"/>
    </row>
    <row r="37" spans="1:29" s="12" customFormat="1" x14ac:dyDescent="0.3">
      <c r="A37" s="31"/>
      <c r="B37" s="303" t="s">
        <v>44</v>
      </c>
      <c r="C37" s="304" t="s">
        <v>35</v>
      </c>
      <c r="D37" s="259">
        <f>D34-D35</f>
        <v>-294.95974091780818</v>
      </c>
      <c r="E37" s="259">
        <f t="shared" ref="E37:AC37" si="27">E34-E35</f>
        <v>-111.4701673543409</v>
      </c>
      <c r="F37" s="259">
        <f t="shared" si="27"/>
        <v>-36.545547391960326</v>
      </c>
      <c r="G37" s="259">
        <f t="shared" si="27"/>
        <v>42.380575567123515</v>
      </c>
      <c r="H37" s="259">
        <f t="shared" si="27"/>
        <v>121.08189760547953</v>
      </c>
      <c r="I37" s="259">
        <f t="shared" si="27"/>
        <v>203.96799677325134</v>
      </c>
      <c r="J37" s="259">
        <f t="shared" si="27"/>
        <v>277.40619483154342</v>
      </c>
      <c r="K37" s="259">
        <f t="shared" si="27"/>
        <v>354.54704620599296</v>
      </c>
      <c r="L37" s="259">
        <f t="shared" si="27"/>
        <v>431.41465065629291</v>
      </c>
      <c r="M37" s="259">
        <f t="shared" si="27"/>
        <v>512.22902867040898</v>
      </c>
      <c r="N37" s="259">
        <f t="shared" si="27"/>
        <v>583.83912222026129</v>
      </c>
      <c r="O37" s="259">
        <f t="shared" si="27"/>
        <v>658.80996482564115</v>
      </c>
      <c r="P37" s="259">
        <f t="shared" si="27"/>
        <v>727.43304908692289</v>
      </c>
      <c r="Q37" s="259">
        <f t="shared" si="27"/>
        <v>727.5474614843979</v>
      </c>
      <c r="R37" s="259">
        <f t="shared" si="27"/>
        <v>700.66413318470359</v>
      </c>
      <c r="S37" s="259">
        <f t="shared" si="27"/>
        <v>676.74731656872427</v>
      </c>
      <c r="T37" s="259">
        <f t="shared" si="27"/>
        <v>652.42678979716038</v>
      </c>
      <c r="U37" s="259">
        <f t="shared" si="27"/>
        <v>631.48075121373768</v>
      </c>
      <c r="V37" s="259">
        <f t="shared" si="27"/>
        <v>601.84918024064973</v>
      </c>
      <c r="W37" s="259">
        <f t="shared" si="27"/>
        <v>574.72627235573782</v>
      </c>
      <c r="X37" s="259">
        <f t="shared" si="27"/>
        <v>547.11265225352463</v>
      </c>
      <c r="Y37" s="257">
        <f t="shared" si="27"/>
        <v>522.52494262435562</v>
      </c>
      <c r="Z37" s="259">
        <f t="shared" si="27"/>
        <v>489.53151611135604</v>
      </c>
      <c r="AA37" s="259">
        <f t="shared" si="27"/>
        <v>458.51158425098629</v>
      </c>
      <c r="AB37" s="257">
        <f t="shared" si="27"/>
        <v>426.89518862353543</v>
      </c>
      <c r="AC37" s="305">
        <f t="shared" si="27"/>
        <v>-529.60531752829888</v>
      </c>
    </row>
    <row r="38" spans="1:29" ht="15" thickBot="1" x14ac:dyDescent="0.35">
      <c r="A38" s="14" t="s">
        <v>40</v>
      </c>
      <c r="B38" s="306" t="s">
        <v>45</v>
      </c>
      <c r="C38" s="307" t="s">
        <v>35</v>
      </c>
      <c r="D38" s="144">
        <f>D56</f>
        <v>0</v>
      </c>
      <c r="E38" s="144">
        <f>E56</f>
        <v>0</v>
      </c>
      <c r="F38" s="144">
        <f t="shared" ref="F38:AC38" si="28">F56</f>
        <v>8.0495681350792143</v>
      </c>
      <c r="G38" s="144">
        <f t="shared" si="28"/>
        <v>166.92581353463677</v>
      </c>
      <c r="H38" s="144">
        <f t="shared" si="28"/>
        <v>220.29386725820052</v>
      </c>
      <c r="I38" s="144">
        <f t="shared" si="28"/>
        <v>254.01192849258001</v>
      </c>
      <c r="J38" s="144">
        <f t="shared" si="28"/>
        <v>280.27022846618587</v>
      </c>
      <c r="K38" s="144">
        <f t="shared" si="28"/>
        <v>306.95583073789697</v>
      </c>
      <c r="L38" s="144">
        <f t="shared" si="28"/>
        <v>333.37896500123986</v>
      </c>
      <c r="M38" s="144">
        <f t="shared" si="28"/>
        <v>361.12289401888415</v>
      </c>
      <c r="N38" s="144">
        <f t="shared" si="28"/>
        <v>385.70116502183367</v>
      </c>
      <c r="O38" s="144">
        <f t="shared" si="28"/>
        <v>411.431495583328</v>
      </c>
      <c r="P38" s="144">
        <f t="shared" si="28"/>
        <v>434.98300557766555</v>
      </c>
      <c r="Q38" s="144">
        <f t="shared" si="28"/>
        <v>435.02228540765219</v>
      </c>
      <c r="R38" s="144">
        <f t="shared" si="28"/>
        <v>425.79592983423152</v>
      </c>
      <c r="S38" s="144">
        <f t="shared" si="28"/>
        <v>417.58767891143441</v>
      </c>
      <c r="T38" s="144">
        <f t="shared" si="28"/>
        <v>409.24087423139514</v>
      </c>
      <c r="U38" s="144">
        <f t="shared" si="28"/>
        <v>402.05219381115643</v>
      </c>
      <c r="V38" s="144">
        <f t="shared" si="28"/>
        <v>391.88263865751117</v>
      </c>
      <c r="W38" s="144">
        <f t="shared" si="28"/>
        <v>382.5740566722734</v>
      </c>
      <c r="X38" s="144">
        <f t="shared" si="28"/>
        <v>373.09706225336669</v>
      </c>
      <c r="Y38" s="258">
        <f t="shared" si="28"/>
        <v>364.6585603086703</v>
      </c>
      <c r="Z38" s="144">
        <f t="shared" si="28"/>
        <v>353.33521632941586</v>
      </c>
      <c r="AA38" s="144">
        <f t="shared" si="28"/>
        <v>342.68917571493796</v>
      </c>
      <c r="AB38" s="258">
        <f t="shared" si="28"/>
        <v>331.83842873559729</v>
      </c>
      <c r="AC38" s="308">
        <f t="shared" si="28"/>
        <v>3.5674550242878227</v>
      </c>
    </row>
    <row r="39" spans="1:29" ht="15" thickBot="1" x14ac:dyDescent="0.35">
      <c r="A39" s="14"/>
      <c r="B39" s="38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1:29" s="12" customFormat="1" ht="15" thickBot="1" x14ac:dyDescent="0.35">
      <c r="A40" s="31"/>
      <c r="B40" s="100" t="s">
        <v>46</v>
      </c>
      <c r="C40" s="42" t="s">
        <v>35</v>
      </c>
      <c r="D40" s="43">
        <f t="shared" ref="D40:AC40" si="29">D37-D38</f>
        <v>-294.95974091780818</v>
      </c>
      <c r="E40" s="43">
        <f t="shared" si="29"/>
        <v>-111.4701673543409</v>
      </c>
      <c r="F40" s="43">
        <f t="shared" si="29"/>
        <v>-44.595115527039539</v>
      </c>
      <c r="G40" s="43">
        <f t="shared" si="29"/>
        <v>-124.54523796751326</v>
      </c>
      <c r="H40" s="43">
        <f t="shared" si="29"/>
        <v>-99.211969652720995</v>
      </c>
      <c r="I40" s="43">
        <f t="shared" si="29"/>
        <v>-50.043931719328668</v>
      </c>
      <c r="J40" s="43">
        <f t="shared" si="29"/>
        <v>-2.8640336346424533</v>
      </c>
      <c r="K40" s="43">
        <f t="shared" si="29"/>
        <v>47.591215468095982</v>
      </c>
      <c r="L40" s="43">
        <f t="shared" si="29"/>
        <v>98.035685655053044</v>
      </c>
      <c r="M40" s="43">
        <f t="shared" si="29"/>
        <v>151.10613465152483</v>
      </c>
      <c r="N40" s="43">
        <f t="shared" si="29"/>
        <v>198.13795719842761</v>
      </c>
      <c r="O40" s="43">
        <f t="shared" si="29"/>
        <v>247.37846924231314</v>
      </c>
      <c r="P40" s="43">
        <f t="shared" si="29"/>
        <v>292.45004350925734</v>
      </c>
      <c r="Q40" s="43">
        <f t="shared" si="29"/>
        <v>292.52517607674571</v>
      </c>
      <c r="R40" s="43">
        <f t="shared" si="29"/>
        <v>274.86820335047207</v>
      </c>
      <c r="S40" s="43">
        <f t="shared" si="29"/>
        <v>259.15963765728986</v>
      </c>
      <c r="T40" s="43">
        <f t="shared" si="29"/>
        <v>243.18591556576524</v>
      </c>
      <c r="U40" s="43">
        <f t="shared" si="29"/>
        <v>229.42855740258125</v>
      </c>
      <c r="V40" s="43">
        <f t="shared" si="29"/>
        <v>209.96654158313856</v>
      </c>
      <c r="W40" s="43">
        <f t="shared" ref="W40" si="30">W37-W38</f>
        <v>192.15221568346442</v>
      </c>
      <c r="X40" s="43">
        <f t="shared" si="29"/>
        <v>174.01559000015794</v>
      </c>
      <c r="Y40" s="261">
        <f t="shared" si="29"/>
        <v>157.86638231568531</v>
      </c>
      <c r="Z40" s="43">
        <f t="shared" si="29"/>
        <v>136.19629978194018</v>
      </c>
      <c r="AA40" s="43">
        <f t="shared" si="29"/>
        <v>115.82240853604833</v>
      </c>
      <c r="AB40" s="261">
        <f t="shared" si="29"/>
        <v>95.056759887938142</v>
      </c>
      <c r="AC40" s="44">
        <f t="shared" si="29"/>
        <v>-533.17277255258671</v>
      </c>
    </row>
    <row r="41" spans="1:29" ht="15" thickBot="1" x14ac:dyDescent="0.35">
      <c r="A41" s="14"/>
      <c r="B41" s="45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</row>
    <row r="42" spans="1:29" ht="15" thickBot="1" x14ac:dyDescent="0.35">
      <c r="A42" s="14"/>
      <c r="B42" s="101" t="s">
        <v>47</v>
      </c>
      <c r="C42" s="46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</row>
    <row r="43" spans="1:29" x14ac:dyDescent="0.3">
      <c r="A43" s="14"/>
      <c r="B43" s="47" t="s">
        <v>44</v>
      </c>
      <c r="C43" s="28" t="s">
        <v>35</v>
      </c>
      <c r="D43" s="36">
        <f t="shared" ref="D43:AC43" si="31">D37</f>
        <v>-294.95974091780818</v>
      </c>
      <c r="E43" s="36">
        <f t="shared" si="31"/>
        <v>-111.4701673543409</v>
      </c>
      <c r="F43" s="36">
        <f t="shared" si="31"/>
        <v>-36.545547391960326</v>
      </c>
      <c r="G43" s="36">
        <f t="shared" si="31"/>
        <v>42.380575567123515</v>
      </c>
      <c r="H43" s="36">
        <f t="shared" si="31"/>
        <v>121.08189760547953</v>
      </c>
      <c r="I43" s="36">
        <f t="shared" si="31"/>
        <v>203.96799677325134</v>
      </c>
      <c r="J43" s="36">
        <f t="shared" si="31"/>
        <v>277.40619483154342</v>
      </c>
      <c r="K43" s="36">
        <f t="shared" si="31"/>
        <v>354.54704620599296</v>
      </c>
      <c r="L43" s="36">
        <f t="shared" si="31"/>
        <v>431.41465065629291</v>
      </c>
      <c r="M43" s="36">
        <f t="shared" si="31"/>
        <v>512.22902867040898</v>
      </c>
      <c r="N43" s="36">
        <f t="shared" si="31"/>
        <v>583.83912222026129</v>
      </c>
      <c r="O43" s="36">
        <f>O37</f>
        <v>658.80996482564115</v>
      </c>
      <c r="P43" s="36">
        <f t="shared" si="31"/>
        <v>727.43304908692289</v>
      </c>
      <c r="Q43" s="36">
        <f t="shared" si="31"/>
        <v>727.5474614843979</v>
      </c>
      <c r="R43" s="36">
        <f t="shared" si="31"/>
        <v>700.66413318470359</v>
      </c>
      <c r="S43" s="36">
        <f t="shared" si="31"/>
        <v>676.74731656872427</v>
      </c>
      <c r="T43" s="36">
        <f t="shared" si="31"/>
        <v>652.42678979716038</v>
      </c>
      <c r="U43" s="36">
        <f t="shared" si="31"/>
        <v>631.48075121373768</v>
      </c>
      <c r="V43" s="36">
        <f t="shared" si="31"/>
        <v>601.84918024064973</v>
      </c>
      <c r="W43" s="36">
        <f t="shared" si="31"/>
        <v>574.72627235573782</v>
      </c>
      <c r="X43" s="36">
        <f t="shared" si="31"/>
        <v>547.11265225352463</v>
      </c>
      <c r="Y43" s="254">
        <f t="shared" si="31"/>
        <v>522.52494262435562</v>
      </c>
      <c r="Z43" s="36">
        <f t="shared" si="31"/>
        <v>489.53151611135604</v>
      </c>
      <c r="AA43" s="36">
        <f t="shared" si="31"/>
        <v>458.51158425098629</v>
      </c>
      <c r="AB43" s="254">
        <f t="shared" si="31"/>
        <v>426.89518862353543</v>
      </c>
      <c r="AC43" s="37">
        <f t="shared" si="31"/>
        <v>-529.60531752829888</v>
      </c>
    </row>
    <row r="44" spans="1:29" x14ac:dyDescent="0.3">
      <c r="A44" s="14" t="s">
        <v>48</v>
      </c>
      <c r="B44" s="309" t="s">
        <v>17</v>
      </c>
      <c r="C44" s="292" t="s">
        <v>35</v>
      </c>
      <c r="D44" s="249">
        <f t="shared" ref="D44:AC44" si="32">D32</f>
        <v>315.1232876712329</v>
      </c>
      <c r="E44" s="249">
        <f t="shared" si="32"/>
        <v>540</v>
      </c>
      <c r="F44" s="249">
        <f t="shared" si="32"/>
        <v>540</v>
      </c>
      <c r="G44" s="249">
        <f t="shared" si="32"/>
        <v>540</v>
      </c>
      <c r="H44" s="249">
        <f t="shared" si="32"/>
        <v>540</v>
      </c>
      <c r="I44" s="249">
        <f t="shared" si="32"/>
        <v>540</v>
      </c>
      <c r="J44" s="249">
        <f t="shared" si="32"/>
        <v>540</v>
      </c>
      <c r="K44" s="249">
        <f t="shared" si="32"/>
        <v>540</v>
      </c>
      <c r="L44" s="249">
        <f t="shared" si="32"/>
        <v>540</v>
      </c>
      <c r="M44" s="249">
        <f t="shared" si="32"/>
        <v>540</v>
      </c>
      <c r="N44" s="249">
        <f t="shared" si="32"/>
        <v>540</v>
      </c>
      <c r="O44" s="249">
        <f t="shared" si="32"/>
        <v>540</v>
      </c>
      <c r="P44" s="249">
        <f t="shared" si="32"/>
        <v>540</v>
      </c>
      <c r="Q44" s="249">
        <f t="shared" si="32"/>
        <v>540</v>
      </c>
      <c r="R44" s="249">
        <f t="shared" si="32"/>
        <v>540</v>
      </c>
      <c r="S44" s="249">
        <f t="shared" si="32"/>
        <v>540</v>
      </c>
      <c r="T44" s="249">
        <f t="shared" si="32"/>
        <v>540</v>
      </c>
      <c r="U44" s="249">
        <f t="shared" si="32"/>
        <v>540</v>
      </c>
      <c r="V44" s="249">
        <f t="shared" si="32"/>
        <v>540</v>
      </c>
      <c r="W44" s="249">
        <f t="shared" si="32"/>
        <v>540</v>
      </c>
      <c r="X44" s="249">
        <f t="shared" si="32"/>
        <v>540</v>
      </c>
      <c r="Y44" s="247">
        <f t="shared" si="32"/>
        <v>540</v>
      </c>
      <c r="Z44" s="249">
        <f t="shared" si="32"/>
        <v>540</v>
      </c>
      <c r="AA44" s="249">
        <f t="shared" si="32"/>
        <v>540</v>
      </c>
      <c r="AB44" s="247">
        <f t="shared" si="32"/>
        <v>540</v>
      </c>
      <c r="AC44" s="295">
        <f t="shared" si="32"/>
        <v>540</v>
      </c>
    </row>
    <row r="45" spans="1:29" x14ac:dyDescent="0.3">
      <c r="A45" s="14" t="s">
        <v>40</v>
      </c>
      <c r="B45" s="309" t="s">
        <v>49</v>
      </c>
      <c r="C45" s="292" t="s">
        <v>35</v>
      </c>
      <c r="D45" s="249">
        <f>Assumption!C38*IF(AND(3&lt;MONTH(C6),MONTH(C6)&lt;10),Assumption!$C$44,Assumption!$C$44/2)</f>
        <v>12000</v>
      </c>
      <c r="E45" s="249">
        <f>(Assumption!$C$38-SUM($D$45:D45))*Assumption!$C$44</f>
        <v>2400</v>
      </c>
      <c r="F45" s="249">
        <f>(Assumption!$C$38-SUM($D$45:E45))*Assumption!$C$44</f>
        <v>480</v>
      </c>
      <c r="G45" s="249">
        <f>(Assumption!$C$38-SUM($D$45:F45))*Assumption!$C$44</f>
        <v>96</v>
      </c>
      <c r="H45" s="249">
        <f>(Assumption!$C$38-SUM($D$45:G45))*Assumption!$C$44</f>
        <v>19.200000000000003</v>
      </c>
      <c r="I45" s="249">
        <f>(Assumption!$C$38-SUM($D$45:H45))*Assumption!$C$44</f>
        <v>3.8399999999994181</v>
      </c>
      <c r="J45" s="249">
        <f>(Assumption!$C$38-SUM($D$45:I45))*Assumption!$C$44</f>
        <v>0.76799999999930157</v>
      </c>
      <c r="K45" s="249">
        <f>(Assumption!$C$38-SUM($D$45:J45))*Assumption!$C$44</f>
        <v>0.15359999999927823</v>
      </c>
      <c r="L45" s="249">
        <f>(Assumption!$C$38-SUM($D$45:K45))*Assumption!$C$44</f>
        <v>3.0719999999564609E-2</v>
      </c>
      <c r="M45" s="249">
        <f>(Assumption!$C$38-SUM($D$45:L45))*Assumption!$C$44</f>
        <v>6.1440000004949983E-3</v>
      </c>
      <c r="N45" s="249">
        <f>(Assumption!$C$38-SUM($D$45:M45))*Assumption!$C$44</f>
        <v>1.2287999998079613E-3</v>
      </c>
      <c r="O45" s="249">
        <f>(Assumption!$C$38-SUM($D$45:N45))*Assumption!$C$44</f>
        <v>2.4575999996159228E-4</v>
      </c>
      <c r="P45" s="249">
        <f>(Assumption!$C$38-SUM($D$45:O45))*Assumption!$C$44</f>
        <v>4.915199970128015E-5</v>
      </c>
      <c r="Q45" s="249">
        <f>(Assumption!$C$38-SUM($D$45:P45))*Assumption!$C$44</f>
        <v>9.8303993581794206E-6</v>
      </c>
      <c r="R45" s="249">
        <f>(Assumption!$C$38-SUM($D$45:Q45))*Assumption!$C$44</f>
        <v>1.9660801626741886E-6</v>
      </c>
      <c r="S45" s="249">
        <f>(Assumption!$C$38-SUM($D$45:R45))*Assumption!$C$44</f>
        <v>3.9321603253483775E-7</v>
      </c>
      <c r="T45" s="249">
        <f>(Assumption!$C$38-SUM($D$45:S45))*Assumption!$C$44</f>
        <v>7.864291546866298E-8</v>
      </c>
      <c r="U45" s="249">
        <f>(Assumption!$C$38-SUM($D$45:T45))*Assumption!$C$44</f>
        <v>1.5729165170341731E-8</v>
      </c>
      <c r="V45" s="249">
        <f>(Assumption!$C$38-SUM($D$45:U45))*Assumption!$C$44</f>
        <v>3.1461240723729136E-9</v>
      </c>
      <c r="W45" s="249">
        <f>(Assumption!$C$38-SUM($D$45:V45))*Assumption!$C$44</f>
        <v>6.2864273786544804E-10</v>
      </c>
      <c r="X45" s="249">
        <f>(Assumption!$C$38-SUM($D$45:W45))*Assumption!$C$44</f>
        <v>1.2514647096395492E-10</v>
      </c>
      <c r="Y45" s="247">
        <f>(Assumption!$C$38-SUM($D$45:X45))*Assumption!$C$44</f>
        <v>2.4738255888223651E-11</v>
      </c>
      <c r="Z45" s="249">
        <f>(Assumption!$C$38-SUM($D$45:Y45))*Assumption!$C$44</f>
        <v>4.3655745685100562E-12</v>
      </c>
      <c r="AA45" s="249">
        <f>(Assumption!$C$38-SUM($D$45:Z45))*Assumption!$C$44</f>
        <v>1.4551915228366853E-12</v>
      </c>
      <c r="AB45" s="247">
        <f>(Assumption!$C$38-SUM($D$45:AA45))*Assumption!$C$44</f>
        <v>0</v>
      </c>
      <c r="AC45" s="295">
        <f>(Assumption!$C$38-SUM($D$45:AB45))*Assumption!$C$44</f>
        <v>0</v>
      </c>
    </row>
    <row r="46" spans="1:29" x14ac:dyDescent="0.3">
      <c r="A46" s="14"/>
      <c r="B46" s="309" t="s">
        <v>81</v>
      </c>
      <c r="C46" s="292" t="s">
        <v>35</v>
      </c>
      <c r="D46" s="249">
        <f t="shared" ref="D46:AC46" si="33">D43+D44-D45</f>
        <v>-11979.836453246575</v>
      </c>
      <c r="E46" s="249">
        <f t="shared" si="33"/>
        <v>-1971.4701673543409</v>
      </c>
      <c r="F46" s="249">
        <f t="shared" si="33"/>
        <v>23.454452608039674</v>
      </c>
      <c r="G46" s="249">
        <f t="shared" si="33"/>
        <v>486.38057556712351</v>
      </c>
      <c r="H46" s="249">
        <f t="shared" si="33"/>
        <v>641.88189760547948</v>
      </c>
      <c r="I46" s="249">
        <f t="shared" si="33"/>
        <v>740.12799677325188</v>
      </c>
      <c r="J46" s="249">
        <f t="shared" si="33"/>
        <v>816.63819483154407</v>
      </c>
      <c r="K46" s="249">
        <f t="shared" si="33"/>
        <v>894.39344620599365</v>
      </c>
      <c r="L46" s="249">
        <f t="shared" si="33"/>
        <v>971.38393065629339</v>
      </c>
      <c r="M46" s="249">
        <f t="shared" si="33"/>
        <v>1052.2228846704086</v>
      </c>
      <c r="N46" s="249">
        <f t="shared" si="33"/>
        <v>1123.8378934202615</v>
      </c>
      <c r="O46" s="249">
        <f t="shared" si="33"/>
        <v>1198.8097190656413</v>
      </c>
      <c r="P46" s="249">
        <f t="shared" si="33"/>
        <v>1267.4329999349231</v>
      </c>
      <c r="Q46" s="249">
        <f t="shared" si="33"/>
        <v>1267.5474516539985</v>
      </c>
      <c r="R46" s="249">
        <f t="shared" si="33"/>
        <v>1240.6641312186234</v>
      </c>
      <c r="S46" s="249">
        <f t="shared" si="33"/>
        <v>1216.7473161755083</v>
      </c>
      <c r="T46" s="249">
        <f t="shared" si="33"/>
        <v>1192.4267897185175</v>
      </c>
      <c r="U46" s="249">
        <f t="shared" si="33"/>
        <v>1171.4807511980084</v>
      </c>
      <c r="V46" s="249">
        <f t="shared" si="33"/>
        <v>1141.8491802375036</v>
      </c>
      <c r="W46" s="249">
        <f t="shared" si="33"/>
        <v>1114.7262723551091</v>
      </c>
      <c r="X46" s="249">
        <f t="shared" si="33"/>
        <v>1087.1126522533996</v>
      </c>
      <c r="Y46" s="247">
        <f t="shared" si="33"/>
        <v>1062.5249426243308</v>
      </c>
      <c r="Z46" s="249">
        <f t="shared" si="33"/>
        <v>1029.5315161113517</v>
      </c>
      <c r="AA46" s="249">
        <f t="shared" si="33"/>
        <v>998.51158425098481</v>
      </c>
      <c r="AB46" s="247">
        <f t="shared" si="33"/>
        <v>966.89518862353543</v>
      </c>
      <c r="AC46" s="295">
        <f t="shared" si="33"/>
        <v>10.394682471701117</v>
      </c>
    </row>
    <row r="47" spans="1:29" x14ac:dyDescent="0.3">
      <c r="A47" s="14"/>
      <c r="B47" s="309" t="s">
        <v>50</v>
      </c>
      <c r="C47" s="292" t="s">
        <v>35</v>
      </c>
      <c r="D47" s="249">
        <f>D46</f>
        <v>-11979.836453246575</v>
      </c>
      <c r="E47" s="249">
        <f t="shared" ref="E47:X47" si="34">D47+E46</f>
        <v>-13951.306620600915</v>
      </c>
      <c r="F47" s="249">
        <f t="shared" si="34"/>
        <v>-13927.852167992876</v>
      </c>
      <c r="G47" s="249">
        <f t="shared" si="34"/>
        <v>-13441.471592425753</v>
      </c>
      <c r="H47" s="249">
        <f t="shared" si="34"/>
        <v>-12799.589694820274</v>
      </c>
      <c r="I47" s="249">
        <f t="shared" si="34"/>
        <v>-12059.461698047022</v>
      </c>
      <c r="J47" s="249">
        <f t="shared" si="34"/>
        <v>-11242.823503215477</v>
      </c>
      <c r="K47" s="249">
        <f t="shared" si="34"/>
        <v>-10348.430057009484</v>
      </c>
      <c r="L47" s="249">
        <f t="shared" si="34"/>
        <v>-9377.0461263531906</v>
      </c>
      <c r="M47" s="249">
        <f t="shared" si="34"/>
        <v>-8324.8232416827814</v>
      </c>
      <c r="N47" s="249">
        <f t="shared" si="34"/>
        <v>-7200.9853482625203</v>
      </c>
      <c r="O47" s="249">
        <f t="shared" si="34"/>
        <v>-6002.1756291968795</v>
      </c>
      <c r="P47" s="249">
        <f t="shared" si="34"/>
        <v>-4734.7426292619566</v>
      </c>
      <c r="Q47" s="249">
        <f t="shared" si="34"/>
        <v>-3467.1951776079582</v>
      </c>
      <c r="R47" s="249">
        <f t="shared" si="34"/>
        <v>-2226.5310463893347</v>
      </c>
      <c r="S47" s="249">
        <f t="shared" si="34"/>
        <v>-1009.7837302138264</v>
      </c>
      <c r="T47" s="249">
        <f t="shared" si="34"/>
        <v>182.64305950469111</v>
      </c>
      <c r="U47" s="249">
        <f t="shared" si="34"/>
        <v>1354.1238107026995</v>
      </c>
      <c r="V47" s="249">
        <f t="shared" si="34"/>
        <v>2495.9729909402031</v>
      </c>
      <c r="W47" s="249">
        <f>V47+W46</f>
        <v>3610.6992632953124</v>
      </c>
      <c r="X47" s="249">
        <f t="shared" si="34"/>
        <v>4697.811915548712</v>
      </c>
      <c r="Y47" s="247">
        <f t="shared" ref="Y47:Z47" si="35">X47+Y46</f>
        <v>5760.3368581730429</v>
      </c>
      <c r="Z47" s="249">
        <f t="shared" si="35"/>
        <v>6789.868374284395</v>
      </c>
      <c r="AA47" s="249">
        <f t="shared" ref="AA47" si="36">Z47+AA46</f>
        <v>7788.37995853538</v>
      </c>
      <c r="AB47" s="247">
        <f t="shared" ref="AB47:AC47" si="37">AA47+AB46</f>
        <v>8755.2751471589145</v>
      </c>
      <c r="AC47" s="295">
        <f t="shared" si="37"/>
        <v>8765.6698296306149</v>
      </c>
    </row>
    <row r="48" spans="1:29" x14ac:dyDescent="0.3">
      <c r="A48" s="14" t="s">
        <v>40</v>
      </c>
      <c r="B48" s="309" t="s">
        <v>51</v>
      </c>
      <c r="C48" s="292" t="s">
        <v>35</v>
      </c>
      <c r="D48" s="249">
        <f t="shared" ref="D48:AC48" si="38">IF(D7&lt;=15,IF(D47&lt;0,0,MIN(D46,D47)),0)</f>
        <v>0</v>
      </c>
      <c r="E48" s="249">
        <f t="shared" si="38"/>
        <v>0</v>
      </c>
      <c r="F48" s="249">
        <f t="shared" si="38"/>
        <v>0</v>
      </c>
      <c r="G48" s="249">
        <f t="shared" si="38"/>
        <v>0</v>
      </c>
      <c r="H48" s="249">
        <f t="shared" si="38"/>
        <v>0</v>
      </c>
      <c r="I48" s="249">
        <f t="shared" si="38"/>
        <v>0</v>
      </c>
      <c r="J48" s="249">
        <f t="shared" si="38"/>
        <v>0</v>
      </c>
      <c r="K48" s="249">
        <f t="shared" si="38"/>
        <v>0</v>
      </c>
      <c r="L48" s="249">
        <f t="shared" si="38"/>
        <v>0</v>
      </c>
      <c r="M48" s="249">
        <f t="shared" si="38"/>
        <v>0</v>
      </c>
      <c r="N48" s="249">
        <f t="shared" si="38"/>
        <v>0</v>
      </c>
      <c r="O48" s="249">
        <f t="shared" si="38"/>
        <v>0</v>
      </c>
      <c r="P48" s="249">
        <f t="shared" si="38"/>
        <v>0</v>
      </c>
      <c r="Q48" s="249">
        <f t="shared" si="38"/>
        <v>0</v>
      </c>
      <c r="R48" s="249">
        <f t="shared" si="38"/>
        <v>0</v>
      </c>
      <c r="S48" s="249">
        <f t="shared" si="38"/>
        <v>0</v>
      </c>
      <c r="T48" s="263">
        <f t="shared" si="38"/>
        <v>0</v>
      </c>
      <c r="U48" s="263">
        <f t="shared" si="38"/>
        <v>0</v>
      </c>
      <c r="V48" s="263">
        <f t="shared" si="38"/>
        <v>0</v>
      </c>
      <c r="W48" s="263">
        <f t="shared" si="38"/>
        <v>0</v>
      </c>
      <c r="X48" s="263">
        <f t="shared" si="38"/>
        <v>0</v>
      </c>
      <c r="Y48" s="262">
        <f t="shared" si="38"/>
        <v>0</v>
      </c>
      <c r="Z48" s="263">
        <f t="shared" si="38"/>
        <v>0</v>
      </c>
      <c r="AA48" s="263">
        <f t="shared" si="38"/>
        <v>0</v>
      </c>
      <c r="AB48" s="262">
        <f t="shared" si="38"/>
        <v>0</v>
      </c>
      <c r="AC48" s="310">
        <f t="shared" si="38"/>
        <v>0</v>
      </c>
    </row>
    <row r="49" spans="1:29" ht="15" thickBot="1" x14ac:dyDescent="0.35">
      <c r="A49" s="14"/>
      <c r="B49" s="311" t="s">
        <v>82</v>
      </c>
      <c r="C49" s="307" t="s">
        <v>35</v>
      </c>
      <c r="D49" s="144">
        <f t="shared" ref="D49:AC49" si="39">D46-D48</f>
        <v>-11979.836453246575</v>
      </c>
      <c r="E49" s="144">
        <f t="shared" si="39"/>
        <v>-1971.4701673543409</v>
      </c>
      <c r="F49" s="144">
        <f t="shared" si="39"/>
        <v>23.454452608039674</v>
      </c>
      <c r="G49" s="144">
        <f t="shared" si="39"/>
        <v>486.38057556712351</v>
      </c>
      <c r="H49" s="144">
        <f t="shared" si="39"/>
        <v>641.88189760547948</v>
      </c>
      <c r="I49" s="144">
        <f t="shared" si="39"/>
        <v>740.12799677325188</v>
      </c>
      <c r="J49" s="144">
        <f t="shared" si="39"/>
        <v>816.63819483154407</v>
      </c>
      <c r="K49" s="144">
        <f t="shared" si="39"/>
        <v>894.39344620599365</v>
      </c>
      <c r="L49" s="144">
        <f t="shared" si="39"/>
        <v>971.38393065629339</v>
      </c>
      <c r="M49" s="144">
        <f t="shared" si="39"/>
        <v>1052.2228846704086</v>
      </c>
      <c r="N49" s="144">
        <f t="shared" si="39"/>
        <v>1123.8378934202615</v>
      </c>
      <c r="O49" s="144">
        <f t="shared" si="39"/>
        <v>1198.8097190656413</v>
      </c>
      <c r="P49" s="144">
        <f t="shared" si="39"/>
        <v>1267.4329999349231</v>
      </c>
      <c r="Q49" s="144">
        <f t="shared" si="39"/>
        <v>1267.5474516539985</v>
      </c>
      <c r="R49" s="144">
        <f t="shared" si="39"/>
        <v>1240.6641312186234</v>
      </c>
      <c r="S49" s="144">
        <f t="shared" si="39"/>
        <v>1216.7473161755083</v>
      </c>
      <c r="T49" s="144">
        <f t="shared" si="39"/>
        <v>1192.4267897185175</v>
      </c>
      <c r="U49" s="144">
        <f t="shared" si="39"/>
        <v>1171.4807511980084</v>
      </c>
      <c r="V49" s="144">
        <f t="shared" si="39"/>
        <v>1141.8491802375036</v>
      </c>
      <c r="W49" s="144">
        <f t="shared" si="39"/>
        <v>1114.7262723551091</v>
      </c>
      <c r="X49" s="144">
        <f t="shared" si="39"/>
        <v>1087.1126522533996</v>
      </c>
      <c r="Y49" s="258">
        <f t="shared" si="39"/>
        <v>1062.5249426243308</v>
      </c>
      <c r="Z49" s="144">
        <f t="shared" si="39"/>
        <v>1029.5315161113517</v>
      </c>
      <c r="AA49" s="144">
        <f t="shared" si="39"/>
        <v>998.51158425098481</v>
      </c>
      <c r="AB49" s="144">
        <f t="shared" si="39"/>
        <v>966.89518862353543</v>
      </c>
      <c r="AC49" s="264">
        <f t="shared" si="39"/>
        <v>10.394682471701117</v>
      </c>
    </row>
    <row r="50" spans="1:29" ht="15" thickBot="1" x14ac:dyDescent="0.35">
      <c r="A50" s="14"/>
      <c r="B50" s="25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</row>
    <row r="51" spans="1:29" x14ac:dyDescent="0.3">
      <c r="A51" s="14"/>
      <c r="B51" s="47" t="s">
        <v>21</v>
      </c>
      <c r="C51" s="28" t="s">
        <v>35</v>
      </c>
      <c r="D51" s="36">
        <f>IF(D43&lt;0,0,D43*Assumption!$C$54)</f>
        <v>0</v>
      </c>
      <c r="E51" s="36">
        <f>IF(E43&lt;0,0,E43*Assumption!$C$54)</f>
        <v>0</v>
      </c>
      <c r="F51" s="36">
        <f>IF(F43&lt;0,0,F43*Assumption!$C$54)</f>
        <v>0</v>
      </c>
      <c r="G51" s="36">
        <f>IF(G43&lt;0,0,G43*Assumption!$C$54)</f>
        <v>15.999514888100467</v>
      </c>
      <c r="H51" s="36">
        <f>IF(H43&lt;0,0,H43*Assumption!$C$54)</f>
        <v>45.710837984020628</v>
      </c>
      <c r="I51" s="36">
        <f>IF(I43&lt;0,0,I43*Assumption!$C$54)</f>
        <v>77.001998141837845</v>
      </c>
      <c r="J51" s="36">
        <f>IF(J43&lt;0,0,J43*Assumption!$C$54)</f>
        <v>104.72638667280427</v>
      </c>
      <c r="K51" s="36">
        <f>IF(K43&lt;0,0,K43*Assumption!$C$54)</f>
        <v>133.84860088368646</v>
      </c>
      <c r="L51" s="36">
        <f>IF(L43&lt;0,0,L43*Assumption!$C$54)</f>
        <v>162.86765891576368</v>
      </c>
      <c r="M51" s="36">
        <f>IF(M43&lt;0,0,M43*Assumption!$C$54)</f>
        <v>193.37670290365278</v>
      </c>
      <c r="N51" s="36">
        <f>IF(N43&lt;0,0,N43*Assumption!$C$54)</f>
        <v>220.41094542059301</v>
      </c>
      <c r="O51" s="36">
        <f>IF(O43&lt;0,0,O43*Assumption!$C$54)</f>
        <v>248.71393792097604</v>
      </c>
      <c r="P51" s="36">
        <f>IF(P43&lt;0,0,P43*Assumption!$C$54)</f>
        <v>274.62052469129509</v>
      </c>
      <c r="Q51" s="36">
        <f>IF(Q43&lt;0,0,Q43*Assumption!$C$54)</f>
        <v>274.66371765958985</v>
      </c>
      <c r="R51" s="36">
        <f>IF(R43&lt;0,0,R43*Assumption!$C$54)</f>
        <v>264.51472355988926</v>
      </c>
      <c r="S51" s="36">
        <f>IF(S43&lt;0,0,S43*Assumption!$C$54)</f>
        <v>255.48564695102476</v>
      </c>
      <c r="T51" s="36">
        <f>IF(T43&lt;0,0,T43*Assumption!$C$54)</f>
        <v>246.30416168422397</v>
      </c>
      <c r="U51" s="36">
        <f>IF(U43&lt;0,0,U43*Assumption!$C$54)</f>
        <v>238.39661319821022</v>
      </c>
      <c r="V51" s="36">
        <f>IF(V43&lt;0,0,V43*Assumption!$C$54)</f>
        <v>227.21010252445006</v>
      </c>
      <c r="W51" s="36">
        <f>IF(W43&lt;0,0,W43*Assumption!$C$54)</f>
        <v>216.97066233973811</v>
      </c>
      <c r="X51" s="36">
        <f>IF(X43&lt;0,0,X43*Assumption!$C$54)</f>
        <v>206.54596847875061</v>
      </c>
      <c r="Y51" s="254">
        <f>IF(Y43&lt;0,0,Y43*Assumption!$C$54)</f>
        <v>197.26361633954673</v>
      </c>
      <c r="Z51" s="36">
        <f>IF(Z43&lt;0,0,Z43*Assumption!$C$54)</f>
        <v>184.80793796235912</v>
      </c>
      <c r="AA51" s="36">
        <f>IF(AA43&lt;0,0,AA43*Assumption!$C$54)</f>
        <v>173.09729328643232</v>
      </c>
      <c r="AB51" s="36">
        <f>IF(AB43&lt;0,0,AB43*Assumption!$C$54)</f>
        <v>161.16147160915708</v>
      </c>
      <c r="AC51" s="37">
        <f>IF(AC43&lt;0,0,AC43*Assumption!$C$54)</f>
        <v>0</v>
      </c>
    </row>
    <row r="52" spans="1:29" ht="15" thickBot="1" x14ac:dyDescent="0.35">
      <c r="A52" s="14"/>
      <c r="B52" s="312" t="s">
        <v>19</v>
      </c>
      <c r="C52" s="307" t="s">
        <v>35</v>
      </c>
      <c r="D52" s="144">
        <f>IF(D49&lt;0,0,D49*Assumption!$C$53)</f>
        <v>0</v>
      </c>
      <c r="E52" s="144">
        <f>IF(E49&lt;0,0,E49*Assumption!$C$53)</f>
        <v>0</v>
      </c>
      <c r="F52" s="144">
        <f>IF(F49&lt;0,0,F49*Assumption!$C$53)</f>
        <v>8.0495681350792143</v>
      </c>
      <c r="G52" s="144">
        <f>IF(G49&lt;0,0,G49*Assumption!$C$53)</f>
        <v>166.92581353463677</v>
      </c>
      <c r="H52" s="144">
        <f>IF(H49&lt;0,0,H49*Assumption!$C$53)</f>
        <v>220.29386725820052</v>
      </c>
      <c r="I52" s="144">
        <f>IF(I49&lt;0,0,I49*Assumption!$C$53)</f>
        <v>254.01192849258001</v>
      </c>
      <c r="J52" s="144">
        <f>IF(J49&lt;0,0,J49*Assumption!$C$53)</f>
        <v>280.27022846618587</v>
      </c>
      <c r="K52" s="144">
        <f>IF(K49&lt;0,0,K49*Assumption!$C$53)</f>
        <v>306.95583073789697</v>
      </c>
      <c r="L52" s="144">
        <f>IF(L49&lt;0,0,L49*Assumption!$C$53)</f>
        <v>333.37896500123986</v>
      </c>
      <c r="M52" s="144">
        <f>IF(M49&lt;0,0,M49*Assumption!$C$53)</f>
        <v>361.12289401888415</v>
      </c>
      <c r="N52" s="144">
        <f>IF(N49&lt;0,0,N49*Assumption!$C$53)</f>
        <v>385.70116502183367</v>
      </c>
      <c r="O52" s="144">
        <f>IF(O49&lt;0,0,O49*Assumption!$C$53)</f>
        <v>411.431495583328</v>
      </c>
      <c r="P52" s="144">
        <f>IF(P49&lt;0,0,P49*Assumption!$C$53)</f>
        <v>434.98300557766555</v>
      </c>
      <c r="Q52" s="144">
        <f>IF(Q49&lt;0,0,Q49*Assumption!$C$53)</f>
        <v>435.02228540765219</v>
      </c>
      <c r="R52" s="144">
        <f>IF(R49&lt;0,0,R49*Assumption!$C$53)</f>
        <v>425.79592983423152</v>
      </c>
      <c r="S52" s="144">
        <f>IF(S49&lt;0,0,S49*Assumption!$C$53)</f>
        <v>417.58767891143441</v>
      </c>
      <c r="T52" s="144">
        <f>IF(T49&lt;0,0,T49*Assumption!$C$53)</f>
        <v>409.24087423139514</v>
      </c>
      <c r="U52" s="144">
        <f>IF(U49&lt;0,0,U49*Assumption!$C$53)</f>
        <v>402.05219381115643</v>
      </c>
      <c r="V52" s="144">
        <f>IF(V49&lt;0,0,V49*Assumption!$C$53)</f>
        <v>391.88263865751117</v>
      </c>
      <c r="W52" s="144">
        <f>IF(W49&lt;0,0,W49*Assumption!$C$53)</f>
        <v>382.5740566722734</v>
      </c>
      <c r="X52" s="144">
        <f>IF(X49&lt;0,0,X49*Assumption!$C$53)</f>
        <v>373.09706225336669</v>
      </c>
      <c r="Y52" s="258">
        <f>IF(Y49&lt;0,0,Y49*Assumption!$C$53)</f>
        <v>364.6585603086703</v>
      </c>
      <c r="Z52" s="144">
        <f>IF(Z49&lt;0,0,Z49*Assumption!$C$53)</f>
        <v>353.33521632941586</v>
      </c>
      <c r="AA52" s="144">
        <f>IF(AA49&lt;0,0,AA49*Assumption!$C$53)</f>
        <v>342.68917571493796</v>
      </c>
      <c r="AB52" s="144">
        <f>IF(AB49&lt;0,0,AB49*Assumption!$C$53)</f>
        <v>331.83842873559729</v>
      </c>
      <c r="AC52" s="308">
        <f>IF(AC49&lt;0,0,AC49*Assumption!$C$53)</f>
        <v>3.5674550242878227</v>
      </c>
    </row>
    <row r="53" spans="1:29" ht="15" thickBot="1" x14ac:dyDescent="0.35">
      <c r="A53" s="14"/>
      <c r="B53" s="25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</row>
    <row r="54" spans="1:29" s="12" customFormat="1" ht="15" thickBot="1" x14ac:dyDescent="0.35">
      <c r="A54" s="31"/>
      <c r="B54" s="100" t="s">
        <v>52</v>
      </c>
      <c r="C54" s="42" t="s">
        <v>35</v>
      </c>
      <c r="D54" s="43">
        <f>IF(D49*Assumption!$C$53&lt;0,D49*Assumption!$C$53,0)</f>
        <v>-4111.4798707542241</v>
      </c>
      <c r="E54" s="43">
        <f>IF(E49*Assumption!$C$53&lt;0,E49*Assumption!$C$53,0)</f>
        <v>-676.60856143600972</v>
      </c>
      <c r="F54" s="43">
        <f>IF(F49*Assumption!$C$53&lt;0,F49*Assumption!$C$53,0)</f>
        <v>0</v>
      </c>
      <c r="G54" s="43">
        <f>IF(G49*Assumption!$C$53&lt;0,G49*Assumption!$C$53,0)</f>
        <v>0</v>
      </c>
      <c r="H54" s="43">
        <f>IF(H49*Assumption!$C$53&lt;0,H49*Assumption!$C$53,0)</f>
        <v>0</v>
      </c>
      <c r="I54" s="43">
        <f>IF(I49*Assumption!$C$53&lt;0,I49*Assumption!$C$53,0)</f>
        <v>0</v>
      </c>
      <c r="J54" s="43">
        <f>IF(J49*Assumption!$C$53&lt;0,J49*Assumption!$C$53,0)</f>
        <v>0</v>
      </c>
      <c r="K54" s="43">
        <f>IF(K49*Assumption!$C$53&lt;0,K49*Assumption!$C$53,0)</f>
        <v>0</v>
      </c>
      <c r="L54" s="43">
        <f>IF(L49*Assumption!$C$53&lt;0,L49*Assumption!$C$53,0)</f>
        <v>0</v>
      </c>
      <c r="M54" s="43">
        <f>IF(M49*Assumption!$C$53&lt;0,M49*Assumption!$C$53,0)</f>
        <v>0</v>
      </c>
      <c r="N54" s="43">
        <f>IF(N49*Assumption!$C$53&lt;0,N49*Assumption!$C$53,0)</f>
        <v>0</v>
      </c>
      <c r="O54" s="43">
        <f>IF(O49*Assumption!$C$53&lt;0,O49*Assumption!$C$53,0)</f>
        <v>0</v>
      </c>
      <c r="P54" s="43">
        <f>IF(P49*Assumption!$C$53&lt;0,P49*Assumption!$C$53,0)</f>
        <v>0</v>
      </c>
      <c r="Q54" s="43">
        <f>IF(Q49*Assumption!$C$53&lt;0,Q49*Assumption!$C$53,0)</f>
        <v>0</v>
      </c>
      <c r="R54" s="43">
        <f>IF(R49*Assumption!$C$53&lt;0,R49*Assumption!$C$53,0)</f>
        <v>0</v>
      </c>
      <c r="S54" s="43">
        <f>IF(S49*Assumption!$C$53&lt;0,S49*Assumption!$C$53,0)</f>
        <v>0</v>
      </c>
      <c r="T54" s="43">
        <f>IF(T49*Assumption!$C$53&lt;0,T49*Assumption!$C$53,0)</f>
        <v>0</v>
      </c>
      <c r="U54" s="43">
        <f>IF(U49*Assumption!$C$53&lt;0,U49*Assumption!$C$53,0)</f>
        <v>0</v>
      </c>
      <c r="V54" s="43">
        <f>IF(V49*Assumption!$C$53&lt;0,V49*Assumption!$C$53,0)</f>
        <v>0</v>
      </c>
      <c r="W54" s="43">
        <f>IF(W49*Assumption!$C$53&lt;0,W49*Assumption!$C$53,0)</f>
        <v>0</v>
      </c>
      <c r="X54" s="43">
        <f>IF(X49*Assumption!$C$53&lt;0,X49*Assumption!$C$53,0)</f>
        <v>0</v>
      </c>
      <c r="Y54" s="43">
        <f>IF(Y49*Assumption!$C$53&lt;0,Y49*Assumption!$C$53,0)</f>
        <v>0</v>
      </c>
      <c r="Z54" s="43">
        <f>IF(Z49*Assumption!$C$53&lt;0,Z49*Assumption!$C$53,0)</f>
        <v>0</v>
      </c>
      <c r="AA54" s="43">
        <f>IF(AA49*Assumption!$C$53&lt;0,AA49*Assumption!$C$53,0)</f>
        <v>0</v>
      </c>
      <c r="AB54" s="43">
        <f>IF(AB49*Assumption!$C$53&lt;0,AB49*Assumption!$C$53,0)</f>
        <v>0</v>
      </c>
      <c r="AC54" s="44">
        <f>IF(AC49*Assumption!$C$53&lt;0,AC49*Assumption!$C$53,0)</f>
        <v>0</v>
      </c>
    </row>
    <row r="55" spans="1:29" ht="15" thickBot="1" x14ac:dyDescent="0.35">
      <c r="A55" s="14"/>
      <c r="B55" s="25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</row>
    <row r="56" spans="1:29" s="12" customFormat="1" ht="15" thickBot="1" x14ac:dyDescent="0.35">
      <c r="A56" s="31"/>
      <c r="B56" s="100" t="s">
        <v>53</v>
      </c>
      <c r="C56" s="42" t="s">
        <v>35</v>
      </c>
      <c r="D56" s="43">
        <f t="shared" ref="D56:AC56" si="40">MAX(D51,D52)</f>
        <v>0</v>
      </c>
      <c r="E56" s="43">
        <f t="shared" si="40"/>
        <v>0</v>
      </c>
      <c r="F56" s="43">
        <f t="shared" si="40"/>
        <v>8.0495681350792143</v>
      </c>
      <c r="G56" s="43">
        <f t="shared" si="40"/>
        <v>166.92581353463677</v>
      </c>
      <c r="H56" s="43">
        <f t="shared" si="40"/>
        <v>220.29386725820052</v>
      </c>
      <c r="I56" s="43">
        <f t="shared" si="40"/>
        <v>254.01192849258001</v>
      </c>
      <c r="J56" s="43">
        <f t="shared" si="40"/>
        <v>280.27022846618587</v>
      </c>
      <c r="K56" s="43">
        <f t="shared" si="40"/>
        <v>306.95583073789697</v>
      </c>
      <c r="L56" s="43">
        <f t="shared" si="40"/>
        <v>333.37896500123986</v>
      </c>
      <c r="M56" s="43">
        <f t="shared" si="40"/>
        <v>361.12289401888415</v>
      </c>
      <c r="N56" s="43">
        <f t="shared" si="40"/>
        <v>385.70116502183367</v>
      </c>
      <c r="O56" s="43">
        <f t="shared" si="40"/>
        <v>411.431495583328</v>
      </c>
      <c r="P56" s="43">
        <f t="shared" si="40"/>
        <v>434.98300557766555</v>
      </c>
      <c r="Q56" s="43">
        <f t="shared" si="40"/>
        <v>435.02228540765219</v>
      </c>
      <c r="R56" s="43">
        <f t="shared" si="40"/>
        <v>425.79592983423152</v>
      </c>
      <c r="S56" s="43">
        <f t="shared" si="40"/>
        <v>417.58767891143441</v>
      </c>
      <c r="T56" s="43">
        <f t="shared" si="40"/>
        <v>409.24087423139514</v>
      </c>
      <c r="U56" s="43">
        <f t="shared" si="40"/>
        <v>402.05219381115643</v>
      </c>
      <c r="V56" s="43">
        <f t="shared" si="40"/>
        <v>391.88263865751117</v>
      </c>
      <c r="W56" s="43">
        <f t="shared" si="40"/>
        <v>382.5740566722734</v>
      </c>
      <c r="X56" s="43">
        <f t="shared" si="40"/>
        <v>373.09706225336669</v>
      </c>
      <c r="Y56" s="43">
        <f t="shared" si="40"/>
        <v>364.6585603086703</v>
      </c>
      <c r="Z56" s="43">
        <f t="shared" si="40"/>
        <v>353.33521632941586</v>
      </c>
      <c r="AA56" s="43">
        <f t="shared" si="40"/>
        <v>342.68917571493796</v>
      </c>
      <c r="AB56" s="43">
        <f t="shared" si="40"/>
        <v>331.83842873559729</v>
      </c>
      <c r="AC56" s="44">
        <f t="shared" si="40"/>
        <v>3.5674550242878227</v>
      </c>
    </row>
    <row r="57" spans="1:29" x14ac:dyDescent="0.3"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</row>
    <row r="58" spans="1:29" s="12" customFormat="1" x14ac:dyDescent="0.3">
      <c r="A58" s="31"/>
      <c r="B58" s="58"/>
      <c r="C58" s="59"/>
      <c r="D58" s="56"/>
      <c r="E58" s="56"/>
      <c r="F58" s="56"/>
      <c r="G58" s="56"/>
      <c r="H58" s="57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</row>
    <row r="59" spans="1:29" x14ac:dyDescent="0.3">
      <c r="A59" s="14"/>
      <c r="B59" s="442" t="s">
        <v>78</v>
      </c>
      <c r="C59" s="442"/>
      <c r="D59" s="34"/>
      <c r="E59" s="34"/>
      <c r="F59" s="34"/>
      <c r="G59" s="34"/>
      <c r="H59" s="48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</row>
    <row r="60" spans="1:29" ht="15" thickBot="1" x14ac:dyDescent="0.35">
      <c r="A60" s="14"/>
      <c r="B60" s="49"/>
      <c r="C60" s="49"/>
      <c r="D60" s="34"/>
      <c r="E60" s="34"/>
      <c r="F60" s="34"/>
      <c r="G60" s="34"/>
      <c r="H60" s="48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</row>
    <row r="61" spans="1:29" ht="15" thickBot="1" x14ac:dyDescent="0.35">
      <c r="A61" s="14"/>
      <c r="B61" s="105" t="s">
        <v>77</v>
      </c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</row>
    <row r="62" spans="1:29" ht="15" thickBot="1" x14ac:dyDescent="0.35">
      <c r="A62" s="14"/>
      <c r="B62" s="157" t="s">
        <v>54</v>
      </c>
      <c r="C62" s="158">
        <f>-Assumption!C27</f>
        <v>-4500</v>
      </c>
      <c r="D62" s="34"/>
      <c r="E62" s="34"/>
      <c r="F62" s="34"/>
      <c r="G62" s="34"/>
      <c r="H62" s="48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</row>
    <row r="63" spans="1:29" ht="15" thickBot="1" x14ac:dyDescent="0.35">
      <c r="A63" s="14"/>
      <c r="B63" s="20"/>
      <c r="C63" s="34"/>
      <c r="D63" s="34"/>
      <c r="E63" s="34"/>
      <c r="F63" s="34"/>
      <c r="G63" s="34"/>
      <c r="H63" s="48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</row>
    <row r="64" spans="1:29" ht="15" thickBot="1" x14ac:dyDescent="0.35">
      <c r="A64" s="14"/>
      <c r="B64" s="106" t="s">
        <v>55</v>
      </c>
      <c r="C64" s="13"/>
      <c r="D64" s="34"/>
      <c r="E64" s="34"/>
      <c r="F64" s="34"/>
      <c r="G64" s="34"/>
      <c r="H64" s="50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</row>
    <row r="65" spans="1:29" x14ac:dyDescent="0.3">
      <c r="A65" s="14"/>
      <c r="B65" s="51" t="s">
        <v>46</v>
      </c>
      <c r="C65" s="28"/>
      <c r="D65" s="36">
        <f>'P&amp;L Stat.'!D40</f>
        <v>-294.95974091780818</v>
      </c>
      <c r="E65" s="36">
        <f>'P&amp;L Stat.'!E40</f>
        <v>-111.4701673543409</v>
      </c>
      <c r="F65" s="36">
        <f>'P&amp;L Stat.'!F40</f>
        <v>-44.595115527039539</v>
      </c>
      <c r="G65" s="36">
        <f>'P&amp;L Stat.'!G40</f>
        <v>-124.54523796751326</v>
      </c>
      <c r="H65" s="36">
        <f>'P&amp;L Stat.'!H40</f>
        <v>-99.211969652720995</v>
      </c>
      <c r="I65" s="36">
        <f>'P&amp;L Stat.'!I40</f>
        <v>-50.043931719328668</v>
      </c>
      <c r="J65" s="36">
        <f>'P&amp;L Stat.'!J40</f>
        <v>-2.8640336346424533</v>
      </c>
      <c r="K65" s="36">
        <f>'P&amp;L Stat.'!K40</f>
        <v>47.591215468095982</v>
      </c>
      <c r="L65" s="36">
        <f>'P&amp;L Stat.'!L40</f>
        <v>98.035685655053044</v>
      </c>
      <c r="M65" s="36">
        <f>'P&amp;L Stat.'!M40</f>
        <v>151.10613465152483</v>
      </c>
      <c r="N65" s="36">
        <f>'P&amp;L Stat.'!N40</f>
        <v>198.13795719842761</v>
      </c>
      <c r="O65" s="36">
        <f>'P&amp;L Stat.'!O40</f>
        <v>247.37846924231314</v>
      </c>
      <c r="P65" s="36">
        <f>'P&amp;L Stat.'!P40</f>
        <v>292.45004350925734</v>
      </c>
      <c r="Q65" s="36">
        <f>'P&amp;L Stat.'!Q40</f>
        <v>292.52517607674571</v>
      </c>
      <c r="R65" s="36">
        <f>'P&amp;L Stat.'!R40</f>
        <v>274.86820335047207</v>
      </c>
      <c r="S65" s="36">
        <f>'P&amp;L Stat.'!S40</f>
        <v>259.15963765728986</v>
      </c>
      <c r="T65" s="36">
        <f>'P&amp;L Stat.'!T40</f>
        <v>243.18591556576524</v>
      </c>
      <c r="U65" s="36">
        <f>'P&amp;L Stat.'!U40</f>
        <v>229.42855740258125</v>
      </c>
      <c r="V65" s="36">
        <f>'P&amp;L Stat.'!V40</f>
        <v>209.96654158313856</v>
      </c>
      <c r="W65" s="36">
        <f>'P&amp;L Stat.'!W40</f>
        <v>192.15221568346442</v>
      </c>
      <c r="X65" s="36">
        <f>'P&amp;L Stat.'!X40</f>
        <v>174.01559000015794</v>
      </c>
      <c r="Y65" s="254">
        <f>'P&amp;L Stat.'!Y40</f>
        <v>157.86638231568531</v>
      </c>
      <c r="Z65" s="36">
        <f>'P&amp;L Stat.'!Z40</f>
        <v>136.19629978194018</v>
      </c>
      <c r="AA65" s="36">
        <f>'P&amp;L Stat.'!AA40</f>
        <v>115.82240853604833</v>
      </c>
      <c r="AB65" s="254">
        <f>'P&amp;L Stat.'!AB40</f>
        <v>95.056759887938142</v>
      </c>
      <c r="AC65" s="37">
        <f>'P&amp;L Stat.'!AC40</f>
        <v>-533.17277255258671</v>
      </c>
    </row>
    <row r="66" spans="1:29" x14ac:dyDescent="0.3">
      <c r="A66" s="14" t="s">
        <v>48</v>
      </c>
      <c r="B66" s="313" t="s">
        <v>17</v>
      </c>
      <c r="C66" s="292"/>
      <c r="D66" s="249">
        <f>'P&amp;L Stat.'!D32</f>
        <v>315.1232876712329</v>
      </c>
      <c r="E66" s="249">
        <f>'P&amp;L Stat.'!E32</f>
        <v>540</v>
      </c>
      <c r="F66" s="249">
        <f>'P&amp;L Stat.'!F32</f>
        <v>540</v>
      </c>
      <c r="G66" s="249">
        <f>'P&amp;L Stat.'!G32</f>
        <v>540</v>
      </c>
      <c r="H66" s="249">
        <f>'P&amp;L Stat.'!H32</f>
        <v>540</v>
      </c>
      <c r="I66" s="249">
        <f>'P&amp;L Stat.'!I32</f>
        <v>540</v>
      </c>
      <c r="J66" s="249">
        <f>'P&amp;L Stat.'!J32</f>
        <v>540</v>
      </c>
      <c r="K66" s="249">
        <f>'P&amp;L Stat.'!K32</f>
        <v>540</v>
      </c>
      <c r="L66" s="249">
        <f>'P&amp;L Stat.'!L32</f>
        <v>540</v>
      </c>
      <c r="M66" s="249">
        <f>'P&amp;L Stat.'!M32</f>
        <v>540</v>
      </c>
      <c r="N66" s="249">
        <f>'P&amp;L Stat.'!N32</f>
        <v>540</v>
      </c>
      <c r="O66" s="249">
        <f>'P&amp;L Stat.'!O32</f>
        <v>540</v>
      </c>
      <c r="P66" s="249">
        <f>'P&amp;L Stat.'!P32</f>
        <v>540</v>
      </c>
      <c r="Q66" s="249">
        <f>'P&amp;L Stat.'!Q32</f>
        <v>540</v>
      </c>
      <c r="R66" s="249">
        <f>'P&amp;L Stat.'!R32</f>
        <v>540</v>
      </c>
      <c r="S66" s="249">
        <f>'P&amp;L Stat.'!S32</f>
        <v>540</v>
      </c>
      <c r="T66" s="249">
        <f>'P&amp;L Stat.'!T32</f>
        <v>540</v>
      </c>
      <c r="U66" s="249">
        <f>'P&amp;L Stat.'!U32</f>
        <v>540</v>
      </c>
      <c r="V66" s="249">
        <f>'P&amp;L Stat.'!V32</f>
        <v>540</v>
      </c>
      <c r="W66" s="249">
        <f>'P&amp;L Stat.'!W32</f>
        <v>540</v>
      </c>
      <c r="X66" s="249">
        <f>'P&amp;L Stat.'!X32</f>
        <v>540</v>
      </c>
      <c r="Y66" s="247">
        <f>'P&amp;L Stat.'!Y32</f>
        <v>540</v>
      </c>
      <c r="Z66" s="249">
        <f>'P&amp;L Stat.'!Z32</f>
        <v>540</v>
      </c>
      <c r="AA66" s="249">
        <f>'P&amp;L Stat.'!AA32</f>
        <v>540</v>
      </c>
      <c r="AB66" s="247">
        <f>'P&amp;L Stat.'!AB32</f>
        <v>540</v>
      </c>
      <c r="AC66" s="295">
        <f>'P&amp;L Stat.'!AC32</f>
        <v>540</v>
      </c>
    </row>
    <row r="67" spans="1:29" x14ac:dyDescent="0.3">
      <c r="A67" s="14" t="s">
        <v>48</v>
      </c>
      <c r="B67" s="313" t="s">
        <v>56</v>
      </c>
      <c r="C67" s="292"/>
      <c r="D67" s="249">
        <f>IF('P&amp;L Stat.'!D54&lt;0,-'P&amp;L Stat.'!D54,'P&amp;L Stat.'!D54)</f>
        <v>4111.4798707542241</v>
      </c>
      <c r="E67" s="249">
        <f>IF('P&amp;L Stat.'!E54&lt;0,-'P&amp;L Stat.'!E54,'P&amp;L Stat.'!E54)</f>
        <v>676.60856143600972</v>
      </c>
      <c r="F67" s="249">
        <f>IF('P&amp;L Stat.'!F54&lt;0,-'P&amp;L Stat.'!F54,'P&amp;L Stat.'!F54)</f>
        <v>0</v>
      </c>
      <c r="G67" s="249">
        <f>IF('P&amp;L Stat.'!G54&lt;0,-'P&amp;L Stat.'!G54,'P&amp;L Stat.'!G54)</f>
        <v>0</v>
      </c>
      <c r="H67" s="249">
        <f>IF('P&amp;L Stat.'!H54&lt;0,-'P&amp;L Stat.'!H54,'P&amp;L Stat.'!H54)</f>
        <v>0</v>
      </c>
      <c r="I67" s="249">
        <f>IF('P&amp;L Stat.'!I54&lt;0,-'P&amp;L Stat.'!I54,'P&amp;L Stat.'!I54)</f>
        <v>0</v>
      </c>
      <c r="J67" s="249">
        <f>IF('P&amp;L Stat.'!J54&lt;0,-'P&amp;L Stat.'!J54,'P&amp;L Stat.'!J54)</f>
        <v>0</v>
      </c>
      <c r="K67" s="249">
        <f>IF('P&amp;L Stat.'!K54&lt;0,-'P&amp;L Stat.'!K54,'P&amp;L Stat.'!K54)</f>
        <v>0</v>
      </c>
      <c r="L67" s="249">
        <f>IF('P&amp;L Stat.'!L54&lt;0,-'P&amp;L Stat.'!L54,'P&amp;L Stat.'!L54)</f>
        <v>0</v>
      </c>
      <c r="M67" s="249">
        <f>IF('P&amp;L Stat.'!M54&lt;0,-'P&amp;L Stat.'!M54,'P&amp;L Stat.'!M54)</f>
        <v>0</v>
      </c>
      <c r="N67" s="249">
        <f>IF('P&amp;L Stat.'!N54&lt;0,-'P&amp;L Stat.'!N54,'P&amp;L Stat.'!N54)</f>
        <v>0</v>
      </c>
      <c r="O67" s="249">
        <f>IF('P&amp;L Stat.'!O54&lt;0,-'P&amp;L Stat.'!O54,'P&amp;L Stat.'!O54)</f>
        <v>0</v>
      </c>
      <c r="P67" s="249">
        <f>IF('P&amp;L Stat.'!P54&lt;0,-'P&amp;L Stat.'!P54,'P&amp;L Stat.'!P54)</f>
        <v>0</v>
      </c>
      <c r="Q67" s="249">
        <f>IF('P&amp;L Stat.'!Q54&lt;0,-'P&amp;L Stat.'!Q54,'P&amp;L Stat.'!Q54)</f>
        <v>0</v>
      </c>
      <c r="R67" s="249">
        <f>IF('P&amp;L Stat.'!R54&lt;0,-'P&amp;L Stat.'!R54,'P&amp;L Stat.'!R54)</f>
        <v>0</v>
      </c>
      <c r="S67" s="249">
        <f>IF('P&amp;L Stat.'!S54&lt;0,-'P&amp;L Stat.'!S54,'P&amp;L Stat.'!S54)</f>
        <v>0</v>
      </c>
      <c r="T67" s="249">
        <f>IF('P&amp;L Stat.'!T54&lt;0,-'P&amp;L Stat.'!T54,'P&amp;L Stat.'!T54)</f>
        <v>0</v>
      </c>
      <c r="U67" s="249">
        <f>IF('P&amp;L Stat.'!U54&lt;0,-'P&amp;L Stat.'!U54,'P&amp;L Stat.'!U54)</f>
        <v>0</v>
      </c>
      <c r="V67" s="249">
        <f>IF('P&amp;L Stat.'!V54&lt;0,-'P&amp;L Stat.'!V54,'P&amp;L Stat.'!V54)</f>
        <v>0</v>
      </c>
      <c r="W67" s="249">
        <f>IF('P&amp;L Stat.'!W54&lt;0,-'P&amp;L Stat.'!W54,'P&amp;L Stat.'!W54)</f>
        <v>0</v>
      </c>
      <c r="X67" s="249">
        <f>IF('P&amp;L Stat.'!X54&lt;0,-'P&amp;L Stat.'!X54,'P&amp;L Stat.'!X54)</f>
        <v>0</v>
      </c>
      <c r="Y67" s="247">
        <f>IF('P&amp;L Stat.'!Y54&lt;0,-'P&amp;L Stat.'!Y54,'P&amp;L Stat.'!Y54)</f>
        <v>0</v>
      </c>
      <c r="Z67" s="249">
        <f>IF('P&amp;L Stat.'!Z54&lt;0,-'P&amp;L Stat.'!Z54,'P&amp;L Stat.'!Z54)</f>
        <v>0</v>
      </c>
      <c r="AA67" s="249">
        <f>IF('P&amp;L Stat.'!AA54&lt;0,-'P&amp;L Stat.'!AA54,'P&amp;L Stat.'!AA54)</f>
        <v>0</v>
      </c>
      <c r="AB67" s="247">
        <f>IF('P&amp;L Stat.'!AB54&lt;0,-'P&amp;L Stat.'!AB54,'P&amp;L Stat.'!AB54)</f>
        <v>0</v>
      </c>
      <c r="AC67" s="295">
        <f>IF('P&amp;L Stat.'!AC54&lt;0,-'P&amp;L Stat.'!AC54,'P&amp;L Stat.'!AC54)</f>
        <v>0</v>
      </c>
    </row>
    <row r="68" spans="1:29" x14ac:dyDescent="0.3">
      <c r="A68" s="14" t="s">
        <v>48</v>
      </c>
      <c r="B68" s="313" t="s">
        <v>57</v>
      </c>
      <c r="C68" s="292"/>
      <c r="D68" s="249">
        <v>0</v>
      </c>
      <c r="E68" s="249">
        <v>0</v>
      </c>
      <c r="F68" s="249">
        <v>0</v>
      </c>
      <c r="G68" s="249">
        <v>0</v>
      </c>
      <c r="H68" s="249">
        <v>0</v>
      </c>
      <c r="I68" s="249">
        <v>0</v>
      </c>
      <c r="J68" s="249">
        <v>0</v>
      </c>
      <c r="K68" s="249">
        <v>0</v>
      </c>
      <c r="L68" s="249">
        <v>0</v>
      </c>
      <c r="M68" s="249">
        <v>0</v>
      </c>
      <c r="N68" s="249">
        <v>0</v>
      </c>
      <c r="O68" s="249">
        <v>0</v>
      </c>
      <c r="P68" s="249">
        <v>0</v>
      </c>
      <c r="Q68" s="249">
        <v>0</v>
      </c>
      <c r="R68" s="249">
        <v>0</v>
      </c>
      <c r="S68" s="249">
        <v>0</v>
      </c>
      <c r="T68" s="249">
        <v>0</v>
      </c>
      <c r="U68" s="249">
        <v>0</v>
      </c>
      <c r="V68" s="249">
        <v>0</v>
      </c>
      <c r="W68" s="249">
        <v>0</v>
      </c>
      <c r="X68" s="249">
        <v>0</v>
      </c>
      <c r="Y68" s="247">
        <v>0</v>
      </c>
      <c r="Z68" s="249">
        <v>0</v>
      </c>
      <c r="AA68" s="249">
        <v>0</v>
      </c>
      <c r="AB68" s="247">
        <v>0</v>
      </c>
      <c r="AC68" s="295">
        <f>Assumption!C42</f>
        <v>1500</v>
      </c>
    </row>
    <row r="69" spans="1:29" ht="15" thickBot="1" x14ac:dyDescent="0.35">
      <c r="A69" s="14" t="s">
        <v>40</v>
      </c>
      <c r="B69" s="314" t="s">
        <v>79</v>
      </c>
      <c r="C69" s="307"/>
      <c r="D69" s="144">
        <f>D133</f>
        <v>437.5</v>
      </c>
      <c r="E69" s="144">
        <f t="shared" ref="E69:AC69" si="41">E133</f>
        <v>875</v>
      </c>
      <c r="F69" s="144">
        <f t="shared" si="41"/>
        <v>875</v>
      </c>
      <c r="G69" s="144">
        <f t="shared" si="41"/>
        <v>875</v>
      </c>
      <c r="H69" s="144">
        <f t="shared" si="41"/>
        <v>875</v>
      </c>
      <c r="I69" s="144">
        <f t="shared" si="41"/>
        <v>875</v>
      </c>
      <c r="J69" s="144">
        <f t="shared" si="41"/>
        <v>875</v>
      </c>
      <c r="K69" s="144">
        <f t="shared" si="41"/>
        <v>875</v>
      </c>
      <c r="L69" s="144">
        <f t="shared" si="41"/>
        <v>875</v>
      </c>
      <c r="M69" s="144">
        <f t="shared" si="41"/>
        <v>875</v>
      </c>
      <c r="N69" s="144">
        <f t="shared" si="41"/>
        <v>875</v>
      </c>
      <c r="O69" s="144">
        <f t="shared" si="41"/>
        <v>875</v>
      </c>
      <c r="P69" s="144">
        <f t="shared" si="41"/>
        <v>437.5</v>
      </c>
      <c r="Q69" s="144">
        <f t="shared" si="41"/>
        <v>0</v>
      </c>
      <c r="R69" s="144">
        <f t="shared" si="41"/>
        <v>0</v>
      </c>
      <c r="S69" s="144">
        <f t="shared" si="41"/>
        <v>0</v>
      </c>
      <c r="T69" s="144">
        <f t="shared" si="41"/>
        <v>0</v>
      </c>
      <c r="U69" s="144">
        <f t="shared" si="41"/>
        <v>0</v>
      </c>
      <c r="V69" s="144">
        <f t="shared" si="41"/>
        <v>0</v>
      </c>
      <c r="W69" s="144">
        <f t="shared" si="41"/>
        <v>0</v>
      </c>
      <c r="X69" s="144">
        <f t="shared" si="41"/>
        <v>0</v>
      </c>
      <c r="Y69" s="258">
        <f t="shared" si="41"/>
        <v>0</v>
      </c>
      <c r="Z69" s="144">
        <f t="shared" si="41"/>
        <v>0</v>
      </c>
      <c r="AA69" s="144">
        <f t="shared" si="41"/>
        <v>0</v>
      </c>
      <c r="AB69" s="258">
        <f t="shared" si="41"/>
        <v>0</v>
      </c>
      <c r="AC69" s="308">
        <f t="shared" si="41"/>
        <v>0</v>
      </c>
    </row>
    <row r="70" spans="1:29" ht="15" thickBot="1" x14ac:dyDescent="0.35">
      <c r="A70" s="14"/>
      <c r="B70" s="20"/>
      <c r="C70" s="13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</row>
    <row r="71" spans="1:29" s="12" customFormat="1" ht="15" thickBot="1" x14ac:dyDescent="0.35">
      <c r="A71" s="31"/>
      <c r="B71" s="103" t="s">
        <v>58</v>
      </c>
      <c r="C71" s="43">
        <f>C62</f>
        <v>-4500</v>
      </c>
      <c r="D71" s="43">
        <f t="shared" ref="D71:AC71" si="42">SUM(D65:D68)-D69</f>
        <v>3694.1434175076483</v>
      </c>
      <c r="E71" s="43">
        <f t="shared" si="42"/>
        <v>230.13839408166882</v>
      </c>
      <c r="F71" s="43">
        <f t="shared" si="42"/>
        <v>-379.59511552703952</v>
      </c>
      <c r="G71" s="43">
        <f t="shared" si="42"/>
        <v>-459.54523796751323</v>
      </c>
      <c r="H71" s="43">
        <f t="shared" si="42"/>
        <v>-434.211969652721</v>
      </c>
      <c r="I71" s="43">
        <f t="shared" si="42"/>
        <v>-385.04393171932867</v>
      </c>
      <c r="J71" s="43">
        <f t="shared" si="42"/>
        <v>-337.86403363464251</v>
      </c>
      <c r="K71" s="43">
        <f t="shared" si="42"/>
        <v>-287.40878453190408</v>
      </c>
      <c r="L71" s="43">
        <f t="shared" si="42"/>
        <v>-236.96431434494696</v>
      </c>
      <c r="M71" s="43">
        <f t="shared" si="42"/>
        <v>-183.89386534847517</v>
      </c>
      <c r="N71" s="43">
        <f t="shared" si="42"/>
        <v>-136.86204280157244</v>
      </c>
      <c r="O71" s="43">
        <f t="shared" si="42"/>
        <v>-87.621530757686855</v>
      </c>
      <c r="P71" s="43">
        <f t="shared" si="42"/>
        <v>394.95004350925728</v>
      </c>
      <c r="Q71" s="43">
        <f t="shared" si="42"/>
        <v>832.52517607674577</v>
      </c>
      <c r="R71" s="43">
        <f t="shared" si="42"/>
        <v>814.86820335047207</v>
      </c>
      <c r="S71" s="43">
        <f t="shared" si="42"/>
        <v>799.15963765728986</v>
      </c>
      <c r="T71" s="43">
        <f t="shared" si="42"/>
        <v>783.1859155657653</v>
      </c>
      <c r="U71" s="43">
        <f t="shared" si="42"/>
        <v>769.42855740258119</v>
      </c>
      <c r="V71" s="43">
        <f t="shared" si="42"/>
        <v>749.96654158313856</v>
      </c>
      <c r="W71" s="43">
        <f t="shared" si="42"/>
        <v>732.15221568346442</v>
      </c>
      <c r="X71" s="43">
        <f t="shared" si="42"/>
        <v>714.015590000158</v>
      </c>
      <c r="Y71" s="43">
        <f t="shared" si="42"/>
        <v>697.86638231568531</v>
      </c>
      <c r="Z71" s="43">
        <f t="shared" si="42"/>
        <v>676.19629978194018</v>
      </c>
      <c r="AA71" s="43">
        <f t="shared" si="42"/>
        <v>655.82240853604833</v>
      </c>
      <c r="AB71" s="43">
        <f t="shared" si="42"/>
        <v>635.05675988793814</v>
      </c>
      <c r="AC71" s="44">
        <f t="shared" si="42"/>
        <v>1506.8272274474134</v>
      </c>
    </row>
    <row r="72" spans="1:29" s="10" customFormat="1" ht="15" thickBot="1" x14ac:dyDescent="0.35">
      <c r="A72" s="54"/>
      <c r="B72" s="55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</row>
    <row r="73" spans="1:29" s="12" customFormat="1" ht="15" thickBot="1" x14ac:dyDescent="0.35">
      <c r="A73" s="31"/>
      <c r="B73" s="103" t="s">
        <v>59</v>
      </c>
      <c r="C73" s="104">
        <f>XIRR(C71:AC71,C6:AC6)</f>
        <v>7.6349768042564395E-2</v>
      </c>
      <c r="D73" s="95"/>
      <c r="E73" s="95"/>
      <c r="F73" s="95"/>
      <c r="G73" s="95"/>
      <c r="H73" s="48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</row>
    <row r="74" spans="1:29" s="12" customFormat="1" x14ac:dyDescent="0.3">
      <c r="A74" s="31"/>
      <c r="B74" s="58"/>
      <c r="C74" s="59"/>
      <c r="D74" s="56"/>
      <c r="E74" s="56"/>
      <c r="F74" s="56"/>
      <c r="G74" s="56"/>
      <c r="H74" s="57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</row>
    <row r="75" spans="1:29" x14ac:dyDescent="0.3">
      <c r="B75" s="109" t="s">
        <v>60</v>
      </c>
    </row>
    <row r="76" spans="1:29" ht="15" thickBot="1" x14ac:dyDescent="0.35">
      <c r="B76" s="49"/>
      <c r="C76" s="60"/>
      <c r="D76" s="60"/>
      <c r="E76" s="60"/>
      <c r="F76" s="60"/>
      <c r="G76" s="60"/>
    </row>
    <row r="77" spans="1:29" s="60" customFormat="1" ht="15" thickBot="1" x14ac:dyDescent="0.35">
      <c r="B77" s="102" t="s">
        <v>166</v>
      </c>
      <c r="D77" s="151" t="s">
        <v>155</v>
      </c>
      <c r="E77" s="154">
        <f>Assumption!C20</f>
        <v>150</v>
      </c>
    </row>
    <row r="78" spans="1:29" s="60" customFormat="1" x14ac:dyDescent="0.3">
      <c r="B78" s="149" t="s">
        <v>156</v>
      </c>
      <c r="D78" s="152" t="s">
        <v>156</v>
      </c>
      <c r="E78" s="155">
        <f>Assumption!C22</f>
        <v>0.05</v>
      </c>
    </row>
    <row r="79" spans="1:29" s="60" customFormat="1" ht="15" thickBot="1" x14ac:dyDescent="0.35">
      <c r="B79" s="150" t="s">
        <v>157</v>
      </c>
      <c r="D79" s="153" t="s">
        <v>157</v>
      </c>
      <c r="E79" s="156">
        <f>Assumption!C21</f>
        <v>0</v>
      </c>
    </row>
    <row r="80" spans="1:29" s="60" customFormat="1" ht="15" thickBot="1" x14ac:dyDescent="0.35"/>
    <row r="81" spans="2:56" s="60" customFormat="1" ht="15" thickBot="1" x14ac:dyDescent="0.35">
      <c r="B81" s="65" t="s">
        <v>25</v>
      </c>
      <c r="C81" s="66"/>
      <c r="D81" s="67">
        <f>D84</f>
        <v>43555</v>
      </c>
      <c r="E81" s="440">
        <f>F84</f>
        <v>43921</v>
      </c>
      <c r="F81" s="441"/>
      <c r="G81" s="440">
        <f>H84</f>
        <v>44286</v>
      </c>
      <c r="H81" s="441"/>
      <c r="I81" s="440">
        <f>J84</f>
        <v>44651</v>
      </c>
      <c r="J81" s="441"/>
      <c r="K81" s="440">
        <f>L84</f>
        <v>45016</v>
      </c>
      <c r="L81" s="441"/>
      <c r="M81" s="440">
        <f>N84</f>
        <v>45382</v>
      </c>
      <c r="N81" s="441"/>
      <c r="O81" s="440">
        <f>P84</f>
        <v>45747</v>
      </c>
      <c r="P81" s="441"/>
      <c r="Q81" s="440">
        <f>R84</f>
        <v>46112</v>
      </c>
      <c r="R81" s="441"/>
      <c r="S81" s="440">
        <f>T84</f>
        <v>46477</v>
      </c>
      <c r="T81" s="441"/>
      <c r="U81" s="440">
        <f>V84</f>
        <v>46843</v>
      </c>
      <c r="V81" s="441"/>
      <c r="W81" s="440">
        <f>X84</f>
        <v>47208</v>
      </c>
      <c r="X81" s="441"/>
      <c r="Y81" s="440">
        <f>Z84</f>
        <v>47573</v>
      </c>
      <c r="Z81" s="441"/>
      <c r="AA81" s="440">
        <f>AB84</f>
        <v>47938</v>
      </c>
      <c r="AB81" s="441"/>
      <c r="AC81" s="440">
        <f>AD84</f>
        <v>48304</v>
      </c>
      <c r="AD81" s="441"/>
      <c r="AE81" s="440">
        <f>AF84</f>
        <v>48669</v>
      </c>
      <c r="AF81" s="441"/>
      <c r="AG81" s="440">
        <f>AH84</f>
        <v>49034</v>
      </c>
      <c r="AH81" s="441"/>
      <c r="AI81" s="440">
        <f>AJ84</f>
        <v>49399</v>
      </c>
      <c r="AJ81" s="441"/>
      <c r="AK81" s="440">
        <f>AL84</f>
        <v>49765</v>
      </c>
      <c r="AL81" s="441"/>
      <c r="AM81" s="440">
        <f>AN84</f>
        <v>50130</v>
      </c>
      <c r="AN81" s="441"/>
      <c r="AO81" s="440">
        <f>AP84</f>
        <v>50495</v>
      </c>
      <c r="AP81" s="441"/>
      <c r="AQ81" s="440">
        <f>AR84</f>
        <v>50860</v>
      </c>
      <c r="AR81" s="441"/>
      <c r="AS81" s="440">
        <f>AT84</f>
        <v>51226</v>
      </c>
      <c r="AT81" s="441"/>
      <c r="AU81" s="440">
        <f>AV84</f>
        <v>51591</v>
      </c>
      <c r="AV81" s="441"/>
      <c r="AW81" s="440">
        <f>AX84</f>
        <v>51956</v>
      </c>
      <c r="AX81" s="441"/>
      <c r="AY81" s="440">
        <f>AZ84</f>
        <v>52321</v>
      </c>
      <c r="AZ81" s="441"/>
      <c r="BA81" s="440">
        <f>BB84</f>
        <v>52687</v>
      </c>
      <c r="BB81" s="441"/>
      <c r="BC81" s="440">
        <f>BD84</f>
        <v>52840</v>
      </c>
      <c r="BD81" s="441"/>
    </row>
    <row r="82" spans="2:56" s="60" customFormat="1" ht="15" thickBot="1" x14ac:dyDescent="0.35">
      <c r="B82" s="26"/>
      <c r="C82" s="68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</row>
    <row r="83" spans="2:56" s="60" customFormat="1" x14ac:dyDescent="0.3">
      <c r="B83" s="61" t="s">
        <v>61</v>
      </c>
      <c r="C83" s="70"/>
      <c r="D83" s="71">
        <f>$C$6</f>
        <v>43343</v>
      </c>
      <c r="E83" s="72">
        <f>D84</f>
        <v>43555</v>
      </c>
      <c r="F83" s="62">
        <f t="shared" ref="F83:AA83" si="43">DATE(YEAR(D83)+1,MONTH(D83),DAY(D83))</f>
        <v>43708</v>
      </c>
      <c r="G83" s="72">
        <f t="shared" si="43"/>
        <v>43921</v>
      </c>
      <c r="H83" s="62">
        <f t="shared" si="43"/>
        <v>44074</v>
      </c>
      <c r="I83" s="72">
        <f t="shared" si="43"/>
        <v>44286</v>
      </c>
      <c r="J83" s="62">
        <f t="shared" si="43"/>
        <v>44439</v>
      </c>
      <c r="K83" s="72">
        <f t="shared" si="43"/>
        <v>44651</v>
      </c>
      <c r="L83" s="62">
        <f t="shared" si="43"/>
        <v>44804</v>
      </c>
      <c r="M83" s="72">
        <f t="shared" si="43"/>
        <v>45016</v>
      </c>
      <c r="N83" s="62">
        <f t="shared" si="43"/>
        <v>45169</v>
      </c>
      <c r="O83" s="72">
        <f t="shared" si="43"/>
        <v>45382</v>
      </c>
      <c r="P83" s="62">
        <f t="shared" si="43"/>
        <v>45535</v>
      </c>
      <c r="Q83" s="72">
        <f t="shared" si="43"/>
        <v>45747</v>
      </c>
      <c r="R83" s="62">
        <f t="shared" si="43"/>
        <v>45900</v>
      </c>
      <c r="S83" s="72">
        <f t="shared" si="43"/>
        <v>46112</v>
      </c>
      <c r="T83" s="62">
        <f t="shared" si="43"/>
        <v>46265</v>
      </c>
      <c r="U83" s="72">
        <f t="shared" si="43"/>
        <v>46477</v>
      </c>
      <c r="V83" s="62">
        <f t="shared" si="43"/>
        <v>46630</v>
      </c>
      <c r="W83" s="72">
        <f t="shared" si="43"/>
        <v>46843</v>
      </c>
      <c r="X83" s="62">
        <f t="shared" si="43"/>
        <v>46996</v>
      </c>
      <c r="Y83" s="72">
        <f t="shared" si="43"/>
        <v>47208</v>
      </c>
      <c r="Z83" s="62">
        <f t="shared" si="43"/>
        <v>47361</v>
      </c>
      <c r="AA83" s="72">
        <f t="shared" si="43"/>
        <v>47573</v>
      </c>
      <c r="AB83" s="62">
        <f>DATE(YEAR(Z83)+1,MONTH(Z83),DAY(Z83))</f>
        <v>47726</v>
      </c>
      <c r="AC83" s="72">
        <f>DATE(YEAR(AA83)+1,MONTH(AA83),DAY(AA83))</f>
        <v>47938</v>
      </c>
      <c r="AD83" s="62">
        <f t="shared" ref="AD83:AR83" si="44">DATE(YEAR(AB83)+1,MONTH(AB83),DAY(AB83))</f>
        <v>48091</v>
      </c>
      <c r="AE83" s="72">
        <f t="shared" si="44"/>
        <v>48304</v>
      </c>
      <c r="AF83" s="62">
        <f t="shared" si="44"/>
        <v>48457</v>
      </c>
      <c r="AG83" s="72">
        <f t="shared" si="44"/>
        <v>48669</v>
      </c>
      <c r="AH83" s="62">
        <f t="shared" si="44"/>
        <v>48822</v>
      </c>
      <c r="AI83" s="72">
        <f t="shared" si="44"/>
        <v>49034</v>
      </c>
      <c r="AJ83" s="62">
        <f t="shared" si="44"/>
        <v>49187</v>
      </c>
      <c r="AK83" s="72">
        <f t="shared" si="44"/>
        <v>49399</v>
      </c>
      <c r="AL83" s="62">
        <f t="shared" si="44"/>
        <v>49552</v>
      </c>
      <c r="AM83" s="72">
        <f t="shared" si="44"/>
        <v>49765</v>
      </c>
      <c r="AN83" s="62">
        <f t="shared" si="44"/>
        <v>49918</v>
      </c>
      <c r="AO83" s="72">
        <f t="shared" si="44"/>
        <v>50130</v>
      </c>
      <c r="AP83" s="62">
        <f t="shared" si="44"/>
        <v>50283</v>
      </c>
      <c r="AQ83" s="72">
        <f t="shared" si="44"/>
        <v>50495</v>
      </c>
      <c r="AR83" s="62">
        <f t="shared" si="44"/>
        <v>50648</v>
      </c>
      <c r="AS83" s="72">
        <f t="shared" ref="AS83:BD83" si="45">DATE(YEAR(AQ83)+1,MONTH(AQ83),DAY(AQ83))</f>
        <v>50860</v>
      </c>
      <c r="AT83" s="62">
        <f t="shared" si="45"/>
        <v>51013</v>
      </c>
      <c r="AU83" s="72">
        <f t="shared" si="45"/>
        <v>51226</v>
      </c>
      <c r="AV83" s="62">
        <f t="shared" si="45"/>
        <v>51379</v>
      </c>
      <c r="AW83" s="72">
        <f t="shared" si="45"/>
        <v>51591</v>
      </c>
      <c r="AX83" s="62">
        <f t="shared" si="45"/>
        <v>51744</v>
      </c>
      <c r="AY83" s="72">
        <f t="shared" si="45"/>
        <v>51956</v>
      </c>
      <c r="AZ83" s="62">
        <f t="shared" si="45"/>
        <v>52109</v>
      </c>
      <c r="BA83" s="72">
        <f t="shared" si="45"/>
        <v>52321</v>
      </c>
      <c r="BB83" s="62">
        <f t="shared" si="45"/>
        <v>52474</v>
      </c>
      <c r="BC83" s="336">
        <f t="shared" si="45"/>
        <v>52687</v>
      </c>
      <c r="BD83" s="62">
        <f t="shared" si="45"/>
        <v>52840</v>
      </c>
    </row>
    <row r="84" spans="2:56" s="60" customFormat="1" x14ac:dyDescent="0.3">
      <c r="B84" s="315" t="s">
        <v>62</v>
      </c>
      <c r="C84" s="316"/>
      <c r="D84" s="317">
        <f>$D$6</f>
        <v>43555</v>
      </c>
      <c r="E84" s="318">
        <f t="shared" ref="E84:U84" si="46">F83</f>
        <v>43708</v>
      </c>
      <c r="F84" s="319">
        <f t="shared" si="46"/>
        <v>43921</v>
      </c>
      <c r="G84" s="318">
        <f t="shared" si="46"/>
        <v>44074</v>
      </c>
      <c r="H84" s="320">
        <f t="shared" si="46"/>
        <v>44286</v>
      </c>
      <c r="I84" s="318">
        <f t="shared" si="46"/>
        <v>44439</v>
      </c>
      <c r="J84" s="319">
        <f t="shared" si="46"/>
        <v>44651</v>
      </c>
      <c r="K84" s="318">
        <f t="shared" si="46"/>
        <v>44804</v>
      </c>
      <c r="L84" s="319">
        <f t="shared" si="46"/>
        <v>45016</v>
      </c>
      <c r="M84" s="318">
        <f t="shared" si="46"/>
        <v>45169</v>
      </c>
      <c r="N84" s="319">
        <f t="shared" si="46"/>
        <v>45382</v>
      </c>
      <c r="O84" s="318">
        <f t="shared" si="46"/>
        <v>45535</v>
      </c>
      <c r="P84" s="319">
        <f t="shared" si="46"/>
        <v>45747</v>
      </c>
      <c r="Q84" s="318">
        <f t="shared" si="46"/>
        <v>45900</v>
      </c>
      <c r="R84" s="319">
        <f t="shared" si="46"/>
        <v>46112</v>
      </c>
      <c r="S84" s="318">
        <f t="shared" si="46"/>
        <v>46265</v>
      </c>
      <c r="T84" s="319">
        <f t="shared" si="46"/>
        <v>46477</v>
      </c>
      <c r="U84" s="318">
        <f t="shared" si="46"/>
        <v>46630</v>
      </c>
      <c r="V84" s="319">
        <f>W83</f>
        <v>46843</v>
      </c>
      <c r="W84" s="318">
        <f t="shared" ref="W84:AQ84" si="47">X83</f>
        <v>46996</v>
      </c>
      <c r="X84" s="319">
        <f t="shared" si="47"/>
        <v>47208</v>
      </c>
      <c r="Y84" s="318">
        <f t="shared" si="47"/>
        <v>47361</v>
      </c>
      <c r="Z84" s="319">
        <f t="shared" si="47"/>
        <v>47573</v>
      </c>
      <c r="AA84" s="318">
        <f t="shared" si="47"/>
        <v>47726</v>
      </c>
      <c r="AB84" s="319">
        <f t="shared" si="47"/>
        <v>47938</v>
      </c>
      <c r="AC84" s="318">
        <f t="shared" si="47"/>
        <v>48091</v>
      </c>
      <c r="AD84" s="319">
        <f t="shared" si="47"/>
        <v>48304</v>
      </c>
      <c r="AE84" s="318">
        <f t="shared" si="47"/>
        <v>48457</v>
      </c>
      <c r="AF84" s="319">
        <f t="shared" si="47"/>
        <v>48669</v>
      </c>
      <c r="AG84" s="318">
        <f t="shared" si="47"/>
        <v>48822</v>
      </c>
      <c r="AH84" s="319">
        <f t="shared" si="47"/>
        <v>49034</v>
      </c>
      <c r="AI84" s="318">
        <f t="shared" si="47"/>
        <v>49187</v>
      </c>
      <c r="AJ84" s="319">
        <f t="shared" si="47"/>
        <v>49399</v>
      </c>
      <c r="AK84" s="318">
        <f t="shared" si="47"/>
        <v>49552</v>
      </c>
      <c r="AL84" s="319">
        <f t="shared" si="47"/>
        <v>49765</v>
      </c>
      <c r="AM84" s="318">
        <f t="shared" si="47"/>
        <v>49918</v>
      </c>
      <c r="AN84" s="319">
        <f t="shared" si="47"/>
        <v>50130</v>
      </c>
      <c r="AO84" s="318">
        <f t="shared" si="47"/>
        <v>50283</v>
      </c>
      <c r="AP84" s="319">
        <f t="shared" si="47"/>
        <v>50495</v>
      </c>
      <c r="AQ84" s="318">
        <f t="shared" si="47"/>
        <v>50648</v>
      </c>
      <c r="AR84" s="319">
        <f t="shared" ref="AR84:BC84" si="48">AS83</f>
        <v>50860</v>
      </c>
      <c r="AS84" s="318">
        <f t="shared" si="48"/>
        <v>51013</v>
      </c>
      <c r="AT84" s="319">
        <f t="shared" si="48"/>
        <v>51226</v>
      </c>
      <c r="AU84" s="318">
        <f t="shared" si="48"/>
        <v>51379</v>
      </c>
      <c r="AV84" s="319">
        <f t="shared" si="48"/>
        <v>51591</v>
      </c>
      <c r="AW84" s="318">
        <f t="shared" si="48"/>
        <v>51744</v>
      </c>
      <c r="AX84" s="319">
        <f t="shared" si="48"/>
        <v>51956</v>
      </c>
      <c r="AY84" s="318">
        <f t="shared" si="48"/>
        <v>52109</v>
      </c>
      <c r="AZ84" s="319">
        <f t="shared" si="48"/>
        <v>52321</v>
      </c>
      <c r="BA84" s="318">
        <f t="shared" si="48"/>
        <v>52474</v>
      </c>
      <c r="BB84" s="319">
        <f t="shared" si="48"/>
        <v>52687</v>
      </c>
      <c r="BC84" s="337">
        <f t="shared" si="48"/>
        <v>52840</v>
      </c>
      <c r="BD84" s="319">
        <f>BD83</f>
        <v>52840</v>
      </c>
    </row>
    <row r="85" spans="2:56" s="60" customFormat="1" x14ac:dyDescent="0.3">
      <c r="B85" s="315"/>
      <c r="C85" s="321"/>
      <c r="D85" s="317"/>
      <c r="E85" s="318"/>
      <c r="F85" s="319"/>
      <c r="G85" s="318"/>
      <c r="H85" s="320"/>
      <c r="I85" s="318"/>
      <c r="J85" s="319"/>
      <c r="K85" s="318"/>
      <c r="L85" s="319"/>
      <c r="M85" s="318"/>
      <c r="N85" s="319"/>
      <c r="O85" s="318"/>
      <c r="P85" s="319"/>
      <c r="Q85" s="318"/>
      <c r="R85" s="319"/>
      <c r="S85" s="318"/>
      <c r="T85" s="319"/>
      <c r="U85" s="318"/>
      <c r="V85" s="319"/>
      <c r="W85" s="318"/>
      <c r="X85" s="319"/>
      <c r="Y85" s="318"/>
      <c r="Z85" s="319"/>
      <c r="AA85" s="318"/>
      <c r="AB85" s="319"/>
      <c r="AC85" s="318"/>
      <c r="AD85" s="319"/>
      <c r="AE85" s="318"/>
      <c r="AF85" s="319"/>
      <c r="AG85" s="318"/>
      <c r="AH85" s="319"/>
      <c r="AI85" s="318"/>
      <c r="AJ85" s="319"/>
      <c r="AK85" s="318"/>
      <c r="AL85" s="319"/>
      <c r="AM85" s="318"/>
      <c r="AN85" s="319"/>
      <c r="AO85" s="318"/>
      <c r="AP85" s="319"/>
      <c r="AQ85" s="318"/>
      <c r="AR85" s="319"/>
      <c r="AS85" s="324"/>
      <c r="AT85" s="322"/>
      <c r="AU85" s="324"/>
      <c r="AV85" s="322"/>
      <c r="AW85" s="324"/>
      <c r="AX85" s="322"/>
      <c r="AY85" s="324"/>
      <c r="AZ85" s="322"/>
      <c r="BA85" s="324"/>
      <c r="BB85" s="322"/>
      <c r="BC85" s="338"/>
      <c r="BD85" s="322"/>
    </row>
    <row r="86" spans="2:56" s="60" customFormat="1" x14ac:dyDescent="0.3">
      <c r="B86" s="315" t="s">
        <v>63</v>
      </c>
      <c r="C86" s="316"/>
      <c r="D86" s="323">
        <f t="shared" ref="D86:AQ86" si="49">D84-D83</f>
        <v>212</v>
      </c>
      <c r="E86" s="324">
        <f t="shared" si="49"/>
        <v>153</v>
      </c>
      <c r="F86" s="322">
        <f t="shared" si="49"/>
        <v>213</v>
      </c>
      <c r="G86" s="324">
        <f t="shared" si="49"/>
        <v>153</v>
      </c>
      <c r="H86" s="325">
        <f t="shared" si="49"/>
        <v>212</v>
      </c>
      <c r="I86" s="324">
        <f t="shared" si="49"/>
        <v>153</v>
      </c>
      <c r="J86" s="322">
        <f t="shared" si="49"/>
        <v>212</v>
      </c>
      <c r="K86" s="324">
        <f t="shared" si="49"/>
        <v>153</v>
      </c>
      <c r="L86" s="322">
        <f t="shared" si="49"/>
        <v>212</v>
      </c>
      <c r="M86" s="324">
        <f t="shared" si="49"/>
        <v>153</v>
      </c>
      <c r="N86" s="322">
        <f t="shared" si="49"/>
        <v>213</v>
      </c>
      <c r="O86" s="324">
        <f t="shared" si="49"/>
        <v>153</v>
      </c>
      <c r="P86" s="322">
        <f t="shared" si="49"/>
        <v>212</v>
      </c>
      <c r="Q86" s="324">
        <f t="shared" si="49"/>
        <v>153</v>
      </c>
      <c r="R86" s="322">
        <f t="shared" si="49"/>
        <v>212</v>
      </c>
      <c r="S86" s="324">
        <f t="shared" si="49"/>
        <v>153</v>
      </c>
      <c r="T86" s="322">
        <f t="shared" si="49"/>
        <v>212</v>
      </c>
      <c r="U86" s="324">
        <f t="shared" si="49"/>
        <v>153</v>
      </c>
      <c r="V86" s="322">
        <f t="shared" si="49"/>
        <v>213</v>
      </c>
      <c r="W86" s="324">
        <f t="shared" si="49"/>
        <v>153</v>
      </c>
      <c r="X86" s="322">
        <f t="shared" si="49"/>
        <v>212</v>
      </c>
      <c r="Y86" s="324">
        <f t="shared" si="49"/>
        <v>153</v>
      </c>
      <c r="Z86" s="322">
        <f t="shared" si="49"/>
        <v>212</v>
      </c>
      <c r="AA86" s="324">
        <f t="shared" si="49"/>
        <v>153</v>
      </c>
      <c r="AB86" s="322">
        <f t="shared" si="49"/>
        <v>212</v>
      </c>
      <c r="AC86" s="324">
        <f t="shared" si="49"/>
        <v>153</v>
      </c>
      <c r="AD86" s="322">
        <f t="shared" si="49"/>
        <v>213</v>
      </c>
      <c r="AE86" s="324">
        <f t="shared" si="49"/>
        <v>153</v>
      </c>
      <c r="AF86" s="322">
        <f t="shared" si="49"/>
        <v>212</v>
      </c>
      <c r="AG86" s="324">
        <f t="shared" si="49"/>
        <v>153</v>
      </c>
      <c r="AH86" s="322">
        <f t="shared" si="49"/>
        <v>212</v>
      </c>
      <c r="AI86" s="324">
        <f t="shared" si="49"/>
        <v>153</v>
      </c>
      <c r="AJ86" s="322">
        <f t="shared" si="49"/>
        <v>212</v>
      </c>
      <c r="AK86" s="324">
        <f t="shared" si="49"/>
        <v>153</v>
      </c>
      <c r="AL86" s="322">
        <f t="shared" si="49"/>
        <v>213</v>
      </c>
      <c r="AM86" s="324">
        <f t="shared" si="49"/>
        <v>153</v>
      </c>
      <c r="AN86" s="322">
        <f t="shared" si="49"/>
        <v>212</v>
      </c>
      <c r="AO86" s="324">
        <f t="shared" si="49"/>
        <v>153</v>
      </c>
      <c r="AP86" s="322">
        <f t="shared" si="49"/>
        <v>212</v>
      </c>
      <c r="AQ86" s="324">
        <f t="shared" si="49"/>
        <v>153</v>
      </c>
      <c r="AR86" s="322">
        <f t="shared" ref="AR86:BD86" si="50">AR84-AR83</f>
        <v>212</v>
      </c>
      <c r="AS86" s="324">
        <f t="shared" si="50"/>
        <v>153</v>
      </c>
      <c r="AT86" s="322">
        <f t="shared" si="50"/>
        <v>213</v>
      </c>
      <c r="AU86" s="324">
        <f t="shared" si="50"/>
        <v>153</v>
      </c>
      <c r="AV86" s="322">
        <f t="shared" si="50"/>
        <v>212</v>
      </c>
      <c r="AW86" s="324">
        <f t="shared" si="50"/>
        <v>153</v>
      </c>
      <c r="AX86" s="322">
        <f t="shared" si="50"/>
        <v>212</v>
      </c>
      <c r="AY86" s="324">
        <f t="shared" si="50"/>
        <v>153</v>
      </c>
      <c r="AZ86" s="322">
        <f t="shared" si="50"/>
        <v>212</v>
      </c>
      <c r="BA86" s="324">
        <f t="shared" si="50"/>
        <v>153</v>
      </c>
      <c r="BB86" s="322">
        <f t="shared" si="50"/>
        <v>213</v>
      </c>
      <c r="BC86" s="338">
        <f t="shared" si="50"/>
        <v>153</v>
      </c>
      <c r="BD86" s="322">
        <f t="shared" si="50"/>
        <v>0</v>
      </c>
    </row>
    <row r="87" spans="2:56" s="60" customFormat="1" x14ac:dyDescent="0.3">
      <c r="B87" s="315"/>
      <c r="C87" s="316"/>
      <c r="D87" s="323"/>
      <c r="E87" s="324"/>
      <c r="F87" s="322"/>
      <c r="G87" s="324"/>
      <c r="H87" s="325"/>
      <c r="I87" s="324"/>
      <c r="J87" s="322"/>
      <c r="K87" s="324"/>
      <c r="L87" s="322"/>
      <c r="M87" s="324"/>
      <c r="N87" s="322"/>
      <c r="O87" s="324"/>
      <c r="P87" s="322"/>
      <c r="Q87" s="324"/>
      <c r="R87" s="322"/>
      <c r="S87" s="324"/>
      <c r="T87" s="322"/>
      <c r="U87" s="324"/>
      <c r="V87" s="322"/>
      <c r="W87" s="324"/>
      <c r="X87" s="322"/>
      <c r="Y87" s="324"/>
      <c r="Z87" s="322"/>
      <c r="AA87" s="324"/>
      <c r="AB87" s="322"/>
      <c r="AC87" s="324"/>
      <c r="AD87" s="322"/>
      <c r="AE87" s="324"/>
      <c r="AF87" s="322"/>
      <c r="AG87" s="324"/>
      <c r="AH87" s="322"/>
      <c r="AI87" s="324"/>
      <c r="AJ87" s="322"/>
      <c r="AK87" s="324"/>
      <c r="AL87" s="322"/>
      <c r="AM87" s="324"/>
      <c r="AN87" s="322"/>
      <c r="AO87" s="324"/>
      <c r="AP87" s="322"/>
      <c r="AQ87" s="324"/>
      <c r="AR87" s="322"/>
      <c r="AS87" s="324"/>
      <c r="AT87" s="322"/>
      <c r="AU87" s="324"/>
      <c r="AV87" s="322"/>
      <c r="AW87" s="324"/>
      <c r="AX87" s="322"/>
      <c r="AY87" s="324"/>
      <c r="AZ87" s="322"/>
      <c r="BA87" s="324"/>
      <c r="BB87" s="322"/>
      <c r="BC87" s="338"/>
      <c r="BD87" s="322"/>
    </row>
    <row r="88" spans="2:56" s="60" customFormat="1" x14ac:dyDescent="0.3">
      <c r="B88" s="315" t="s">
        <v>64</v>
      </c>
      <c r="C88" s="321"/>
      <c r="D88" s="323"/>
      <c r="E88" s="324">
        <f>E86+D86</f>
        <v>365</v>
      </c>
      <c r="F88" s="319"/>
      <c r="G88" s="324">
        <f>G86+F86</f>
        <v>366</v>
      </c>
      <c r="H88" s="320"/>
      <c r="I88" s="324">
        <f>I86+H86</f>
        <v>365</v>
      </c>
      <c r="J88" s="319"/>
      <c r="K88" s="324">
        <f>K86+J86</f>
        <v>365</v>
      </c>
      <c r="L88" s="319"/>
      <c r="M88" s="324">
        <f>M86+L86</f>
        <v>365</v>
      </c>
      <c r="N88" s="319"/>
      <c r="O88" s="324">
        <f>O86+N86</f>
        <v>366</v>
      </c>
      <c r="P88" s="319"/>
      <c r="Q88" s="324">
        <f>Q86+P86</f>
        <v>365</v>
      </c>
      <c r="R88" s="319"/>
      <c r="S88" s="324">
        <f>S86+R86</f>
        <v>365</v>
      </c>
      <c r="T88" s="319"/>
      <c r="U88" s="324">
        <f>U86+T86</f>
        <v>365</v>
      </c>
      <c r="V88" s="319"/>
      <c r="W88" s="324">
        <f>W86+V86</f>
        <v>366</v>
      </c>
      <c r="X88" s="319"/>
      <c r="Y88" s="324">
        <f>Y86+X86</f>
        <v>365</v>
      </c>
      <c r="Z88" s="319"/>
      <c r="AA88" s="324">
        <f>AA86+Z86</f>
        <v>365</v>
      </c>
      <c r="AB88" s="319"/>
      <c r="AC88" s="324">
        <f>AC86+AB86</f>
        <v>365</v>
      </c>
      <c r="AD88" s="319"/>
      <c r="AE88" s="324">
        <f>AE86+AD86</f>
        <v>366</v>
      </c>
      <c r="AF88" s="319"/>
      <c r="AG88" s="324">
        <f>AG86+AF86</f>
        <v>365</v>
      </c>
      <c r="AH88" s="319"/>
      <c r="AI88" s="324">
        <f>AI86+AH86</f>
        <v>365</v>
      </c>
      <c r="AJ88" s="319"/>
      <c r="AK88" s="324">
        <f>AK86+AJ86</f>
        <v>365</v>
      </c>
      <c r="AL88" s="319"/>
      <c r="AM88" s="324">
        <f>AM86+AL86</f>
        <v>366</v>
      </c>
      <c r="AN88" s="319"/>
      <c r="AO88" s="324">
        <f>AO86+AN86</f>
        <v>365</v>
      </c>
      <c r="AP88" s="319"/>
      <c r="AQ88" s="324">
        <f>AQ86+AP86</f>
        <v>365</v>
      </c>
      <c r="AR88" s="319"/>
      <c r="AS88" s="324">
        <f>AS86+AR86</f>
        <v>365</v>
      </c>
      <c r="AT88" s="322"/>
      <c r="AU88" s="324">
        <f>AU86+AT86</f>
        <v>366</v>
      </c>
      <c r="AV88" s="322"/>
      <c r="AW88" s="324">
        <f>AW86+AV86</f>
        <v>365</v>
      </c>
      <c r="AX88" s="322"/>
      <c r="AY88" s="324">
        <f>AY86+AX86</f>
        <v>365</v>
      </c>
      <c r="AZ88" s="322"/>
      <c r="BA88" s="324">
        <f>BA86+AZ86</f>
        <v>365</v>
      </c>
      <c r="BB88" s="322"/>
      <c r="BC88" s="338">
        <f>BC86+BB86</f>
        <v>366</v>
      </c>
      <c r="BD88" s="322"/>
    </row>
    <row r="89" spans="2:56" s="60" customFormat="1" x14ac:dyDescent="0.3">
      <c r="B89" s="315"/>
      <c r="C89" s="316"/>
      <c r="D89" s="323"/>
      <c r="E89" s="324"/>
      <c r="F89" s="322"/>
      <c r="G89" s="324"/>
      <c r="H89" s="325"/>
      <c r="I89" s="324"/>
      <c r="J89" s="322"/>
      <c r="K89" s="324"/>
      <c r="L89" s="322"/>
      <c r="M89" s="324"/>
      <c r="N89" s="322"/>
      <c r="O89" s="324"/>
      <c r="P89" s="322"/>
      <c r="Q89" s="324"/>
      <c r="R89" s="322"/>
      <c r="S89" s="324"/>
      <c r="T89" s="322"/>
      <c r="U89" s="324"/>
      <c r="V89" s="322"/>
      <c r="W89" s="324"/>
      <c r="X89" s="322"/>
      <c r="Y89" s="324"/>
      <c r="Z89" s="322"/>
      <c r="AA89" s="324"/>
      <c r="AB89" s="322"/>
      <c r="AC89" s="324"/>
      <c r="AD89" s="322"/>
      <c r="AE89" s="324"/>
      <c r="AF89" s="322"/>
      <c r="AG89" s="324"/>
      <c r="AH89" s="322"/>
      <c r="AI89" s="324"/>
      <c r="AJ89" s="322"/>
      <c r="AK89" s="324"/>
      <c r="AL89" s="322"/>
      <c r="AM89" s="324"/>
      <c r="AN89" s="322"/>
      <c r="AO89" s="324"/>
      <c r="AP89" s="322"/>
      <c r="AQ89" s="324"/>
      <c r="AR89" s="322"/>
      <c r="AS89" s="324"/>
      <c r="AT89" s="322"/>
      <c r="AU89" s="324"/>
      <c r="AV89" s="322"/>
      <c r="AW89" s="324"/>
      <c r="AX89" s="322"/>
      <c r="AY89" s="324"/>
      <c r="AZ89" s="322"/>
      <c r="BA89" s="324"/>
      <c r="BB89" s="322"/>
      <c r="BC89" s="338"/>
      <c r="BD89" s="322"/>
    </row>
    <row r="90" spans="2:56" s="60" customFormat="1" x14ac:dyDescent="0.3">
      <c r="B90" s="315" t="s">
        <v>65</v>
      </c>
      <c r="C90" s="316"/>
      <c r="D90" s="326">
        <f>E92*D86/E88</f>
        <v>87.123287671232873</v>
      </c>
      <c r="E90" s="327">
        <f>E92*E86/E88</f>
        <v>62.876712328767127</v>
      </c>
      <c r="F90" s="328">
        <f>G92*F86/G88</f>
        <v>91.659836065573771</v>
      </c>
      <c r="G90" s="327">
        <f t="shared" ref="G90" si="51">G92*G86/G88</f>
        <v>65.840163934426229</v>
      </c>
      <c r="H90" s="328">
        <f t="shared" ref="H90" si="52">I92*H86/I88</f>
        <v>96.053424657534251</v>
      </c>
      <c r="I90" s="327">
        <f t="shared" ref="I90" si="53">I92*I86/I88</f>
        <v>69.321575342465749</v>
      </c>
      <c r="J90" s="328">
        <f t="shared" ref="J90" si="54">K92*J86/K88</f>
        <v>100.85609589041097</v>
      </c>
      <c r="K90" s="327">
        <f t="shared" ref="K90" si="55">K92*K86/K88</f>
        <v>72.787654109589042</v>
      </c>
      <c r="L90" s="328">
        <f t="shared" ref="L90" si="56">M92*L86/M88</f>
        <v>105.89890068493152</v>
      </c>
      <c r="M90" s="327">
        <f t="shared" ref="M90" si="57">M92*M86/M88</f>
        <v>76.42703681506849</v>
      </c>
      <c r="N90" s="328">
        <f t="shared" ref="N90" si="58">O92*N86/O88</f>
        <v>111.41310361168034</v>
      </c>
      <c r="O90" s="327">
        <f t="shared" ref="O90" si="59">O92*O86/O88</f>
        <v>80.029130763319685</v>
      </c>
      <c r="P90" s="328">
        <f t="shared" ref="P90" si="60">Q92*P86/Q88</f>
        <v>116.75353800513702</v>
      </c>
      <c r="Q90" s="327">
        <f t="shared" ref="Q90" si="61">Q92*Q86/Q88</f>
        <v>84.260808088613032</v>
      </c>
      <c r="R90" s="328">
        <f t="shared" ref="R90" si="62">S92*R86/S88</f>
        <v>122.59121490539387</v>
      </c>
      <c r="S90" s="327">
        <f t="shared" ref="S90" si="63">S92*S86/S88</f>
        <v>88.47384849304369</v>
      </c>
      <c r="T90" s="328">
        <f t="shared" ref="T90" si="64">U92*T86/U88</f>
        <v>128.72077565066354</v>
      </c>
      <c r="U90" s="327">
        <f t="shared" ref="U90" si="65">U92*U86/U88</f>
        <v>92.897540917695878</v>
      </c>
      <c r="V90" s="328">
        <f>W92*V86/W88</f>
        <v>135.42332377189504</v>
      </c>
      <c r="W90" s="327">
        <f t="shared" ref="W90" si="66">W92*W86/W88</f>
        <v>97.275908624882362</v>
      </c>
      <c r="X90" s="328">
        <f t="shared" ref="X90" si="67">Y92*X86/Y88</f>
        <v>141.9146551548566</v>
      </c>
      <c r="Y90" s="327">
        <f t="shared" ref="Y90" si="68">Y92*Y86/Y88</f>
        <v>102.4195388617597</v>
      </c>
      <c r="Z90" s="328">
        <f t="shared" ref="Z90" si="69">AA92*Z86/AA88</f>
        <v>149.01038791259941</v>
      </c>
      <c r="AA90" s="327">
        <f t="shared" ref="AA90" si="70">AA92*AA86/AA88</f>
        <v>107.54051580484769</v>
      </c>
      <c r="AB90" s="328">
        <f t="shared" ref="AB90" si="71">AC92*AB86/AC88</f>
        <v>156.46090730822942</v>
      </c>
      <c r="AC90" s="327">
        <f t="shared" ref="AC90" si="72">AC92*AC86/AC88</f>
        <v>112.91754159509009</v>
      </c>
      <c r="AD90" s="328">
        <f t="shared" ref="AD90" si="73">AE92*AD86/AE88</f>
        <v>164.60789644051206</v>
      </c>
      <c r="AE90" s="327">
        <f t="shared" ref="AE90" si="74">AE92*AE86/AE88</f>
        <v>118.23947490797346</v>
      </c>
      <c r="AF90" s="328">
        <f t="shared" ref="AF90" si="75">AG92*AF86/AG88</f>
        <v>172.49815030732296</v>
      </c>
      <c r="AG90" s="327">
        <f t="shared" ref="AG90" si="76">AG92*AG86/AG88</f>
        <v>124.49158960858685</v>
      </c>
      <c r="AH90" s="328">
        <f t="shared" ref="AH90" si="77">AI92*AH86/AI88</f>
        <v>181.12305782268913</v>
      </c>
      <c r="AI90" s="327">
        <f t="shared" ref="AI90" si="78">AI92*AI86/AI88</f>
        <v>130.7161690890162</v>
      </c>
      <c r="AJ90" s="328">
        <f t="shared" ref="AJ90" si="79">AK92*AJ86/AK88</f>
        <v>190.17921071382358</v>
      </c>
      <c r="AK90" s="327">
        <f t="shared" ref="AK90:AM90" si="80">AK92*AK86/AK88</f>
        <v>137.25197754346704</v>
      </c>
      <c r="AL90" s="328">
        <f t="shared" ref="AL90" si="81">AM92*AL86/AM88</f>
        <v>200.08192692279519</v>
      </c>
      <c r="AM90" s="327">
        <f t="shared" si="80"/>
        <v>143.72082074735994</v>
      </c>
      <c r="AN90" s="328">
        <f t="shared" ref="AN90" si="82">AO92*AN86/AO88</f>
        <v>209.67257981199052</v>
      </c>
      <c r="AO90" s="327">
        <f t="shared" ref="AO90" si="83">AO92*AO86/AO88</f>
        <v>151.3203052416724</v>
      </c>
      <c r="AP90" s="328">
        <f t="shared" ref="AP90" si="84">AQ92*AP86/AQ88</f>
        <v>220.15620880259004</v>
      </c>
      <c r="AQ90" s="327">
        <f t="shared" ref="AQ90" si="85">AQ92*AQ86/AQ88</f>
        <v>158.88632050375602</v>
      </c>
      <c r="AR90" s="328">
        <f>AS92*AR86/AS88</f>
        <v>231.16401924271952</v>
      </c>
      <c r="AS90" s="327">
        <f>AS92*AS86/AS88</f>
        <v>166.83063652894381</v>
      </c>
      <c r="AT90" s="328">
        <f>AU92*AT86/AU88</f>
        <v>243.20083268670086</v>
      </c>
      <c r="AU90" s="327">
        <f>AU92*AU86/AU88</f>
        <v>174.69355587354568</v>
      </c>
      <c r="AV90" s="328">
        <f>AW92*AV86/AW88</f>
        <v>254.85833121509836</v>
      </c>
      <c r="AW90" s="327">
        <f>AW92*AW86/AW88</f>
        <v>183.9307767731606</v>
      </c>
      <c r="AX90" s="328">
        <f>AY92*AX86/AY88</f>
        <v>267.60124777585327</v>
      </c>
      <c r="AY90" s="327">
        <f>AY92*AY86/AY88</f>
        <v>193.12731561181866</v>
      </c>
      <c r="AZ90" s="328">
        <f>BA92*AZ86/BA88</f>
        <v>280.98131016464595</v>
      </c>
      <c r="BA90" s="327">
        <f>BA92*BA86/BA88</f>
        <v>202.78368139240959</v>
      </c>
      <c r="BB90" s="328">
        <f>BC92*BB86/BC88</f>
        <v>295.61213213588923</v>
      </c>
      <c r="BC90" s="339">
        <f>BC92*BC86/BC88</f>
        <v>212.34110899901904</v>
      </c>
      <c r="BD90" s="328">
        <v>0</v>
      </c>
    </row>
    <row r="91" spans="2:56" s="60" customFormat="1" x14ac:dyDescent="0.3">
      <c r="B91" s="315"/>
      <c r="C91" s="316"/>
      <c r="D91" s="326"/>
      <c r="E91" s="327"/>
      <c r="F91" s="328"/>
      <c r="G91" s="327"/>
      <c r="H91" s="329"/>
      <c r="I91" s="327"/>
      <c r="J91" s="328"/>
      <c r="K91" s="327"/>
      <c r="L91" s="328"/>
      <c r="M91" s="327"/>
      <c r="N91" s="328"/>
      <c r="O91" s="327"/>
      <c r="P91" s="328"/>
      <c r="Q91" s="327"/>
      <c r="R91" s="328"/>
      <c r="S91" s="327"/>
      <c r="T91" s="328"/>
      <c r="U91" s="327"/>
      <c r="V91" s="328"/>
      <c r="W91" s="327"/>
      <c r="X91" s="328"/>
      <c r="Y91" s="327"/>
      <c r="Z91" s="328"/>
      <c r="AA91" s="327"/>
      <c r="AB91" s="328"/>
      <c r="AC91" s="327"/>
      <c r="AD91" s="328"/>
      <c r="AE91" s="327"/>
      <c r="AF91" s="328"/>
      <c r="AG91" s="327"/>
      <c r="AH91" s="328"/>
      <c r="AI91" s="327"/>
      <c r="AJ91" s="328"/>
      <c r="AK91" s="327"/>
      <c r="AL91" s="328"/>
      <c r="AM91" s="327"/>
      <c r="AN91" s="328"/>
      <c r="AO91" s="327"/>
      <c r="AP91" s="328"/>
      <c r="AQ91" s="327"/>
      <c r="AR91" s="328"/>
      <c r="AS91" s="324"/>
      <c r="AT91" s="322"/>
      <c r="AU91" s="324"/>
      <c r="AV91" s="322"/>
      <c r="AW91" s="324"/>
      <c r="AX91" s="322"/>
      <c r="AY91" s="324"/>
      <c r="AZ91" s="322"/>
      <c r="BA91" s="324"/>
      <c r="BB91" s="322"/>
      <c r="BC91" s="338"/>
      <c r="BD91" s="322"/>
    </row>
    <row r="92" spans="2:56" s="60" customFormat="1" x14ac:dyDescent="0.3">
      <c r="B92" s="315"/>
      <c r="C92" s="316"/>
      <c r="D92" s="326"/>
      <c r="E92" s="266">
        <f>IF(E79=0,E77,0)</f>
        <v>150</v>
      </c>
      <c r="F92" s="330"/>
      <c r="G92" s="266">
        <f>IF(E79=0,E92*(1+E78),IF(E79=1,E77,0))</f>
        <v>157.5</v>
      </c>
      <c r="H92" s="331"/>
      <c r="I92" s="266">
        <f>IF(OR(E79=0,E79=1),G92*(1+E78),IF(E79=2,E77,0))</f>
        <v>165.375</v>
      </c>
      <c r="J92" s="329"/>
      <c r="K92" s="266">
        <f>IF(OR(E79=0,E79=1,E79=2),I92*(1+E78),IF(E79=3,E77,0))</f>
        <v>173.64375000000001</v>
      </c>
      <c r="L92" s="329"/>
      <c r="M92" s="266">
        <f>K92*(1+Assumption!C22)</f>
        <v>182.32593750000001</v>
      </c>
      <c r="N92" s="329"/>
      <c r="O92" s="266">
        <f>M92*(1+Assumption!$C$22)</f>
        <v>191.44223437500003</v>
      </c>
      <c r="P92" s="329"/>
      <c r="Q92" s="266">
        <f>O92*(1+Assumption!$C$22)</f>
        <v>201.01434609375005</v>
      </c>
      <c r="R92" s="265">
        <f>P92*(1+Assumption!$C$22)</f>
        <v>0</v>
      </c>
      <c r="S92" s="266">
        <f>Q92*(1+Assumption!$C$22)</f>
        <v>211.06506339843756</v>
      </c>
      <c r="T92" s="265">
        <f>R92*(1+Assumption!$C$22)</f>
        <v>0</v>
      </c>
      <c r="U92" s="266">
        <f>S92*(1+Assumption!$C$22)</f>
        <v>221.61831656835943</v>
      </c>
      <c r="V92" s="265">
        <f>T92*(1+Assumption!$C$22)</f>
        <v>0</v>
      </c>
      <c r="W92" s="266">
        <f>U92*(1+Assumption!$C$22)</f>
        <v>232.6992323967774</v>
      </c>
      <c r="X92" s="265">
        <f>V92*(1+Assumption!$C$22)</f>
        <v>0</v>
      </c>
      <c r="Y92" s="266">
        <f>W92*(1+Assumption!$C$22)</f>
        <v>244.33419401661629</v>
      </c>
      <c r="Z92" s="265">
        <f>X92*(1+Assumption!$C$22)</f>
        <v>0</v>
      </c>
      <c r="AA92" s="266">
        <f>Y92*(1+Assumption!$C$22)</f>
        <v>256.55090371744711</v>
      </c>
      <c r="AB92" s="265">
        <f>Z92*(1+Assumption!$C$22)</f>
        <v>0</v>
      </c>
      <c r="AC92" s="266">
        <f>AA92*(1+Assumption!$C$22)</f>
        <v>269.37844890331951</v>
      </c>
      <c r="AD92" s="265">
        <f>AB92*(1+Assumption!$C$22)</f>
        <v>0</v>
      </c>
      <c r="AE92" s="266">
        <f>AC92*(1+Assumption!$C$22)</f>
        <v>282.84737134848552</v>
      </c>
      <c r="AF92" s="265">
        <f>AD92*(1+Assumption!$C$22)</f>
        <v>0</v>
      </c>
      <c r="AG92" s="266">
        <f>AE92*(1+Assumption!$C$22)</f>
        <v>296.98973991590981</v>
      </c>
      <c r="AH92" s="265">
        <f>AF92*(1+Assumption!$C$22)</f>
        <v>0</v>
      </c>
      <c r="AI92" s="266">
        <f>AG92*(1+Assumption!$C$22)</f>
        <v>311.83922691170534</v>
      </c>
      <c r="AJ92" s="265">
        <f>AH92*(1+Assumption!$C$22)</f>
        <v>0</v>
      </c>
      <c r="AK92" s="266">
        <f>AI92*(1+Assumption!$C$22)</f>
        <v>327.43118825729061</v>
      </c>
      <c r="AL92" s="265">
        <f>AJ92*(1+Assumption!$C$22)</f>
        <v>0</v>
      </c>
      <c r="AM92" s="266">
        <f>AK92*(1+Assumption!$C$22)</f>
        <v>343.80274767015516</v>
      </c>
      <c r="AN92" s="265">
        <f>AL92*(1+Assumption!$C$22)</f>
        <v>0</v>
      </c>
      <c r="AO92" s="266">
        <f>AM92*(1+Assumption!$C$22)</f>
        <v>360.99288505366292</v>
      </c>
      <c r="AP92" s="331">
        <f>AN92*(1+Assumption!$C$22)</f>
        <v>0</v>
      </c>
      <c r="AQ92" s="266">
        <f>AO92*(1+Assumption!$C$22)</f>
        <v>379.04252930634607</v>
      </c>
      <c r="AR92" s="330">
        <f>AP92*(1+Assumption!$C$22)</f>
        <v>0</v>
      </c>
      <c r="AS92" s="266">
        <f>AQ92*(1+Assumption!$C$22)</f>
        <v>397.99465577166336</v>
      </c>
      <c r="AT92" s="322"/>
      <c r="AU92" s="266">
        <f>AS92*(1+Assumption!$C$22)</f>
        <v>417.89438856024657</v>
      </c>
      <c r="AV92" s="322"/>
      <c r="AW92" s="266">
        <f>AU92*(1+Assumption!$C$22)</f>
        <v>438.78910798825893</v>
      </c>
      <c r="AX92" s="322"/>
      <c r="AY92" s="266">
        <f>AW92*(1+Assumption!$C$22)</f>
        <v>460.7285633876719</v>
      </c>
      <c r="AZ92" s="322"/>
      <c r="BA92" s="266">
        <f>AY92*(1+Assumption!$C$22)</f>
        <v>483.76499155705551</v>
      </c>
      <c r="BB92" s="322"/>
      <c r="BC92" s="265">
        <f>BA92*(1+Assumption!$C$22)</f>
        <v>507.9532411349083</v>
      </c>
      <c r="BD92" s="322"/>
    </row>
    <row r="93" spans="2:56" s="60" customFormat="1" ht="15" thickBot="1" x14ac:dyDescent="0.35">
      <c r="B93" s="332" t="s">
        <v>66</v>
      </c>
      <c r="C93" s="333"/>
      <c r="D93" s="63">
        <f>D90</f>
        <v>87.123287671232873</v>
      </c>
      <c r="E93" s="334"/>
      <c r="F93" s="335">
        <f>E90+F90</f>
        <v>154.53654839434091</v>
      </c>
      <c r="G93" s="334"/>
      <c r="H93" s="64">
        <f>G90+H90</f>
        <v>161.89358859196048</v>
      </c>
      <c r="I93" s="334"/>
      <c r="J93" s="335">
        <f>I90+J90</f>
        <v>170.17767123287672</v>
      </c>
      <c r="K93" s="334"/>
      <c r="L93" s="335">
        <f>K90+L90</f>
        <v>178.68655479452056</v>
      </c>
      <c r="M93" s="334"/>
      <c r="N93" s="335">
        <f>M90+N90</f>
        <v>187.84014042674883</v>
      </c>
      <c r="O93" s="334"/>
      <c r="P93" s="335">
        <f>O90+P90</f>
        <v>196.78266876845669</v>
      </c>
      <c r="Q93" s="334"/>
      <c r="R93" s="335">
        <f>Q90+R90</f>
        <v>206.85202299400692</v>
      </c>
      <c r="S93" s="334"/>
      <c r="T93" s="335">
        <f>S90+T90</f>
        <v>217.19462414370724</v>
      </c>
      <c r="U93" s="334"/>
      <c r="V93" s="335">
        <f>U90+V90</f>
        <v>228.32086468959091</v>
      </c>
      <c r="W93" s="334"/>
      <c r="X93" s="335">
        <f>W90+X90</f>
        <v>239.19056377973897</v>
      </c>
      <c r="Y93" s="334"/>
      <c r="Z93" s="335">
        <f>Y90+Z90</f>
        <v>251.4299267743591</v>
      </c>
      <c r="AA93" s="334"/>
      <c r="AB93" s="335">
        <f>AA90+AB90</f>
        <v>264.00142311307712</v>
      </c>
      <c r="AC93" s="334"/>
      <c r="AD93" s="335">
        <f>AC90+AD90</f>
        <v>277.52543803560218</v>
      </c>
      <c r="AE93" s="334"/>
      <c r="AF93" s="335">
        <f>AE90+AF90</f>
        <v>290.73762521529642</v>
      </c>
      <c r="AG93" s="334"/>
      <c r="AH93" s="335">
        <f>AG90+AH90</f>
        <v>305.61464743127601</v>
      </c>
      <c r="AI93" s="334"/>
      <c r="AJ93" s="335">
        <f>AI90+AJ90</f>
        <v>320.89537980283978</v>
      </c>
      <c r="AK93" s="334"/>
      <c r="AL93" s="335">
        <f>AK90+AL90</f>
        <v>337.3339044662622</v>
      </c>
      <c r="AM93" s="334"/>
      <c r="AN93" s="335">
        <f>AM90+AN90</f>
        <v>353.39340055935043</v>
      </c>
      <c r="AO93" s="334"/>
      <c r="AP93" s="335">
        <f>AO90+AP90</f>
        <v>371.47651404426244</v>
      </c>
      <c r="AQ93" s="334"/>
      <c r="AR93" s="335">
        <f>AQ90+AR90</f>
        <v>390.05033974647552</v>
      </c>
      <c r="AS93" s="341"/>
      <c r="AT93" s="335">
        <f>AS90+AT90</f>
        <v>410.03146921564468</v>
      </c>
      <c r="AU93" s="341"/>
      <c r="AV93" s="335">
        <f>AU90+AV90</f>
        <v>429.55188708864404</v>
      </c>
      <c r="AW93" s="341"/>
      <c r="AX93" s="335">
        <f>AW90+AX90</f>
        <v>451.53202454901384</v>
      </c>
      <c r="AY93" s="341"/>
      <c r="AZ93" s="335">
        <f>AY90+AZ90</f>
        <v>474.10862577646458</v>
      </c>
      <c r="BA93" s="341"/>
      <c r="BB93" s="335">
        <f>BA90+BB90</f>
        <v>498.39581352829885</v>
      </c>
      <c r="BC93" s="340"/>
      <c r="BD93" s="335">
        <f>BC90+BD90</f>
        <v>212.34110899901904</v>
      </c>
    </row>
    <row r="94" spans="2:56" x14ac:dyDescent="0.3">
      <c r="B94" s="49"/>
    </row>
    <row r="95" spans="2:56" x14ac:dyDescent="0.3">
      <c r="B95" s="442" t="s">
        <v>120</v>
      </c>
      <c r="C95" s="443"/>
    </row>
    <row r="96" spans="2:56" ht="15" thickBot="1" x14ac:dyDescent="0.35"/>
    <row r="97" spans="2:18" x14ac:dyDescent="0.3">
      <c r="B97" s="119" t="s">
        <v>121</v>
      </c>
      <c r="C97" s="28" t="s">
        <v>35</v>
      </c>
      <c r="D97" s="120">
        <f>Assumption!C29</f>
        <v>10500</v>
      </c>
    </row>
    <row r="98" spans="2:18" x14ac:dyDescent="0.3">
      <c r="B98" s="121" t="s">
        <v>122</v>
      </c>
      <c r="C98" s="122" t="s">
        <v>123</v>
      </c>
      <c r="D98" s="123">
        <f>Assumption!C30</f>
        <v>0.11</v>
      </c>
    </row>
    <row r="99" spans="2:18" x14ac:dyDescent="0.3">
      <c r="B99" s="121"/>
      <c r="C99" s="122" t="s">
        <v>124</v>
      </c>
      <c r="D99" s="124">
        <f>D98/4</f>
        <v>2.75E-2</v>
      </c>
    </row>
    <row r="100" spans="2:18" x14ac:dyDescent="0.3">
      <c r="B100" s="121" t="s">
        <v>125</v>
      </c>
      <c r="C100" s="122" t="s">
        <v>126</v>
      </c>
      <c r="D100" s="125">
        <f>Assumption!C31</f>
        <v>48</v>
      </c>
    </row>
    <row r="101" spans="2:18" x14ac:dyDescent="0.3">
      <c r="B101" s="121" t="s">
        <v>127</v>
      </c>
      <c r="C101" s="122" t="s">
        <v>126</v>
      </c>
      <c r="D101" s="125">
        <f>Assumption!C32</f>
        <v>0</v>
      </c>
    </row>
    <row r="102" spans="2:18" x14ac:dyDescent="0.3">
      <c r="B102" s="121" t="s">
        <v>128</v>
      </c>
      <c r="C102" s="122" t="s">
        <v>126</v>
      </c>
      <c r="D102" s="125">
        <f>Assumption!C33</f>
        <v>48</v>
      </c>
    </row>
    <row r="103" spans="2:18" x14ac:dyDescent="0.3">
      <c r="B103" s="121" t="s">
        <v>129</v>
      </c>
      <c r="C103" s="122"/>
      <c r="D103" s="126">
        <f>Assumption!C10</f>
        <v>43343</v>
      </c>
    </row>
    <row r="104" spans="2:18" x14ac:dyDescent="0.3">
      <c r="B104" s="121" t="s">
        <v>130</v>
      </c>
      <c r="C104" s="122" t="s">
        <v>35</v>
      </c>
      <c r="D104" s="127">
        <f>Assumption!C34</f>
        <v>218.75</v>
      </c>
    </row>
    <row r="105" spans="2:18" ht="15" thickBot="1" x14ac:dyDescent="0.35">
      <c r="B105" s="128" t="s">
        <v>131</v>
      </c>
      <c r="C105" s="24"/>
      <c r="D105" s="129">
        <f>Assumption!C35</f>
        <v>43465</v>
      </c>
    </row>
    <row r="106" spans="2:18" ht="15" thickBot="1" x14ac:dyDescent="0.35">
      <c r="D106" s="130"/>
    </row>
    <row r="107" spans="2:18" ht="15" thickBot="1" x14ac:dyDescent="0.35">
      <c r="B107" s="131" t="s">
        <v>132</v>
      </c>
      <c r="C107" s="132"/>
      <c r="D107" s="10"/>
    </row>
    <row r="108" spans="2:18" x14ac:dyDescent="0.3">
      <c r="B108" s="133" t="s">
        <v>133</v>
      </c>
      <c r="C108" s="134"/>
      <c r="D108" s="135">
        <f t="shared" ref="D108:R108" si="86">DATE(YEAR(D6)-1,6,30)</f>
        <v>43281</v>
      </c>
      <c r="E108" s="135">
        <f t="shared" si="86"/>
        <v>43646</v>
      </c>
      <c r="F108" s="135">
        <f t="shared" si="86"/>
        <v>44012</v>
      </c>
      <c r="G108" s="135">
        <f t="shared" si="86"/>
        <v>44377</v>
      </c>
      <c r="H108" s="135">
        <f t="shared" si="86"/>
        <v>44742</v>
      </c>
      <c r="I108" s="135">
        <f t="shared" si="86"/>
        <v>45107</v>
      </c>
      <c r="J108" s="135">
        <f t="shared" si="86"/>
        <v>45473</v>
      </c>
      <c r="K108" s="135">
        <f t="shared" si="86"/>
        <v>45838</v>
      </c>
      <c r="L108" s="135">
        <f t="shared" si="86"/>
        <v>46203</v>
      </c>
      <c r="M108" s="135">
        <f t="shared" si="86"/>
        <v>46568</v>
      </c>
      <c r="N108" s="135">
        <f t="shared" si="86"/>
        <v>46934</v>
      </c>
      <c r="O108" s="135">
        <f t="shared" si="86"/>
        <v>47299</v>
      </c>
      <c r="P108" s="135">
        <f t="shared" si="86"/>
        <v>47664</v>
      </c>
      <c r="Q108" s="135">
        <f t="shared" si="86"/>
        <v>48029</v>
      </c>
      <c r="R108" s="267">
        <f t="shared" si="86"/>
        <v>48395</v>
      </c>
    </row>
    <row r="109" spans="2:18" x14ac:dyDescent="0.3">
      <c r="B109" s="52" t="s">
        <v>134</v>
      </c>
      <c r="C109" s="136"/>
      <c r="D109" s="30">
        <f>IF(AND(OR(MONTH($D$103)=5,MONTH($D$103)=4,MONTH($D$103)=3),YEAR(D108)=YEAR($D$103)),$D$97,0)</f>
        <v>0</v>
      </c>
      <c r="E109" s="30">
        <f>IF(AND(OR(MONTH($D$103)=5,MONTH($D$103)=4,MONTH($D$103)=3),YEAR(E108)=YEAR($D$103)),$D$97,D129)</f>
        <v>10062.5</v>
      </c>
      <c r="F109" s="30">
        <f t="shared" ref="F109:J109" si="87">E129</f>
        <v>9187.5</v>
      </c>
      <c r="G109" s="30">
        <f t="shared" si="87"/>
        <v>8312.5</v>
      </c>
      <c r="H109" s="30">
        <f t="shared" si="87"/>
        <v>7437.5</v>
      </c>
      <c r="I109" s="30">
        <f t="shared" si="87"/>
        <v>6562.5</v>
      </c>
      <c r="J109" s="30">
        <f t="shared" si="87"/>
        <v>5687.5</v>
      </c>
      <c r="K109" s="30">
        <f t="shared" ref="K109:R109" si="88">J129</f>
        <v>4812.5</v>
      </c>
      <c r="L109" s="30">
        <f t="shared" si="88"/>
        <v>3937.5</v>
      </c>
      <c r="M109" s="30">
        <f t="shared" si="88"/>
        <v>3062.5</v>
      </c>
      <c r="N109" s="30">
        <f t="shared" si="88"/>
        <v>2187.5</v>
      </c>
      <c r="O109" s="249">
        <f t="shared" si="88"/>
        <v>1312.5</v>
      </c>
      <c r="P109" s="249">
        <f t="shared" si="88"/>
        <v>437.5</v>
      </c>
      <c r="Q109" s="249">
        <f t="shared" si="88"/>
        <v>0</v>
      </c>
      <c r="R109" s="268">
        <f t="shared" si="88"/>
        <v>0</v>
      </c>
    </row>
    <row r="110" spans="2:18" x14ac:dyDescent="0.3">
      <c r="B110" s="52" t="s">
        <v>135</v>
      </c>
      <c r="C110" s="136"/>
      <c r="D110" s="30">
        <f>IF(D109&lt;=0,0,IF(AND(MONTH(D108)=MONTH($D$105),YEAR(D108)=YEAR($D$105)),$D$104,0))</f>
        <v>0</v>
      </c>
      <c r="E110" s="30">
        <f>IF(E109&lt;=0,0,IF(AND(MONTH(E108)=MONTH($D$105),YEAR(E108)=YEAR($D$105)),$D$104,D128))</f>
        <v>218.75</v>
      </c>
      <c r="F110" s="30">
        <f t="shared" ref="F110:M110" si="89">IF(TRUNC(F109,2)&gt;=TRUNC(E128,1),E128,0)</f>
        <v>218.75</v>
      </c>
      <c r="G110" s="30">
        <f t="shared" si="89"/>
        <v>218.75</v>
      </c>
      <c r="H110" s="30">
        <f t="shared" si="89"/>
        <v>218.75</v>
      </c>
      <c r="I110" s="30">
        <f t="shared" si="89"/>
        <v>218.75</v>
      </c>
      <c r="J110" s="30">
        <f t="shared" si="89"/>
        <v>218.75</v>
      </c>
      <c r="K110" s="30">
        <f t="shared" si="89"/>
        <v>218.75</v>
      </c>
      <c r="L110" s="30">
        <f t="shared" si="89"/>
        <v>218.75</v>
      </c>
      <c r="M110" s="30">
        <f t="shared" si="89"/>
        <v>218.75</v>
      </c>
      <c r="N110" s="30">
        <f>IF(TRUNC(N109,2)&gt;=TRUNC(M128,1),M128,0)</f>
        <v>218.75</v>
      </c>
      <c r="O110" s="249">
        <f t="shared" ref="O110:R110" si="90">IF(TRUNC(O109,2)&gt;=TRUNC(N128,2),N128,0)</f>
        <v>218.75</v>
      </c>
      <c r="P110" s="249">
        <f t="shared" si="90"/>
        <v>218.75</v>
      </c>
      <c r="Q110" s="249">
        <f t="shared" si="90"/>
        <v>0</v>
      </c>
      <c r="R110" s="268">
        <f t="shared" si="90"/>
        <v>0</v>
      </c>
    </row>
    <row r="111" spans="2:18" x14ac:dyDescent="0.3">
      <c r="B111" s="52" t="s">
        <v>136</v>
      </c>
      <c r="C111" s="136"/>
      <c r="D111" s="30">
        <f t="shared" ref="D111:E111" si="91">IF(TRUNC((D109-D110),2)&lt;TRUNC($D$104,2),0,D109-D110)</f>
        <v>0</v>
      </c>
      <c r="E111" s="30">
        <f t="shared" si="91"/>
        <v>9843.75</v>
      </c>
      <c r="F111" s="30">
        <f t="shared" ref="F111:M111" si="92">IF(TRUNC((F109-F110),2)&lt;TRUNC($D$104,1),0,F109-F110)</f>
        <v>8968.75</v>
      </c>
      <c r="G111" s="30">
        <f t="shared" si="92"/>
        <v>8093.75</v>
      </c>
      <c r="H111" s="30">
        <f t="shared" si="92"/>
        <v>7218.75</v>
      </c>
      <c r="I111" s="30">
        <f t="shared" si="92"/>
        <v>6343.75</v>
      </c>
      <c r="J111" s="30">
        <f t="shared" si="92"/>
        <v>5468.75</v>
      </c>
      <c r="K111" s="30">
        <f t="shared" si="92"/>
        <v>4593.75</v>
      </c>
      <c r="L111" s="30">
        <f t="shared" si="92"/>
        <v>3718.75</v>
      </c>
      <c r="M111" s="30">
        <f t="shared" si="92"/>
        <v>2843.75</v>
      </c>
      <c r="N111" s="30">
        <f>IF(TRUNC((N109-N110),2)&lt;TRUNC($D$104,1),0,N109-N110)</f>
        <v>1968.75</v>
      </c>
      <c r="O111" s="249">
        <f>IF(TRUNC((O109-O110),2)&lt;TRUNC($D$104,2),0,O109-O110)</f>
        <v>1093.75</v>
      </c>
      <c r="P111" s="249">
        <f>IF(TRUNC((P109-P110),2)&lt;TRUNC($D$104,2),0,P109-P110)</f>
        <v>218.75</v>
      </c>
      <c r="Q111" s="249">
        <f>IF(TRUNC((Q109-Q110),2)&lt;TRUNC($D$104,2),0,Q109-Q110)</f>
        <v>0</v>
      </c>
      <c r="R111" s="268">
        <f>IF(TRUNC((R109-R110),2)&lt;TRUNC($D$104,2),0,R109-R110)</f>
        <v>0</v>
      </c>
    </row>
    <row r="112" spans="2:18" x14ac:dyDescent="0.3">
      <c r="B112" s="52" t="s">
        <v>137</v>
      </c>
      <c r="C112" s="136"/>
      <c r="D112" s="30">
        <f>IF(D109&lt;=0,0,D109*$D$98*3/12)</f>
        <v>0</v>
      </c>
      <c r="E112" s="30">
        <f t="shared" ref="E112:O112" si="93">IF(E109&lt;=0,0,E109*$D$98*3/12)</f>
        <v>276.71875</v>
      </c>
      <c r="F112" s="30">
        <f t="shared" si="93"/>
        <v>252.65625</v>
      </c>
      <c r="G112" s="30">
        <f t="shared" si="93"/>
        <v>228.59375</v>
      </c>
      <c r="H112" s="30">
        <f t="shared" si="93"/>
        <v>204.53125</v>
      </c>
      <c r="I112" s="30">
        <f t="shared" si="93"/>
        <v>180.46875</v>
      </c>
      <c r="J112" s="30">
        <f t="shared" si="93"/>
        <v>156.40625</v>
      </c>
      <c r="K112" s="30">
        <f t="shared" si="93"/>
        <v>132.34375</v>
      </c>
      <c r="L112" s="30">
        <f t="shared" si="93"/>
        <v>108.28125</v>
      </c>
      <c r="M112" s="30">
        <f t="shared" si="93"/>
        <v>84.21875</v>
      </c>
      <c r="N112" s="30">
        <f t="shared" si="93"/>
        <v>60.15625</v>
      </c>
      <c r="O112" s="249">
        <f t="shared" si="93"/>
        <v>36.09375</v>
      </c>
      <c r="P112" s="249">
        <f t="shared" ref="P112:R112" si="94">IF(P109&lt;=0,0,P109*$D$98*3/12)</f>
        <v>12.03125</v>
      </c>
      <c r="Q112" s="249">
        <f t="shared" si="94"/>
        <v>0</v>
      </c>
      <c r="R112" s="268">
        <f t="shared" si="94"/>
        <v>0</v>
      </c>
    </row>
    <row r="113" spans="2:18" x14ac:dyDescent="0.3">
      <c r="B113" s="52"/>
      <c r="C113" s="136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249"/>
      <c r="P113" s="249"/>
      <c r="Q113" s="249"/>
      <c r="R113" s="268"/>
    </row>
    <row r="114" spans="2:18" x14ac:dyDescent="0.3">
      <c r="B114" s="138" t="s">
        <v>138</v>
      </c>
      <c r="C114" s="139"/>
      <c r="D114" s="140">
        <f t="shared" ref="D114:R114" si="95">DATE(YEAR(D6)-1,9,30)</f>
        <v>43373</v>
      </c>
      <c r="E114" s="140">
        <f t="shared" si="95"/>
        <v>43738</v>
      </c>
      <c r="F114" s="140">
        <f t="shared" si="95"/>
        <v>44104</v>
      </c>
      <c r="G114" s="140">
        <f t="shared" si="95"/>
        <v>44469</v>
      </c>
      <c r="H114" s="140">
        <f t="shared" si="95"/>
        <v>44834</v>
      </c>
      <c r="I114" s="140">
        <f t="shared" si="95"/>
        <v>45199</v>
      </c>
      <c r="J114" s="140">
        <f t="shared" si="95"/>
        <v>45565</v>
      </c>
      <c r="K114" s="140">
        <f t="shared" si="95"/>
        <v>45930</v>
      </c>
      <c r="L114" s="140">
        <f t="shared" si="95"/>
        <v>46295</v>
      </c>
      <c r="M114" s="140">
        <f t="shared" si="95"/>
        <v>46660</v>
      </c>
      <c r="N114" s="140">
        <f t="shared" si="95"/>
        <v>47026</v>
      </c>
      <c r="O114" s="270">
        <f t="shared" si="95"/>
        <v>47391</v>
      </c>
      <c r="P114" s="270">
        <f t="shared" si="95"/>
        <v>47756</v>
      </c>
      <c r="Q114" s="270">
        <f t="shared" si="95"/>
        <v>48121</v>
      </c>
      <c r="R114" s="269">
        <f t="shared" si="95"/>
        <v>48487</v>
      </c>
    </row>
    <row r="115" spans="2:18" x14ac:dyDescent="0.3">
      <c r="B115" s="52" t="s">
        <v>134</v>
      </c>
      <c r="C115" s="136"/>
      <c r="D115" s="30">
        <f>IF(AND(OR(MONTH($D$103)=8,MONTH($D$103)=7,MONTH($D$103)=6),YEAR(D114)=YEAR($D$103)),$D$97,D111)</f>
        <v>10500</v>
      </c>
      <c r="E115" s="137">
        <f>IF(AND(OR(MONTH($D$103)=8,MONTH($D$103)=7,MONTH($D$103)=6),YEAR(E114)=YEAR($D$103)),$D$97,E111)</f>
        <v>9843.75</v>
      </c>
      <c r="F115" s="137">
        <f t="shared" ref="F115:M115" si="96">F111</f>
        <v>8968.75</v>
      </c>
      <c r="G115" s="137">
        <f t="shared" si="96"/>
        <v>8093.75</v>
      </c>
      <c r="H115" s="137">
        <f t="shared" si="96"/>
        <v>7218.75</v>
      </c>
      <c r="I115" s="137">
        <f t="shared" si="96"/>
        <v>6343.75</v>
      </c>
      <c r="J115" s="137">
        <f t="shared" si="96"/>
        <v>5468.75</v>
      </c>
      <c r="K115" s="137">
        <f t="shared" si="96"/>
        <v>4593.75</v>
      </c>
      <c r="L115" s="137">
        <f t="shared" si="96"/>
        <v>3718.75</v>
      </c>
      <c r="M115" s="137">
        <f t="shared" si="96"/>
        <v>2843.75</v>
      </c>
      <c r="N115" s="137">
        <f>N111</f>
        <v>1968.75</v>
      </c>
      <c r="O115" s="249">
        <f>O111</f>
        <v>1093.75</v>
      </c>
      <c r="P115" s="249">
        <f>P111</f>
        <v>218.75</v>
      </c>
      <c r="Q115" s="249">
        <f>Q111</f>
        <v>0</v>
      </c>
      <c r="R115" s="268">
        <f>R111</f>
        <v>0</v>
      </c>
    </row>
    <row r="116" spans="2:18" x14ac:dyDescent="0.3">
      <c r="B116" s="52" t="s">
        <v>135</v>
      </c>
      <c r="C116" s="136"/>
      <c r="D116" s="30">
        <f>IF(D115&lt;=0,0,IF(AND(MONTH(D114)=MONTH($D$105),YEAR(D114)=YEAR($D$105)),$D$104,D110))</f>
        <v>0</v>
      </c>
      <c r="E116" s="137">
        <f>IF(E115&lt;=0,0,IF(AND(MONTH(E114)=MONTH($D$105),YEAR(E114)=YEAR($D$105)),$D$104,E110))</f>
        <v>218.75</v>
      </c>
      <c r="F116" s="137">
        <f t="shared" ref="F116:M116" si="97">IF(TRUNC(F115,2)&gt;=TRUNC(F110,1),F110,0)</f>
        <v>218.75</v>
      </c>
      <c r="G116" s="137">
        <f t="shared" si="97"/>
        <v>218.75</v>
      </c>
      <c r="H116" s="137">
        <f t="shared" si="97"/>
        <v>218.75</v>
      </c>
      <c r="I116" s="137">
        <f t="shared" si="97"/>
        <v>218.75</v>
      </c>
      <c r="J116" s="137">
        <f t="shared" si="97"/>
        <v>218.75</v>
      </c>
      <c r="K116" s="137">
        <f t="shared" si="97"/>
        <v>218.75</v>
      </c>
      <c r="L116" s="137">
        <f t="shared" si="97"/>
        <v>218.75</v>
      </c>
      <c r="M116" s="137">
        <f t="shared" si="97"/>
        <v>218.75</v>
      </c>
      <c r="N116" s="137">
        <f>IF(TRUNC(N115,2)&gt;=TRUNC(N110,1),N110,0)</f>
        <v>218.75</v>
      </c>
      <c r="O116" s="249">
        <f>IF(TRUNC(O115,2)&gt;=TRUNC(O110,1),O110,0)</f>
        <v>218.75</v>
      </c>
      <c r="P116" s="249">
        <f>IF(TRUNC(P115,2)&gt;=TRUNC(P110,1),P110,0)</f>
        <v>218.75</v>
      </c>
      <c r="Q116" s="249">
        <f>IF(TRUNC(Q115,2)&gt;=TRUNC(Q110,1),Q110,0)</f>
        <v>0</v>
      </c>
      <c r="R116" s="268">
        <f>IF(TRUNC(R115,2)&gt;=TRUNC(R110,1),R110,0)</f>
        <v>0</v>
      </c>
    </row>
    <row r="117" spans="2:18" x14ac:dyDescent="0.3">
      <c r="B117" s="52" t="s">
        <v>136</v>
      </c>
      <c r="C117" s="136"/>
      <c r="D117" s="30">
        <f t="shared" ref="D117:E117" si="98">IF(TRUNC((D115-D116),2)&lt;TRUNC($D$104,2),0,D115-D116)</f>
        <v>10500</v>
      </c>
      <c r="E117" s="137">
        <f t="shared" si="98"/>
        <v>9625</v>
      </c>
      <c r="F117" s="137">
        <f t="shared" ref="F117:M117" si="99">IF(TRUNC((F115-F116),2)&lt;TRUNC($D$104,1),0,F115-F116)</f>
        <v>8750</v>
      </c>
      <c r="G117" s="137">
        <f t="shared" si="99"/>
        <v>7875</v>
      </c>
      <c r="H117" s="137">
        <f t="shared" si="99"/>
        <v>7000</v>
      </c>
      <c r="I117" s="137">
        <f t="shared" si="99"/>
        <v>6125</v>
      </c>
      <c r="J117" s="137">
        <f t="shared" si="99"/>
        <v>5250</v>
      </c>
      <c r="K117" s="137">
        <f t="shared" si="99"/>
        <v>4375</v>
      </c>
      <c r="L117" s="137">
        <f t="shared" si="99"/>
        <v>3500</v>
      </c>
      <c r="M117" s="137">
        <f t="shared" si="99"/>
        <v>2625</v>
      </c>
      <c r="N117" s="137">
        <f>IF(TRUNC((N115-N116),2)&lt;TRUNC($D$104,1),0,N115-N116)</f>
        <v>1750</v>
      </c>
      <c r="O117" s="249">
        <f>IF(TRUNC((O115-O116),2)&lt;TRUNC($D$104,1),0,O115-O116)</f>
        <v>875</v>
      </c>
      <c r="P117" s="249">
        <f>IF(TRUNC((P115-P116),2)&lt;TRUNC($D$104,1),0,P115-P116)</f>
        <v>0</v>
      </c>
      <c r="Q117" s="249">
        <f>IF(TRUNC((Q115-Q116),2)&lt;TRUNC($D$104,1),0,Q115-Q116)</f>
        <v>0</v>
      </c>
      <c r="R117" s="268">
        <f>IF(TRUNC((R115-R116),2)&lt;TRUNC($D$104,1),0,R115-R116)</f>
        <v>0</v>
      </c>
    </row>
    <row r="118" spans="2:18" x14ac:dyDescent="0.3">
      <c r="B118" s="52" t="s">
        <v>137</v>
      </c>
      <c r="C118" s="136"/>
      <c r="D118" s="30">
        <f>IF(D115&lt;=0,0,D115*$D$98*3/12)</f>
        <v>288.75</v>
      </c>
      <c r="E118" s="137">
        <f t="shared" ref="E118:O118" si="100">IF(E115&lt;=0,0,E115*$D$98*3/12)</f>
        <v>270.703125</v>
      </c>
      <c r="F118" s="137">
        <f t="shared" si="100"/>
        <v>246.640625</v>
      </c>
      <c r="G118" s="137">
        <f t="shared" si="100"/>
        <v>222.578125</v>
      </c>
      <c r="H118" s="137">
        <f t="shared" si="100"/>
        <v>198.515625</v>
      </c>
      <c r="I118" s="137">
        <f t="shared" si="100"/>
        <v>174.453125</v>
      </c>
      <c r="J118" s="137">
        <f t="shared" si="100"/>
        <v>150.390625</v>
      </c>
      <c r="K118" s="137">
        <f t="shared" si="100"/>
        <v>126.328125</v>
      </c>
      <c r="L118" s="137">
        <f t="shared" si="100"/>
        <v>102.265625</v>
      </c>
      <c r="M118" s="137">
        <f t="shared" si="100"/>
        <v>78.203125</v>
      </c>
      <c r="N118" s="137">
        <f t="shared" si="100"/>
        <v>54.140625</v>
      </c>
      <c r="O118" s="249">
        <f t="shared" si="100"/>
        <v>30.078125</v>
      </c>
      <c r="P118" s="249">
        <f t="shared" ref="P118:R118" si="101">IF(P115&lt;=0,0,P115*$D$98*3/12)</f>
        <v>6.015625</v>
      </c>
      <c r="Q118" s="249">
        <f t="shared" si="101"/>
        <v>0</v>
      </c>
      <c r="R118" s="268">
        <f t="shared" si="101"/>
        <v>0</v>
      </c>
    </row>
    <row r="119" spans="2:18" x14ac:dyDescent="0.3">
      <c r="B119" s="52"/>
      <c r="C119" s="136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249"/>
      <c r="P119" s="249"/>
      <c r="Q119" s="249"/>
      <c r="R119" s="268"/>
    </row>
    <row r="120" spans="2:18" x14ac:dyDescent="0.3">
      <c r="B120" s="138" t="s">
        <v>139</v>
      </c>
      <c r="C120" s="139"/>
      <c r="D120" s="140">
        <f t="shared" ref="D120:R120" si="102">DATE(YEAR(D6)-1,12,31)</f>
        <v>43465</v>
      </c>
      <c r="E120" s="140">
        <f t="shared" si="102"/>
        <v>43830</v>
      </c>
      <c r="F120" s="140">
        <f t="shared" si="102"/>
        <v>44196</v>
      </c>
      <c r="G120" s="140">
        <f t="shared" si="102"/>
        <v>44561</v>
      </c>
      <c r="H120" s="140">
        <f t="shared" si="102"/>
        <v>44926</v>
      </c>
      <c r="I120" s="140">
        <f t="shared" si="102"/>
        <v>45291</v>
      </c>
      <c r="J120" s="140">
        <f t="shared" si="102"/>
        <v>45657</v>
      </c>
      <c r="K120" s="140">
        <f t="shared" si="102"/>
        <v>46022</v>
      </c>
      <c r="L120" s="140">
        <f t="shared" si="102"/>
        <v>46387</v>
      </c>
      <c r="M120" s="140">
        <f t="shared" si="102"/>
        <v>46752</v>
      </c>
      <c r="N120" s="140">
        <f t="shared" si="102"/>
        <v>47118</v>
      </c>
      <c r="O120" s="270">
        <f t="shared" si="102"/>
        <v>47483</v>
      </c>
      <c r="P120" s="270">
        <f t="shared" si="102"/>
        <v>47848</v>
      </c>
      <c r="Q120" s="270">
        <f t="shared" si="102"/>
        <v>48213</v>
      </c>
      <c r="R120" s="269">
        <f t="shared" si="102"/>
        <v>48579</v>
      </c>
    </row>
    <row r="121" spans="2:18" x14ac:dyDescent="0.3">
      <c r="B121" s="52" t="s">
        <v>134</v>
      </c>
      <c r="C121" s="136"/>
      <c r="D121" s="30">
        <f>IF(AND(OR(MONTH($D$103)=11,MONTH($D$103)=10,MONTH($D$103)=9),YEAR(D120)=YEAR($D$103)),$D$97,D117)</f>
        <v>10500</v>
      </c>
      <c r="E121" s="137">
        <f>IF(AND(OR(MONTH($D$103)=11,MONTH($D$103)=10,MONTH($D$103)=9),YEAR(E120)=YEAR($D$103)),$D$97,E117)</f>
        <v>9625</v>
      </c>
      <c r="F121" s="137">
        <f t="shared" ref="F121:M121" si="103">F117</f>
        <v>8750</v>
      </c>
      <c r="G121" s="137">
        <f t="shared" si="103"/>
        <v>7875</v>
      </c>
      <c r="H121" s="137">
        <f t="shared" si="103"/>
        <v>7000</v>
      </c>
      <c r="I121" s="137">
        <f t="shared" si="103"/>
        <v>6125</v>
      </c>
      <c r="J121" s="137">
        <f t="shared" si="103"/>
        <v>5250</v>
      </c>
      <c r="K121" s="137">
        <f t="shared" si="103"/>
        <v>4375</v>
      </c>
      <c r="L121" s="137">
        <f t="shared" si="103"/>
        <v>3500</v>
      </c>
      <c r="M121" s="137">
        <f t="shared" si="103"/>
        <v>2625</v>
      </c>
      <c r="N121" s="137">
        <f>N117</f>
        <v>1750</v>
      </c>
      <c r="O121" s="249">
        <f>O117</f>
        <v>875</v>
      </c>
      <c r="P121" s="249">
        <f>P117</f>
        <v>0</v>
      </c>
      <c r="Q121" s="249">
        <f>Q117</f>
        <v>0</v>
      </c>
      <c r="R121" s="268">
        <f>R117</f>
        <v>0</v>
      </c>
    </row>
    <row r="122" spans="2:18" x14ac:dyDescent="0.3">
      <c r="B122" s="52" t="s">
        <v>135</v>
      </c>
      <c r="C122" s="136"/>
      <c r="D122" s="30">
        <f>IF(D121&lt;=0,0,IF(AND(MONTH(D120)=MONTH($D$105),YEAR(D120)=YEAR($D$105)),$D$104,D116))</f>
        <v>218.75</v>
      </c>
      <c r="E122" s="137">
        <f>IF(E121&lt;=0,0,IF(AND(MONTH(E120)=MONTH($D$105),YEAR(E120)=YEAR($D$105)),$D$104,E116))</f>
        <v>218.75</v>
      </c>
      <c r="F122" s="137">
        <f t="shared" ref="F122:M122" si="104">IF(TRUNC(F121,2)&gt;=TRUNC(F116,1),F116,0)</f>
        <v>218.75</v>
      </c>
      <c r="G122" s="137">
        <f t="shared" si="104"/>
        <v>218.75</v>
      </c>
      <c r="H122" s="137">
        <f t="shared" si="104"/>
        <v>218.75</v>
      </c>
      <c r="I122" s="137">
        <f t="shared" si="104"/>
        <v>218.75</v>
      </c>
      <c r="J122" s="137">
        <f t="shared" si="104"/>
        <v>218.75</v>
      </c>
      <c r="K122" s="137">
        <f t="shared" si="104"/>
        <v>218.75</v>
      </c>
      <c r="L122" s="137">
        <f t="shared" si="104"/>
        <v>218.75</v>
      </c>
      <c r="M122" s="137">
        <f t="shared" si="104"/>
        <v>218.75</v>
      </c>
      <c r="N122" s="137">
        <f>IF(TRUNC(N121,2)&gt;=TRUNC(N116,1),N116,0)</f>
        <v>218.75</v>
      </c>
      <c r="O122" s="249">
        <f>IF(TRUNC(O121,2)&gt;=TRUNC(O116,1),O116,0)</f>
        <v>218.75</v>
      </c>
      <c r="P122" s="249">
        <f>IF(TRUNC(P121,2)&gt;=TRUNC(P116,1),P116,0)</f>
        <v>0</v>
      </c>
      <c r="Q122" s="249">
        <f>IF(TRUNC(Q121,2)&gt;=TRUNC(Q116,1),Q116,0)</f>
        <v>0</v>
      </c>
      <c r="R122" s="268">
        <f>IF(TRUNC(R121,2)&gt;=TRUNC(R116,1),R116,0)</f>
        <v>0</v>
      </c>
    </row>
    <row r="123" spans="2:18" x14ac:dyDescent="0.3">
      <c r="B123" s="52" t="s">
        <v>136</v>
      </c>
      <c r="C123" s="136"/>
      <c r="D123" s="30">
        <f t="shared" ref="D123:E123" si="105">IF(TRUNC((D121-D122),2)&lt;TRUNC($D$104,2),0,D121-D122)</f>
        <v>10281.25</v>
      </c>
      <c r="E123" s="137">
        <f t="shared" si="105"/>
        <v>9406.25</v>
      </c>
      <c r="F123" s="137">
        <f t="shared" ref="F123:M123" si="106">IF(TRUNC((F121-F122),2)&lt;TRUNC($D$104,1),0,F121-F122)</f>
        <v>8531.25</v>
      </c>
      <c r="G123" s="137">
        <f t="shared" si="106"/>
        <v>7656.25</v>
      </c>
      <c r="H123" s="137">
        <f t="shared" si="106"/>
        <v>6781.25</v>
      </c>
      <c r="I123" s="137">
        <f t="shared" si="106"/>
        <v>5906.25</v>
      </c>
      <c r="J123" s="137">
        <f t="shared" si="106"/>
        <v>5031.25</v>
      </c>
      <c r="K123" s="137">
        <f t="shared" si="106"/>
        <v>4156.25</v>
      </c>
      <c r="L123" s="137">
        <f t="shared" si="106"/>
        <v>3281.25</v>
      </c>
      <c r="M123" s="137">
        <f t="shared" si="106"/>
        <v>2406.25</v>
      </c>
      <c r="N123" s="137">
        <f>IF(TRUNC((N121-N122),2)&lt;TRUNC($D$104,1),0,N121-N122)</f>
        <v>1531.25</v>
      </c>
      <c r="O123" s="249">
        <f>IF(TRUNC((O121-O122),2)&lt;TRUNC($D$104,1),0,O121-O122)</f>
        <v>656.25</v>
      </c>
      <c r="P123" s="249">
        <f>IF(TRUNC((P121-P122),2)&lt;TRUNC($D$104,1),0,P121-P122)</f>
        <v>0</v>
      </c>
      <c r="Q123" s="249">
        <f>IF(TRUNC((Q121-Q122),2)&lt;TRUNC($D$104,1),0,Q121-Q122)</f>
        <v>0</v>
      </c>
      <c r="R123" s="268">
        <f>IF(TRUNC((R121-R122),2)&lt;TRUNC($D$104,1),0,R121-R122)</f>
        <v>0</v>
      </c>
    </row>
    <row r="124" spans="2:18" x14ac:dyDescent="0.3">
      <c r="B124" s="52" t="s">
        <v>137</v>
      </c>
      <c r="C124" s="136"/>
      <c r="D124" s="30">
        <f>IF(D121&lt;=0,0,D121*$D$98*3/12)</f>
        <v>288.75</v>
      </c>
      <c r="E124" s="137">
        <f t="shared" ref="E124:O124" si="107">IF(E121&lt;=0,0,E121*$D$98*3/12)</f>
        <v>264.6875</v>
      </c>
      <c r="F124" s="137">
        <f t="shared" si="107"/>
        <v>240.625</v>
      </c>
      <c r="G124" s="137">
        <f t="shared" si="107"/>
        <v>216.5625</v>
      </c>
      <c r="H124" s="137">
        <f t="shared" si="107"/>
        <v>192.5</v>
      </c>
      <c r="I124" s="137">
        <f t="shared" si="107"/>
        <v>168.4375</v>
      </c>
      <c r="J124" s="137">
        <f t="shared" si="107"/>
        <v>144.375</v>
      </c>
      <c r="K124" s="137">
        <f t="shared" si="107"/>
        <v>120.3125</v>
      </c>
      <c r="L124" s="137">
        <f t="shared" si="107"/>
        <v>96.25</v>
      </c>
      <c r="M124" s="137">
        <f t="shared" si="107"/>
        <v>72.1875</v>
      </c>
      <c r="N124" s="137">
        <f t="shared" si="107"/>
        <v>48.125</v>
      </c>
      <c r="O124" s="249">
        <f t="shared" si="107"/>
        <v>24.0625</v>
      </c>
      <c r="P124" s="249">
        <f t="shared" ref="P124:R124" si="108">IF(P121&lt;=0,0,P121*$D$98*3/12)</f>
        <v>0</v>
      </c>
      <c r="Q124" s="249">
        <f t="shared" si="108"/>
        <v>0</v>
      </c>
      <c r="R124" s="268">
        <f t="shared" si="108"/>
        <v>0</v>
      </c>
    </row>
    <row r="125" spans="2:18" x14ac:dyDescent="0.3">
      <c r="B125" s="52"/>
      <c r="C125" s="136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249"/>
      <c r="P125" s="249"/>
      <c r="Q125" s="249"/>
      <c r="R125" s="268"/>
    </row>
    <row r="126" spans="2:18" x14ac:dyDescent="0.3">
      <c r="B126" s="138" t="s">
        <v>140</v>
      </c>
      <c r="C126" s="139"/>
      <c r="D126" s="140">
        <f t="shared" ref="D126:R126" si="109">DATE(YEAR(D6),3,31)</f>
        <v>43555</v>
      </c>
      <c r="E126" s="140">
        <f t="shared" si="109"/>
        <v>43921</v>
      </c>
      <c r="F126" s="140">
        <f t="shared" si="109"/>
        <v>44286</v>
      </c>
      <c r="G126" s="140">
        <f t="shared" si="109"/>
        <v>44651</v>
      </c>
      <c r="H126" s="140">
        <f t="shared" si="109"/>
        <v>45016</v>
      </c>
      <c r="I126" s="140">
        <f t="shared" si="109"/>
        <v>45382</v>
      </c>
      <c r="J126" s="140">
        <f t="shared" si="109"/>
        <v>45747</v>
      </c>
      <c r="K126" s="140">
        <f t="shared" si="109"/>
        <v>46112</v>
      </c>
      <c r="L126" s="140">
        <f t="shared" si="109"/>
        <v>46477</v>
      </c>
      <c r="M126" s="140">
        <f t="shared" si="109"/>
        <v>46843</v>
      </c>
      <c r="N126" s="140">
        <f t="shared" si="109"/>
        <v>47208</v>
      </c>
      <c r="O126" s="270">
        <f t="shared" si="109"/>
        <v>47573</v>
      </c>
      <c r="P126" s="270">
        <f t="shared" si="109"/>
        <v>47938</v>
      </c>
      <c r="Q126" s="270">
        <f t="shared" si="109"/>
        <v>48304</v>
      </c>
      <c r="R126" s="269">
        <f t="shared" si="109"/>
        <v>48669</v>
      </c>
    </row>
    <row r="127" spans="2:18" x14ac:dyDescent="0.3">
      <c r="B127" s="52" t="s">
        <v>134</v>
      </c>
      <c r="C127" s="136"/>
      <c r="D127" s="30">
        <f>IF(OR(AND(MONTH($D$103)=12,YEAR(D126)-1=YEAR($D$103)),AND(MONTH($D$103)=1,YEAR(D126)=YEAR($D$103)),AND(MONTH($D$103)=2,YEAR(D126)=YEAR($D$103))),$D$97,D123)</f>
        <v>10281.25</v>
      </c>
      <c r="E127" s="137">
        <f>IF(OR(AND(MONTH($D$103)=12,YEAR(E126)-1=YEAR($D$103)),AND(MONTH($D$103)=1,YEAR(E126)=YEAR($D$103)),AND(MONTH($D$103)=2,YEAR(E126)=YEAR($D$103))),$D$97,E123)</f>
        <v>9406.25</v>
      </c>
      <c r="F127" s="137">
        <f t="shared" ref="F127:M127" si="110">F123</f>
        <v>8531.25</v>
      </c>
      <c r="G127" s="137">
        <f t="shared" si="110"/>
        <v>7656.25</v>
      </c>
      <c r="H127" s="137">
        <f t="shared" si="110"/>
        <v>6781.25</v>
      </c>
      <c r="I127" s="137">
        <f t="shared" si="110"/>
        <v>5906.25</v>
      </c>
      <c r="J127" s="137">
        <f t="shared" si="110"/>
        <v>5031.25</v>
      </c>
      <c r="K127" s="137">
        <f t="shared" si="110"/>
        <v>4156.25</v>
      </c>
      <c r="L127" s="137">
        <f t="shared" si="110"/>
        <v>3281.25</v>
      </c>
      <c r="M127" s="137">
        <f t="shared" si="110"/>
        <v>2406.25</v>
      </c>
      <c r="N127" s="137">
        <f>N123</f>
        <v>1531.25</v>
      </c>
      <c r="O127" s="249">
        <f>O123</f>
        <v>656.25</v>
      </c>
      <c r="P127" s="249">
        <f>P123</f>
        <v>0</v>
      </c>
      <c r="Q127" s="249">
        <f>Q123</f>
        <v>0</v>
      </c>
      <c r="R127" s="268">
        <f>R123</f>
        <v>0</v>
      </c>
    </row>
    <row r="128" spans="2:18" x14ac:dyDescent="0.3">
      <c r="B128" s="52" t="s">
        <v>135</v>
      </c>
      <c r="C128" s="136"/>
      <c r="D128" s="30">
        <f>IF(D127&lt;=0,0,IF(AND(MONTH(D126)=MONTH($D$105),YEAR(D126)=YEAR($D$105)),$D$104,D122))</f>
        <v>218.75</v>
      </c>
      <c r="E128" s="137">
        <f>IF(E127&lt;=0,0,IF(AND(MONTH(E126)=MONTH($D$105),YEAR(E126)=YEAR($D$105)),$D$104,E122))</f>
        <v>218.75</v>
      </c>
      <c r="F128" s="137">
        <f t="shared" ref="F128:M128" si="111">IF(TRUNC(F127,2)&gt;=TRUNC(F122,1),F122,0)</f>
        <v>218.75</v>
      </c>
      <c r="G128" s="137">
        <f t="shared" si="111"/>
        <v>218.75</v>
      </c>
      <c r="H128" s="137">
        <f t="shared" si="111"/>
        <v>218.75</v>
      </c>
      <c r="I128" s="137">
        <f t="shared" si="111"/>
        <v>218.75</v>
      </c>
      <c r="J128" s="137">
        <f t="shared" si="111"/>
        <v>218.75</v>
      </c>
      <c r="K128" s="137">
        <f t="shared" si="111"/>
        <v>218.75</v>
      </c>
      <c r="L128" s="137">
        <f t="shared" si="111"/>
        <v>218.75</v>
      </c>
      <c r="M128" s="137">
        <f t="shared" si="111"/>
        <v>218.75</v>
      </c>
      <c r="N128" s="137">
        <f>IF(TRUNC(N127,2)&gt;=TRUNC(N122,1),N122,0)</f>
        <v>218.75</v>
      </c>
      <c r="O128" s="249">
        <f>IF(TRUNC(O127,2)&gt;=TRUNC(O122,1),O122,0)</f>
        <v>218.75</v>
      </c>
      <c r="P128" s="249">
        <f>IF(TRUNC(P127,2)&gt;=TRUNC(P122,1),P122,0)</f>
        <v>0</v>
      </c>
      <c r="Q128" s="249">
        <f>IF(TRUNC(Q127,2)&gt;=TRUNC(Q122,1),Q122,0)</f>
        <v>0</v>
      </c>
      <c r="R128" s="268">
        <f>IF(TRUNC(R127,2)&gt;=TRUNC(R122,1),R122,0)</f>
        <v>0</v>
      </c>
    </row>
    <row r="129" spans="2:18" x14ac:dyDescent="0.3">
      <c r="B129" s="52" t="s">
        <v>136</v>
      </c>
      <c r="C129" s="136"/>
      <c r="D129" s="30">
        <f t="shared" ref="D129:E129" si="112">IF(TRUNC((D127-D128),2)&lt;TRUNC($D$104,2),0,D127-D128)</f>
        <v>10062.5</v>
      </c>
      <c r="E129" s="137">
        <f t="shared" si="112"/>
        <v>9187.5</v>
      </c>
      <c r="F129" s="137">
        <f t="shared" ref="F129:M129" si="113">IF(TRUNC((F127-F128),2)&lt;TRUNC($D$104,1),0,F127-F128)</f>
        <v>8312.5</v>
      </c>
      <c r="G129" s="137">
        <f t="shared" si="113"/>
        <v>7437.5</v>
      </c>
      <c r="H129" s="137">
        <f t="shared" si="113"/>
        <v>6562.5</v>
      </c>
      <c r="I129" s="137">
        <f t="shared" si="113"/>
        <v>5687.5</v>
      </c>
      <c r="J129" s="137">
        <f t="shared" si="113"/>
        <v>4812.5</v>
      </c>
      <c r="K129" s="137">
        <f t="shared" si="113"/>
        <v>3937.5</v>
      </c>
      <c r="L129" s="137">
        <f t="shared" si="113"/>
        <v>3062.5</v>
      </c>
      <c r="M129" s="137">
        <f t="shared" si="113"/>
        <v>2187.5</v>
      </c>
      <c r="N129" s="137">
        <f>IF(TRUNC((N127-N128),2)&lt;TRUNC($D$104,1),0,N127-N128)</f>
        <v>1312.5</v>
      </c>
      <c r="O129" s="249">
        <f>IF(TRUNC((O127-O128),2)&lt;TRUNC($D$104,1),0,O127-O128)</f>
        <v>437.5</v>
      </c>
      <c r="P129" s="249">
        <f>IF(TRUNC((P127-P128),2)&lt;TRUNC($D$104,1),0,P127-P128)</f>
        <v>0</v>
      </c>
      <c r="Q129" s="249">
        <f>IF(TRUNC((Q127-Q128),2)&lt;TRUNC($D$104,1),0,Q127-Q128)</f>
        <v>0</v>
      </c>
      <c r="R129" s="268">
        <f>IF(TRUNC((R127-R128),2)&lt;TRUNC($D$104,1),0,R127-R128)</f>
        <v>0</v>
      </c>
    </row>
    <row r="130" spans="2:18" ht="15" thickBot="1" x14ac:dyDescent="0.35">
      <c r="B130" s="53" t="s">
        <v>137</v>
      </c>
      <c r="C130" s="141"/>
      <c r="D130" s="144">
        <f>IF(D127&lt;=0,0,D127*$D$98*3/12)</f>
        <v>282.734375</v>
      </c>
      <c r="E130" s="41">
        <f t="shared" ref="E130:O130" si="114">IF(E127&lt;=0,0,E127*$D$98*3/12)</f>
        <v>258.671875</v>
      </c>
      <c r="F130" s="41">
        <f t="shared" si="114"/>
        <v>234.609375</v>
      </c>
      <c r="G130" s="41">
        <f t="shared" si="114"/>
        <v>210.546875</v>
      </c>
      <c r="H130" s="41">
        <f t="shared" si="114"/>
        <v>186.484375</v>
      </c>
      <c r="I130" s="41">
        <f t="shared" si="114"/>
        <v>162.421875</v>
      </c>
      <c r="J130" s="41">
        <f t="shared" si="114"/>
        <v>138.359375</v>
      </c>
      <c r="K130" s="41">
        <f t="shared" si="114"/>
        <v>114.296875</v>
      </c>
      <c r="L130" s="41">
        <f t="shared" si="114"/>
        <v>90.234375</v>
      </c>
      <c r="M130" s="41">
        <f t="shared" si="114"/>
        <v>66.171875</v>
      </c>
      <c r="N130" s="41">
        <f t="shared" si="114"/>
        <v>42.109375</v>
      </c>
      <c r="O130" s="144">
        <f t="shared" si="114"/>
        <v>18.046875</v>
      </c>
      <c r="P130" s="144">
        <f t="shared" ref="P130:R130" si="115">IF(P127&lt;=0,0,P127*$D$98*3/12)</f>
        <v>0</v>
      </c>
      <c r="Q130" s="144">
        <f t="shared" si="115"/>
        <v>0</v>
      </c>
      <c r="R130" s="264">
        <f t="shared" si="115"/>
        <v>0</v>
      </c>
    </row>
    <row r="131" spans="2:18" ht="15" thickBot="1" x14ac:dyDescent="0.35">
      <c r="B131" s="20"/>
      <c r="C131" s="20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</row>
    <row r="132" spans="2:18" s="12" customFormat="1" x14ac:dyDescent="0.3">
      <c r="B132" s="133" t="s">
        <v>141</v>
      </c>
      <c r="C132" s="134"/>
      <c r="D132" s="40">
        <f t="shared" ref="D132:O132" si="116">D112+D118+D124+D130</f>
        <v>860.234375</v>
      </c>
      <c r="E132" s="40">
        <f t="shared" si="116"/>
        <v>1070.78125</v>
      </c>
      <c r="F132" s="40">
        <f t="shared" si="116"/>
        <v>974.53125</v>
      </c>
      <c r="G132" s="40">
        <f t="shared" si="116"/>
        <v>878.28125</v>
      </c>
      <c r="H132" s="40">
        <f t="shared" si="116"/>
        <v>782.03125</v>
      </c>
      <c r="I132" s="40">
        <f t="shared" si="116"/>
        <v>685.78125</v>
      </c>
      <c r="J132" s="40">
        <f t="shared" si="116"/>
        <v>589.53125</v>
      </c>
      <c r="K132" s="40">
        <f t="shared" si="116"/>
        <v>493.28125</v>
      </c>
      <c r="L132" s="40">
        <f t="shared" si="116"/>
        <v>397.03125</v>
      </c>
      <c r="M132" s="40">
        <f t="shared" si="116"/>
        <v>300.78125</v>
      </c>
      <c r="N132" s="40">
        <f t="shared" si="116"/>
        <v>204.53125</v>
      </c>
      <c r="O132" s="40">
        <f t="shared" si="116"/>
        <v>108.28125</v>
      </c>
      <c r="P132" s="40">
        <f t="shared" ref="P132:R132" si="117">P112+P118+P124+P130</f>
        <v>18.046875</v>
      </c>
      <c r="Q132" s="40">
        <f t="shared" si="117"/>
        <v>0</v>
      </c>
      <c r="R132" s="260">
        <f t="shared" si="117"/>
        <v>0</v>
      </c>
    </row>
    <row r="133" spans="2:18" s="12" customFormat="1" ht="16.5" customHeight="1" thickBot="1" x14ac:dyDescent="0.35">
      <c r="B133" s="142" t="s">
        <v>142</v>
      </c>
      <c r="C133" s="143"/>
      <c r="D133" s="32">
        <f t="shared" ref="D133:O133" si="118">D110+D116+D122+D128</f>
        <v>437.5</v>
      </c>
      <c r="E133" s="32">
        <f t="shared" si="118"/>
        <v>875</v>
      </c>
      <c r="F133" s="32">
        <f t="shared" si="118"/>
        <v>875</v>
      </c>
      <c r="G133" s="32">
        <f t="shared" si="118"/>
        <v>875</v>
      </c>
      <c r="H133" s="32">
        <f t="shared" si="118"/>
        <v>875</v>
      </c>
      <c r="I133" s="32">
        <f t="shared" si="118"/>
        <v>875</v>
      </c>
      <c r="J133" s="32">
        <f t="shared" si="118"/>
        <v>875</v>
      </c>
      <c r="K133" s="32">
        <f t="shared" si="118"/>
        <v>875</v>
      </c>
      <c r="L133" s="32">
        <f t="shared" si="118"/>
        <v>875</v>
      </c>
      <c r="M133" s="32">
        <f t="shared" si="118"/>
        <v>875</v>
      </c>
      <c r="N133" s="32">
        <f t="shared" si="118"/>
        <v>875</v>
      </c>
      <c r="O133" s="250">
        <f t="shared" si="118"/>
        <v>875</v>
      </c>
      <c r="P133" s="250">
        <f t="shared" ref="P133:R133" si="119">P110+P116+P122+P128</f>
        <v>437.5</v>
      </c>
      <c r="Q133" s="250">
        <f t="shared" si="119"/>
        <v>0</v>
      </c>
      <c r="R133" s="271">
        <f t="shared" si="119"/>
        <v>0</v>
      </c>
    </row>
  </sheetData>
  <mergeCells count="30">
    <mergeCell ref="B95:C95"/>
    <mergeCell ref="W81:X81"/>
    <mergeCell ref="B4:C4"/>
    <mergeCell ref="E81:F81"/>
    <mergeCell ref="G81:H81"/>
    <mergeCell ref="I81:J81"/>
    <mergeCell ref="K81:L81"/>
    <mergeCell ref="B59:C59"/>
    <mergeCell ref="M81:N81"/>
    <mergeCell ref="O81:P81"/>
    <mergeCell ref="Q81:R81"/>
    <mergeCell ref="S81:T81"/>
    <mergeCell ref="U81:V81"/>
    <mergeCell ref="BC81:BD81"/>
    <mergeCell ref="AQ81:AR81"/>
    <mergeCell ref="AK81:AL81"/>
    <mergeCell ref="AM81:AN81"/>
    <mergeCell ref="AI81:AJ81"/>
    <mergeCell ref="AS81:AT81"/>
    <mergeCell ref="AO81:AP81"/>
    <mergeCell ref="C2:E2"/>
    <mergeCell ref="AU81:AV81"/>
    <mergeCell ref="AW81:AX81"/>
    <mergeCell ref="AY81:AZ81"/>
    <mergeCell ref="BA81:BB81"/>
    <mergeCell ref="Y81:Z81"/>
    <mergeCell ref="AA81:AB81"/>
    <mergeCell ref="AC81:AD81"/>
    <mergeCell ref="AE81:AF81"/>
    <mergeCell ref="AG81:AH81"/>
  </mergeCells>
  <pageMargins left="0.7" right="0.7" top="0.75" bottom="0.75" header="0.3" footer="0.3"/>
  <pageSetup orientation="portrait" r:id="rId1"/>
  <ignoredErrors>
    <ignoredError sqref="E90 G90 I90 K90 M90 O90 Q90 S90 U90 W90 Y90 AA90 AC90 AF90 AH90 AJ90 AL90 AN90 AP9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W28"/>
  <sheetViews>
    <sheetView showGridLines="0" zoomScale="85" zoomScaleNormal="85" workbookViewId="0">
      <selection activeCell="G26" sqref="G26"/>
    </sheetView>
  </sheetViews>
  <sheetFormatPr defaultColWidth="9.109375" defaultRowHeight="14.4" x14ac:dyDescent="0.3"/>
  <cols>
    <col min="1" max="1" width="9.109375" style="1"/>
    <col min="2" max="2" width="18.33203125" style="1" bestFit="1" customWidth="1"/>
    <col min="3" max="5" width="12.6640625" style="1" customWidth="1"/>
    <col min="6" max="6" width="15.44140625" style="1" bestFit="1" customWidth="1"/>
    <col min="7" max="7" width="9.6640625" style="1" bestFit="1" customWidth="1"/>
    <col min="8" max="8" width="18.33203125" style="1" bestFit="1" customWidth="1"/>
    <col min="9" max="10" width="12.33203125" style="1" customWidth="1"/>
    <col min="11" max="11" width="11.5546875" style="1" customWidth="1"/>
    <col min="12" max="12" width="15.5546875" style="1" bestFit="1" customWidth="1"/>
    <col min="13" max="16384" width="9.109375" style="1"/>
  </cols>
  <sheetData>
    <row r="2" spans="2:23" s="73" customFormat="1" x14ac:dyDescent="0.3">
      <c r="B2" s="74" t="s">
        <v>23</v>
      </c>
      <c r="C2" s="444" t="str">
        <f>'Project Cost'!C3</f>
        <v>SB Energy One Private Limited</v>
      </c>
      <c r="D2" s="444"/>
      <c r="E2" s="444"/>
      <c r="F2" s="444"/>
      <c r="G2" s="444"/>
      <c r="H2" s="444"/>
      <c r="I2" s="444"/>
      <c r="J2" s="444"/>
      <c r="K2" s="444"/>
      <c r="L2" s="444"/>
      <c r="S2" s="75"/>
      <c r="T2" s="76"/>
      <c r="V2" s="77"/>
      <c r="W2" s="77"/>
    </row>
    <row r="3" spans="2:23" x14ac:dyDescent="0.3">
      <c r="J3" s="78">
        <v>0</v>
      </c>
    </row>
    <row r="4" spans="2:23" x14ac:dyDescent="0.3">
      <c r="B4" s="445" t="s">
        <v>67</v>
      </c>
      <c r="C4" s="445"/>
      <c r="J4" s="78"/>
    </row>
    <row r="5" spans="2:23" ht="15" thickBot="1" x14ac:dyDescent="0.35"/>
    <row r="6" spans="2:23" ht="15" thickBot="1" x14ac:dyDescent="0.35">
      <c r="B6" s="359" t="s">
        <v>68</v>
      </c>
      <c r="C6" s="2"/>
      <c r="D6" s="2"/>
      <c r="E6" s="2"/>
      <c r="F6" s="2"/>
    </row>
    <row r="7" spans="2:23" x14ac:dyDescent="0.3">
      <c r="B7" s="79" t="s">
        <v>29</v>
      </c>
      <c r="C7" s="80"/>
      <c r="D7" s="80"/>
      <c r="E7" s="80"/>
      <c r="F7" s="81">
        <v>0</v>
      </c>
      <c r="G7" s="82"/>
      <c r="I7" s="1" t="s">
        <v>177</v>
      </c>
    </row>
    <row r="8" spans="2:23" x14ac:dyDescent="0.3">
      <c r="B8" s="83" t="s">
        <v>69</v>
      </c>
      <c r="C8" s="84"/>
      <c r="D8" s="84"/>
      <c r="E8" s="84"/>
      <c r="F8" s="85">
        <v>0</v>
      </c>
      <c r="G8" s="82"/>
    </row>
    <row r="9" spans="2:23" x14ac:dyDescent="0.3">
      <c r="B9" s="83" t="s">
        <v>70</v>
      </c>
      <c r="C9" s="84"/>
      <c r="D9" s="84"/>
      <c r="E9" s="84"/>
      <c r="F9" s="85">
        <v>0</v>
      </c>
      <c r="G9" s="82"/>
    </row>
    <row r="10" spans="2:23" ht="15" thickBot="1" x14ac:dyDescent="0.35">
      <c r="B10" s="86" t="s">
        <v>33</v>
      </c>
      <c r="C10" s="87"/>
      <c r="D10" s="87"/>
      <c r="E10" s="87"/>
      <c r="F10" s="88">
        <v>0</v>
      </c>
      <c r="G10" s="82"/>
    </row>
    <row r="11" spans="2:23" ht="15" thickBot="1" x14ac:dyDescent="0.35">
      <c r="B11" s="4"/>
      <c r="C11" s="4"/>
      <c r="D11" s="4"/>
      <c r="E11" s="4"/>
      <c r="G11" s="89"/>
    </row>
    <row r="12" spans="2:23" x14ac:dyDescent="0.3">
      <c r="C12" s="448" t="s">
        <v>8</v>
      </c>
      <c r="D12" s="449"/>
      <c r="E12" s="449" t="s">
        <v>9</v>
      </c>
      <c r="F12" s="450"/>
      <c r="G12" s="89"/>
    </row>
    <row r="13" spans="2:23" ht="15" thickBot="1" x14ac:dyDescent="0.35">
      <c r="B13" s="2" t="s">
        <v>71</v>
      </c>
      <c r="C13" s="451">
        <f>'P&amp;L Stat.'!C73</f>
        <v>7.6349768042564395E-2</v>
      </c>
      <c r="D13" s="452"/>
      <c r="E13" s="452">
        <f>Benchmark!C12</f>
        <v>0.13413070000000005</v>
      </c>
      <c r="F13" s="453"/>
      <c r="G13" s="89"/>
    </row>
    <row r="14" spans="2:23" ht="15" thickBot="1" x14ac:dyDescent="0.35">
      <c r="C14" s="2"/>
      <c r="D14" s="2"/>
      <c r="E14" s="2"/>
      <c r="F14" s="2"/>
    </row>
    <row r="15" spans="2:23" ht="15" thickBot="1" x14ac:dyDescent="0.35">
      <c r="B15" s="107" t="s">
        <v>72</v>
      </c>
      <c r="C15" s="446" t="s">
        <v>59</v>
      </c>
      <c r="D15" s="446"/>
      <c r="E15" s="446"/>
      <c r="F15" s="447"/>
    </row>
    <row r="16" spans="2:23" ht="15" thickBot="1" x14ac:dyDescent="0.35">
      <c r="B16" s="367" t="s">
        <v>73</v>
      </c>
      <c r="C16" s="366">
        <v>-0.1</v>
      </c>
      <c r="D16" s="92" t="s">
        <v>74</v>
      </c>
      <c r="E16" s="91">
        <v>0.1</v>
      </c>
      <c r="F16" s="358" t="s">
        <v>75</v>
      </c>
    </row>
    <row r="17" spans="2:14" x14ac:dyDescent="0.3">
      <c r="B17" s="368" t="s">
        <v>76</v>
      </c>
      <c r="C17" s="371">
        <v>4.5100000000000001E-2</v>
      </c>
      <c r="D17" s="360">
        <f>C13</f>
        <v>7.6349768042564395E-2</v>
      </c>
      <c r="E17" s="374">
        <v>0.1118</v>
      </c>
      <c r="F17" s="361">
        <v>0.15720000000000001</v>
      </c>
    </row>
    <row r="18" spans="2:14" x14ac:dyDescent="0.3">
      <c r="B18" s="369" t="s">
        <v>69</v>
      </c>
      <c r="C18" s="372">
        <v>8.1000000000000003E-2</v>
      </c>
      <c r="D18" s="362">
        <f>D17</f>
        <v>7.6349768042564395E-2</v>
      </c>
      <c r="E18" s="375">
        <v>7.17E-2</v>
      </c>
      <c r="F18" s="363">
        <v>-1.2629999999999999</v>
      </c>
    </row>
    <row r="19" spans="2:14" x14ac:dyDescent="0.3">
      <c r="B19" s="369" t="s">
        <v>70</v>
      </c>
      <c r="C19" s="372">
        <v>0.1104</v>
      </c>
      <c r="D19" s="362">
        <f>D17</f>
        <v>7.6349768042564395E-2</v>
      </c>
      <c r="E19" s="375">
        <v>5.1900000000000002E-2</v>
      </c>
      <c r="F19" s="363">
        <v>-0.15229999999999999</v>
      </c>
    </row>
    <row r="20" spans="2:14" ht="15" thickBot="1" x14ac:dyDescent="0.35">
      <c r="B20" s="370" t="s">
        <v>33</v>
      </c>
      <c r="C20" s="373">
        <v>4.5100000000000001E-2</v>
      </c>
      <c r="D20" s="364">
        <f>D17</f>
        <v>7.6349768042564395E-2</v>
      </c>
      <c r="E20" s="376">
        <v>0.1118</v>
      </c>
      <c r="F20" s="365">
        <v>0.15720000000000001</v>
      </c>
    </row>
    <row r="22" spans="2:14" x14ac:dyDescent="0.3">
      <c r="G22" s="89"/>
    </row>
    <row r="23" spans="2:14" x14ac:dyDescent="0.3">
      <c r="G23" s="89"/>
    </row>
    <row r="26" spans="2:14" x14ac:dyDescent="0.3">
      <c r="G26" s="108"/>
    </row>
    <row r="27" spans="2:14" x14ac:dyDescent="0.3">
      <c r="L27" s="4"/>
      <c r="N27" s="90"/>
    </row>
    <row r="28" spans="2:14" x14ac:dyDescent="0.3">
      <c r="L28" s="4"/>
      <c r="N28" s="93"/>
    </row>
  </sheetData>
  <mergeCells count="7">
    <mergeCell ref="C2:L2"/>
    <mergeCell ref="B4:C4"/>
    <mergeCell ref="C15:F15"/>
    <mergeCell ref="C12:D12"/>
    <mergeCell ref="E12:F12"/>
    <mergeCell ref="C13:D13"/>
    <mergeCell ref="E13:F13"/>
  </mergeCells>
  <pageMargins left="0.7" right="0.7" top="0.75" bottom="0.75" header="0.3" footer="0.3"/>
  <pageSetup paperSize="9" orientation="portrait" horizontalDpi="300" verticalDpi="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12"/>
  <sheetViews>
    <sheetView showGridLines="0" topLeftCell="A4" workbookViewId="0">
      <selection activeCell="F15" sqref="F15"/>
    </sheetView>
  </sheetViews>
  <sheetFormatPr defaultRowHeight="14.4" x14ac:dyDescent="0.3"/>
  <cols>
    <col min="1" max="1" width="1.88671875" customWidth="1"/>
    <col min="2" max="2" width="45.109375" bestFit="1" customWidth="1"/>
    <col min="3" max="3" width="8.33203125" customWidth="1"/>
    <col min="4" max="4" width="53.6640625" bestFit="1" customWidth="1"/>
    <col min="5" max="5" width="14.88671875" bestFit="1" customWidth="1"/>
    <col min="7" max="7" width="13.109375" customWidth="1"/>
  </cols>
  <sheetData>
    <row r="2" spans="2:7" ht="18" x14ac:dyDescent="0.3">
      <c r="B2" s="148" t="s">
        <v>195</v>
      </c>
      <c r="C2" s="110"/>
      <c r="D2" s="110"/>
      <c r="E2" s="1"/>
      <c r="F2" s="1"/>
      <c r="G2" s="1"/>
    </row>
    <row r="3" spans="2:7" x14ac:dyDescent="0.3">
      <c r="B3" s="391" t="s">
        <v>198</v>
      </c>
      <c r="C3" s="391"/>
      <c r="D3" s="110"/>
      <c r="E3" s="1"/>
      <c r="F3" s="1"/>
      <c r="G3" s="1"/>
    </row>
    <row r="4" spans="2:7" ht="15" thickBot="1" x14ac:dyDescent="0.35">
      <c r="B4" s="459" t="s">
        <v>199</v>
      </c>
      <c r="C4" s="460"/>
      <c r="D4" s="460"/>
      <c r="E4" s="1"/>
      <c r="F4" s="1"/>
      <c r="G4" s="1"/>
    </row>
    <row r="5" spans="2:7" x14ac:dyDescent="0.3">
      <c r="B5" s="456" t="s">
        <v>200</v>
      </c>
      <c r="C5" s="457"/>
      <c r="D5" s="458"/>
    </row>
    <row r="6" spans="2:7" ht="31.2" x14ac:dyDescent="0.6">
      <c r="B6" s="454" t="s">
        <v>153</v>
      </c>
      <c r="C6" s="455"/>
      <c r="D6" s="147">
        <f>C12</f>
        <v>0.13413070000000005</v>
      </c>
    </row>
    <row r="7" spans="2:7" ht="15" thickBot="1" x14ac:dyDescent="0.35"/>
    <row r="8" spans="2:7" ht="15" thickBot="1" x14ac:dyDescent="0.35">
      <c r="B8" s="346" t="s">
        <v>143</v>
      </c>
      <c r="C8" s="347" t="s">
        <v>144</v>
      </c>
      <c r="D8" s="348" t="s">
        <v>145</v>
      </c>
      <c r="E8" s="349" t="s">
        <v>146</v>
      </c>
      <c r="G8" s="181" t="s">
        <v>171</v>
      </c>
    </row>
    <row r="9" spans="2:7" x14ac:dyDescent="0.3">
      <c r="B9" s="343" t="s">
        <v>147</v>
      </c>
      <c r="C9" s="350">
        <v>9.7900000000000001E-2</v>
      </c>
      <c r="D9" s="344" t="s">
        <v>197</v>
      </c>
      <c r="E9" s="345">
        <v>43433</v>
      </c>
      <c r="G9" s="182">
        <v>42979</v>
      </c>
    </row>
    <row r="10" spans="2:7" ht="15" customHeight="1" x14ac:dyDescent="0.3">
      <c r="B10" s="195" t="s">
        <v>163</v>
      </c>
      <c r="C10" s="351">
        <v>3.3000000000000002E-2</v>
      </c>
      <c r="D10" s="193" t="s">
        <v>196</v>
      </c>
      <c r="E10" s="196">
        <v>42949</v>
      </c>
    </row>
    <row r="11" spans="2:7" x14ac:dyDescent="0.3">
      <c r="B11" s="197" t="s">
        <v>148</v>
      </c>
      <c r="C11" s="352">
        <f>((1+$C$9)*(1+C10))-1</f>
        <v>0.13413070000000005</v>
      </c>
      <c r="D11" s="194" t="s">
        <v>152</v>
      </c>
      <c r="E11" s="198"/>
    </row>
    <row r="12" spans="2:7" ht="15" thickBot="1" x14ac:dyDescent="0.35">
      <c r="B12" s="199" t="s">
        <v>153</v>
      </c>
      <c r="C12" s="353">
        <f>C11</f>
        <v>0.13413070000000005</v>
      </c>
      <c r="D12" s="342" t="s">
        <v>152</v>
      </c>
      <c r="E12" s="179"/>
    </row>
  </sheetData>
  <mergeCells count="3">
    <mergeCell ref="B6:C6"/>
    <mergeCell ref="B5:D5"/>
    <mergeCell ref="B4:D4"/>
  </mergeCells>
  <hyperlinks>
    <hyperlink ref="B4" r:id="rId1" xr:uid="{00000000-0004-0000-0400-000000000000}"/>
  </hyperlinks>
  <pageMargins left="0.7" right="0.7" top="0.75" bottom="0.75" header="0.3" footer="0.3"/>
  <pageSetup paperSize="9" orientation="portrait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Project Cost</vt:lpstr>
      <vt:lpstr>Assumption</vt:lpstr>
      <vt:lpstr>P&amp;L Stat.</vt:lpstr>
      <vt:lpstr>Sensitivity</vt:lpstr>
      <vt:lpstr>Benchmark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Deepak Jain</dc:creator>
  <cp:lastModifiedBy>H P</cp:lastModifiedBy>
  <dcterms:created xsi:type="dcterms:W3CDTF">2011-11-30T11:45:26Z</dcterms:created>
  <dcterms:modified xsi:type="dcterms:W3CDTF">2024-08-02T08:35:01Z</dcterms:modified>
</cp:coreProperties>
</file>