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INFINAS\4. Operations\1. Sustainability\1. CC\GS VER\GSVER10-PDPL AP\2. working\4.0 Board reply_performance review\GS R-1\GS Reply\pdf\"/>
    </mc:Choice>
  </mc:AlternateContent>
  <xr:revisionPtr revIDLastSave="0" documentId="13_ncr:1_{806ABCCA-8F2E-479D-AA33-8E404078239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R summary" sheetId="2" r:id="rId1"/>
    <sheet name="Generation" sheetId="1" r:id="rId2"/>
    <sheet name="Actual SD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" l="1"/>
  <c r="H15" i="3"/>
  <c r="H14" i="3"/>
  <c r="F16" i="3"/>
  <c r="F15" i="3"/>
  <c r="F14" i="3"/>
  <c r="E5" i="1"/>
  <c r="D5" i="1"/>
  <c r="C5" i="1"/>
  <c r="D6" i="2" l="1"/>
  <c r="D5" i="2"/>
  <c r="F6" i="1" l="1"/>
  <c r="G6" i="1" s="1"/>
  <c r="I6" i="1" s="1"/>
  <c r="F5" i="1"/>
  <c r="G5" i="1" s="1"/>
  <c r="F8" i="1"/>
  <c r="G8" i="1" s="1"/>
  <c r="I8" i="1" s="1"/>
  <c r="F9" i="1"/>
  <c r="G9" i="1" s="1"/>
  <c r="I9" i="1" s="1"/>
  <c r="F10" i="1"/>
  <c r="G10" i="1" s="1"/>
  <c r="I10" i="1" s="1"/>
  <c r="F11" i="1"/>
  <c r="G11" i="1" s="1"/>
  <c r="I11" i="1" s="1"/>
  <c r="F12" i="1"/>
  <c r="G12" i="1" s="1"/>
  <c r="I12" i="1" s="1"/>
  <c r="F13" i="1"/>
  <c r="G13" i="1" s="1"/>
  <c r="I13" i="1" s="1"/>
  <c r="F14" i="1"/>
  <c r="G14" i="1" s="1"/>
  <c r="I14" i="1" s="1"/>
  <c r="F15" i="1"/>
  <c r="G15" i="1" s="1"/>
  <c r="I15" i="1" s="1"/>
  <c r="F16" i="1"/>
  <c r="G16" i="1" s="1"/>
  <c r="I16" i="1" s="1"/>
  <c r="F17" i="1"/>
  <c r="G17" i="1" s="1"/>
  <c r="I17" i="1" s="1"/>
  <c r="F18" i="1"/>
  <c r="G18" i="1" s="1"/>
  <c r="I18" i="1" s="1"/>
  <c r="F19" i="1"/>
  <c r="G19" i="1" s="1"/>
  <c r="I19" i="1" s="1"/>
  <c r="F20" i="1"/>
  <c r="G20" i="1" s="1"/>
  <c r="I20" i="1" s="1"/>
  <c r="F21" i="1"/>
  <c r="G21" i="1" s="1"/>
  <c r="I21" i="1" s="1"/>
  <c r="F22" i="1"/>
  <c r="G22" i="1" s="1"/>
  <c r="I22" i="1" s="1"/>
  <c r="F23" i="1"/>
  <c r="G23" i="1" s="1"/>
  <c r="I23" i="1" s="1"/>
  <c r="F24" i="1"/>
  <c r="G24" i="1" s="1"/>
  <c r="I24" i="1" s="1"/>
  <c r="F25" i="1"/>
  <c r="G25" i="1" s="1"/>
  <c r="I25" i="1" s="1"/>
  <c r="F26" i="1"/>
  <c r="G26" i="1" s="1"/>
  <c r="I26" i="1" s="1"/>
  <c r="F27" i="1"/>
  <c r="G27" i="1" s="1"/>
  <c r="I27" i="1" s="1"/>
  <c r="F28" i="1"/>
  <c r="G28" i="1" s="1"/>
  <c r="I28" i="1" s="1"/>
  <c r="F29" i="1"/>
  <c r="G29" i="1" s="1"/>
  <c r="I29" i="1" s="1"/>
  <c r="F30" i="1"/>
  <c r="G30" i="1" s="1"/>
  <c r="I30" i="1" s="1"/>
  <c r="F7" i="1"/>
  <c r="G7" i="1" l="1"/>
  <c r="I7" i="1" s="1"/>
  <c r="G31" i="1"/>
  <c r="H4" i="3" s="1"/>
  <c r="I5" i="1"/>
  <c r="J5" i="1" s="1"/>
  <c r="J19" i="1"/>
  <c r="I31" i="1" l="1"/>
  <c r="H8" i="3" s="1"/>
  <c r="D19" i="2"/>
  <c r="D7" i="2"/>
  <c r="D13" i="2" s="1"/>
  <c r="J7" i="1" l="1"/>
  <c r="J31" i="1" s="1"/>
  <c r="D11" i="2"/>
  <c r="D21" i="2"/>
  <c r="G21" i="2" s="1"/>
  <c r="G19" i="2" l="1"/>
  <c r="D20" i="2"/>
  <c r="D22" i="2" s="1"/>
  <c r="D12" i="2"/>
  <c r="D8" i="2"/>
  <c r="D14" i="2" s="1"/>
  <c r="D15" i="2" s="1"/>
  <c r="G20" i="2" l="1"/>
  <c r="G22" i="2" s="1"/>
</calcChain>
</file>

<file path=xl/sharedStrings.xml><?xml version="1.0" encoding="utf-8"?>
<sst xmlns="http://schemas.openxmlformats.org/spreadsheetml/2006/main" count="63" uniqueCount="57">
  <si>
    <t xml:space="preserve">Month </t>
  </si>
  <si>
    <t>Net energy (Mwh)</t>
  </si>
  <si>
    <t>Emission Reduction</t>
  </si>
  <si>
    <t xml:space="preserve">Total </t>
  </si>
  <si>
    <t>Vintage wise 
Break-up</t>
  </si>
  <si>
    <t>Start Date Of MP</t>
  </si>
  <si>
    <t>End Date Of MP</t>
  </si>
  <si>
    <t>Total Days</t>
  </si>
  <si>
    <t>Actual ERs achieved in this MP</t>
  </si>
  <si>
    <t>tCO2e</t>
  </si>
  <si>
    <t>Annual ER Estimated in the PDD</t>
  </si>
  <si>
    <t>tCO2/year</t>
  </si>
  <si>
    <t>Estimated ER equivalent to this MP</t>
  </si>
  <si>
    <t>% Difference in ER</t>
  </si>
  <si>
    <t>Vintage-wise VERs</t>
  </si>
  <si>
    <t>Year</t>
  </si>
  <si>
    <r>
      <t>Baseline emissions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</si>
  <si>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Project emissions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</si>
  <si>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Leakage emissions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</si>
  <si>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Net GHG emission reductions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</si>
  <si>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Project GS ID</t>
  </si>
  <si>
    <t>Project Title</t>
  </si>
  <si>
    <t>Emission factor
(tCO2/MWh)</t>
  </si>
  <si>
    <t>Net Generation Estimated  As per PDD</t>
  </si>
  <si>
    <t xml:space="preserve">Net Generation Estimated for this monitoring period </t>
  </si>
  <si>
    <t>MWh/year</t>
  </si>
  <si>
    <t xml:space="preserve">Net Generation Achieved for this monitoring period </t>
  </si>
  <si>
    <t>MWh</t>
  </si>
  <si>
    <t>S. No.</t>
  </si>
  <si>
    <t>SDG Indicator</t>
  </si>
  <si>
    <t>Values achieved</t>
  </si>
  <si>
    <t>Unit</t>
  </si>
  <si>
    <t xml:space="preserve">SDG 7:   </t>
  </si>
  <si>
    <t>Affordable and Clean Energy</t>
  </si>
  <si>
    <t xml:space="preserve">SDG 8: </t>
  </si>
  <si>
    <t>Decent Work and Economic Growth</t>
  </si>
  <si>
    <t>Number  of employees</t>
  </si>
  <si>
    <t>Number  of Trainings</t>
  </si>
  <si>
    <t>INR</t>
  </si>
  <si>
    <t xml:space="preserve">SDG 13 </t>
  </si>
  <si>
    <t>Climate Action</t>
  </si>
  <si>
    <t>tCO2e per annum</t>
  </si>
  <si>
    <t>50 MW Kurnool Solar PV Power Project by M/s Prayatna Developers Pvt. Ltd. at Gani, Kurnool, AP.</t>
  </si>
  <si>
    <t>As per JMR</t>
  </si>
  <si>
    <t xml:space="preserve">            50 MW Kurnool Solar PV Power Project by M/s Prayatna Developers Pvt. Ltd. at Gani, Kurnool, AP</t>
  </si>
  <si>
    <t>As per Invoice</t>
  </si>
  <si>
    <r>
      <t xml:space="preserve">Export energy  </t>
    </r>
    <r>
      <rPr>
        <b/>
        <sz val="8"/>
        <rFont val="Calibri"/>
        <family val="2"/>
        <scheme val="minor"/>
      </rPr>
      <t>(kWh)</t>
    </r>
  </si>
  <si>
    <r>
      <t xml:space="preserve">Import energy 
</t>
    </r>
    <r>
      <rPr>
        <b/>
        <sz val="8"/>
        <rFont val="Calibri"/>
        <family val="2"/>
        <scheme val="minor"/>
      </rPr>
      <t>(kWh)</t>
    </r>
  </si>
  <si>
    <r>
      <t xml:space="preserve">Net energy  </t>
    </r>
    <r>
      <rPr>
        <b/>
        <sz val="8"/>
        <rFont val="Calibri"/>
        <family val="2"/>
        <scheme val="minor"/>
      </rPr>
      <t>(KWh)</t>
    </r>
  </si>
  <si>
    <r>
      <t xml:space="preserve">Net energy export
 </t>
    </r>
    <r>
      <rPr>
        <b/>
        <sz val="8"/>
        <rFont val="Calibri"/>
        <family val="2"/>
        <scheme val="minor"/>
      </rPr>
      <t>(KWh)</t>
    </r>
  </si>
  <si>
    <t xml:space="preserve">VINTAGE </t>
  </si>
  <si>
    <t>SDG-7</t>
  </si>
  <si>
    <t>SDG-8</t>
  </si>
  <si>
    <t>SDG-13</t>
  </si>
  <si>
    <t>3 trainings + 12 new employees</t>
  </si>
  <si>
    <t>5 traininhs+11 new employees</t>
  </si>
  <si>
    <t xml:space="preserve">as it involves only 2 months no trainings were provided nor new employees were recruited during this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</si>
</sst>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-409]d/mmm/yy;@"/>
    <numFmt numFmtId="165" formatCode="[$-409]dd/mmm/yy;@"/>
    <numFmt numFmtId="166" formatCode="_(* #,##0_);_(* \(#,##0\);_(* &quot;-&quot;??_);_(@_)"/>
    <numFmt numFmtId="167" formatCode="0.0000"/>
    <numFmt numFmtId="168" formatCode="_ * #,##0_ ;_ * \-#,##0_ ;_ * &quot;-&quot;??_ ;_ @_ "/>
  </numFmts>
  <fonts count="1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Franklin Gothic Book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color theme="1"/>
      <name val="Avenir Book"/>
    </font>
    <font>
      <sz val="10"/>
      <color theme="1"/>
      <name val="Verdana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Franklin Gothic Book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9" fontId="1" fillId="2" borderId="0" xfId="2" applyFont="1" applyFill="1" applyBorder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6" fontId="1" fillId="2" borderId="1" xfId="1" applyNumberFormat="1" applyFont="1" applyFill="1" applyBorder="1" applyAlignment="1">
      <alignment horizontal="right" vertical="center"/>
    </xf>
    <xf numFmtId="1" fontId="5" fillId="2" borderId="0" xfId="0" applyNumberFormat="1" applyFont="1" applyFill="1"/>
    <xf numFmtId="9" fontId="1" fillId="2" borderId="8" xfId="2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16" xfId="0" applyNumberFormat="1" applyFont="1" applyFill="1" applyBorder="1" applyAlignment="1">
      <alignment horizontal="center" vertical="center" wrapText="1"/>
    </xf>
    <xf numFmtId="166" fontId="5" fillId="2" borderId="19" xfId="0" applyNumberFormat="1" applyFont="1" applyFill="1" applyBorder="1" applyAlignment="1">
      <alignment horizontal="center" vertical="center" wrapText="1"/>
    </xf>
    <xf numFmtId="166" fontId="5" fillId="2" borderId="20" xfId="0" applyNumberFormat="1" applyFont="1" applyFill="1" applyBorder="1" applyAlignment="1">
      <alignment horizontal="center" vertical="center" wrapText="1"/>
    </xf>
    <xf numFmtId="166" fontId="1" fillId="2" borderId="17" xfId="0" applyNumberFormat="1" applyFont="1" applyFill="1" applyBorder="1" applyAlignment="1">
      <alignment horizontal="center" vertical="center" wrapText="1"/>
    </xf>
    <xf numFmtId="166" fontId="1" fillId="2" borderId="2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6" fontId="5" fillId="2" borderId="2" xfId="0" applyNumberFormat="1" applyFont="1" applyFill="1" applyBorder="1" applyAlignment="1">
      <alignment vertical="center" wrapText="1"/>
    </xf>
    <xf numFmtId="166" fontId="5" fillId="2" borderId="19" xfId="0" applyNumberFormat="1" applyFont="1" applyFill="1" applyBorder="1" applyAlignment="1">
      <alignment vertical="center" wrapText="1"/>
    </xf>
    <xf numFmtId="166" fontId="1" fillId="2" borderId="17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>
      <alignment horizontal="right" vertical="center"/>
    </xf>
    <xf numFmtId="166" fontId="1" fillId="2" borderId="8" xfId="1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11" fillId="2" borderId="0" xfId="0" applyFont="1" applyFill="1"/>
    <xf numFmtId="0" fontId="11" fillId="3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167" fontId="11" fillId="0" borderId="3" xfId="0" applyNumberFormat="1" applyFont="1" applyFill="1" applyBorder="1" applyAlignment="1">
      <alignment horizontal="center"/>
    </xf>
    <xf numFmtId="166" fontId="1" fillId="0" borderId="8" xfId="1" applyNumberFormat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0" fontId="12" fillId="4" borderId="12" xfId="0" applyFont="1" applyFill="1" applyBorder="1" applyAlignment="1"/>
    <xf numFmtId="0" fontId="12" fillId="4" borderId="14" xfId="0" applyFont="1" applyFill="1" applyBorder="1" applyAlignment="1"/>
    <xf numFmtId="0" fontId="11" fillId="4" borderId="14" xfId="0" applyFont="1" applyFill="1" applyBorder="1"/>
    <xf numFmtId="0" fontId="11" fillId="4" borderId="13" xfId="0" applyFont="1" applyFill="1" applyBorder="1"/>
    <xf numFmtId="0" fontId="1" fillId="4" borderId="2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9" fontId="6" fillId="4" borderId="9" xfId="2" applyFont="1" applyFill="1" applyBorder="1" applyAlignment="1"/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18" xfId="0" applyFont="1" applyFill="1" applyBorder="1"/>
    <xf numFmtId="0" fontId="3" fillId="4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/>
    <xf numFmtId="0" fontId="15" fillId="4" borderId="35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wrapText="1"/>
    </xf>
    <xf numFmtId="17" fontId="14" fillId="0" borderId="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/>
    </xf>
    <xf numFmtId="1" fontId="14" fillId="0" borderId="40" xfId="0" applyNumberFormat="1" applyFont="1" applyFill="1" applyBorder="1"/>
    <xf numFmtId="167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/>
    </xf>
    <xf numFmtId="167" fontId="11" fillId="0" borderId="8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  <xf numFmtId="17" fontId="14" fillId="0" borderId="28" xfId="0" applyNumberFormat="1" applyFont="1" applyFill="1" applyBorder="1" applyAlignment="1">
      <alignment horizontal="center" vertical="center"/>
    </xf>
    <xf numFmtId="17" fontId="14" fillId="0" borderId="29" xfId="0" applyNumberFormat="1" applyFont="1" applyFill="1" applyBorder="1" applyAlignment="1">
      <alignment horizontal="center" vertical="center"/>
    </xf>
    <xf numFmtId="17" fontId="14" fillId="0" borderId="28" xfId="0" applyNumberFormat="1" applyFont="1" applyFill="1" applyBorder="1" applyAlignment="1">
      <alignment horizontal="center"/>
    </xf>
    <xf numFmtId="17" fontId="14" fillId="0" borderId="4" xfId="0" applyNumberFormat="1" applyFont="1" applyFill="1" applyBorder="1" applyAlignment="1">
      <alignment horizontal="center"/>
    </xf>
    <xf numFmtId="17" fontId="14" fillId="0" borderId="29" xfId="0" applyNumberFormat="1" applyFont="1" applyFill="1" applyBorder="1" applyAlignment="1">
      <alignment horizontal="center"/>
    </xf>
    <xf numFmtId="17" fontId="14" fillId="2" borderId="4" xfId="0" applyNumberFormat="1" applyFont="1" applyFill="1" applyBorder="1" applyAlignment="1">
      <alignment horizontal="center"/>
    </xf>
    <xf numFmtId="2" fontId="0" fillId="2" borderId="0" xfId="0" applyNumberFormat="1" applyFill="1"/>
    <xf numFmtId="4" fontId="0" fillId="0" borderId="3" xfId="0" applyNumberFormat="1" applyBorder="1" applyAlignment="1">
      <alignment horizontal="center"/>
    </xf>
    <xf numFmtId="1" fontId="14" fillId="0" borderId="40" xfId="0" applyNumberFormat="1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17" fontId="14" fillId="0" borderId="0" xfId="0" applyNumberFormat="1" applyFont="1" applyFill="1" applyBorder="1" applyAlignment="1">
      <alignment horizontal="center" vertical="center"/>
    </xf>
    <xf numFmtId="168" fontId="0" fillId="2" borderId="2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/>
    </xf>
    <xf numFmtId="17" fontId="14" fillId="4" borderId="33" xfId="0" applyNumberFormat="1" applyFont="1" applyFill="1" applyBorder="1" applyAlignment="1">
      <alignment horizontal="center" vertical="center" wrapText="1"/>
    </xf>
    <xf numFmtId="17" fontId="14" fillId="4" borderId="23" xfId="0" applyNumberFormat="1" applyFont="1" applyFill="1" applyBorder="1" applyAlignment="1">
      <alignment horizontal="center" vertical="center"/>
    </xf>
    <xf numFmtId="17" fontId="14" fillId="4" borderId="33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22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1" fontId="14" fillId="0" borderId="40" xfId="0" applyNumberFormat="1" applyFont="1" applyFill="1" applyBorder="1" applyAlignment="1">
      <alignment horizontal="center"/>
    </xf>
    <xf numFmtId="1" fontId="14" fillId="0" borderId="41" xfId="0" applyNumberFormat="1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1" fontId="15" fillId="4" borderId="23" xfId="0" applyNumberFormat="1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/>
    </xf>
    <xf numFmtId="1" fontId="15" fillId="4" borderId="35" xfId="0" applyNumberFormat="1" applyFont="1" applyFill="1" applyBorder="1" applyAlignment="1">
      <alignment horizontal="center" vertical="center" wrapText="1"/>
    </xf>
    <xf numFmtId="0" fontId="0" fillId="0" borderId="42" xfId="0" applyBorder="1" applyAlignment="1"/>
    <xf numFmtId="0" fontId="0" fillId="0" borderId="43" xfId="0" applyBorder="1" applyAlignment="1"/>
    <xf numFmtId="0" fontId="3" fillId="4" borderId="3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0" fillId="0" borderId="10" xfId="0" applyBorder="1" applyAlignment="1"/>
    <xf numFmtId="0" fontId="0" fillId="0" borderId="22" xfId="0" applyBorder="1" applyAlignment="1"/>
    <xf numFmtId="0" fontId="3" fillId="4" borderId="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6" xfId="0" applyBorder="1" applyAlignment="1"/>
    <xf numFmtId="0" fontId="0" fillId="0" borderId="31" xfId="0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2"/>
  <sheetViews>
    <sheetView zoomScale="115" zoomScaleNormal="115" workbookViewId="0">
      <selection activeCell="C18" sqref="C18:G22"/>
    </sheetView>
  </sheetViews>
  <sheetFormatPr defaultRowHeight="12.75"/>
  <cols>
    <col min="1" max="2" width="9.140625" style="5"/>
    <col min="3" max="3" width="43.85546875" style="5" bestFit="1" customWidth="1"/>
    <col min="4" max="4" width="26.5703125" style="6" bestFit="1" customWidth="1"/>
    <col min="5" max="5" width="16.85546875" style="5" bestFit="1" customWidth="1"/>
    <col min="6" max="6" width="15.42578125" style="5" bestFit="1" customWidth="1"/>
    <col min="7" max="7" width="14.42578125" style="5" bestFit="1" customWidth="1"/>
    <col min="8" max="8" width="9" style="5" bestFit="1" customWidth="1"/>
    <col min="9" max="16384" width="9.140625" style="5"/>
  </cols>
  <sheetData>
    <row r="2" spans="2:7" ht="14.25" thickBot="1">
      <c r="B2" s="4"/>
    </row>
    <row r="3" spans="2:7" ht="15" customHeight="1">
      <c r="C3" s="41" t="s">
        <v>20</v>
      </c>
      <c r="D3" s="101">
        <v>7138</v>
      </c>
      <c r="E3" s="102"/>
    </row>
    <row r="4" spans="2:7" ht="26.25" customHeight="1" thickBot="1">
      <c r="C4" s="42" t="s">
        <v>21</v>
      </c>
      <c r="D4" s="103" t="s">
        <v>42</v>
      </c>
      <c r="E4" s="104"/>
    </row>
    <row r="5" spans="2:7" ht="15" customHeight="1">
      <c r="C5" s="41" t="s">
        <v>5</v>
      </c>
      <c r="D5" s="105">
        <f>Generation!B5</f>
        <v>43420</v>
      </c>
      <c r="E5" s="106"/>
    </row>
    <row r="6" spans="2:7" ht="15" customHeight="1">
      <c r="C6" s="43" t="s">
        <v>6</v>
      </c>
      <c r="D6" s="107">
        <f>Generation!B30</f>
        <v>44196</v>
      </c>
      <c r="E6" s="108"/>
    </row>
    <row r="7" spans="2:7" ht="15.75" customHeight="1" thickBot="1">
      <c r="C7" s="42" t="s">
        <v>7</v>
      </c>
      <c r="D7" s="109">
        <f>+(D6-D5)+1</f>
        <v>777</v>
      </c>
      <c r="E7" s="110"/>
    </row>
    <row r="8" spans="2:7">
      <c r="C8" s="44" t="s">
        <v>8</v>
      </c>
      <c r="D8" s="22">
        <f>Generation!I31</f>
        <v>199934</v>
      </c>
      <c r="E8" s="49" t="s">
        <v>9</v>
      </c>
    </row>
    <row r="9" spans="2:7" ht="13.5" thickBot="1">
      <c r="C9" s="45" t="s">
        <v>10</v>
      </c>
      <c r="D9" s="35">
        <v>89549</v>
      </c>
      <c r="E9" s="50" t="s">
        <v>11</v>
      </c>
      <c r="F9" s="8"/>
    </row>
    <row r="10" spans="2:7">
      <c r="C10" s="46" t="s">
        <v>23</v>
      </c>
      <c r="D10" s="36">
        <v>95073</v>
      </c>
      <c r="E10" s="51" t="s">
        <v>25</v>
      </c>
      <c r="F10" s="8"/>
    </row>
    <row r="11" spans="2:7">
      <c r="C11" s="43" t="s">
        <v>24</v>
      </c>
      <c r="D11" s="7">
        <f>(D10*D7)/365</f>
        <v>202388.27671232878</v>
      </c>
      <c r="E11" s="52" t="s">
        <v>27</v>
      </c>
      <c r="F11" s="8"/>
    </row>
    <row r="12" spans="2:7" ht="13.5" thickBot="1">
      <c r="C12" s="45" t="s">
        <v>26</v>
      </c>
      <c r="D12" s="23">
        <f>Generation!G31</f>
        <v>212266</v>
      </c>
      <c r="E12" s="50" t="s">
        <v>27</v>
      </c>
      <c r="F12" s="8"/>
    </row>
    <row r="13" spans="2:7">
      <c r="C13" s="47" t="s">
        <v>12</v>
      </c>
      <c r="D13" s="22">
        <f>+D9*D7/365</f>
        <v>190628.96712328767</v>
      </c>
      <c r="E13" s="49" t="s">
        <v>9</v>
      </c>
    </row>
    <row r="14" spans="2:7">
      <c r="C14" s="43" t="s">
        <v>8</v>
      </c>
      <c r="D14" s="7">
        <f>+D8</f>
        <v>199934</v>
      </c>
      <c r="E14" s="53" t="s">
        <v>9</v>
      </c>
    </row>
    <row r="15" spans="2:7" ht="13.5" thickBot="1">
      <c r="C15" s="48" t="s">
        <v>13</v>
      </c>
      <c r="D15" s="9">
        <f>+((D14-D13)/D13)</f>
        <v>4.881227138315436E-2</v>
      </c>
      <c r="E15" s="54"/>
      <c r="G15" s="3"/>
    </row>
    <row r="17" spans="3:7" ht="13.5" thickBot="1">
      <c r="C17" s="17" t="s">
        <v>14</v>
      </c>
      <c r="D17" s="18"/>
      <c r="E17" s="10"/>
      <c r="F17" s="10"/>
      <c r="G17" s="10"/>
    </row>
    <row r="18" spans="3:7" ht="65.25">
      <c r="C18" s="76" t="s">
        <v>15</v>
      </c>
      <c r="D18" s="72" t="s">
        <v>16</v>
      </c>
      <c r="E18" s="73" t="s">
        <v>17</v>
      </c>
      <c r="F18" s="74" t="s">
        <v>18</v>
      </c>
      <c r="G18" s="72" t="s">
        <v>19</v>
      </c>
    </row>
    <row r="19" spans="3:7">
      <c r="C19" s="75">
        <v>2018</v>
      </c>
      <c r="D19" s="77">
        <f>Generation!J5</f>
        <v>11983.952358345501</v>
      </c>
      <c r="E19" s="11">
        <v>0</v>
      </c>
      <c r="F19" s="11">
        <v>0</v>
      </c>
      <c r="G19" s="77">
        <f>D19-E19-F19</f>
        <v>11983.952358345501</v>
      </c>
    </row>
    <row r="20" spans="3:7">
      <c r="C20" s="56">
        <v>2019</v>
      </c>
      <c r="D20" s="19">
        <f>Generation!J7</f>
        <v>92695.854752284999</v>
      </c>
      <c r="E20" s="11">
        <v>0</v>
      </c>
      <c r="F20" s="11">
        <v>0</v>
      </c>
      <c r="G20" s="12">
        <f t="shared" ref="G20:G21" si="0">+(D20-E20-F20)</f>
        <v>92695.854752284999</v>
      </c>
    </row>
    <row r="21" spans="3:7" ht="13.5" thickBot="1">
      <c r="C21" s="57">
        <v>2020</v>
      </c>
      <c r="D21" s="20">
        <f>Generation!J19</f>
        <v>95254.256944940993</v>
      </c>
      <c r="E21" s="13">
        <v>0</v>
      </c>
      <c r="F21" s="13">
        <v>0</v>
      </c>
      <c r="G21" s="14">
        <f t="shared" si="0"/>
        <v>95254.256944940993</v>
      </c>
    </row>
    <row r="22" spans="3:7" ht="13.5" thickBot="1">
      <c r="C22" s="55" t="s">
        <v>3</v>
      </c>
      <c r="D22" s="21">
        <f>+SUM(D19:D21)</f>
        <v>199934.06405557151</v>
      </c>
      <c r="E22" s="15"/>
      <c r="F22" s="15">
        <v>0</v>
      </c>
      <c r="G22" s="16">
        <f>+SUM(G19:G21)</f>
        <v>199934.06405557151</v>
      </c>
    </row>
  </sheetData>
  <mergeCells count="5">
    <mergeCell ref="D3:E3"/>
    <mergeCell ref="D4:E4"/>
    <mergeCell ref="D5:E5"/>
    <mergeCell ref="D6:E6"/>
    <mergeCell ref="D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1"/>
  <sheetViews>
    <sheetView tabSelected="1" zoomScale="90" zoomScaleNormal="90" workbookViewId="0">
      <selection activeCell="C5" sqref="C5"/>
    </sheetView>
  </sheetViews>
  <sheetFormatPr defaultRowHeight="15"/>
  <cols>
    <col min="1" max="1" width="15.5703125" style="31" customWidth="1"/>
    <col min="2" max="2" width="15.85546875" style="32" customWidth="1"/>
    <col min="3" max="3" width="17.5703125" style="31" customWidth="1"/>
    <col min="4" max="4" width="18" style="31" bestFit="1" customWidth="1"/>
    <col min="5" max="5" width="18.28515625" style="31" bestFit="1" customWidth="1"/>
    <col min="6" max="6" width="15.7109375" style="31" bestFit="1" customWidth="1"/>
    <col min="7" max="7" width="17.5703125" style="31" bestFit="1" customWidth="1"/>
    <col min="8" max="8" width="12.7109375" style="32" bestFit="1" customWidth="1"/>
    <col min="9" max="9" width="16.140625" style="31" bestFit="1" customWidth="1"/>
    <col min="10" max="16384" width="9.140625" style="31"/>
  </cols>
  <sheetData>
    <row r="1" spans="1:11" ht="15.75" thickBot="1"/>
    <row r="2" spans="1:11" ht="18.75" thickBot="1">
      <c r="B2" s="37" t="s">
        <v>44</v>
      </c>
      <c r="C2" s="66"/>
      <c r="D2" s="38"/>
      <c r="E2" s="38"/>
      <c r="F2" s="38"/>
      <c r="G2" s="38"/>
      <c r="H2" s="38"/>
      <c r="I2" s="38"/>
      <c r="J2" s="39"/>
      <c r="K2" s="40"/>
    </row>
    <row r="3" spans="1:11" ht="15.75" customHeight="1" thickBot="1">
      <c r="B3" s="125" t="s">
        <v>0</v>
      </c>
      <c r="C3" s="68" t="s">
        <v>45</v>
      </c>
      <c r="D3" s="123" t="s">
        <v>43</v>
      </c>
      <c r="E3" s="123"/>
      <c r="F3" s="124"/>
      <c r="G3" s="127" t="s">
        <v>1</v>
      </c>
      <c r="H3" s="126" t="s">
        <v>22</v>
      </c>
      <c r="I3" s="128" t="s">
        <v>2</v>
      </c>
      <c r="J3" s="112" t="s">
        <v>4</v>
      </c>
      <c r="K3" s="113"/>
    </row>
    <row r="4" spans="1:11" ht="26.25" thickBot="1">
      <c r="B4" s="125"/>
      <c r="C4" s="67" t="s">
        <v>49</v>
      </c>
      <c r="D4" s="63" t="s">
        <v>46</v>
      </c>
      <c r="E4" s="64" t="s">
        <v>47</v>
      </c>
      <c r="F4" s="65" t="s">
        <v>48</v>
      </c>
      <c r="G4" s="127"/>
      <c r="H4" s="126"/>
      <c r="I4" s="128"/>
      <c r="J4" s="114"/>
      <c r="K4" s="113"/>
    </row>
    <row r="5" spans="1:11">
      <c r="A5" s="96"/>
      <c r="B5" s="86">
        <v>43420</v>
      </c>
      <c r="C5" s="70">
        <f>9113440.67*(15/30)</f>
        <v>4556720.335</v>
      </c>
      <c r="D5" s="70">
        <f>9149874.67*(15/30)</f>
        <v>4574937.335</v>
      </c>
      <c r="E5" s="70">
        <f>36434*(15/30)</f>
        <v>18217</v>
      </c>
      <c r="F5" s="70">
        <f>D5-E5</f>
        <v>4556720.335</v>
      </c>
      <c r="G5" s="69">
        <f>F5/1000</f>
        <v>4556.720335</v>
      </c>
      <c r="H5" s="34">
        <v>0.94189999999999996</v>
      </c>
      <c r="I5" s="70">
        <f>G5*H5</f>
        <v>4291.9748835364999</v>
      </c>
      <c r="J5" s="115">
        <f>SUM(I5:I6)</f>
        <v>11983.952358345501</v>
      </c>
      <c r="K5" s="116"/>
    </row>
    <row r="6" spans="1:11" ht="15.75" thickBot="1">
      <c r="A6" s="96"/>
      <c r="B6" s="87">
        <v>43450</v>
      </c>
      <c r="C6" s="82">
        <v>8166448</v>
      </c>
      <c r="D6" s="82">
        <v>8205514.1100000003</v>
      </c>
      <c r="E6" s="82">
        <v>39066</v>
      </c>
      <c r="F6" s="82">
        <f>D6-E6</f>
        <v>8166448.1100000003</v>
      </c>
      <c r="G6" s="83">
        <f>F6/1000</f>
        <v>8166.4481100000003</v>
      </c>
      <c r="H6" s="84">
        <v>0.94189999999999996</v>
      </c>
      <c r="I6" s="82">
        <f>G6*H6</f>
        <v>7691.9774748090003</v>
      </c>
      <c r="J6" s="119"/>
      <c r="K6" s="120"/>
    </row>
    <row r="7" spans="1:11" ht="15" customHeight="1">
      <c r="B7" s="88">
        <v>43466</v>
      </c>
      <c r="C7" s="33">
        <v>9539902.8800000008</v>
      </c>
      <c r="D7" s="33">
        <v>9578084.8800000008</v>
      </c>
      <c r="E7" s="33">
        <v>38182</v>
      </c>
      <c r="F7" s="33">
        <f>D7-E7</f>
        <v>9539902.8800000008</v>
      </c>
      <c r="G7" s="69">
        <f>F7/1000</f>
        <v>9539.9028800000015</v>
      </c>
      <c r="H7" s="34">
        <v>0.94189999999999996</v>
      </c>
      <c r="I7" s="33">
        <f>G7*H7</f>
        <v>8985.6345226720005</v>
      </c>
      <c r="J7" s="115">
        <f>SUM(I7:I18)</f>
        <v>92695.854752284999</v>
      </c>
      <c r="K7" s="116"/>
    </row>
    <row r="8" spans="1:11" ht="15.75" customHeight="1">
      <c r="B8" s="89">
        <v>43497</v>
      </c>
      <c r="C8" s="81">
        <v>9603598.8399999999</v>
      </c>
      <c r="D8" s="81">
        <v>9634589.8399999999</v>
      </c>
      <c r="E8" s="81">
        <v>30991</v>
      </c>
      <c r="F8" s="81">
        <f t="shared" ref="F8:F30" si="0">D8-E8</f>
        <v>9603598.8399999999</v>
      </c>
      <c r="G8" s="81">
        <f t="shared" ref="G8:G30" si="1">F8/1000</f>
        <v>9603.5988400000006</v>
      </c>
      <c r="H8" s="80">
        <v>0.94189999999999996</v>
      </c>
      <c r="I8" s="81">
        <f t="shared" ref="I8:I30" si="2">G8*H8</f>
        <v>9045.6297473960003</v>
      </c>
      <c r="J8" s="117"/>
      <c r="K8" s="118"/>
    </row>
    <row r="9" spans="1:11" ht="15.75" customHeight="1">
      <c r="B9" s="71">
        <v>43525</v>
      </c>
      <c r="C9" s="81">
        <v>10853941.51</v>
      </c>
      <c r="D9" s="81">
        <v>10889375.51</v>
      </c>
      <c r="E9" s="81">
        <v>35434</v>
      </c>
      <c r="F9" s="81">
        <f t="shared" si="0"/>
        <v>10853941.51</v>
      </c>
      <c r="G9" s="81">
        <f t="shared" si="1"/>
        <v>10853.941510000001</v>
      </c>
      <c r="H9" s="80">
        <v>0.94189999999999996</v>
      </c>
      <c r="I9" s="81">
        <f t="shared" si="2"/>
        <v>10223.327508269</v>
      </c>
      <c r="J9" s="117"/>
      <c r="K9" s="118"/>
    </row>
    <row r="10" spans="1:11" ht="15.75" customHeight="1">
      <c r="B10" s="89">
        <v>43556</v>
      </c>
      <c r="C10" s="81">
        <v>10153329.689999999</v>
      </c>
      <c r="D10" s="81">
        <v>10184679.689999999</v>
      </c>
      <c r="E10" s="81">
        <v>31350</v>
      </c>
      <c r="F10" s="81">
        <f t="shared" si="0"/>
        <v>10153329.689999999</v>
      </c>
      <c r="G10" s="81">
        <f t="shared" si="1"/>
        <v>10153.329689999999</v>
      </c>
      <c r="H10" s="80">
        <v>0.94189999999999996</v>
      </c>
      <c r="I10" s="81">
        <f t="shared" si="2"/>
        <v>9563.4212350109992</v>
      </c>
      <c r="J10" s="117"/>
      <c r="K10" s="118"/>
    </row>
    <row r="11" spans="1:11" ht="15.75" customHeight="1">
      <c r="B11" s="89">
        <v>43586</v>
      </c>
      <c r="C11" s="81">
        <v>10137004.59</v>
      </c>
      <c r="D11" s="81">
        <v>10170391.59</v>
      </c>
      <c r="E11" s="81">
        <v>33387</v>
      </c>
      <c r="F11" s="81">
        <f t="shared" si="0"/>
        <v>10137004.59</v>
      </c>
      <c r="G11" s="81">
        <f t="shared" si="1"/>
        <v>10137.00459</v>
      </c>
      <c r="H11" s="80">
        <v>0.94189999999999996</v>
      </c>
      <c r="I11" s="81">
        <f t="shared" si="2"/>
        <v>9548.0446233210005</v>
      </c>
      <c r="J11" s="117"/>
      <c r="K11" s="118"/>
    </row>
    <row r="12" spans="1:11" ht="15.75" customHeight="1">
      <c r="B12" s="89">
        <v>43617</v>
      </c>
      <c r="C12" s="81">
        <v>8862672.1199999992</v>
      </c>
      <c r="D12" s="81">
        <v>8895054.1199999992</v>
      </c>
      <c r="E12" s="81">
        <v>32382</v>
      </c>
      <c r="F12" s="81">
        <f t="shared" si="0"/>
        <v>8862672.1199999992</v>
      </c>
      <c r="G12" s="81">
        <f t="shared" si="1"/>
        <v>8862.6721199999993</v>
      </c>
      <c r="H12" s="80">
        <v>0.94189999999999996</v>
      </c>
      <c r="I12" s="81">
        <f t="shared" si="2"/>
        <v>8347.7508698279998</v>
      </c>
      <c r="J12" s="117"/>
      <c r="K12" s="118"/>
    </row>
    <row r="13" spans="1:11" ht="12.75" customHeight="1">
      <c r="B13" s="89">
        <v>43647</v>
      </c>
      <c r="C13" s="81">
        <v>6935693.75</v>
      </c>
      <c r="D13" s="81">
        <v>6970316.75</v>
      </c>
      <c r="E13" s="81">
        <v>34623</v>
      </c>
      <c r="F13" s="81">
        <f t="shared" si="0"/>
        <v>6935693.75</v>
      </c>
      <c r="G13" s="81">
        <f t="shared" si="1"/>
        <v>6935.6937500000004</v>
      </c>
      <c r="H13" s="80">
        <v>0.94189999999999996</v>
      </c>
      <c r="I13" s="81">
        <f t="shared" si="2"/>
        <v>6532.7299431250003</v>
      </c>
      <c r="J13" s="117"/>
      <c r="K13" s="118"/>
    </row>
    <row r="14" spans="1:11" ht="15.75" customHeight="1">
      <c r="B14" s="89">
        <v>43678</v>
      </c>
      <c r="C14" s="81">
        <v>6858439.6399999997</v>
      </c>
      <c r="D14" s="81">
        <v>6892954.6399999997</v>
      </c>
      <c r="E14" s="81">
        <v>34515</v>
      </c>
      <c r="F14" s="81">
        <f t="shared" si="0"/>
        <v>6858439.6399999997</v>
      </c>
      <c r="G14" s="81">
        <f t="shared" si="1"/>
        <v>6858.4396399999996</v>
      </c>
      <c r="H14" s="80">
        <v>0.94189999999999996</v>
      </c>
      <c r="I14" s="81">
        <f t="shared" si="2"/>
        <v>6459.9642969159995</v>
      </c>
      <c r="J14" s="117"/>
      <c r="K14" s="118"/>
    </row>
    <row r="15" spans="1:11" ht="15.75" customHeight="1">
      <c r="B15" s="89">
        <v>43709</v>
      </c>
      <c r="C15" s="81">
        <v>6194459.8300000001</v>
      </c>
      <c r="D15" s="81">
        <v>6230290.8300000001</v>
      </c>
      <c r="E15" s="81">
        <v>35831</v>
      </c>
      <c r="F15" s="81">
        <f t="shared" si="0"/>
        <v>6194459.8300000001</v>
      </c>
      <c r="G15" s="81">
        <f t="shared" si="1"/>
        <v>6194.4598299999998</v>
      </c>
      <c r="H15" s="80">
        <v>0.94189999999999996</v>
      </c>
      <c r="I15" s="81">
        <f t="shared" si="2"/>
        <v>5834.5617138769994</v>
      </c>
      <c r="J15" s="117"/>
      <c r="K15" s="118"/>
    </row>
    <row r="16" spans="1:11" ht="15.75" customHeight="1">
      <c r="B16" s="89">
        <v>43739</v>
      </c>
      <c r="C16" s="81">
        <v>5054963</v>
      </c>
      <c r="D16" s="81">
        <v>5090528</v>
      </c>
      <c r="E16" s="81">
        <v>35565</v>
      </c>
      <c r="F16" s="81">
        <f t="shared" si="0"/>
        <v>5054963</v>
      </c>
      <c r="G16" s="81">
        <f t="shared" si="1"/>
        <v>5054.9629999999997</v>
      </c>
      <c r="H16" s="80">
        <v>0.94189999999999996</v>
      </c>
      <c r="I16" s="81">
        <f t="shared" si="2"/>
        <v>4761.2696496999997</v>
      </c>
      <c r="J16" s="117"/>
      <c r="K16" s="118"/>
    </row>
    <row r="17" spans="1:93" ht="15" customHeight="1">
      <c r="B17" s="89">
        <v>43770</v>
      </c>
      <c r="C17" s="81">
        <v>7909655.3300000001</v>
      </c>
      <c r="D17" s="81">
        <v>7946985.3300000001</v>
      </c>
      <c r="E17" s="81">
        <v>37330</v>
      </c>
      <c r="F17" s="81">
        <f t="shared" si="0"/>
        <v>7909655.3300000001</v>
      </c>
      <c r="G17" s="81">
        <f t="shared" si="1"/>
        <v>7909.6553300000005</v>
      </c>
      <c r="H17" s="80">
        <v>0.94189999999999996</v>
      </c>
      <c r="I17" s="81">
        <f t="shared" si="2"/>
        <v>7450.1043553270001</v>
      </c>
      <c r="J17" s="117"/>
      <c r="K17" s="118"/>
    </row>
    <row r="18" spans="1:93" ht="15.75" customHeight="1" thickBot="1">
      <c r="B18" s="90">
        <v>43800</v>
      </c>
      <c r="C18" s="85">
        <v>6310028.9699999997</v>
      </c>
      <c r="D18" s="85">
        <v>6350179.9699999997</v>
      </c>
      <c r="E18" s="85">
        <v>40151</v>
      </c>
      <c r="F18" s="85">
        <f t="shared" si="0"/>
        <v>6310028.9699999997</v>
      </c>
      <c r="G18" s="85">
        <f t="shared" si="1"/>
        <v>6310.0289699999994</v>
      </c>
      <c r="H18" s="84">
        <v>0.94189999999999996</v>
      </c>
      <c r="I18" s="85">
        <f t="shared" si="2"/>
        <v>5943.4162868429994</v>
      </c>
      <c r="J18" s="119"/>
      <c r="K18" s="120"/>
    </row>
    <row r="19" spans="1:93">
      <c r="B19" s="88">
        <v>43831</v>
      </c>
      <c r="C19" s="33">
        <v>7206294.9699999997</v>
      </c>
      <c r="D19" s="33">
        <v>7244857.9699999997</v>
      </c>
      <c r="E19" s="33">
        <v>38563</v>
      </c>
      <c r="F19" s="33">
        <f t="shared" si="0"/>
        <v>7206294.9699999997</v>
      </c>
      <c r="G19" s="33">
        <f t="shared" si="1"/>
        <v>7206.2949699999999</v>
      </c>
      <c r="H19" s="34">
        <v>0.94189999999999996</v>
      </c>
      <c r="I19" s="33">
        <f t="shared" si="2"/>
        <v>6787.6092322429995</v>
      </c>
      <c r="J19" s="115">
        <f>SUM(I19:I30)</f>
        <v>95254.256944940993</v>
      </c>
      <c r="K19" s="116"/>
    </row>
    <row r="20" spans="1:93">
      <c r="B20" s="89">
        <v>43862</v>
      </c>
      <c r="C20" s="81">
        <v>9175120.0600000005</v>
      </c>
      <c r="D20" s="81">
        <v>9210280.0600000005</v>
      </c>
      <c r="E20" s="81">
        <v>35160</v>
      </c>
      <c r="F20" s="81">
        <f t="shared" si="0"/>
        <v>9175120.0600000005</v>
      </c>
      <c r="G20" s="81">
        <f t="shared" si="1"/>
        <v>9175.1200600000011</v>
      </c>
      <c r="H20" s="80">
        <v>0.94189999999999996</v>
      </c>
      <c r="I20" s="81">
        <f t="shared" si="2"/>
        <v>8642.0455845140004</v>
      </c>
      <c r="J20" s="117"/>
      <c r="K20" s="118"/>
    </row>
    <row r="21" spans="1:93" ht="15" customHeight="1">
      <c r="B21" s="89">
        <v>43891</v>
      </c>
      <c r="C21" s="81">
        <v>11031466.73</v>
      </c>
      <c r="D21" s="81">
        <v>11068007.73</v>
      </c>
      <c r="E21" s="81">
        <v>36541</v>
      </c>
      <c r="F21" s="81">
        <f t="shared" si="0"/>
        <v>11031466.73</v>
      </c>
      <c r="G21" s="81">
        <f t="shared" si="1"/>
        <v>11031.46673</v>
      </c>
      <c r="H21" s="80">
        <v>0.94189999999999996</v>
      </c>
      <c r="I21" s="81">
        <f t="shared" si="2"/>
        <v>10390.538512986999</v>
      </c>
      <c r="J21" s="117"/>
      <c r="K21" s="118"/>
    </row>
    <row r="22" spans="1:93" s="30" customFormat="1" ht="15" customHeight="1">
      <c r="A22" s="29"/>
      <c r="B22" s="91">
        <v>43922</v>
      </c>
      <c r="C22" s="81">
        <v>9915359.9499999993</v>
      </c>
      <c r="D22" s="81">
        <v>9948544.9499999993</v>
      </c>
      <c r="E22" s="81">
        <v>33185</v>
      </c>
      <c r="F22" s="81">
        <f t="shared" si="0"/>
        <v>9915359.9499999993</v>
      </c>
      <c r="G22" s="81">
        <f t="shared" si="1"/>
        <v>9915.35995</v>
      </c>
      <c r="H22" s="80">
        <v>0.94189999999999996</v>
      </c>
      <c r="I22" s="81">
        <f t="shared" si="2"/>
        <v>9339.2775369049996</v>
      </c>
      <c r="J22" s="117"/>
      <c r="K22" s="11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</row>
    <row r="23" spans="1:93" ht="15" customHeight="1">
      <c r="B23" s="89">
        <v>43952</v>
      </c>
      <c r="C23" s="81">
        <v>10121548.789999999</v>
      </c>
      <c r="D23" s="81">
        <v>10154928.789999999</v>
      </c>
      <c r="E23" s="81">
        <v>33380</v>
      </c>
      <c r="F23" s="81">
        <f t="shared" si="0"/>
        <v>10121548.789999999</v>
      </c>
      <c r="G23" s="81">
        <f t="shared" si="1"/>
        <v>10121.548789999999</v>
      </c>
      <c r="H23" s="80">
        <v>0.94189999999999996</v>
      </c>
      <c r="I23" s="81">
        <f t="shared" si="2"/>
        <v>9533.4868053009977</v>
      </c>
      <c r="J23" s="117"/>
      <c r="K23" s="11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</row>
    <row r="24" spans="1:93" ht="15" customHeight="1">
      <c r="B24" s="89">
        <v>43983</v>
      </c>
      <c r="C24" s="81">
        <v>7686230.75</v>
      </c>
      <c r="D24" s="81">
        <v>7718492.75</v>
      </c>
      <c r="E24" s="81">
        <v>32262</v>
      </c>
      <c r="F24" s="81">
        <f t="shared" si="0"/>
        <v>7686230.75</v>
      </c>
      <c r="G24" s="81">
        <f t="shared" si="1"/>
        <v>7686.2307499999997</v>
      </c>
      <c r="H24" s="80">
        <v>0.94189999999999996</v>
      </c>
      <c r="I24" s="81">
        <f t="shared" si="2"/>
        <v>7239.6607434249991</v>
      </c>
      <c r="J24" s="117"/>
      <c r="K24" s="11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</row>
    <row r="25" spans="1:93" ht="15" customHeight="1">
      <c r="B25" s="89">
        <v>44013</v>
      </c>
      <c r="C25" s="81">
        <v>7846789.7599999998</v>
      </c>
      <c r="D25" s="81">
        <v>7882532.7599999998</v>
      </c>
      <c r="E25" s="81">
        <v>35743</v>
      </c>
      <c r="F25" s="81">
        <f t="shared" si="0"/>
        <v>7846789.7599999998</v>
      </c>
      <c r="G25" s="81">
        <f t="shared" si="1"/>
        <v>7846.7897599999997</v>
      </c>
      <c r="H25" s="80">
        <v>0.94189999999999996</v>
      </c>
      <c r="I25" s="81">
        <f t="shared" si="2"/>
        <v>7390.8912749439996</v>
      </c>
      <c r="J25" s="117"/>
      <c r="K25" s="11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</row>
    <row r="26" spans="1:93" ht="15" customHeight="1">
      <c r="B26" s="89">
        <v>44044</v>
      </c>
      <c r="C26" s="81">
        <v>7165306.5199999996</v>
      </c>
      <c r="D26" s="81">
        <v>7202447.5199999996</v>
      </c>
      <c r="E26" s="81">
        <v>37141</v>
      </c>
      <c r="F26" s="81">
        <f t="shared" si="0"/>
        <v>7165306.5199999996</v>
      </c>
      <c r="G26" s="81">
        <f t="shared" si="1"/>
        <v>7165.3065199999992</v>
      </c>
      <c r="H26" s="80">
        <v>0.94189999999999996</v>
      </c>
      <c r="I26" s="81">
        <f t="shared" si="2"/>
        <v>6749.0022111879989</v>
      </c>
      <c r="J26" s="117"/>
      <c r="K26" s="11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</row>
    <row r="27" spans="1:93" s="29" customFormat="1" ht="15" customHeight="1">
      <c r="B27" s="91">
        <v>44075</v>
      </c>
      <c r="C27" s="81">
        <v>7019590.2300000004</v>
      </c>
      <c r="D27" s="81">
        <v>7056379.2300000004</v>
      </c>
      <c r="E27" s="81">
        <v>36789</v>
      </c>
      <c r="F27" s="81">
        <f t="shared" si="0"/>
        <v>7019590.2300000004</v>
      </c>
      <c r="G27" s="81">
        <f t="shared" si="1"/>
        <v>7019.5902300000007</v>
      </c>
      <c r="H27" s="80">
        <v>0.94189999999999996</v>
      </c>
      <c r="I27" s="81">
        <f t="shared" si="2"/>
        <v>6611.7520376370003</v>
      </c>
      <c r="J27" s="117"/>
      <c r="K27" s="118"/>
    </row>
    <row r="28" spans="1:93" s="30" customFormat="1" ht="15" customHeight="1">
      <c r="A28" s="29"/>
      <c r="B28" s="91">
        <v>44105</v>
      </c>
      <c r="C28" s="81">
        <v>7489205.5499999998</v>
      </c>
      <c r="D28" s="81">
        <v>7526860.5499999998</v>
      </c>
      <c r="E28" s="81">
        <v>37655</v>
      </c>
      <c r="F28" s="81">
        <f t="shared" si="0"/>
        <v>7489205.5499999998</v>
      </c>
      <c r="G28" s="81">
        <f t="shared" si="1"/>
        <v>7489.2055499999997</v>
      </c>
      <c r="H28" s="80">
        <v>0.94189999999999996</v>
      </c>
      <c r="I28" s="81">
        <f t="shared" si="2"/>
        <v>7054.0827075449997</v>
      </c>
      <c r="J28" s="117"/>
      <c r="K28" s="11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</row>
    <row r="29" spans="1:93" ht="15" customHeight="1" thickBot="1">
      <c r="B29" s="89">
        <v>44136</v>
      </c>
      <c r="C29" s="81">
        <v>7740174.1500000004</v>
      </c>
      <c r="D29" s="81">
        <v>7778177.1500000004</v>
      </c>
      <c r="E29" s="81">
        <v>38003</v>
      </c>
      <c r="F29" s="81">
        <f t="shared" si="0"/>
        <v>7740174.1500000004</v>
      </c>
      <c r="G29" s="81">
        <f t="shared" si="1"/>
        <v>7740.1741500000007</v>
      </c>
      <c r="H29" s="80">
        <v>0.94189999999999996</v>
      </c>
      <c r="I29" s="81">
        <f t="shared" si="2"/>
        <v>7290.470031885</v>
      </c>
      <c r="J29" s="117"/>
      <c r="K29" s="118"/>
      <c r="L29" s="29"/>
      <c r="M29" s="29"/>
      <c r="N29" s="121"/>
      <c r="O29" s="12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</row>
    <row r="30" spans="1:93" ht="15" customHeight="1" thickBot="1">
      <c r="B30" s="90">
        <v>44196</v>
      </c>
      <c r="C30" s="85">
        <v>8732816.9299999997</v>
      </c>
      <c r="D30" s="85">
        <v>8772969.9299999997</v>
      </c>
      <c r="E30" s="85">
        <v>40153</v>
      </c>
      <c r="F30" s="85">
        <f t="shared" si="0"/>
        <v>8732816.9299999997</v>
      </c>
      <c r="G30" s="85">
        <f t="shared" si="1"/>
        <v>8732.816929999999</v>
      </c>
      <c r="H30" s="84">
        <v>0.94189999999999996</v>
      </c>
      <c r="I30" s="85">
        <f t="shared" si="2"/>
        <v>8225.4402663669989</v>
      </c>
      <c r="J30" s="119"/>
      <c r="K30" s="120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</row>
    <row r="31" spans="1:93" ht="15.75" thickBot="1">
      <c r="B31" s="78" t="s">
        <v>3</v>
      </c>
      <c r="C31" s="111"/>
      <c r="D31" s="111"/>
      <c r="E31" s="111"/>
      <c r="F31" s="111"/>
      <c r="G31" s="94">
        <f>ROUNDDOWN(SUM(G5:G30),0)</f>
        <v>212266</v>
      </c>
      <c r="H31" s="95"/>
      <c r="I31" s="79">
        <f>ROUNDDOWN(SUM(I5:I30),0)</f>
        <v>199934</v>
      </c>
      <c r="J31" s="121">
        <f xml:space="preserve"> ROUNDDOWN(SUM(J5:K30),0)</f>
        <v>199934</v>
      </c>
      <c r="K31" s="122"/>
    </row>
  </sheetData>
  <mergeCells count="12">
    <mergeCell ref="N29:O29"/>
    <mergeCell ref="B3:B4"/>
    <mergeCell ref="H3:H4"/>
    <mergeCell ref="G3:G4"/>
    <mergeCell ref="I3:I4"/>
    <mergeCell ref="C31:F31"/>
    <mergeCell ref="J3:K4"/>
    <mergeCell ref="J7:K18"/>
    <mergeCell ref="J19:K30"/>
    <mergeCell ref="J31:K31"/>
    <mergeCell ref="D3:F3"/>
    <mergeCell ref="J5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J16"/>
  <sheetViews>
    <sheetView zoomScaleNormal="100" workbookViewId="0">
      <selection activeCell="H6" sqref="H6"/>
    </sheetView>
  </sheetViews>
  <sheetFormatPr defaultRowHeight="15"/>
  <cols>
    <col min="1" max="3" width="9.140625" style="1"/>
    <col min="4" max="4" width="20.140625" style="1" customWidth="1"/>
    <col min="5" max="5" width="31.28515625" style="1" customWidth="1"/>
    <col min="6" max="6" width="19.7109375" style="1" bestFit="1" customWidth="1"/>
    <col min="7" max="7" width="32.42578125" style="1" customWidth="1"/>
    <col min="8" max="8" width="14.7109375" style="1" customWidth="1"/>
    <col min="9" max="9" width="16.42578125" style="1" customWidth="1"/>
    <col min="10" max="10" width="21.85546875" style="1" customWidth="1"/>
    <col min="11" max="16384" width="9.140625" style="1"/>
  </cols>
  <sheetData>
    <row r="2" spans="5:10" ht="15.75" thickBot="1"/>
    <row r="3" spans="5:10" ht="30.75" thickBot="1">
      <c r="E3" s="58" t="s">
        <v>28</v>
      </c>
      <c r="F3" s="59" t="s">
        <v>29</v>
      </c>
      <c r="G3" s="59"/>
      <c r="H3" s="60" t="s">
        <v>30</v>
      </c>
      <c r="I3" s="131" t="s">
        <v>31</v>
      </c>
      <c r="J3" s="132"/>
    </row>
    <row r="4" spans="5:10">
      <c r="E4" s="61">
        <v>1</v>
      </c>
      <c r="F4" s="24" t="s">
        <v>32</v>
      </c>
      <c r="G4" s="25" t="s">
        <v>33</v>
      </c>
      <c r="H4" s="93">
        <f>Generation!G31</f>
        <v>212266</v>
      </c>
      <c r="I4" s="133" t="s">
        <v>27</v>
      </c>
      <c r="J4" s="134"/>
    </row>
    <row r="5" spans="5:10" ht="15.75" thickBot="1">
      <c r="E5" s="135">
        <v>2</v>
      </c>
      <c r="F5" s="138" t="s">
        <v>34</v>
      </c>
      <c r="G5" s="141" t="s">
        <v>35</v>
      </c>
      <c r="H5" s="2">
        <v>23</v>
      </c>
      <c r="I5" s="129" t="s">
        <v>36</v>
      </c>
      <c r="J5" s="130"/>
    </row>
    <row r="6" spans="5:10" ht="15.75" thickBot="1">
      <c r="E6" s="136"/>
      <c r="F6" s="139"/>
      <c r="G6" s="142"/>
      <c r="H6" s="2">
        <v>8</v>
      </c>
      <c r="I6" s="129" t="s">
        <v>37</v>
      </c>
      <c r="J6" s="130"/>
    </row>
    <row r="7" spans="5:10">
      <c r="E7" s="137"/>
      <c r="F7" s="140"/>
      <c r="G7" s="143"/>
      <c r="H7" s="26">
        <v>59153000</v>
      </c>
      <c r="I7" s="144" t="s">
        <v>38</v>
      </c>
      <c r="J7" s="145"/>
    </row>
    <row r="8" spans="5:10" ht="15.75" thickBot="1">
      <c r="E8" s="62">
        <v>3</v>
      </c>
      <c r="F8" s="27" t="s">
        <v>39</v>
      </c>
      <c r="G8" s="27" t="s">
        <v>40</v>
      </c>
      <c r="H8" s="28">
        <f>Generation!I31</f>
        <v>199934</v>
      </c>
      <c r="I8" s="129" t="s">
        <v>41</v>
      </c>
      <c r="J8" s="130"/>
    </row>
    <row r="10" spans="5:10">
      <c r="I10" s="92"/>
    </row>
    <row r="13" spans="5:10">
      <c r="E13" s="75" t="s">
        <v>50</v>
      </c>
      <c r="F13" s="75" t="s">
        <v>51</v>
      </c>
      <c r="G13" s="75" t="s">
        <v>52</v>
      </c>
      <c r="H13" s="75" t="s">
        <v>53</v>
      </c>
      <c r="I13" s="98"/>
    </row>
    <row r="14" spans="5:10" ht="51">
      <c r="E14" s="75">
        <v>2018</v>
      </c>
      <c r="F14" s="97">
        <f>SUM(Generation!G5:G6)</f>
        <v>12723.168444999999</v>
      </c>
      <c r="G14" s="99" t="s">
        <v>56</v>
      </c>
      <c r="H14" s="99">
        <f>'ER summary'!G19</f>
        <v>11983.952358345501</v>
      </c>
      <c r="I14" s="98"/>
    </row>
    <row r="15" spans="5:10">
      <c r="E15" s="75">
        <v>2019</v>
      </c>
      <c r="F15" s="100">
        <f>SUM(Generation!G7:G18)</f>
        <v>98413.690149999995</v>
      </c>
      <c r="G15" s="99" t="s">
        <v>54</v>
      </c>
      <c r="H15" s="99">
        <f>'ER summary'!G20</f>
        <v>92695.854752284999</v>
      </c>
      <c r="I15" s="98"/>
    </row>
    <row r="16" spans="5:10">
      <c r="E16" s="75">
        <v>2020</v>
      </c>
      <c r="F16" s="100">
        <f>SUM(Generation!G19:G30)</f>
        <v>101129.90439000001</v>
      </c>
      <c r="G16" s="99" t="s">
        <v>55</v>
      </c>
      <c r="H16" s="99">
        <f>'ER summary'!G21</f>
        <v>95254.256944940993</v>
      </c>
      <c r="I16" s="98"/>
    </row>
  </sheetData>
  <mergeCells count="9">
    <mergeCell ref="E5:E7"/>
    <mergeCell ref="F5:F7"/>
    <mergeCell ref="G5:G7"/>
    <mergeCell ref="I7:J7"/>
    <mergeCell ref="I8:J8"/>
    <mergeCell ref="I5:J5"/>
    <mergeCell ref="I6:J6"/>
    <mergeCell ref="I3:J3"/>
    <mergeCell ref="I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 summary</vt:lpstr>
      <vt:lpstr>Generation</vt:lpstr>
      <vt:lpstr>Actual SDGs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Joshi</dc:creator>
  <cp:lastModifiedBy>svg</cp:lastModifiedBy>
  <dcterms:created xsi:type="dcterms:W3CDTF">2021-05-25T04:11:56Z</dcterms:created>
  <dcterms:modified xsi:type="dcterms:W3CDTF">2022-06-20T13:11:23Z</dcterms:modified>
</cp:coreProperties>
</file>