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/>
  <mc:AlternateContent xmlns:mc="http://schemas.openxmlformats.org/markup-compatibility/2006">
    <mc:Choice Requires="x15">
      <x15ac:absPath xmlns:x15ac="http://schemas.microsoft.com/office/spreadsheetml/2010/11/ac" url="/Users/shivanichauhan/Desktop/VKU Projects/GS 7137/Completeness check pack_VKU.VER.45.25_GS_7137/"/>
    </mc:Choice>
  </mc:AlternateContent>
  <xr:revisionPtr revIDLastSave="0" documentId="13_ncr:1_{2C3DAA6C-A203-6E4E-9EAA-7CD6999F13C4}" xr6:coauthVersionLast="47" xr6:coauthVersionMax="47" xr10:uidLastSave="{00000000-0000-0000-0000-000000000000}"/>
  <bookViews>
    <workbookView xWindow="0" yWindow="720" windowWidth="29400" windowHeight="18400" activeTab="1" xr2:uid="{00000000-000D-0000-FFFF-FFFF00000000}"/>
  </bookViews>
  <sheets>
    <sheet name="ER summary" sheetId="2" r:id="rId1"/>
    <sheet name="Generation sheet_PDPL(UP)" sheetId="1" r:id="rId2"/>
    <sheet name="Actual SDG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E45" i="1"/>
  <c r="D45" i="1"/>
  <c r="D14" i="2"/>
  <c r="D34" i="1" l="1"/>
  <c r="D21" i="1"/>
  <c r="D46" i="1" l="1"/>
  <c r="F26" i="1" l="1"/>
  <c r="E26" i="1"/>
  <c r="D7" i="2"/>
  <c r="D6" i="2"/>
  <c r="D8" i="2" s="1"/>
  <c r="G45" i="1" l="1"/>
  <c r="H45" i="1" s="1"/>
  <c r="J45" i="1" s="1"/>
  <c r="F37" i="1"/>
  <c r="F29" i="1"/>
  <c r="F35" i="1"/>
  <c r="F44" i="1"/>
  <c r="F43" i="1"/>
  <c r="F42" i="1"/>
  <c r="F41" i="1"/>
  <c r="F40" i="1"/>
  <c r="F39" i="1"/>
  <c r="F38" i="1"/>
  <c r="F36" i="1"/>
  <c r="F33" i="1"/>
  <c r="F32" i="1"/>
  <c r="F31" i="1"/>
  <c r="F30" i="1"/>
  <c r="F28" i="1"/>
  <c r="F27" i="1"/>
  <c r="F25" i="1"/>
  <c r="F24" i="1"/>
  <c r="F23" i="1"/>
  <c r="F22" i="1"/>
  <c r="F34" i="1" s="1"/>
  <c r="F20" i="1"/>
  <c r="F19" i="1"/>
  <c r="F18" i="1"/>
  <c r="F17" i="1"/>
  <c r="F16" i="1"/>
  <c r="F15" i="1"/>
  <c r="F14" i="1"/>
  <c r="F13" i="1"/>
  <c r="F12" i="1"/>
  <c r="F11" i="1"/>
  <c r="F10" i="1"/>
  <c r="F9" i="1"/>
  <c r="E44" i="1"/>
  <c r="E43" i="1"/>
  <c r="E42" i="1"/>
  <c r="E41" i="1"/>
  <c r="E40" i="1"/>
  <c r="E39" i="1"/>
  <c r="E38" i="1"/>
  <c r="E37" i="1"/>
  <c r="G37" i="1" s="1"/>
  <c r="H37" i="1" s="1"/>
  <c r="J37" i="1" s="1"/>
  <c r="E36" i="1"/>
  <c r="E35" i="1"/>
  <c r="E33" i="1"/>
  <c r="G33" i="1" s="1"/>
  <c r="H33" i="1" s="1"/>
  <c r="J33" i="1" s="1"/>
  <c r="E32" i="1"/>
  <c r="E31" i="1"/>
  <c r="E30" i="1"/>
  <c r="E29" i="1"/>
  <c r="E28" i="1"/>
  <c r="E27" i="1"/>
  <c r="E25" i="1"/>
  <c r="E24" i="1"/>
  <c r="E23" i="1"/>
  <c r="E22" i="1"/>
  <c r="E34" i="1" s="1"/>
  <c r="E20" i="1"/>
  <c r="E19" i="1"/>
  <c r="E18" i="1"/>
  <c r="E17" i="1"/>
  <c r="E16" i="1"/>
  <c r="E15" i="1"/>
  <c r="E14" i="1"/>
  <c r="E13" i="1"/>
  <c r="E12" i="1"/>
  <c r="E9" i="1"/>
  <c r="E11" i="1"/>
  <c r="E10" i="1"/>
  <c r="E21" i="1" l="1"/>
  <c r="G35" i="1"/>
  <c r="E46" i="1"/>
  <c r="F46" i="1"/>
  <c r="F21" i="1"/>
  <c r="G42" i="1"/>
  <c r="H42" i="1" s="1"/>
  <c r="J42" i="1" s="1"/>
  <c r="G41" i="1"/>
  <c r="H41" i="1" s="1"/>
  <c r="J41" i="1" s="1"/>
  <c r="G44" i="1"/>
  <c r="H44" i="1" s="1"/>
  <c r="J44" i="1" s="1"/>
  <c r="G43" i="1"/>
  <c r="H43" i="1" s="1"/>
  <c r="J43" i="1" s="1"/>
  <c r="G39" i="1"/>
  <c r="H39" i="1" s="1"/>
  <c r="J39" i="1" s="1"/>
  <c r="G38" i="1"/>
  <c r="H38" i="1" s="1"/>
  <c r="J38" i="1" s="1"/>
  <c r="G36" i="1"/>
  <c r="H36" i="1" s="1"/>
  <c r="J36" i="1" s="1"/>
  <c r="G40" i="1"/>
  <c r="H40" i="1" s="1"/>
  <c r="J40" i="1" s="1"/>
  <c r="H35" i="1" l="1"/>
  <c r="G46" i="1"/>
  <c r="G9" i="1"/>
  <c r="H46" i="1" l="1"/>
  <c r="J35" i="1"/>
  <c r="H9" i="1"/>
  <c r="J9" i="1" l="1"/>
  <c r="J46" i="1"/>
  <c r="K35" i="1"/>
  <c r="D22" i="2"/>
  <c r="G26" i="1"/>
  <c r="H26" i="1" s="1"/>
  <c r="G14" i="1" l="1"/>
  <c r="H14" i="1" s="1"/>
  <c r="G10" i="1" l="1"/>
  <c r="G11" i="1"/>
  <c r="H11" i="1" s="1"/>
  <c r="G12" i="1"/>
  <c r="H12" i="1" s="1"/>
  <c r="G13" i="1"/>
  <c r="H13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2" i="1"/>
  <c r="G23" i="1"/>
  <c r="H23" i="1" s="1"/>
  <c r="G24" i="1"/>
  <c r="H24" i="1" s="1"/>
  <c r="G25" i="1"/>
  <c r="H25" i="1" s="1"/>
  <c r="G27" i="1"/>
  <c r="H27" i="1" s="1"/>
  <c r="G28" i="1"/>
  <c r="H28" i="1" s="1"/>
  <c r="G29" i="1"/>
  <c r="H29" i="1" s="1"/>
  <c r="J29" i="1" s="1"/>
  <c r="G30" i="1"/>
  <c r="H30" i="1" s="1"/>
  <c r="G31" i="1"/>
  <c r="H31" i="1" s="1"/>
  <c r="G32" i="1"/>
  <c r="H32" i="1" s="1"/>
  <c r="H22" i="1" l="1"/>
  <c r="H34" i="1" s="1"/>
  <c r="G34" i="1"/>
  <c r="H10" i="1"/>
  <c r="H21" i="1" s="1"/>
  <c r="H47" i="1" s="1"/>
  <c r="G21" i="1"/>
  <c r="J26" i="1"/>
  <c r="J25" i="1"/>
  <c r="J31" i="1"/>
  <c r="J23" i="1"/>
  <c r="J32" i="1"/>
  <c r="J30" i="1"/>
  <c r="J12" i="1"/>
  <c r="J28" i="1"/>
  <c r="J11" i="1"/>
  <c r="J27" i="1"/>
  <c r="J24" i="1"/>
  <c r="J22" i="1"/>
  <c r="J34" i="1" s="1"/>
  <c r="J20" i="1"/>
  <c r="J19" i="1"/>
  <c r="J18" i="1"/>
  <c r="J17" i="1"/>
  <c r="J16" i="1"/>
  <c r="J15" i="1"/>
  <c r="J14" i="1"/>
  <c r="J13" i="1"/>
  <c r="D21" i="2" l="1"/>
  <c r="K22" i="1"/>
  <c r="G22" i="2"/>
  <c r="J10" i="1"/>
  <c r="J21" i="1" s="1"/>
  <c r="D12" i="2"/>
  <c r="K9" i="1" l="1"/>
  <c r="K47" i="1" s="1"/>
  <c r="J47" i="1" s="1"/>
  <c r="D20" i="2"/>
  <c r="G20" i="2" s="1"/>
  <c r="H4" i="3"/>
  <c r="D13" i="2"/>
  <c r="D17" i="2" s="1"/>
  <c r="D23" i="2" l="1"/>
  <c r="H8" i="3"/>
  <c r="D9" i="2"/>
  <c r="D15" i="2" s="1"/>
  <c r="D16" i="2" s="1"/>
  <c r="G21" i="2"/>
  <c r="G23" i="2" s="1"/>
</calcChain>
</file>

<file path=xl/sharedStrings.xml><?xml version="1.0" encoding="utf-8"?>
<sst xmlns="http://schemas.openxmlformats.org/spreadsheetml/2006/main" count="62" uniqueCount="55">
  <si>
    <t>Project GS ID</t>
  </si>
  <si>
    <t>Version</t>
  </si>
  <si>
    <t>Project Title</t>
  </si>
  <si>
    <t>50 MW Mahoba Solar PV Power Project by M/s Prayatna Developers Pvt. Ltd. at Mahoba, UP</t>
  </si>
  <si>
    <t>Start Date Of MP</t>
  </si>
  <si>
    <t>End Date Of MP</t>
  </si>
  <si>
    <t>Total Days</t>
  </si>
  <si>
    <t>Actual ERs achieved in this MP</t>
  </si>
  <si>
    <t>tCO2e</t>
  </si>
  <si>
    <t>Annual ER Estimated in the PDD</t>
  </si>
  <si>
    <t>tCO2/year</t>
  </si>
  <si>
    <t>Net Generation Estimated  As per PDD</t>
  </si>
  <si>
    <t>MWh/year</t>
  </si>
  <si>
    <t xml:space="preserve">Net Generation Estimated for this monitoring period </t>
  </si>
  <si>
    <t>MWh</t>
  </si>
  <si>
    <t xml:space="preserve">Net Generation Achieved for this monitoring period </t>
  </si>
  <si>
    <t>Estimated ER equivalent to this MP</t>
  </si>
  <si>
    <t>% Difference in ER</t>
  </si>
  <si>
    <t>Achieved PLF</t>
  </si>
  <si>
    <t>Vintage-wise VERs</t>
  </si>
  <si>
    <t>Year</t>
  </si>
  <si>
    <r>
      <t>Baseline emissions or removals (tCO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e)</t>
    </r>
  </si>
  <si>
    <r>
      <t>Project emissions or removals (tCO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e)</t>
    </r>
  </si>
  <si>
    <r>
      <t>Leakage emissions (tCO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e)</t>
    </r>
  </si>
  <si>
    <r>
      <t>Net GHG emission reductions or removals (tCO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e)</t>
    </r>
  </si>
  <si>
    <t xml:space="preserve">Total </t>
  </si>
  <si>
    <t xml:space="preserve">Month </t>
  </si>
  <si>
    <t>As per Invoice</t>
  </si>
  <si>
    <t>As per JMR</t>
  </si>
  <si>
    <t>Net energy 
(Mwh)</t>
  </si>
  <si>
    <t>Emission factor
(tCO2/MWh)</t>
  </si>
  <si>
    <t>Emission Reduction</t>
  </si>
  <si>
    <t>Vintage wise 
Break-up</t>
  </si>
  <si>
    <t>Total vintage wise 2021</t>
  </si>
  <si>
    <t>Total vintage wise 2022</t>
  </si>
  <si>
    <t>Total vintage wise 2023</t>
  </si>
  <si>
    <t>S. No.</t>
  </si>
  <si>
    <t>SDG Indicator</t>
  </si>
  <si>
    <t>Values achieved</t>
  </si>
  <si>
    <t>Unit</t>
  </si>
  <si>
    <t xml:space="preserve">SDG 7:   </t>
  </si>
  <si>
    <t>Affordable and Clean Energy</t>
  </si>
  <si>
    <t xml:space="preserve">SDG 8: </t>
  </si>
  <si>
    <t>Decent Work and Economic Growth</t>
  </si>
  <si>
    <t>Number  of employees</t>
  </si>
  <si>
    <t>Number  of Trainings</t>
  </si>
  <si>
    <t>INR</t>
  </si>
  <si>
    <t xml:space="preserve">SDG 13 </t>
  </si>
  <si>
    <t>Climate Action</t>
  </si>
  <si>
    <t>tCO2e per annum</t>
  </si>
  <si>
    <t>Net energy 
 (MWh)</t>
  </si>
  <si>
    <t>Export energy  (kWh)</t>
  </si>
  <si>
    <t>Import energy  
(kWh)</t>
  </si>
  <si>
    <t>Net energy (MWh)</t>
  </si>
  <si>
    <t>Note : For the Month of Nov-23 apportioning is done.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</si>
</sst>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[$-409]d/mmm/yy;@"/>
    <numFmt numFmtId="166" formatCode="[$-409]dd/mmm/yy;@"/>
    <numFmt numFmtId="167" formatCode="_(* #,##0_);_(* \(#,##0\);_(* &quot;-&quot;??_);_(@_)"/>
    <numFmt numFmtId="168" formatCode="0.0000"/>
    <numFmt numFmtId="169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Franklin Gothic Book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6">
    <xf numFmtId="0" fontId="0" fillId="0" borderId="0" xfId="0"/>
    <xf numFmtId="0" fontId="1" fillId="3" borderId="13" xfId="0" applyFont="1" applyFill="1" applyBorder="1" applyAlignment="1">
      <alignment horizontal="center" vertical="center" wrapText="1"/>
    </xf>
    <xf numFmtId="9" fontId="1" fillId="2" borderId="0" xfId="2" applyFont="1" applyFill="1" applyBorder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167" fontId="1" fillId="2" borderId="1" xfId="1" applyNumberFormat="1" applyFont="1" applyFill="1" applyBorder="1" applyAlignment="1">
      <alignment horizontal="right" vertical="center"/>
    </xf>
    <xf numFmtId="1" fontId="5" fillId="2" borderId="0" xfId="0" applyNumberFormat="1" applyFont="1" applyFill="1"/>
    <xf numFmtId="0" fontId="5" fillId="2" borderId="0" xfId="0" applyFont="1" applyFill="1" applyAlignment="1">
      <alignment vertical="center"/>
    </xf>
    <xf numFmtId="167" fontId="5" fillId="2" borderId="2" xfId="0" applyNumberFormat="1" applyFont="1" applyFill="1" applyBorder="1" applyAlignment="1">
      <alignment horizontal="center" vertical="center" wrapText="1"/>
    </xf>
    <xf numFmtId="167" fontId="5" fillId="2" borderId="18" xfId="0" applyNumberFormat="1" applyFont="1" applyFill="1" applyBorder="1" applyAlignment="1">
      <alignment horizontal="center" vertical="center" wrapText="1"/>
    </xf>
    <xf numFmtId="167" fontId="1" fillId="2" borderId="16" xfId="0" applyNumberFormat="1" applyFont="1" applyFill="1" applyBorder="1" applyAlignment="1">
      <alignment horizontal="center" vertical="center" wrapText="1"/>
    </xf>
    <xf numFmtId="167" fontId="1" fillId="2" borderId="22" xfId="0" applyNumberFormat="1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7" fontId="1" fillId="2" borderId="16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left"/>
    </xf>
    <xf numFmtId="167" fontId="1" fillId="2" borderId="2" xfId="1" applyNumberFormat="1" applyFont="1" applyFill="1" applyBorder="1" applyAlignment="1">
      <alignment horizontal="right" vertical="center"/>
    </xf>
    <xf numFmtId="0" fontId="1" fillId="3" borderId="15" xfId="0" applyFont="1" applyFill="1" applyBorder="1" applyAlignment="1">
      <alignment vertical="center"/>
    </xf>
    <xf numFmtId="0" fontId="1" fillId="3" borderId="26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25" xfId="0" applyFont="1" applyFill="1" applyBorder="1" applyAlignment="1">
      <alignment horizontal="left"/>
    </xf>
    <xf numFmtId="167" fontId="1" fillId="2" borderId="3" xfId="1" applyNumberFormat="1" applyFont="1" applyFill="1" applyBorder="1" applyAlignment="1">
      <alignment horizontal="right" vertical="center"/>
    </xf>
    <xf numFmtId="0" fontId="1" fillId="3" borderId="26" xfId="0" applyFont="1" applyFill="1" applyBorder="1" applyAlignment="1">
      <alignment horizontal="left"/>
    </xf>
    <xf numFmtId="167" fontId="1" fillId="2" borderId="8" xfId="1" applyNumberFormat="1" applyFont="1" applyFill="1" applyBorder="1" applyAlignment="1">
      <alignment horizontal="right" vertical="center"/>
    </xf>
    <xf numFmtId="0" fontId="1" fillId="3" borderId="21" xfId="0" applyFont="1" applyFill="1" applyBorder="1" applyAlignment="1">
      <alignment horizontal="left" vertical="center"/>
    </xf>
    <xf numFmtId="0" fontId="3" fillId="3" borderId="17" xfId="0" applyFont="1" applyFill="1" applyBorder="1"/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 wrapText="1"/>
    </xf>
    <xf numFmtId="0" fontId="9" fillId="2" borderId="0" xfId="0" applyFont="1" applyFill="1"/>
    <xf numFmtId="0" fontId="9" fillId="4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/>
    <xf numFmtId="1" fontId="9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/>
    <xf numFmtId="2" fontId="10" fillId="0" borderId="0" xfId="0" applyNumberFormat="1" applyFont="1"/>
    <xf numFmtId="0" fontId="10" fillId="0" borderId="4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169" fontId="5" fillId="0" borderId="1" xfId="1" applyNumberFormat="1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center" vertical="center" wrapText="1"/>
    </xf>
    <xf numFmtId="169" fontId="5" fillId="2" borderId="15" xfId="0" applyNumberFormat="1" applyFont="1" applyFill="1" applyBorder="1" applyAlignment="1">
      <alignment horizontal="center" vertical="center" wrapText="1"/>
    </xf>
    <xf numFmtId="169" fontId="5" fillId="2" borderId="19" xfId="0" applyNumberFormat="1" applyFont="1" applyFill="1" applyBorder="1" applyAlignment="1">
      <alignment horizontal="center" vertical="center" wrapText="1"/>
    </xf>
    <xf numFmtId="169" fontId="10" fillId="0" borderId="1" xfId="1" applyNumberFormat="1" applyFont="1" applyBorder="1" applyAlignment="1">
      <alignment horizontal="right" vertical="center"/>
    </xf>
    <xf numFmtId="169" fontId="10" fillId="0" borderId="5" xfId="1" applyNumberFormat="1" applyFont="1" applyBorder="1" applyAlignment="1">
      <alignment horizontal="right" vertical="center"/>
    </xf>
    <xf numFmtId="0" fontId="1" fillId="3" borderId="24" xfId="0" applyFont="1" applyFill="1" applyBorder="1" applyAlignment="1">
      <alignment horizontal="left" vertical="center"/>
    </xf>
    <xf numFmtId="9" fontId="6" fillId="3" borderId="19" xfId="2" applyFont="1" applyFill="1" applyBorder="1" applyAlignment="1"/>
    <xf numFmtId="0" fontId="1" fillId="5" borderId="6" xfId="0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/>
    </xf>
    <xf numFmtId="164" fontId="3" fillId="0" borderId="1" xfId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" fontId="3" fillId="0" borderId="23" xfId="0" applyNumberFormat="1" applyFont="1" applyBorder="1" applyAlignment="1">
      <alignment horizontal="center"/>
    </xf>
    <xf numFmtId="0" fontId="1" fillId="5" borderId="1" xfId="0" applyFont="1" applyFill="1" applyBorder="1"/>
    <xf numFmtId="10" fontId="1" fillId="2" borderId="1" xfId="2" applyNumberFormat="1" applyFont="1" applyFill="1" applyBorder="1" applyAlignment="1"/>
    <xf numFmtId="0" fontId="1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17" fontId="10" fillId="0" borderId="4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168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9" fillId="0" borderId="3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31" xfId="0" applyNumberFormat="1" applyFont="1" applyFill="1" applyBorder="1" applyAlignment="1">
      <alignment horizontal="center"/>
    </xf>
    <xf numFmtId="1" fontId="10" fillId="2" borderId="10" xfId="0" applyNumberFormat="1" applyFont="1" applyFill="1" applyBorder="1" applyAlignment="1">
      <alignment horizontal="center"/>
    </xf>
    <xf numFmtId="0" fontId="0" fillId="2" borderId="0" xfId="0" applyFill="1"/>
    <xf numFmtId="3" fontId="0" fillId="0" borderId="3" xfId="0" applyNumberFormat="1" applyBorder="1" applyAlignment="1">
      <alignment horizontal="center"/>
    </xf>
    <xf numFmtId="0" fontId="0" fillId="0" borderId="10" xfId="0" applyBorder="1"/>
    <xf numFmtId="0" fontId="0" fillId="0" borderId="5" xfId="0" applyBorder="1"/>
    <xf numFmtId="0" fontId="0" fillId="0" borderId="28" xfId="0" applyBorder="1"/>
    <xf numFmtId="3" fontId="0" fillId="0" borderId="8" xfId="0" applyNumberFormat="1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2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6" fontId="1" fillId="2" borderId="5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169" fontId="10" fillId="0" borderId="31" xfId="1" applyNumberFormat="1" applyFont="1" applyBorder="1" applyAlignment="1">
      <alignment horizontal="right" vertical="center"/>
    </xf>
    <xf numFmtId="169" fontId="10" fillId="0" borderId="23" xfId="1" applyNumberFormat="1" applyFont="1" applyBorder="1" applyAlignment="1">
      <alignment horizontal="right" vertical="center"/>
    </xf>
    <xf numFmtId="169" fontId="10" fillId="0" borderId="10" xfId="1" applyNumberFormat="1" applyFont="1" applyBorder="1" applyAlignment="1">
      <alignment horizontal="right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7" fontId="10" fillId="3" borderId="5" xfId="0" applyNumberFormat="1" applyFont="1" applyFill="1" applyBorder="1" applyAlignment="1">
      <alignment horizontal="center" vertical="center" wrapText="1"/>
    </xf>
    <xf numFmtId="17" fontId="10" fillId="3" borderId="5" xfId="0" applyNumberFormat="1" applyFont="1" applyFill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1" fontId="9" fillId="0" borderId="30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0" fontId="3" fillId="3" borderId="27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0" fillId="0" borderId="11" xfId="0" applyBorder="1"/>
    <xf numFmtId="0" fontId="0" fillId="0" borderId="21" xfId="0" applyBorder="1"/>
    <xf numFmtId="0" fontId="3" fillId="3" borderId="6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3" xfId="0" applyBorder="1"/>
    <xf numFmtId="0" fontId="0" fillId="0" borderId="28" xfId="0" applyBorder="1"/>
    <xf numFmtId="10" fontId="1" fillId="2" borderId="18" xfId="2" applyNumberFormat="1" applyFont="1" applyFill="1" applyBorder="1" applyAlignment="1">
      <alignment horizontal="right"/>
    </xf>
    <xf numFmtId="167" fontId="5" fillId="2" borderId="0" xfId="0" applyNumberFormat="1" applyFont="1" applyFill="1" applyAlignment="1">
      <alignment horizont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6"/>
  <sheetViews>
    <sheetView topLeftCell="A4" zoomScale="213" zoomScaleNormal="100" workbookViewId="0">
      <selection activeCell="D15" sqref="D15"/>
    </sheetView>
  </sheetViews>
  <sheetFormatPr baseColWidth="10" defaultColWidth="9.33203125" defaultRowHeight="14" x14ac:dyDescent="0.2"/>
  <cols>
    <col min="1" max="2" width="9.33203125" style="4"/>
    <col min="3" max="3" width="43.6640625" style="4" bestFit="1" customWidth="1"/>
    <col min="4" max="4" width="26.5" style="5" bestFit="1" customWidth="1"/>
    <col min="5" max="5" width="16.6640625" style="4" bestFit="1" customWidth="1"/>
    <col min="6" max="6" width="15.5" style="4" bestFit="1" customWidth="1"/>
    <col min="7" max="7" width="14.5" style="4" bestFit="1" customWidth="1"/>
    <col min="8" max="8" width="9" style="4" bestFit="1" customWidth="1"/>
    <col min="9" max="16384" width="9.33203125" style="4"/>
  </cols>
  <sheetData>
    <row r="2" spans="2:7" ht="15" thickBot="1" x14ac:dyDescent="0.25">
      <c r="B2" s="3"/>
    </row>
    <row r="3" spans="2:7" ht="15" customHeight="1" x14ac:dyDescent="0.2">
      <c r="C3" s="13" t="s">
        <v>0</v>
      </c>
      <c r="D3" s="107">
        <v>7137</v>
      </c>
      <c r="E3" s="108"/>
    </row>
    <row r="4" spans="2:7" ht="15" customHeight="1" x14ac:dyDescent="0.2">
      <c r="C4" s="60" t="s">
        <v>1</v>
      </c>
      <c r="D4" s="117">
        <v>3</v>
      </c>
      <c r="E4" s="118"/>
    </row>
    <row r="5" spans="2:7" ht="26.25" customHeight="1" thickBot="1" x14ac:dyDescent="0.25">
      <c r="C5" s="25" t="s">
        <v>2</v>
      </c>
      <c r="D5" s="109" t="s">
        <v>3</v>
      </c>
      <c r="E5" s="110"/>
    </row>
    <row r="6" spans="2:7" ht="15" customHeight="1" x14ac:dyDescent="0.2">
      <c r="C6" s="13" t="s">
        <v>4</v>
      </c>
      <c r="D6" s="111">
        <f>'Generation sheet_PDPL(UP)'!C9</f>
        <v>44197</v>
      </c>
      <c r="E6" s="112"/>
      <c r="F6" s="47"/>
    </row>
    <row r="7" spans="2:7" ht="15" customHeight="1" x14ac:dyDescent="0.2">
      <c r="C7" s="15" t="s">
        <v>5</v>
      </c>
      <c r="D7" s="113">
        <f>'Generation sheet_PDPL(UP)'!C45</f>
        <v>45245</v>
      </c>
      <c r="E7" s="114"/>
    </row>
    <row r="8" spans="2:7" ht="15.75" customHeight="1" thickBot="1" x14ac:dyDescent="0.25">
      <c r="C8" s="25" t="s">
        <v>6</v>
      </c>
      <c r="D8" s="115">
        <f>D7-D6+1</f>
        <v>1049</v>
      </c>
      <c r="E8" s="116"/>
    </row>
    <row r="9" spans="2:7" x14ac:dyDescent="0.2">
      <c r="C9" s="22" t="s">
        <v>7</v>
      </c>
      <c r="D9" s="23">
        <f>'Generation sheet_PDPL(UP)'!J47</f>
        <v>273034</v>
      </c>
      <c r="E9" s="24" t="s">
        <v>8</v>
      </c>
    </row>
    <row r="10" spans="2:7" ht="15" thickBot="1" x14ac:dyDescent="0.25">
      <c r="C10" s="29" t="s">
        <v>9</v>
      </c>
      <c r="D10" s="30">
        <v>94209</v>
      </c>
      <c r="E10" s="26" t="s">
        <v>10</v>
      </c>
      <c r="F10" s="7"/>
    </row>
    <row r="11" spans="2:7" x14ac:dyDescent="0.2">
      <c r="C11" s="27" t="s">
        <v>11</v>
      </c>
      <c r="D11" s="28">
        <v>100020</v>
      </c>
      <c r="E11" s="31" t="s">
        <v>12</v>
      </c>
      <c r="F11" s="7"/>
    </row>
    <row r="12" spans="2:7" x14ac:dyDescent="0.2">
      <c r="C12" s="15" t="s">
        <v>13</v>
      </c>
      <c r="D12" s="6">
        <f>(D11*D8)/365</f>
        <v>287454.73972602742</v>
      </c>
      <c r="E12" s="20" t="s">
        <v>14</v>
      </c>
      <c r="F12" s="7"/>
    </row>
    <row r="13" spans="2:7" ht="15" thickBot="1" x14ac:dyDescent="0.25">
      <c r="C13" s="29" t="s">
        <v>15</v>
      </c>
      <c r="D13" s="30">
        <f>'Generation sheet_PDPL(UP)'!H47</f>
        <v>289877</v>
      </c>
      <c r="E13" s="26" t="s">
        <v>14</v>
      </c>
      <c r="F13" s="7"/>
    </row>
    <row r="14" spans="2:7" ht="12.5" customHeight="1" x14ac:dyDescent="0.2">
      <c r="C14" s="14" t="s">
        <v>16</v>
      </c>
      <c r="D14" s="23">
        <f>D10*D8/365</f>
        <v>270754.08493150683</v>
      </c>
      <c r="E14" s="24" t="s">
        <v>8</v>
      </c>
    </row>
    <row r="15" spans="2:7" x14ac:dyDescent="0.2">
      <c r="C15" s="15" t="s">
        <v>7</v>
      </c>
      <c r="D15" s="6">
        <f>D9</f>
        <v>273034</v>
      </c>
      <c r="E15" s="21" t="s">
        <v>8</v>
      </c>
    </row>
    <row r="16" spans="2:7" x14ac:dyDescent="0.2">
      <c r="C16" s="62" t="s">
        <v>17</v>
      </c>
      <c r="D16" s="154">
        <f>(D15-D14)/D14</f>
        <v>8.4206118961046173E-3</v>
      </c>
      <c r="E16" s="61"/>
      <c r="G16" s="2"/>
    </row>
    <row r="17" spans="3:7" x14ac:dyDescent="0.2">
      <c r="C17" s="67" t="s">
        <v>18</v>
      </c>
      <c r="D17" s="68">
        <f>D13/(D8*24*50)</f>
        <v>0.23028042580235145</v>
      </c>
      <c r="E17" s="61"/>
    </row>
    <row r="18" spans="3:7" ht="15" thickBot="1" x14ac:dyDescent="0.25">
      <c r="C18" s="18" t="s">
        <v>19</v>
      </c>
      <c r="D18" s="8"/>
      <c r="E18" s="8"/>
      <c r="F18" s="8"/>
      <c r="G18" s="8"/>
    </row>
    <row r="19" spans="3:7" ht="47" x14ac:dyDescent="0.2">
      <c r="C19" s="41" t="s">
        <v>20</v>
      </c>
      <c r="D19" s="42" t="s">
        <v>21</v>
      </c>
      <c r="E19" s="43" t="s">
        <v>22</v>
      </c>
      <c r="F19" s="44" t="s">
        <v>23</v>
      </c>
      <c r="G19" s="42" t="s">
        <v>24</v>
      </c>
    </row>
    <row r="20" spans="3:7" x14ac:dyDescent="0.2">
      <c r="C20" s="45">
        <v>2021</v>
      </c>
      <c r="D20" s="54">
        <f>ROUNDDOWN(SUM('Generation sheet_PDPL(UP)'!J9:J20),0)</f>
        <v>96559</v>
      </c>
      <c r="E20" s="46">
        <v>0</v>
      </c>
      <c r="F20" s="46">
        <v>0</v>
      </c>
      <c r="G20" s="55">
        <f>D20-E20-F20</f>
        <v>96559</v>
      </c>
    </row>
    <row r="21" spans="3:7" x14ac:dyDescent="0.2">
      <c r="C21" s="16">
        <v>2022</v>
      </c>
      <c r="D21" s="54">
        <f>ROUNDDOWN(SUM('Generation sheet_PDPL(UP)'!J22:J33),0)</f>
        <v>96334</v>
      </c>
      <c r="E21" s="9">
        <v>0</v>
      </c>
      <c r="F21" s="9">
        <v>0</v>
      </c>
      <c r="G21" s="56">
        <f t="shared" ref="G21:G22" si="0">+(D21-E21-F21)</f>
        <v>96334</v>
      </c>
    </row>
    <row r="22" spans="3:7" ht="15" thickBot="1" x14ac:dyDescent="0.25">
      <c r="C22" s="17">
        <v>2023</v>
      </c>
      <c r="D22" s="10">
        <f>ROUNDDOWN(SUM('Generation sheet_PDPL(UP)'!J35:J45),0)</f>
        <v>80141</v>
      </c>
      <c r="E22" s="10">
        <v>0</v>
      </c>
      <c r="F22" s="10">
        <v>0</v>
      </c>
      <c r="G22" s="57">
        <f t="shared" si="0"/>
        <v>80141</v>
      </c>
    </row>
    <row r="23" spans="3:7" ht="16" thickBot="1" x14ac:dyDescent="0.25">
      <c r="C23" s="1" t="s">
        <v>25</v>
      </c>
      <c r="D23" s="19">
        <f>ROUNDDOWN(SUM(D20:D22),0)</f>
        <v>273034</v>
      </c>
      <c r="E23" s="11"/>
      <c r="F23" s="11">
        <v>0</v>
      </c>
      <c r="G23" s="12">
        <f>ROUNDDOWN(SUM(G20:G22),0)</f>
        <v>273034</v>
      </c>
    </row>
    <row r="26" spans="3:7" x14ac:dyDescent="0.2">
      <c r="D26" s="155"/>
    </row>
  </sheetData>
  <mergeCells count="6">
    <mergeCell ref="D3:E3"/>
    <mergeCell ref="D5:E5"/>
    <mergeCell ref="D6:E6"/>
    <mergeCell ref="D7:E7"/>
    <mergeCell ref="D8:E8"/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CO52"/>
  <sheetViews>
    <sheetView showGridLines="0" tabSelected="1" topLeftCell="C33" zoomScale="162" zoomScaleNormal="80" workbookViewId="0">
      <selection activeCell="H47" sqref="H47"/>
    </sheetView>
  </sheetViews>
  <sheetFormatPr baseColWidth="10" defaultColWidth="9.33203125" defaultRowHeight="15" x14ac:dyDescent="0.2"/>
  <cols>
    <col min="1" max="1" width="9.33203125" style="39"/>
    <col min="2" max="2" width="14.5" style="39" bestFit="1" customWidth="1"/>
    <col min="3" max="3" width="26.33203125" style="49" customWidth="1"/>
    <col min="4" max="4" width="23.33203125" style="39" customWidth="1"/>
    <col min="5" max="5" width="19.83203125" style="39" customWidth="1"/>
    <col min="6" max="6" width="22" style="39" customWidth="1"/>
    <col min="7" max="7" width="15.6640625" style="39" bestFit="1" customWidth="1"/>
    <col min="8" max="8" width="11.6640625" style="39" bestFit="1" customWidth="1"/>
    <col min="9" max="9" width="12.6640625" style="40" bestFit="1" customWidth="1"/>
    <col min="10" max="10" width="19.6640625" style="39" bestFit="1" customWidth="1"/>
    <col min="11" max="11" width="27.5" style="39" customWidth="1"/>
    <col min="12" max="16384" width="9.33203125" style="39"/>
  </cols>
  <sheetData>
    <row r="5" spans="3:14" ht="16" thickBot="1" x14ac:dyDescent="0.25"/>
    <row r="6" spans="3:14" x14ac:dyDescent="0.2">
      <c r="C6" s="128" t="s">
        <v>3</v>
      </c>
      <c r="D6" s="129"/>
      <c r="E6" s="129"/>
      <c r="F6" s="129"/>
      <c r="G6" s="129"/>
      <c r="H6" s="129"/>
      <c r="I6" s="129"/>
      <c r="J6" s="129"/>
      <c r="K6" s="53"/>
    </row>
    <row r="7" spans="3:14" ht="15.75" customHeight="1" x14ac:dyDescent="0.2">
      <c r="C7" s="130" t="s">
        <v>26</v>
      </c>
      <c r="D7" s="69" t="s">
        <v>27</v>
      </c>
      <c r="E7" s="133" t="s">
        <v>28</v>
      </c>
      <c r="F7" s="133"/>
      <c r="G7" s="133"/>
      <c r="H7" s="132" t="s">
        <v>29</v>
      </c>
      <c r="I7" s="131" t="s">
        <v>30</v>
      </c>
      <c r="J7" s="131" t="s">
        <v>31</v>
      </c>
      <c r="K7" s="134" t="s">
        <v>32</v>
      </c>
    </row>
    <row r="8" spans="3:14" ht="32" x14ac:dyDescent="0.2">
      <c r="C8" s="130"/>
      <c r="D8" s="76" t="s">
        <v>50</v>
      </c>
      <c r="E8" s="76" t="s">
        <v>51</v>
      </c>
      <c r="F8" s="76" t="s">
        <v>52</v>
      </c>
      <c r="G8" s="76" t="s">
        <v>53</v>
      </c>
      <c r="H8" s="133"/>
      <c r="I8" s="131"/>
      <c r="J8" s="131"/>
      <c r="K8" s="135"/>
    </row>
    <row r="9" spans="3:14" x14ac:dyDescent="0.2">
      <c r="C9" s="77">
        <v>44197</v>
      </c>
      <c r="D9" s="78">
        <v>7344.8400099999999</v>
      </c>
      <c r="E9" s="70">
        <f>1518571+1436365+1370745+1545860+1517758</f>
        <v>7389299</v>
      </c>
      <c r="F9" s="71">
        <f>7688+13325+7700+7892+7856</f>
        <v>44461</v>
      </c>
      <c r="G9" s="78">
        <f t="shared" ref="G9:G32" si="0">(E9-F9)/1000</f>
        <v>7344.8379999999997</v>
      </c>
      <c r="H9" s="79">
        <f>MIN(D9,G9)</f>
        <v>7344.8379999999997</v>
      </c>
      <c r="I9" s="80">
        <v>0.94189999999999996</v>
      </c>
      <c r="J9" s="78">
        <f>H9*I9</f>
        <v>6918.1029121999991</v>
      </c>
      <c r="K9" s="136">
        <f>ROUNDDOWN(SUM(J9:J20),0)</f>
        <v>96559</v>
      </c>
    </row>
    <row r="10" spans="3:14" ht="15" customHeight="1" x14ac:dyDescent="0.2">
      <c r="C10" s="77">
        <v>44228</v>
      </c>
      <c r="D10" s="81">
        <v>9232.7099899999994</v>
      </c>
      <c r="E10" s="70">
        <f>1905056+1803242+1724895+1918746+1912481</f>
        <v>9264420</v>
      </c>
      <c r="F10" s="71">
        <f>5463+9392+5484+5639+5732</f>
        <v>31710</v>
      </c>
      <c r="G10" s="81">
        <f t="shared" si="0"/>
        <v>9232.7099999999991</v>
      </c>
      <c r="H10" s="79">
        <f>MIN(D10,G10)</f>
        <v>9232.7099899999994</v>
      </c>
      <c r="I10" s="82">
        <v>0.94189999999999996</v>
      </c>
      <c r="J10" s="81">
        <f>H10*I10</f>
        <v>8696.2895395809992</v>
      </c>
      <c r="K10" s="137"/>
      <c r="N10" s="48"/>
    </row>
    <row r="11" spans="3:14" ht="15.75" customHeight="1" x14ac:dyDescent="0.2">
      <c r="C11" s="77">
        <v>44256</v>
      </c>
      <c r="D11" s="81">
        <v>10488.660020000001</v>
      </c>
      <c r="E11" s="70">
        <f>2154612+2044732+1949827+2196931+2176939</f>
        <v>10523041</v>
      </c>
      <c r="F11" s="71">
        <f>5968+9985+5968+6208+6250</f>
        <v>34379</v>
      </c>
      <c r="G11" s="81">
        <f t="shared" si="0"/>
        <v>10488.662</v>
      </c>
      <c r="H11" s="79">
        <f t="shared" ref="H11:H45" si="1">MIN(D11,G11)</f>
        <v>10488.660020000001</v>
      </c>
      <c r="I11" s="82">
        <v>0.94189999999999996</v>
      </c>
      <c r="J11" s="81">
        <f t="shared" ref="J11:J45" si="2">H11*I11</f>
        <v>9879.2688728379999</v>
      </c>
      <c r="K11" s="137"/>
      <c r="N11" s="48"/>
    </row>
    <row r="12" spans="3:14" ht="15.75" customHeight="1" x14ac:dyDescent="0.2">
      <c r="C12" s="77">
        <v>44287</v>
      </c>
      <c r="D12" s="81">
        <v>9708.1799900000005</v>
      </c>
      <c r="E12" s="70">
        <f>1947716+1894730+1813713+2060408+2020174</f>
        <v>9736741</v>
      </c>
      <c r="F12" s="71">
        <f>5558+5948+5455+5742+5856</f>
        <v>28559</v>
      </c>
      <c r="G12" s="81">
        <f t="shared" si="0"/>
        <v>9708.1820000000007</v>
      </c>
      <c r="H12" s="79">
        <f t="shared" si="1"/>
        <v>9708.1799900000005</v>
      </c>
      <c r="I12" s="84">
        <v>0.94189999999999996</v>
      </c>
      <c r="J12" s="79">
        <f t="shared" si="2"/>
        <v>9144.1347325810002</v>
      </c>
      <c r="K12" s="137"/>
      <c r="N12" s="48"/>
    </row>
    <row r="13" spans="3:14" ht="15.75" customHeight="1" x14ac:dyDescent="0.2">
      <c r="C13" s="77">
        <v>44317</v>
      </c>
      <c r="D13" s="81">
        <v>9703.4699899999996</v>
      </c>
      <c r="E13" s="70">
        <f>1995736+1898509+1798988+2034971+2004216</f>
        <v>9732420</v>
      </c>
      <c r="F13" s="71">
        <f>5573+5946+5595+5992+5844</f>
        <v>28950</v>
      </c>
      <c r="G13" s="81">
        <f t="shared" si="0"/>
        <v>9703.4699999999993</v>
      </c>
      <c r="H13" s="79">
        <f t="shared" si="1"/>
        <v>9703.4699899999996</v>
      </c>
      <c r="I13" s="82">
        <v>0.94189999999999996</v>
      </c>
      <c r="J13" s="81">
        <f t="shared" si="2"/>
        <v>9139.6983835809988</v>
      </c>
      <c r="K13" s="137"/>
      <c r="N13" s="48"/>
    </row>
    <row r="14" spans="3:14" ht="15.75" customHeight="1" x14ac:dyDescent="0.2">
      <c r="C14" s="77">
        <v>44348</v>
      </c>
      <c r="D14" s="81">
        <v>9284.73</v>
      </c>
      <c r="E14" s="70">
        <f>1915883+1815686+1738361+1925689+1915871</f>
        <v>9311490</v>
      </c>
      <c r="F14" s="71">
        <f>5233+5457+5245+5502+5323</f>
        <v>26760</v>
      </c>
      <c r="G14" s="81">
        <f t="shared" si="0"/>
        <v>9284.73</v>
      </c>
      <c r="H14" s="79">
        <f t="shared" si="1"/>
        <v>9284.73</v>
      </c>
      <c r="I14" s="82">
        <v>0.94189999999999996</v>
      </c>
      <c r="J14" s="81">
        <f t="shared" si="2"/>
        <v>8745.2871869999999</v>
      </c>
      <c r="K14" s="137"/>
      <c r="N14" s="48"/>
    </row>
    <row r="15" spans="3:14" ht="15.75" customHeight="1" x14ac:dyDescent="0.2">
      <c r="C15" s="77">
        <v>44378</v>
      </c>
      <c r="D15" s="81">
        <v>7520.0999999999995</v>
      </c>
      <c r="E15" s="70">
        <f>1553978+1481728+1413048+1572356+1528090</f>
        <v>7549200</v>
      </c>
      <c r="F15" s="71">
        <f>6125+5923+5710+5811+5531</f>
        <v>29100</v>
      </c>
      <c r="G15" s="81">
        <f t="shared" si="0"/>
        <v>7520.1</v>
      </c>
      <c r="H15" s="79">
        <f t="shared" si="1"/>
        <v>7520.0999999999995</v>
      </c>
      <c r="I15" s="82">
        <v>0.94189999999999996</v>
      </c>
      <c r="J15" s="81">
        <f t="shared" si="2"/>
        <v>7083.1821899999995</v>
      </c>
      <c r="K15" s="137"/>
      <c r="N15" s="48"/>
    </row>
    <row r="16" spans="3:14" ht="12.75" customHeight="1" x14ac:dyDescent="0.2">
      <c r="C16" s="77">
        <v>44409</v>
      </c>
      <c r="D16" s="81">
        <v>7329.5399900000002</v>
      </c>
      <c r="E16" s="70">
        <f>1442510+1448469+1383204+1548735+1539082</f>
        <v>7362000</v>
      </c>
      <c r="F16" s="71">
        <f>6283+6800+6513+6501+6363</f>
        <v>32460</v>
      </c>
      <c r="G16" s="81">
        <f t="shared" si="0"/>
        <v>7329.54</v>
      </c>
      <c r="H16" s="79">
        <f>MIN(D16,G16)</f>
        <v>7329.5399900000002</v>
      </c>
      <c r="I16" s="82">
        <v>0.94189999999999996</v>
      </c>
      <c r="J16" s="81">
        <f t="shared" si="2"/>
        <v>6903.6937165809995</v>
      </c>
      <c r="K16" s="137"/>
      <c r="N16" s="48"/>
    </row>
    <row r="17" spans="1:93" ht="15.75" customHeight="1" x14ac:dyDescent="0.2">
      <c r="C17" s="77">
        <v>44440</v>
      </c>
      <c r="D17" s="81">
        <v>8176.14</v>
      </c>
      <c r="E17" s="70">
        <f>1681314+1601156+1536112+1701341+1689847</f>
        <v>8209770</v>
      </c>
      <c r="F17" s="71">
        <f>6938+7266+6735+6464+6227</f>
        <v>33630</v>
      </c>
      <c r="G17" s="81">
        <f t="shared" si="0"/>
        <v>8176.14</v>
      </c>
      <c r="H17" s="79">
        <f t="shared" si="1"/>
        <v>8176.14</v>
      </c>
      <c r="I17" s="82">
        <v>0.94189999999999996</v>
      </c>
      <c r="J17" s="81">
        <f t="shared" si="2"/>
        <v>7701.1062659999998</v>
      </c>
      <c r="K17" s="137"/>
    </row>
    <row r="18" spans="1:93" ht="15.75" customHeight="1" x14ac:dyDescent="0.2">
      <c r="C18" s="77">
        <v>44470</v>
      </c>
      <c r="D18" s="81">
        <v>9199.9800099999993</v>
      </c>
      <c r="E18" s="70">
        <f>1894824+1810602+1710768+1914175+1914701</f>
        <v>9245070</v>
      </c>
      <c r="F18" s="71">
        <f>8866+12331+12062+6016+5814</f>
        <v>45089</v>
      </c>
      <c r="G18" s="81">
        <f t="shared" si="0"/>
        <v>9199.9809999999998</v>
      </c>
      <c r="H18" s="79">
        <f t="shared" si="1"/>
        <v>9199.9800099999993</v>
      </c>
      <c r="I18" s="82">
        <v>0.94189999999999996</v>
      </c>
      <c r="J18" s="81">
        <f t="shared" si="2"/>
        <v>8665.4611714189996</v>
      </c>
      <c r="K18" s="137"/>
    </row>
    <row r="19" spans="1:93" ht="15.75" customHeight="1" x14ac:dyDescent="0.2">
      <c r="C19" s="77">
        <v>44501</v>
      </c>
      <c r="D19" s="81">
        <v>7454.4299900000015</v>
      </c>
      <c r="E19" s="70">
        <f>1530118+1482982+1367483+1572045+1545932</f>
        <v>7498560</v>
      </c>
      <c r="F19" s="71">
        <f>8583+11705+11935+6044+5862</f>
        <v>44129</v>
      </c>
      <c r="G19" s="81">
        <f t="shared" si="0"/>
        <v>7454.4309999999996</v>
      </c>
      <c r="H19" s="79">
        <f t="shared" si="1"/>
        <v>7454.4299900000015</v>
      </c>
      <c r="I19" s="82">
        <v>0.94189999999999996</v>
      </c>
      <c r="J19" s="81">
        <f t="shared" si="2"/>
        <v>7021.3276075810008</v>
      </c>
      <c r="K19" s="137"/>
    </row>
    <row r="20" spans="1:93" ht="15" customHeight="1" x14ac:dyDescent="0.2">
      <c r="C20" s="77">
        <v>44531</v>
      </c>
      <c r="D20" s="81">
        <v>7072.6799900000005</v>
      </c>
      <c r="E20" s="70">
        <f>1450888+1396641+1324152+1485612+1460147</f>
        <v>7117440</v>
      </c>
      <c r="F20" s="71">
        <f>8782+11897+12088+6087+5906</f>
        <v>44760</v>
      </c>
      <c r="G20" s="81">
        <f t="shared" si="0"/>
        <v>7072.68</v>
      </c>
      <c r="H20" s="79">
        <f t="shared" si="1"/>
        <v>7072.6799900000005</v>
      </c>
      <c r="I20" s="82">
        <v>0.94189999999999996</v>
      </c>
      <c r="J20" s="81">
        <f t="shared" si="2"/>
        <v>6661.7572825810003</v>
      </c>
      <c r="K20" s="138"/>
    </row>
    <row r="21" spans="1:93" ht="15" customHeight="1" x14ac:dyDescent="0.2">
      <c r="C21" s="77" t="s">
        <v>33</v>
      </c>
      <c r="D21" s="86">
        <f>SUM(D9:D20)</f>
        <v>102515.45998</v>
      </c>
      <c r="E21" s="64">
        <f>SUM(E8:E20)</f>
        <v>102939451</v>
      </c>
      <c r="F21" s="63">
        <f>SUM(F9:F20)</f>
        <v>423987</v>
      </c>
      <c r="G21" s="86">
        <f>SUM(G9:G20)</f>
        <v>102515.46400000001</v>
      </c>
      <c r="H21" s="87">
        <f>ROUNDDOWN(SUM(H9:H20),0)</f>
        <v>102515</v>
      </c>
      <c r="I21" s="88"/>
      <c r="J21" s="86">
        <f>ROUNDDOWN(SUM(J9:J20),0)</f>
        <v>96559</v>
      </c>
      <c r="K21" s="83"/>
    </row>
    <row r="22" spans="1:93" ht="15.75" customHeight="1" x14ac:dyDescent="0.2">
      <c r="C22" s="77">
        <v>44562</v>
      </c>
      <c r="D22" s="81">
        <v>6584.3100100000001</v>
      </c>
      <c r="E22" s="70">
        <f>1362560+1286772+1221664+1379538+1367646</f>
        <v>6618180</v>
      </c>
      <c r="F22" s="71">
        <f>6622+6751+5918+7477+7102</f>
        <v>33870</v>
      </c>
      <c r="G22" s="81">
        <f t="shared" si="0"/>
        <v>6584.31</v>
      </c>
      <c r="H22" s="79">
        <f t="shared" si="1"/>
        <v>6584.31</v>
      </c>
      <c r="I22" s="82">
        <v>0.94189999999999996</v>
      </c>
      <c r="J22" s="81">
        <f t="shared" si="2"/>
        <v>6201.7615889999997</v>
      </c>
      <c r="K22" s="136">
        <f>ROUNDDOWN(SUM(J22:J33),0)</f>
        <v>96334</v>
      </c>
    </row>
    <row r="23" spans="1:93" ht="14.75" customHeight="1" x14ac:dyDescent="0.2">
      <c r="C23" s="77">
        <v>44593</v>
      </c>
      <c r="D23" s="81">
        <v>9638.2799900000009</v>
      </c>
      <c r="E23" s="70">
        <f>1984013+1886693+1788595+2015062+2000517</f>
        <v>9674880</v>
      </c>
      <c r="F23" s="71">
        <f>7420+9404+9225+5425+5126</f>
        <v>36600</v>
      </c>
      <c r="G23" s="81">
        <f t="shared" si="0"/>
        <v>9638.2800000000007</v>
      </c>
      <c r="H23" s="79">
        <f t="shared" si="1"/>
        <v>9638.2799900000009</v>
      </c>
      <c r="I23" s="82">
        <v>0.94189999999999996</v>
      </c>
      <c r="J23" s="81">
        <f t="shared" si="2"/>
        <v>9078.2959225810009</v>
      </c>
      <c r="K23" s="137"/>
    </row>
    <row r="24" spans="1:93" ht="14.75" customHeight="1" x14ac:dyDescent="0.2">
      <c r="C24" s="77">
        <v>44621</v>
      </c>
      <c r="D24" s="81">
        <v>10727.49</v>
      </c>
      <c r="E24" s="70">
        <f>2202725+2105001+1994614.45+2237482+2227656.65</f>
        <v>10767479.1</v>
      </c>
      <c r="F24" s="71">
        <f>8060+10932+9920+5656+5422</f>
        <v>39990</v>
      </c>
      <c r="G24" s="81">
        <f t="shared" si="0"/>
        <v>10727.489099999999</v>
      </c>
      <c r="H24" s="79">
        <f t="shared" si="1"/>
        <v>10727.489099999999</v>
      </c>
      <c r="I24" s="82">
        <v>0.94189999999999996</v>
      </c>
      <c r="J24" s="81">
        <f t="shared" si="2"/>
        <v>10104.221983289999</v>
      </c>
      <c r="K24" s="137"/>
    </row>
    <row r="25" spans="1:93" ht="15" customHeight="1" x14ac:dyDescent="0.2">
      <c r="C25" s="77">
        <v>44652</v>
      </c>
      <c r="D25" s="81">
        <v>10238.19001</v>
      </c>
      <c r="E25" s="72">
        <f>2095406.3+2018270.68+1893806.17+2142514.22+2125302.63</f>
        <v>10275300</v>
      </c>
      <c r="F25" s="71">
        <f>7274.95+10477.09+9470.98+5040.23+4846.74</f>
        <v>37109.99</v>
      </c>
      <c r="G25" s="81">
        <f t="shared" si="0"/>
        <v>10238.19001</v>
      </c>
      <c r="H25" s="79">
        <f t="shared" si="1"/>
        <v>10238.19001</v>
      </c>
      <c r="I25" s="82">
        <v>0.94189999999999996</v>
      </c>
      <c r="J25" s="81">
        <f t="shared" si="2"/>
        <v>9643.3511704190005</v>
      </c>
      <c r="K25" s="137"/>
    </row>
    <row r="26" spans="1:93" ht="15" customHeight="1" x14ac:dyDescent="0.2">
      <c r="C26" s="77">
        <v>44682</v>
      </c>
      <c r="D26" s="81">
        <v>9860</v>
      </c>
      <c r="E26" s="73">
        <f>2016497.58+1932400.95+ 1824571.9+ 2047682.96+2038826.6</f>
        <v>9859979.9900000002</v>
      </c>
      <c r="F26" s="74">
        <f xml:space="preserve"> 6969.22+ 10377.46+ 9690.09+ 4811.63+ 4601.6</f>
        <v>36450</v>
      </c>
      <c r="G26" s="81">
        <f t="shared" si="0"/>
        <v>9823.5299900000009</v>
      </c>
      <c r="H26" s="79">
        <f t="shared" si="1"/>
        <v>9823.5299900000009</v>
      </c>
      <c r="I26" s="82">
        <v>0.94189999999999996</v>
      </c>
      <c r="J26" s="81">
        <f t="shared" si="2"/>
        <v>9252.7828975810007</v>
      </c>
      <c r="K26" s="137"/>
    </row>
    <row r="27" spans="1:93" ht="15" customHeight="1" x14ac:dyDescent="0.2">
      <c r="C27" s="77">
        <v>44713</v>
      </c>
      <c r="D27" s="81">
        <v>9425.25</v>
      </c>
      <c r="E27" s="72">
        <f>1933167.5+1844360.91+1733406.42+1967007.4+1947307.77</f>
        <v>9425250</v>
      </c>
      <c r="F27" s="71">
        <f>6851.62+10083.16+9524.03+4520.36+4330.83</f>
        <v>35310</v>
      </c>
      <c r="G27" s="81">
        <f t="shared" si="0"/>
        <v>9389.94</v>
      </c>
      <c r="H27" s="79">
        <f t="shared" si="1"/>
        <v>9389.94</v>
      </c>
      <c r="I27" s="82">
        <v>0.94189999999999996</v>
      </c>
      <c r="J27" s="81">
        <f t="shared" si="2"/>
        <v>8844.3844860000008</v>
      </c>
      <c r="K27" s="137"/>
      <c r="CN27" s="37"/>
      <c r="CO27" s="37"/>
    </row>
    <row r="28" spans="1:93" ht="15" customHeight="1" x14ac:dyDescent="0.2">
      <c r="C28" s="77">
        <v>44743</v>
      </c>
      <c r="D28" s="81">
        <v>8339.9699999999993</v>
      </c>
      <c r="E28" s="70">
        <f>1697402.25+1628118.21+1546461.8+1733796.82+1734190.92</f>
        <v>8339970</v>
      </c>
      <c r="F28" s="71">
        <f>7127.02+10188.35+9377.15+4799.63+4567.86</f>
        <v>36060.01</v>
      </c>
      <c r="G28" s="81">
        <f t="shared" si="0"/>
        <v>8303.9099900000001</v>
      </c>
      <c r="H28" s="79">
        <f t="shared" si="1"/>
        <v>8303.9099900000001</v>
      </c>
      <c r="I28" s="82">
        <v>0.94189999999999996</v>
      </c>
      <c r="J28" s="81">
        <f t="shared" si="2"/>
        <v>7821.4528195809999</v>
      </c>
      <c r="K28" s="137"/>
      <c r="CN28" s="37"/>
      <c r="CO28" s="37"/>
    </row>
    <row r="29" spans="1:93" ht="15" customHeight="1" x14ac:dyDescent="0.2">
      <c r="C29" s="77">
        <v>44774</v>
      </c>
      <c r="D29" s="81">
        <v>6302.4899799999994</v>
      </c>
      <c r="E29" s="70">
        <f>1200982.89+1350042.3+780026.03+1498809.17+1472629.59</f>
        <v>6302489.9799999995</v>
      </c>
      <c r="F29" s="71">
        <f>6910.39+9676.54+6622.87+6077.58+6652.62</f>
        <v>35940</v>
      </c>
      <c r="G29" s="81">
        <f t="shared" si="0"/>
        <v>6266.5499799999998</v>
      </c>
      <c r="H29" s="79">
        <f t="shared" si="1"/>
        <v>6266.5499799999998</v>
      </c>
      <c r="I29" s="82">
        <v>0.94189999999999996</v>
      </c>
      <c r="J29" s="81">
        <f t="shared" si="2"/>
        <v>5902.4634261619995</v>
      </c>
      <c r="K29" s="137"/>
      <c r="CN29" s="37"/>
      <c r="CO29" s="37"/>
    </row>
    <row r="30" spans="1:93" ht="15" customHeight="1" x14ac:dyDescent="0.2">
      <c r="C30" s="77">
        <v>44805</v>
      </c>
      <c r="D30" s="81">
        <v>7335.8900100000001</v>
      </c>
      <c r="E30" s="72">
        <f>1451618+1439555.18+1224996.21+1613953.94+1605766.68</f>
        <v>7335890.0099999998</v>
      </c>
      <c r="F30" s="71">
        <f>8850.32+9688.77+4583.54+12446.35+7751.02</f>
        <v>43320</v>
      </c>
      <c r="G30" s="81">
        <f t="shared" si="0"/>
        <v>7292.5700099999995</v>
      </c>
      <c r="H30" s="79">
        <f t="shared" si="1"/>
        <v>7292.5700099999995</v>
      </c>
      <c r="I30" s="82">
        <v>0.94189999999999996</v>
      </c>
      <c r="J30" s="81">
        <f t="shared" si="2"/>
        <v>6868.8716924189994</v>
      </c>
      <c r="K30" s="137"/>
      <c r="CN30" s="37"/>
      <c r="CO30" s="37"/>
    </row>
    <row r="31" spans="1:93" s="37" customFormat="1" ht="15" customHeight="1" x14ac:dyDescent="0.2">
      <c r="B31" s="39"/>
      <c r="C31" s="77">
        <v>44835</v>
      </c>
      <c r="D31" s="89">
        <v>7766.67</v>
      </c>
      <c r="E31" s="70">
        <f>1539821.45+1616398.54+1159427.02+1734911.14+1716111.85</f>
        <v>7766670</v>
      </c>
      <c r="F31" s="71">
        <f>8392.72+9240.56+4267.81+13336.89+7602.03</f>
        <v>42840.009999999995</v>
      </c>
      <c r="G31" s="89">
        <f t="shared" si="0"/>
        <v>7723.8299900000002</v>
      </c>
      <c r="H31" s="79">
        <f t="shared" si="1"/>
        <v>7723.8299900000002</v>
      </c>
      <c r="I31" s="90">
        <v>0.94189999999999996</v>
      </c>
      <c r="J31" s="89">
        <f t="shared" si="2"/>
        <v>7275.0754675809994</v>
      </c>
      <c r="K31" s="137"/>
    </row>
    <row r="32" spans="1:93" s="38" customFormat="1" ht="17.75" customHeight="1" x14ac:dyDescent="0.2">
      <c r="A32" s="37"/>
      <c r="B32" s="39"/>
      <c r="C32" s="77">
        <v>44866</v>
      </c>
      <c r="D32" s="89">
        <v>8287.9999900000003</v>
      </c>
      <c r="E32" s="75">
        <f>1584338.2+1553872.8+1393157.21+1653442.49+1657039.31</f>
        <v>7841850.0099999998</v>
      </c>
      <c r="F32" s="71">
        <f>7600.42+8184.36+5784.71+13074.91+7025.6</f>
        <v>41669.999999999993</v>
      </c>
      <c r="G32" s="89">
        <f t="shared" si="0"/>
        <v>7800.18001</v>
      </c>
      <c r="H32" s="79">
        <f t="shared" si="1"/>
        <v>7800.18001</v>
      </c>
      <c r="I32" s="90">
        <v>0.94189999999999996</v>
      </c>
      <c r="J32" s="89">
        <f t="shared" si="2"/>
        <v>7346.9895514189993</v>
      </c>
      <c r="K32" s="1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</row>
    <row r="33" spans="1:93" s="38" customFormat="1" ht="17.75" customHeight="1" x14ac:dyDescent="0.2">
      <c r="A33" s="37"/>
      <c r="B33" s="39"/>
      <c r="C33" s="77">
        <v>44896</v>
      </c>
      <c r="D33" s="89">
        <v>8530.0499999999993</v>
      </c>
      <c r="E33" s="70">
        <f>1719389.55+1665281.17+1610903.98+1765606.87+1768868.43</f>
        <v>8530050</v>
      </c>
      <c r="F33" s="71">
        <f>7209.33+8369.13+9222.75+9779.45+7209.33</f>
        <v>41789.990000000005</v>
      </c>
      <c r="G33" s="89">
        <f t="shared" ref="G33:G45" si="3">(E33-F33)/1000</f>
        <v>8488.26001</v>
      </c>
      <c r="H33" s="79">
        <f t="shared" si="1"/>
        <v>8488.26001</v>
      </c>
      <c r="I33" s="90">
        <v>0.94189999999999996</v>
      </c>
      <c r="J33" s="89">
        <f t="shared" si="2"/>
        <v>7995.0921034189996</v>
      </c>
      <c r="K33" s="138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</row>
    <row r="34" spans="1:93" s="38" customFormat="1" ht="17.75" customHeight="1" x14ac:dyDescent="0.2">
      <c r="A34" s="37"/>
      <c r="B34" s="39"/>
      <c r="C34" s="77" t="s">
        <v>34</v>
      </c>
      <c r="D34" s="91">
        <f>SUM(D22:D33)</f>
        <v>103036.58999000001</v>
      </c>
      <c r="E34" s="92">
        <f>SUM(E22:E33)</f>
        <v>102737989.09000002</v>
      </c>
      <c r="F34" s="63">
        <f>SUM(F22:F33)</f>
        <v>460950</v>
      </c>
      <c r="G34" s="91">
        <f>SUM(G22:G33)</f>
        <v>102277.03908999999</v>
      </c>
      <c r="H34" s="87">
        <f>ROUNDDOWN(SUM(H22:H33),0)</f>
        <v>102277</v>
      </c>
      <c r="I34" s="93"/>
      <c r="J34" s="91">
        <f>ROUNDDOWN(SUM(J22:J33),0)</f>
        <v>96334</v>
      </c>
      <c r="K34" s="83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</row>
    <row r="35" spans="1:93" s="38" customFormat="1" ht="17.75" customHeight="1" x14ac:dyDescent="0.2">
      <c r="A35" s="37"/>
      <c r="B35" s="39"/>
      <c r="C35" s="77">
        <v>44927</v>
      </c>
      <c r="D35" s="89">
        <v>7031.4</v>
      </c>
      <c r="E35" s="70">
        <f>1434941.93+1379992.83+1288616.06+1468204.05+1459645.13</f>
        <v>7031400</v>
      </c>
      <c r="F35" s="71">
        <f>7458.83+7774.64+9929.62+13626.53+7830.38</f>
        <v>46620</v>
      </c>
      <c r="G35" s="89">
        <f t="shared" si="3"/>
        <v>6984.78</v>
      </c>
      <c r="H35" s="79">
        <f t="shared" si="1"/>
        <v>6984.78</v>
      </c>
      <c r="I35" s="90">
        <v>0.94189999999999996</v>
      </c>
      <c r="J35" s="89">
        <f t="shared" si="2"/>
        <v>6578.9642819999999</v>
      </c>
      <c r="K35" s="136">
        <f>ROUNDDOWN(SUM(J35:J45),0)</f>
        <v>80141</v>
      </c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</row>
    <row r="36" spans="1:93" s="38" customFormat="1" ht="17.75" customHeight="1" x14ac:dyDescent="0.2">
      <c r="A36" s="37"/>
      <c r="B36" s="39"/>
      <c r="C36" s="77">
        <v>44958</v>
      </c>
      <c r="D36" s="89">
        <v>9596.3099899999997</v>
      </c>
      <c r="E36" s="70">
        <f>1945085.86+1899824.22+1805054.3+1999013.99+1947331.62</f>
        <v>9596309.9900000002</v>
      </c>
      <c r="F36" s="71">
        <f>7139.14+6926.99+8467.35+9850.9+6705.62</f>
        <v>39090.000000000007</v>
      </c>
      <c r="G36" s="89">
        <f t="shared" si="3"/>
        <v>9557.2199899999996</v>
      </c>
      <c r="H36" s="79">
        <f t="shared" si="1"/>
        <v>9557.2199899999996</v>
      </c>
      <c r="I36" s="90">
        <v>0.94189999999999996</v>
      </c>
      <c r="J36" s="89">
        <f t="shared" si="2"/>
        <v>9001.9455085809986</v>
      </c>
      <c r="K36" s="1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</row>
    <row r="37" spans="1:93" s="38" customFormat="1" ht="17.75" customHeight="1" x14ac:dyDescent="0.2">
      <c r="A37" s="37"/>
      <c r="B37" s="39"/>
      <c r="C37" s="77">
        <v>44986</v>
      </c>
      <c r="D37" s="89">
        <v>9652.2000000000007</v>
      </c>
      <c r="E37" s="70">
        <f>2004748.61+1915243.33+1786348.8+2010984+1934875.25</f>
        <v>9652199.9900000002</v>
      </c>
      <c r="F37" s="71">
        <f>8428.72+7393.62+7127.45+7176.74+7403.48</f>
        <v>37530.009999999995</v>
      </c>
      <c r="G37" s="89">
        <f t="shared" si="3"/>
        <v>9614.6699800000006</v>
      </c>
      <c r="H37" s="79">
        <f t="shared" si="1"/>
        <v>9614.6699800000006</v>
      </c>
      <c r="I37" s="90">
        <v>0.94189999999999996</v>
      </c>
      <c r="J37" s="89">
        <f t="shared" si="2"/>
        <v>9056.0576541619994</v>
      </c>
      <c r="K37" s="1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</row>
    <row r="38" spans="1:93" s="38" customFormat="1" ht="17.75" customHeight="1" x14ac:dyDescent="0.2">
      <c r="A38" s="37"/>
      <c r="B38" s="39"/>
      <c r="C38" s="77">
        <v>45017</v>
      </c>
      <c r="D38" s="89">
        <v>9500.3465999999989</v>
      </c>
      <c r="E38" s="70">
        <f>1941081.35+1866640.52+1773178.9+1953479.2+1965966.63</f>
        <v>9500346.5999999996</v>
      </c>
      <c r="F38" s="71">
        <f>6552.83+6514.46+7857.64+7339.56+8414.11</f>
        <v>36678.600000000006</v>
      </c>
      <c r="G38" s="89">
        <f t="shared" si="3"/>
        <v>9463.6679999999997</v>
      </c>
      <c r="H38" s="79">
        <f t="shared" si="1"/>
        <v>9463.6679999999997</v>
      </c>
      <c r="I38" s="90">
        <v>0.94189999999999996</v>
      </c>
      <c r="J38" s="89">
        <f t="shared" si="2"/>
        <v>8913.8288892</v>
      </c>
      <c r="K38" s="1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</row>
    <row r="39" spans="1:93" s="38" customFormat="1" ht="17.75" customHeight="1" x14ac:dyDescent="0.2">
      <c r="A39" s="37"/>
      <c r="B39" s="39"/>
      <c r="C39" s="77">
        <v>45047</v>
      </c>
      <c r="D39" s="89">
        <v>10276.98</v>
      </c>
      <c r="E39" s="70">
        <f>2108131.84+2013011.22+1920750.97+2103217.27+2131868.7</f>
        <v>10276980</v>
      </c>
      <c r="F39" s="71">
        <f>6063.59+6467.2+6974.06+6974.06+9161.09</f>
        <v>35640</v>
      </c>
      <c r="G39" s="89">
        <f t="shared" si="3"/>
        <v>10241.34</v>
      </c>
      <c r="H39" s="79">
        <f t="shared" si="1"/>
        <v>10241.34</v>
      </c>
      <c r="I39" s="90">
        <v>0.94189999999999996</v>
      </c>
      <c r="J39" s="89">
        <f t="shared" si="2"/>
        <v>9646.3181459999996</v>
      </c>
      <c r="K39" s="1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</row>
    <row r="40" spans="1:93" s="38" customFormat="1" ht="17.75" customHeight="1" x14ac:dyDescent="0.2">
      <c r="A40" s="37"/>
      <c r="B40" s="39"/>
      <c r="C40" s="77">
        <v>45078</v>
      </c>
      <c r="D40" s="89">
        <v>7434.12</v>
      </c>
      <c r="E40" s="70">
        <f>1407239.48+1422585.52+1279773.65+1618872.75+1705648.6</f>
        <v>7434120</v>
      </c>
      <c r="F40" s="71">
        <f>5943.23+5726.17+5705.5+6522.05+7783.05</f>
        <v>31680</v>
      </c>
      <c r="G40" s="89">
        <f t="shared" si="3"/>
        <v>7402.44</v>
      </c>
      <c r="H40" s="79">
        <f t="shared" si="1"/>
        <v>7402.44</v>
      </c>
      <c r="I40" s="90">
        <v>0.94189999999999996</v>
      </c>
      <c r="J40" s="89">
        <f t="shared" si="2"/>
        <v>6972.3582359999991</v>
      </c>
      <c r="K40" s="1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</row>
    <row r="41" spans="1:93" s="38" customFormat="1" ht="17.75" customHeight="1" x14ac:dyDescent="0.2">
      <c r="A41" s="37"/>
      <c r="B41" s="39"/>
      <c r="C41" s="77">
        <v>45108</v>
      </c>
      <c r="D41" s="89">
        <v>6353.31</v>
      </c>
      <c r="E41" s="70">
        <f>1284537.47+1343024.59+315613.14+1692950.25+1717184.55</f>
        <v>6353310</v>
      </c>
      <c r="F41" s="71">
        <f>7148.22+5883.05+3310.53+6389.12+7359.08</f>
        <v>30090</v>
      </c>
      <c r="G41" s="89">
        <f t="shared" si="3"/>
        <v>6323.22</v>
      </c>
      <c r="H41" s="79">
        <f t="shared" si="1"/>
        <v>6323.22</v>
      </c>
      <c r="I41" s="90">
        <v>0.94189999999999996</v>
      </c>
      <c r="J41" s="89">
        <f t="shared" si="2"/>
        <v>5955.8409179999999</v>
      </c>
      <c r="K41" s="1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</row>
    <row r="42" spans="1:93" s="38" customFormat="1" ht="17.75" customHeight="1" x14ac:dyDescent="0.2">
      <c r="A42" s="37"/>
      <c r="B42" s="39"/>
      <c r="C42" s="77">
        <v>45139</v>
      </c>
      <c r="D42" s="89">
        <v>7008.81</v>
      </c>
      <c r="E42" s="70">
        <f>1562921.55+1463119.43+820726.54+1561780.98+1600261.5</f>
        <v>7008810</v>
      </c>
      <c r="F42" s="71">
        <f>5972.7+5972.7+4589.45+11542.32+10772.84</f>
        <v>38850.009999999995</v>
      </c>
      <c r="G42" s="89">
        <f t="shared" si="3"/>
        <v>6969.9599900000003</v>
      </c>
      <c r="H42" s="79">
        <f t="shared" si="1"/>
        <v>6969.9599900000003</v>
      </c>
      <c r="I42" s="90">
        <v>0.94189999999999996</v>
      </c>
      <c r="J42" s="89">
        <f t="shared" si="2"/>
        <v>6565.0053145809998</v>
      </c>
      <c r="K42" s="1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</row>
    <row r="43" spans="1:93" s="38" customFormat="1" ht="17.75" customHeight="1" x14ac:dyDescent="0.2">
      <c r="A43" s="37"/>
      <c r="B43" s="39"/>
      <c r="C43" s="77">
        <v>45170</v>
      </c>
      <c r="D43" s="89">
        <v>6998.37</v>
      </c>
      <c r="E43" s="70">
        <f>1572911.74+1462735.24+1006256.44+1372685.3+1583781.28</f>
        <v>6998370</v>
      </c>
      <c r="F43" s="71">
        <f>6616.62+6345.22+4801.03+10416.26+10640.87</f>
        <v>38820</v>
      </c>
      <c r="G43" s="89">
        <f t="shared" si="3"/>
        <v>6959.55</v>
      </c>
      <c r="H43" s="79">
        <f t="shared" si="1"/>
        <v>6959.55</v>
      </c>
      <c r="I43" s="90">
        <v>0.94189999999999996</v>
      </c>
      <c r="J43" s="89">
        <f t="shared" si="2"/>
        <v>6555.2001449999998</v>
      </c>
      <c r="K43" s="1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</row>
    <row r="44" spans="1:93" s="38" customFormat="1" ht="17.75" customHeight="1" x14ac:dyDescent="0.2">
      <c r="A44" s="37"/>
      <c r="B44" s="39"/>
      <c r="C44" s="77">
        <v>45200</v>
      </c>
      <c r="D44" s="89">
        <v>8342.7899999999991</v>
      </c>
      <c r="E44" s="70">
        <f>1834203.27+1715467.91+1508822.02+1536259.71+1748037.09</f>
        <v>8342789.9999999991</v>
      </c>
      <c r="F44" s="71">
        <f>7820.54+6826.71+6195.13+10328.31+11489.31</f>
        <v>42660</v>
      </c>
      <c r="G44" s="89">
        <f t="shared" si="3"/>
        <v>8300.1299999999992</v>
      </c>
      <c r="H44" s="79">
        <f t="shared" si="1"/>
        <v>8300.1299999999992</v>
      </c>
      <c r="I44" s="90">
        <v>0.94189999999999996</v>
      </c>
      <c r="J44" s="89">
        <f t="shared" si="2"/>
        <v>7817.8924469999993</v>
      </c>
      <c r="K44" s="1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</row>
    <row r="45" spans="1:93" s="38" customFormat="1" ht="17.75" customHeight="1" x14ac:dyDescent="0.2">
      <c r="A45" s="37"/>
      <c r="B45" s="39"/>
      <c r="C45" s="77">
        <v>45245</v>
      </c>
      <c r="D45" s="89">
        <f>6580.53*(15/30)</f>
        <v>3290.2649999999999</v>
      </c>
      <c r="E45" s="70">
        <f>(1339851.63+1295858.11+1283292.79+1362215.85+1299311.62)*(15/30)</f>
        <v>3290265.0000000005</v>
      </c>
      <c r="F45" s="71">
        <f>(5929.67+6984.04+6082.87+14914.3+10129.11)*(15/30)</f>
        <v>22019.994999999999</v>
      </c>
      <c r="G45" s="89">
        <f t="shared" si="3"/>
        <v>3268.2450050000002</v>
      </c>
      <c r="H45" s="79">
        <f t="shared" si="1"/>
        <v>3268.2450050000002</v>
      </c>
      <c r="I45" s="90">
        <v>0.94189999999999996</v>
      </c>
      <c r="J45" s="89">
        <f t="shared" si="2"/>
        <v>3078.3599702095003</v>
      </c>
      <c r="K45" s="138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</row>
    <row r="46" spans="1:93" s="38" customFormat="1" ht="17.75" customHeight="1" x14ac:dyDescent="0.2">
      <c r="A46" s="37"/>
      <c r="B46" s="39"/>
      <c r="C46" s="77" t="s">
        <v>35</v>
      </c>
      <c r="D46" s="94">
        <f>SUM(D35:D45)</f>
        <v>85484.901589999994</v>
      </c>
      <c r="E46" s="65">
        <f>SUM(E35:E45)</f>
        <v>85484901.579999998</v>
      </c>
      <c r="F46" s="66">
        <f>SUM(F35:F45)</f>
        <v>399678.61499999999</v>
      </c>
      <c r="G46" s="95">
        <f>SUM(G35:G45)</f>
        <v>85085.222965000023</v>
      </c>
      <c r="H46" s="87">
        <f>ROUNDDOWN(SUM(H35:H45),0)</f>
        <v>85085</v>
      </c>
      <c r="I46" s="93"/>
      <c r="J46" s="91">
        <f>ROUNDDOWN(SUM(J35:J45),0)</f>
        <v>80141</v>
      </c>
      <c r="K46" s="85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</row>
    <row r="47" spans="1:93" s="50" customFormat="1" ht="31.5" customHeight="1" x14ac:dyDescent="0.2">
      <c r="B47" s="51"/>
      <c r="C47" s="52" t="s">
        <v>25</v>
      </c>
      <c r="D47" s="119"/>
      <c r="E47" s="120"/>
      <c r="F47" s="120"/>
      <c r="G47" s="121"/>
      <c r="H47" s="58">
        <f>H21+H34+H46</f>
        <v>289877</v>
      </c>
      <c r="I47" s="58"/>
      <c r="J47" s="58">
        <f>ROUNDDOWN(K47,0)</f>
        <v>273034</v>
      </c>
      <c r="K47" s="59">
        <f xml:space="preserve"> SUM(K9:K45)</f>
        <v>273034</v>
      </c>
    </row>
    <row r="48" spans="1:93" x14ac:dyDescent="0.2">
      <c r="C48" s="122" t="s">
        <v>54</v>
      </c>
      <c r="D48" s="123"/>
      <c r="E48" s="123"/>
      <c r="F48" s="123"/>
      <c r="G48" s="123"/>
      <c r="H48" s="123"/>
      <c r="I48" s="123"/>
      <c r="J48" s="123"/>
      <c r="K48" s="124"/>
    </row>
    <row r="49" spans="3:11" ht="16" thickBot="1" x14ac:dyDescent="0.25">
      <c r="C49" s="125"/>
      <c r="D49" s="126"/>
      <c r="E49" s="126"/>
      <c r="F49" s="126"/>
      <c r="G49" s="126"/>
      <c r="H49" s="126"/>
      <c r="I49" s="126"/>
      <c r="J49" s="126"/>
      <c r="K49" s="127"/>
    </row>
    <row r="51" spans="3:11" x14ac:dyDescent="0.2">
      <c r="F51" s="48"/>
    </row>
    <row r="52" spans="3:11" x14ac:dyDescent="0.2">
      <c r="F52" s="48"/>
    </row>
  </sheetData>
  <mergeCells count="12">
    <mergeCell ref="D47:G47"/>
    <mergeCell ref="C48:K49"/>
    <mergeCell ref="C6:J6"/>
    <mergeCell ref="C7:C8"/>
    <mergeCell ref="I7:I8"/>
    <mergeCell ref="H7:H8"/>
    <mergeCell ref="J7:J8"/>
    <mergeCell ref="K7:K8"/>
    <mergeCell ref="E7:G7"/>
    <mergeCell ref="K9:K20"/>
    <mergeCell ref="K22:K33"/>
    <mergeCell ref="K35:K45"/>
  </mergeCells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2:J8"/>
  <sheetViews>
    <sheetView topLeftCell="C1" zoomScale="125" zoomScaleNormal="90" workbookViewId="0">
      <selection activeCell="I18" sqref="I18"/>
    </sheetView>
  </sheetViews>
  <sheetFormatPr baseColWidth="10" defaultColWidth="9.33203125" defaultRowHeight="15" x14ac:dyDescent="0.2"/>
  <cols>
    <col min="1" max="4" width="9.33203125" style="96"/>
    <col min="5" max="5" width="6.33203125" style="96" bestFit="1" customWidth="1"/>
    <col min="6" max="6" width="16.33203125" style="96" customWidth="1"/>
    <col min="7" max="7" width="31.5" style="96" bestFit="1" customWidth="1"/>
    <col min="8" max="8" width="21.5" style="96" customWidth="1"/>
    <col min="9" max="9" width="9.33203125" style="96"/>
    <col min="10" max="10" width="20.6640625" style="96" customWidth="1"/>
    <col min="11" max="16384" width="9.33203125" style="96"/>
  </cols>
  <sheetData>
    <row r="2" spans="5:10" ht="16" thickBot="1" x14ac:dyDescent="0.25"/>
    <row r="3" spans="5:10" ht="17" thickBot="1" x14ac:dyDescent="0.25">
      <c r="E3" s="32" t="s">
        <v>36</v>
      </c>
      <c r="F3" s="35" t="s">
        <v>37</v>
      </c>
      <c r="G3" s="35"/>
      <c r="H3" s="36" t="s">
        <v>38</v>
      </c>
      <c r="I3" s="139" t="s">
        <v>39</v>
      </c>
      <c r="J3" s="140"/>
    </row>
    <row r="4" spans="5:10" x14ac:dyDescent="0.2">
      <c r="E4" s="33">
        <v>1</v>
      </c>
      <c r="F4" s="104" t="s">
        <v>40</v>
      </c>
      <c r="G4" s="105" t="s">
        <v>41</v>
      </c>
      <c r="H4" s="97">
        <f>'Generation sheet_PDPL(UP)'!H47</f>
        <v>289877</v>
      </c>
      <c r="I4" s="141" t="s">
        <v>14</v>
      </c>
      <c r="J4" s="142"/>
    </row>
    <row r="5" spans="5:10" x14ac:dyDescent="0.2">
      <c r="E5" s="143">
        <v>2</v>
      </c>
      <c r="F5" s="146" t="s">
        <v>42</v>
      </c>
      <c r="G5" s="149" t="s">
        <v>43</v>
      </c>
      <c r="H5" s="70">
        <v>12</v>
      </c>
      <c r="I5" s="98" t="s">
        <v>44</v>
      </c>
      <c r="J5" s="99"/>
    </row>
    <row r="6" spans="5:10" x14ac:dyDescent="0.2">
      <c r="E6" s="144"/>
      <c r="F6" s="147"/>
      <c r="G6" s="150"/>
      <c r="H6" s="71">
        <v>6</v>
      </c>
      <c r="I6" s="98" t="s">
        <v>45</v>
      </c>
      <c r="J6" s="100"/>
    </row>
    <row r="7" spans="5:10" x14ac:dyDescent="0.2">
      <c r="E7" s="145"/>
      <c r="F7" s="148"/>
      <c r="G7" s="151"/>
      <c r="H7" s="72">
        <v>4885333.4400000004</v>
      </c>
      <c r="I7" s="152" t="s">
        <v>46</v>
      </c>
      <c r="J7" s="153"/>
    </row>
    <row r="8" spans="5:10" ht="16" thickBot="1" x14ac:dyDescent="0.25">
      <c r="E8" s="34">
        <v>3</v>
      </c>
      <c r="F8" s="106" t="s">
        <v>47</v>
      </c>
      <c r="G8" s="106" t="s">
        <v>48</v>
      </c>
      <c r="H8" s="101">
        <f>'Generation sheet_PDPL(UP)'!J47</f>
        <v>273034</v>
      </c>
      <c r="I8" s="102" t="s">
        <v>49</v>
      </c>
      <c r="J8" s="103"/>
    </row>
  </sheetData>
  <mergeCells count="6">
    <mergeCell ref="I3:J3"/>
    <mergeCell ref="I4:J4"/>
    <mergeCell ref="E5:E7"/>
    <mergeCell ref="F5:F7"/>
    <mergeCell ref="G5:G7"/>
    <mergeCell ref="I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ER summary</vt:lpstr>
      <vt:lpstr>Generation sheet_PDPL(UP)</vt:lpstr>
      <vt:lpstr>Actual SDGs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Akash Joshi</dc:creator>
  <cp:keywords/>
  <dc:description/>
  <cp:lastModifiedBy>Lead Auditor</cp:lastModifiedBy>
  <cp:revision/>
  <dcterms:created xsi:type="dcterms:W3CDTF">2021-05-25T04:11:56Z</dcterms:created>
  <dcterms:modified xsi:type="dcterms:W3CDTF">2025-08-06T08:38:19Z</dcterms:modified>
  <cp:category/>
  <cp:contentStatus/>
</cp:coreProperties>
</file>