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Ops-Carbon\GS VER\GSVER105_Greenko Bercha Wind_50MW\2. Working\3.0 TR Reply\AR comments\"/>
    </mc:Choice>
  </mc:AlternateContent>
  <xr:revisionPtr revIDLastSave="0" documentId="13_ncr:1_{BFB026D2-154C-4AB5-8466-40E41C281E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R Comparison" sheetId="1" r:id="rId1"/>
    <sheet name="SDG 13" sheetId="2" r:id="rId2"/>
    <sheet name="SDG 7" sheetId="3" r:id="rId3"/>
    <sheet name="SDG 8" sheetId="4" r:id="rId4"/>
    <sheet name="Ex-ante estimate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J34" i="2"/>
  <c r="J33" i="2"/>
  <c r="J32" i="2"/>
  <c r="J31" i="2"/>
  <c r="J19" i="2"/>
  <c r="J20" i="2"/>
  <c r="J21" i="2"/>
  <c r="J22" i="2"/>
  <c r="J24" i="2"/>
  <c r="J25" i="2"/>
  <c r="J26" i="2"/>
  <c r="J27" i="2"/>
  <c r="J28" i="2"/>
  <c r="J29" i="2"/>
  <c r="J18" i="2"/>
  <c r="J6" i="2"/>
  <c r="J7" i="2"/>
  <c r="J8" i="2"/>
  <c r="J9" i="2"/>
  <c r="J10" i="2"/>
  <c r="J11" i="2"/>
  <c r="J12" i="2"/>
  <c r="J13" i="2"/>
  <c r="J14" i="2"/>
  <c r="J15" i="2"/>
  <c r="J16" i="2"/>
  <c r="J5" i="2"/>
  <c r="E35" i="2" l="1"/>
  <c r="D12" i="1"/>
  <c r="D19" i="1" l="1"/>
  <c r="G35" i="2"/>
  <c r="I35" i="2"/>
  <c r="J35" i="2" s="1"/>
  <c r="D14" i="4"/>
  <c r="C25" i="4" s="1"/>
  <c r="D6" i="4" l="1"/>
  <c r="D5" i="4"/>
  <c r="D4" i="4"/>
  <c r="C34" i="4"/>
  <c r="F21" i="4" s="1"/>
  <c r="I38" i="4"/>
  <c r="H38" i="4"/>
  <c r="D19" i="4" l="1"/>
  <c r="D20" i="4"/>
  <c r="D21" i="4"/>
  <c r="D18" i="4"/>
  <c r="E14" i="4"/>
  <c r="E7" i="4"/>
  <c r="D7" i="3"/>
  <c r="I36" i="2" l="1"/>
  <c r="I30" i="2"/>
  <c r="I17" i="2"/>
  <c r="L34" i="2"/>
  <c r="L35" i="2"/>
  <c r="L19" i="2"/>
  <c r="L15" i="2"/>
  <c r="F33" i="2"/>
  <c r="H33" i="2" s="1"/>
  <c r="F34" i="2"/>
  <c r="H34" i="2" s="1"/>
  <c r="F35" i="2"/>
  <c r="H35" i="2" s="1"/>
  <c r="F32" i="2"/>
  <c r="H32" i="2" s="1"/>
  <c r="F19" i="2"/>
  <c r="H19" i="2" s="1"/>
  <c r="F20" i="2"/>
  <c r="H20" i="2" s="1"/>
  <c r="F21" i="2"/>
  <c r="H21" i="2" s="1"/>
  <c r="F22" i="2"/>
  <c r="H22" i="2" s="1"/>
  <c r="F24" i="2"/>
  <c r="H24" i="2" s="1"/>
  <c r="F25" i="2"/>
  <c r="H25" i="2" s="1"/>
  <c r="F26" i="2"/>
  <c r="H26" i="2" s="1"/>
  <c r="F27" i="2"/>
  <c r="H27" i="2" s="1"/>
  <c r="F28" i="2"/>
  <c r="H28" i="2" s="1"/>
  <c r="F29" i="2"/>
  <c r="H29" i="2" s="1"/>
  <c r="F18" i="2"/>
  <c r="H18" i="2" s="1"/>
  <c r="F6" i="2"/>
  <c r="H6" i="2" s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5" i="2"/>
  <c r="H5" i="2" s="1"/>
  <c r="D10" i="5"/>
  <c r="E10" i="5"/>
  <c r="D6" i="5"/>
  <c r="F11" i="5" s="1"/>
  <c r="H12" i="5"/>
  <c r="H13" i="5" s="1"/>
  <c r="F20" i="4"/>
  <c r="F19" i="4"/>
  <c r="F18" i="4"/>
  <c r="G12" i="5"/>
  <c r="F13" i="4"/>
  <c r="F12" i="4"/>
  <c r="F11" i="4"/>
  <c r="D7" i="4"/>
  <c r="F12" i="5" s="1"/>
  <c r="F6" i="4"/>
  <c r="F5" i="4"/>
  <c r="F4" i="4"/>
  <c r="E23" i="2"/>
  <c r="G23" i="2"/>
  <c r="G30" i="2" s="1"/>
  <c r="E36" i="2"/>
  <c r="G36" i="2"/>
  <c r="F31" i="2"/>
  <c r="H31" i="2" s="1"/>
  <c r="L25" i="2"/>
  <c r="F23" i="2" l="1"/>
  <c r="J23" i="2"/>
  <c r="H23" i="2"/>
  <c r="F13" i="5"/>
  <c r="F14" i="4"/>
  <c r="L11" i="2"/>
  <c r="L21" i="2"/>
  <c r="L29" i="2"/>
  <c r="J36" i="2"/>
  <c r="C6" i="3" s="1"/>
  <c r="E6" i="3" s="1"/>
  <c r="F36" i="2"/>
  <c r="E11" i="5"/>
  <c r="G11" i="5"/>
  <c r="G13" i="5" s="1"/>
  <c r="F7" i="4"/>
  <c r="L32" i="2"/>
  <c r="L33" i="2"/>
  <c r="L7" i="2"/>
  <c r="G17" i="2"/>
  <c r="G37" i="2" s="1"/>
  <c r="L8" i="2"/>
  <c r="L9" i="2"/>
  <c r="L16" i="2"/>
  <c r="L23" i="2"/>
  <c r="L6" i="2"/>
  <c r="L13" i="2"/>
  <c r="L12" i="2"/>
  <c r="L22" i="2"/>
  <c r="L24" i="2"/>
  <c r="L28" i="2"/>
  <c r="L26" i="2"/>
  <c r="L27" i="2"/>
  <c r="L14" i="2"/>
  <c r="L10" i="2"/>
  <c r="F17" i="2"/>
  <c r="F30" i="2"/>
  <c r="L20" i="2"/>
  <c r="E17" i="2"/>
  <c r="L5" i="2"/>
  <c r="E30" i="2"/>
  <c r="D28" i="1" l="1"/>
  <c r="J30" i="2"/>
  <c r="L17" i="2"/>
  <c r="E26" i="1" s="1"/>
  <c r="F37" i="2"/>
  <c r="E37" i="2"/>
  <c r="L31" i="2"/>
  <c r="L18" i="2"/>
  <c r="L30" i="2" s="1"/>
  <c r="E27" i="1" s="1"/>
  <c r="J17" i="2"/>
  <c r="J37" i="2" s="1"/>
  <c r="L36" i="2" l="1"/>
  <c r="E28" i="1" s="1"/>
  <c r="C5" i="3"/>
  <c r="E5" i="3" s="1"/>
  <c r="D27" i="1"/>
  <c r="C4" i="3"/>
  <c r="D26" i="1"/>
  <c r="L37" i="2" l="1"/>
  <c r="E4" i="3"/>
  <c r="E7" i="3" s="1"/>
  <c r="C7" i="3"/>
  <c r="D29" i="1"/>
  <c r="E29" i="1"/>
  <c r="D13" i="1" l="1"/>
  <c r="E12" i="5"/>
  <c r="E13" i="5" s="1"/>
  <c r="D15" i="1"/>
  <c r="D20" i="1" s="1"/>
  <c r="D21" i="1" s="1"/>
  <c r="D12" i="5"/>
  <c r="D13" i="5" s="1"/>
  <c r="D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CS</author>
  </authors>
  <commentList>
    <comment ref="I4" authorId="0" shapeId="0" xr:uid="{746131B6-B4D4-412C-9E4E-F0C94FD02936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any crosscheck？
Reply: Supportings are submitted with responses.</t>
        </r>
      </text>
    </comment>
    <comment ref="G18" authorId="1" shapeId="0" xr:uid="{0CAA3219-863F-4DDA-87CD-6701EBB08845}">
      <text>
        <r>
          <rPr>
            <b/>
            <sz val="9"/>
            <color indexed="81"/>
            <rFont val="Tahoma"/>
            <family val="2"/>
          </rPr>
          <t>CS:</t>
        </r>
        <r>
          <rPr>
            <sz val="9"/>
            <color indexed="81"/>
            <rFont val="Tahoma"/>
            <family val="2"/>
          </rPr>
          <t xml:space="preserve">
Value is inconsistent as per JMR sheet of this month.
Reply: The values are made consistent with JMR sheet.</t>
        </r>
      </text>
    </comment>
    <comment ref="I23" authorId="1" shapeId="0" xr:uid="{252F13D3-EC00-45BB-8B0B-287534F708BD}">
      <text>
        <r>
          <rPr>
            <b/>
            <sz val="9"/>
            <color indexed="81"/>
            <rFont val="Tahoma"/>
            <family val="2"/>
          </rPr>
          <t>CS:</t>
        </r>
        <r>
          <rPr>
            <sz val="9"/>
            <color indexed="81"/>
            <rFont val="Tahoma"/>
            <family val="2"/>
          </rPr>
          <t xml:space="preserve">
From this month meter serial no. has been changed.
Reply: Meter replacement certificate provided.</t>
        </r>
      </text>
    </comment>
  </commentList>
</comments>
</file>

<file path=xl/sharedStrings.xml><?xml version="1.0" encoding="utf-8"?>
<sst xmlns="http://schemas.openxmlformats.org/spreadsheetml/2006/main" count="140" uniqueCount="109">
  <si>
    <t>ER calculation</t>
  </si>
  <si>
    <t>Start Date Of MP</t>
  </si>
  <si>
    <t>End Date Of MP</t>
  </si>
  <si>
    <t>Total Days</t>
  </si>
  <si>
    <t>Days</t>
  </si>
  <si>
    <t>Actual Total Net Generation in this Monitoring Period</t>
  </si>
  <si>
    <t>MWh</t>
  </si>
  <si>
    <t>Emission Factor</t>
  </si>
  <si>
    <r>
      <t>tCO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/MWh</t>
    </r>
  </si>
  <si>
    <t>Actual ERs achieved in this MP</t>
  </si>
  <si>
    <t>tCO2e</t>
  </si>
  <si>
    <t>Annual Net Generation Estimated in the PDD</t>
  </si>
  <si>
    <t>MWh/year</t>
  </si>
  <si>
    <t>Estimated generation equivalent to this MP</t>
  </si>
  <si>
    <t>Annual ER Estimated in the PDD</t>
  </si>
  <si>
    <t>tCO2/year</t>
  </si>
  <si>
    <t>Estimated ER equivalent to this MP</t>
  </si>
  <si>
    <t>% Difference in ER</t>
  </si>
  <si>
    <t xml:space="preserve">Vintage wise </t>
  </si>
  <si>
    <t>Generation</t>
  </si>
  <si>
    <t>ERs</t>
  </si>
  <si>
    <t>Total</t>
  </si>
  <si>
    <t>Billing Month</t>
  </si>
  <si>
    <t>Export (kWh)</t>
  </si>
  <si>
    <t>As per Invoice</t>
  </si>
  <si>
    <t>Import (kWh)</t>
  </si>
  <si>
    <t>Net Generation in MWh</t>
  </si>
  <si>
    <t>Emission Factor (tCO2/MWh)</t>
  </si>
  <si>
    <t>Emission Reduction (tCO2)</t>
  </si>
  <si>
    <t>Total Vintage wise 2021</t>
  </si>
  <si>
    <t>Total Vintage wise 2022</t>
  </si>
  <si>
    <t>Total Vintage wise 2023</t>
  </si>
  <si>
    <t>SDG 7 Affordable and Clean Energy :</t>
  </si>
  <si>
    <t xml:space="preserve">Parameter </t>
  </si>
  <si>
    <t xml:space="preserve">Vintage </t>
  </si>
  <si>
    <t>Project value</t>
  </si>
  <si>
    <t>Baseline Value</t>
  </si>
  <si>
    <t>Net Benefit</t>
  </si>
  <si>
    <t>Net Electricity supplied to grid   (MWh)</t>
  </si>
  <si>
    <t>01/01/2021 to 31/12/2021</t>
  </si>
  <si>
    <t>01/01/2022 to 31/12/2022</t>
  </si>
  <si>
    <t>01/01/2023 to 04/05/2023</t>
  </si>
  <si>
    <t>SDG 8: Decent Work and Economic Growth</t>
  </si>
  <si>
    <t xml:space="preserve">Number of training provided to employees &amp; O&amp;M staff  </t>
  </si>
  <si>
    <t>Vintage</t>
  </si>
  <si>
    <t xml:space="preserve">Baseline Value </t>
  </si>
  <si>
    <t xml:space="preserve">Net Benefit </t>
  </si>
  <si>
    <t xml:space="preserve">Number of O&amp;M Staff involved </t>
  </si>
  <si>
    <t>Average</t>
  </si>
  <si>
    <t>Start date of Monitoring period</t>
  </si>
  <si>
    <t xml:space="preserve">End date of Monitoring period </t>
  </si>
  <si>
    <t>Total days in the Monitoring period</t>
  </si>
  <si>
    <t>Details</t>
  </si>
  <si>
    <t>SDG 13</t>
  </si>
  <si>
    <t>SDG 7</t>
  </si>
  <si>
    <t>SDG 8</t>
  </si>
  <si>
    <t>Electricity Generation (MWh)</t>
  </si>
  <si>
    <t>Training</t>
  </si>
  <si>
    <t>Employment</t>
  </si>
  <si>
    <t>PDD Estimate/Year</t>
  </si>
  <si>
    <t xml:space="preserve">Estimated for this monitoring period </t>
  </si>
  <si>
    <t>Actual Benefit for the monitoring peirod</t>
  </si>
  <si>
    <t xml:space="preserve">Difference </t>
  </si>
  <si>
    <t>As per JMR</t>
  </si>
  <si>
    <t>Check</t>
  </si>
  <si>
    <t xml:space="preserve">O&amp;M Cost </t>
  </si>
  <si>
    <t>Employee details</t>
  </si>
  <si>
    <t>Organisation</t>
  </si>
  <si>
    <t>Number of staffs (as on Jan 2021)</t>
  </si>
  <si>
    <t>Total Employment</t>
  </si>
  <si>
    <t>Date</t>
  </si>
  <si>
    <t>Topics</t>
  </si>
  <si>
    <t>Total no. of trainings</t>
  </si>
  <si>
    <t>No. of attendees</t>
  </si>
  <si>
    <t>Risk Assessment</t>
  </si>
  <si>
    <t>Personal safety</t>
  </si>
  <si>
    <t>Basic first aid</t>
  </si>
  <si>
    <t>Covid 19 and dengue awareness</t>
  </si>
  <si>
    <t>Basic electrical safety and 5 golden rules</t>
  </si>
  <si>
    <t>18/08/21</t>
  </si>
  <si>
    <t>OET implementation</t>
  </si>
  <si>
    <t>Safe work in HT line/ Permit to work</t>
  </si>
  <si>
    <t>22/06/22</t>
  </si>
  <si>
    <t>Lift safe suspended loads</t>
  </si>
  <si>
    <t>How to operate life</t>
  </si>
  <si>
    <t>15/12/22</t>
  </si>
  <si>
    <t>Move safe</t>
  </si>
  <si>
    <t>Driving safety</t>
  </si>
  <si>
    <t>Safety guards</t>
  </si>
  <si>
    <t>Permit to work</t>
  </si>
  <si>
    <t>Greenko Bercha</t>
  </si>
  <si>
    <t>O&amp;M Team (M/S Siemens Gamesa)</t>
  </si>
  <si>
    <t>WTG and BOP technician (M/S VK POWER)</t>
  </si>
  <si>
    <t>PSS and site Security</t>
  </si>
  <si>
    <t>Office boy</t>
  </si>
  <si>
    <t>Emission Reduction (tCO2e)</t>
  </si>
  <si>
    <t>Income generation for the monitoring period</t>
  </si>
  <si>
    <t>Income generation (Lakh INR)</t>
  </si>
  <si>
    <t>Income generation for O&amp;M (Lakh INR)</t>
  </si>
  <si>
    <t>PLANT CAPACITY - 50 MW</t>
  </si>
  <si>
    <t>ER Sheet Version Number</t>
  </si>
  <si>
    <t xml:space="preserve">Title of the project </t>
  </si>
  <si>
    <t>Version Dated</t>
  </si>
  <si>
    <t>Wind Power Project in Madhya Pradesh by OBWPPL</t>
  </si>
  <si>
    <t>Where,</t>
  </si>
  <si>
    <t>A = Net Electricity supplied to the grid for that given billing period/ month</t>
  </si>
  <si>
    <t>B = Difference of number of days which are not matching of billing period and monitoring period.</t>
  </si>
  <si>
    <t>C = Number of days of the billing period/ month which was not matched with the monitoring 
period.</t>
  </si>
  <si>
    <t>Apportioning formula has been used for calculation net generation (D)= A*B/C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</si>
</sst>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0.0000"/>
    <numFmt numFmtId="167" formatCode="_-* #,##0_-;\-* #,##0_-;_-* &quot;-&quot;??_-;_-@_-"/>
    <numFmt numFmtId="168" formatCode="mm/dd/yy;@"/>
    <numFmt numFmtId="169" formatCode="[$-409]dd\-mmm\-yy;@"/>
    <numFmt numFmtId="170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35">
    <xf numFmtId="0" fontId="0" fillId="0" borderId="0" xfId="0"/>
    <xf numFmtId="0" fontId="3" fillId="3" borderId="4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 vertical="center"/>
    </xf>
    <xf numFmtId="0" fontId="0" fillId="0" borderId="8" xfId="0" applyBorder="1" applyAlignment="1">
      <alignment horizontal="right"/>
    </xf>
    <xf numFmtId="0" fontId="2" fillId="0" borderId="9" xfId="0" applyFont="1" applyBorder="1"/>
    <xf numFmtId="0" fontId="3" fillId="3" borderId="10" xfId="0" applyFont="1" applyFill="1" applyBorder="1" applyAlignment="1">
      <alignment horizontal="left"/>
    </xf>
    <xf numFmtId="165" fontId="0" fillId="0" borderId="8" xfId="1" applyNumberFormat="1" applyFont="1" applyBorder="1" applyAlignment="1">
      <alignment horizontal="right"/>
    </xf>
    <xf numFmtId="0" fontId="5" fillId="3" borderId="9" xfId="3" applyFont="1" applyFill="1" applyBorder="1" applyAlignment="1" applyProtection="1">
      <alignment horizontal="left" vertical="center"/>
      <protection locked="0"/>
    </xf>
    <xf numFmtId="43" fontId="0" fillId="0" borderId="0" xfId="0" applyNumberFormat="1"/>
    <xf numFmtId="166" fontId="0" fillId="0" borderId="8" xfId="0" applyNumberFormat="1" applyBorder="1" applyAlignment="1">
      <alignment horizontal="right"/>
    </xf>
    <xf numFmtId="167" fontId="0" fillId="0" borderId="8" xfId="1" applyNumberFormat="1" applyFont="1" applyBorder="1" applyAlignment="1">
      <alignment horizontal="right"/>
    </xf>
    <xf numFmtId="0" fontId="3" fillId="3" borderId="9" xfId="0" applyFont="1" applyFill="1" applyBorder="1" applyAlignment="1">
      <alignment vertical="center"/>
    </xf>
    <xf numFmtId="167" fontId="0" fillId="0" borderId="8" xfId="0" applyNumberFormat="1" applyBorder="1" applyAlignment="1">
      <alignment horizontal="right"/>
    </xf>
    <xf numFmtId="0" fontId="3" fillId="3" borderId="11" xfId="0" applyFont="1" applyFill="1" applyBorder="1" applyAlignment="1">
      <alignment vertical="center"/>
    </xf>
    <xf numFmtId="10" fontId="0" fillId="0" borderId="12" xfId="2" applyNumberFormat="1" applyFont="1" applyBorder="1" applyAlignment="1">
      <alignment horizontal="right"/>
    </xf>
    <xf numFmtId="9" fontId="7" fillId="3" borderId="13" xfId="2" applyFont="1" applyFill="1" applyBorder="1" applyAlignment="1"/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165" fontId="0" fillId="0" borderId="8" xfId="1" applyNumberFormat="1" applyFont="1" applyBorder="1" applyAlignment="1"/>
    <xf numFmtId="167" fontId="0" fillId="0" borderId="9" xfId="1" applyNumberFormat="1" applyFont="1" applyBorder="1" applyAlignment="1"/>
    <xf numFmtId="0" fontId="2" fillId="3" borderId="20" xfId="0" applyFont="1" applyFill="1" applyBorder="1"/>
    <xf numFmtId="165" fontId="2" fillId="0" borderId="21" xfId="0" applyNumberFormat="1" applyFont="1" applyBorder="1"/>
    <xf numFmtId="167" fontId="2" fillId="0" borderId="22" xfId="1" applyNumberFormat="1" applyFont="1" applyBorder="1" applyAlignment="1"/>
    <xf numFmtId="0" fontId="2" fillId="4" borderId="16" xfId="0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center"/>
    </xf>
    <xf numFmtId="164" fontId="0" fillId="0" borderId="0" xfId="0" applyNumberFormat="1"/>
    <xf numFmtId="43" fontId="0" fillId="0" borderId="25" xfId="1" applyFont="1" applyBorder="1" applyAlignment="1">
      <alignment horizontal="center"/>
    </xf>
    <xf numFmtId="167" fontId="0" fillId="4" borderId="16" xfId="0" applyNumberFormat="1" applyFill="1" applyBorder="1" applyAlignment="1">
      <alignment horizontal="center"/>
    </xf>
    <xf numFmtId="43" fontId="0" fillId="0" borderId="26" xfId="1" applyFont="1" applyBorder="1" applyAlignment="1">
      <alignment horizontal="center"/>
    </xf>
    <xf numFmtId="167" fontId="0" fillId="0" borderId="16" xfId="0" applyNumberFormat="1" applyBorder="1"/>
    <xf numFmtId="167" fontId="0" fillId="4" borderId="3" xfId="0" applyNumberFormat="1" applyFill="1" applyBorder="1" applyAlignment="1">
      <alignment horizontal="center"/>
    </xf>
    <xf numFmtId="167" fontId="0" fillId="4" borderId="27" xfId="0" applyNumberFormat="1" applyFill="1" applyBorder="1" applyAlignment="1">
      <alignment horizontal="center"/>
    </xf>
    <xf numFmtId="43" fontId="0" fillId="0" borderId="19" xfId="1" applyFont="1" applyBorder="1" applyAlignment="1">
      <alignment horizontal="center"/>
    </xf>
    <xf numFmtId="17" fontId="0" fillId="3" borderId="20" xfId="0" applyNumberFormat="1" applyFill="1" applyBorder="1" applyAlignment="1">
      <alignment horizontal="center"/>
    </xf>
    <xf numFmtId="43" fontId="0" fillId="0" borderId="13" xfId="1" applyFont="1" applyBorder="1" applyAlignment="1">
      <alignment horizontal="center"/>
    </xf>
    <xf numFmtId="0" fontId="2" fillId="0" borderId="0" xfId="0" applyFont="1"/>
    <xf numFmtId="17" fontId="2" fillId="4" borderId="8" xfId="0" applyNumberFormat="1" applyFont="1" applyFill="1" applyBorder="1" applyAlignment="1">
      <alignment horizontal="center"/>
    </xf>
    <xf numFmtId="15" fontId="0" fillId="0" borderId="8" xfId="0" applyNumberFormat="1" applyBorder="1"/>
    <xf numFmtId="2" fontId="0" fillId="0" borderId="8" xfId="0" applyNumberFormat="1" applyBorder="1" applyAlignment="1">
      <alignment horizontal="center"/>
    </xf>
    <xf numFmtId="0" fontId="9" fillId="0" borderId="8" xfId="0" applyFont="1" applyBorder="1" applyAlignment="1">
      <alignment horizontal="center" vertical="top" wrapText="1"/>
    </xf>
    <xf numFmtId="4" fontId="0" fillId="0" borderId="8" xfId="0" applyNumberFormat="1" applyBorder="1" applyAlignment="1">
      <alignment horizontal="center" wrapText="1"/>
    </xf>
    <xf numFmtId="0" fontId="2" fillId="0" borderId="8" xfId="0" applyFont="1" applyBorder="1" applyAlignment="1">
      <alignment horizontal="justify" vertical="top" wrapText="1"/>
    </xf>
    <xf numFmtId="4" fontId="2" fillId="0" borderId="8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 vertical="top" wrapText="1"/>
    </xf>
    <xf numFmtId="0" fontId="2" fillId="0" borderId="29" xfId="0" applyFont="1" applyBorder="1"/>
    <xf numFmtId="0" fontId="0" fillId="0" borderId="8" xfId="0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" fontId="11" fillId="0" borderId="8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0" borderId="8" xfId="0" applyNumberFormat="1" applyBorder="1" applyAlignment="1">
      <alignment horizontal="center" vertical="top" wrapText="1"/>
    </xf>
    <xf numFmtId="0" fontId="0" fillId="0" borderId="8" xfId="0" applyBorder="1"/>
    <xf numFmtId="3" fontId="0" fillId="0" borderId="8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0" fontId="0" fillId="0" borderId="8" xfId="2" applyNumberFormat="1" applyFont="1" applyBorder="1" applyAlignment="1">
      <alignment horizontal="right"/>
    </xf>
    <xf numFmtId="0" fontId="9" fillId="0" borderId="0" xfId="0" applyFont="1"/>
    <xf numFmtId="0" fontId="9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3" fontId="0" fillId="0" borderId="8" xfId="1" applyFon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169" fontId="2" fillId="0" borderId="13" xfId="0" applyNumberFormat="1" applyFont="1" applyBorder="1" applyAlignment="1">
      <alignment horizontal="center"/>
    </xf>
    <xf numFmtId="43" fontId="0" fillId="0" borderId="8" xfId="1" applyFont="1" applyBorder="1"/>
    <xf numFmtId="43" fontId="11" fillId="0" borderId="8" xfId="1" applyFont="1" applyBorder="1" applyAlignment="1">
      <alignment vertical="top" wrapText="1"/>
    </xf>
    <xf numFmtId="43" fontId="10" fillId="0" borderId="8" xfId="1" applyFont="1" applyBorder="1" applyAlignment="1">
      <alignment horizontal="center" vertical="top" wrapText="1"/>
    </xf>
    <xf numFmtId="170" fontId="0" fillId="0" borderId="0" xfId="1" applyNumberFormat="1" applyFont="1"/>
    <xf numFmtId="0" fontId="0" fillId="3" borderId="0" xfId="0" applyFill="1"/>
    <xf numFmtId="0" fontId="0" fillId="3" borderId="0" xfId="0" applyFill="1" applyAlignment="1">
      <alignment horizontal="center"/>
    </xf>
    <xf numFmtId="17" fontId="0" fillId="3" borderId="10" xfId="0" applyNumberForma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2" fontId="0" fillId="3" borderId="8" xfId="1" applyNumberFormat="1" applyFont="1" applyFill="1" applyBorder="1" applyAlignment="1">
      <alignment horizontal="center"/>
    </xf>
    <xf numFmtId="166" fontId="0" fillId="3" borderId="23" xfId="0" applyNumberFormat="1" applyFill="1" applyBorder="1" applyAlignment="1">
      <alignment horizontal="center"/>
    </xf>
    <xf numFmtId="43" fontId="8" fillId="3" borderId="8" xfId="1" applyFont="1" applyFill="1" applyBorder="1" applyAlignment="1">
      <alignment horizontal="center"/>
    </xf>
    <xf numFmtId="43" fontId="0" fillId="3" borderId="24" xfId="1" applyFont="1" applyFill="1" applyBorder="1" applyAlignment="1">
      <alignment horizontal="center"/>
    </xf>
    <xf numFmtId="43" fontId="0" fillId="3" borderId="23" xfId="1" applyFont="1" applyFill="1" applyBorder="1" applyAlignment="1">
      <alignment horizontal="center"/>
    </xf>
    <xf numFmtId="2" fontId="0" fillId="3" borderId="23" xfId="1" applyNumberFormat="1" applyFont="1" applyFill="1" applyBorder="1" applyAlignment="1">
      <alignment horizontal="center"/>
    </xf>
    <xf numFmtId="43" fontId="8" fillId="3" borderId="23" xfId="1" applyFont="1" applyFill="1" applyBorder="1" applyAlignment="1">
      <alignment horizontal="center"/>
    </xf>
    <xf numFmtId="43" fontId="8" fillId="3" borderId="24" xfId="1" applyFont="1" applyFill="1" applyBorder="1" applyAlignment="1">
      <alignment horizontal="center"/>
    </xf>
    <xf numFmtId="43" fontId="8" fillId="3" borderId="28" xfId="1" applyFon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43" fontId="8" fillId="3" borderId="5" xfId="1" applyFont="1" applyFill="1" applyBorder="1" applyAlignment="1">
      <alignment horizontal="center"/>
    </xf>
    <xf numFmtId="2" fontId="8" fillId="3" borderId="5" xfId="1" applyNumberFormat="1" applyFont="1" applyFill="1" applyBorder="1" applyAlignment="1">
      <alignment horizontal="center"/>
    </xf>
    <xf numFmtId="43" fontId="8" fillId="3" borderId="18" xfId="1" applyFont="1" applyFill="1" applyBorder="1" applyAlignment="1">
      <alignment horizontal="center"/>
    </xf>
    <xf numFmtId="43" fontId="0" fillId="3" borderId="5" xfId="1" applyFont="1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2" fontId="8" fillId="3" borderId="8" xfId="1" applyNumberFormat="1" applyFont="1" applyFill="1" applyBorder="1" applyAlignment="1">
      <alignment horizontal="center"/>
    </xf>
    <xf numFmtId="43" fontId="0" fillId="3" borderId="21" xfId="1" applyFont="1" applyFill="1" applyBorder="1" applyAlignment="1">
      <alignment horizontal="center"/>
    </xf>
    <xf numFmtId="43" fontId="8" fillId="3" borderId="12" xfId="1" applyFont="1" applyFill="1" applyBorder="1" applyAlignment="1">
      <alignment horizontal="center"/>
    </xf>
    <xf numFmtId="2" fontId="8" fillId="3" borderId="12" xfId="1" applyNumberFormat="1" applyFont="1" applyFill="1" applyBorder="1" applyAlignment="1">
      <alignment horizontal="center"/>
    </xf>
    <xf numFmtId="43" fontId="0" fillId="3" borderId="12" xfId="1" applyFont="1" applyFill="1" applyBorder="1" applyAlignment="1">
      <alignment horizontal="center"/>
    </xf>
    <xf numFmtId="166" fontId="0" fillId="3" borderId="21" xfId="0" applyNumberForma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5" fontId="0" fillId="3" borderId="15" xfId="0" applyNumberFormat="1" applyFill="1" applyBorder="1"/>
    <xf numFmtId="0" fontId="0" fillId="3" borderId="15" xfId="0" applyFill="1" applyBorder="1"/>
    <xf numFmtId="43" fontId="0" fillId="3" borderId="0" xfId="0" applyNumberFormat="1" applyFill="1"/>
    <xf numFmtId="10" fontId="0" fillId="3" borderId="0" xfId="2" applyNumberFormat="1" applyFont="1" applyFill="1"/>
    <xf numFmtId="2" fontId="0" fillId="0" borderId="0" xfId="0" applyNumberFormat="1"/>
    <xf numFmtId="165" fontId="0" fillId="4" borderId="16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5" fontId="0" fillId="4" borderId="27" xfId="0" applyNumberFormat="1" applyFill="1" applyBorder="1" applyAlignment="1">
      <alignment horizontal="center"/>
    </xf>
    <xf numFmtId="167" fontId="0" fillId="0" borderId="8" xfId="1" applyNumberFormat="1" applyFont="1" applyFill="1" applyBorder="1" applyAlignment="1">
      <alignment horizontal="right"/>
    </xf>
    <xf numFmtId="170" fontId="0" fillId="0" borderId="8" xfId="1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5" fontId="0" fillId="0" borderId="5" xfId="0" applyNumberFormat="1" applyBorder="1" applyAlignment="1">
      <alignment horizontal="center"/>
    </xf>
    <xf numFmtId="15" fontId="0" fillId="0" borderId="6" xfId="0" applyNumberFormat="1" applyBorder="1" applyAlignment="1">
      <alignment horizontal="center"/>
    </xf>
    <xf numFmtId="15" fontId="0" fillId="0" borderId="8" xfId="0" applyNumberFormat="1" applyBorder="1" applyAlignment="1">
      <alignment horizontal="center"/>
    </xf>
    <xf numFmtId="15" fontId="0" fillId="0" borderId="9" xfId="0" applyNumberForma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0" borderId="24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0" fillId="0" borderId="24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2" fillId="0" borderId="8" xfId="0" applyFont="1" applyBorder="1" applyAlignment="1">
      <alignment horizontal="center"/>
    </xf>
    <xf numFmtId="17" fontId="2" fillId="4" borderId="30" xfId="0" applyNumberFormat="1" applyFont="1" applyFill="1" applyBorder="1" applyAlignment="1">
      <alignment horizontal="center"/>
    </xf>
    <xf numFmtId="17" fontId="2" fillId="4" borderId="31" xfId="0" applyNumberFormat="1" applyFont="1" applyFill="1" applyBorder="1" applyAlignment="1">
      <alignment horizontal="center"/>
    </xf>
    <xf numFmtId="17" fontId="2" fillId="4" borderId="32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Hindustan Platinum_Worksheet_30.10.08" xfId="3" xr:uid="{60C507BA-EE3C-4B8B-86D7-3593080FE3C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29"/>
  <sheetViews>
    <sheetView tabSelected="1" workbookViewId="0">
      <selection activeCell="F10" sqref="F10"/>
    </sheetView>
  </sheetViews>
  <sheetFormatPr defaultRowHeight="15"/>
  <cols>
    <col min="3" max="3" width="49" customWidth="1"/>
    <col min="4" max="4" width="12.5703125" bestFit="1" customWidth="1"/>
    <col min="5" max="5" width="12" customWidth="1"/>
    <col min="6" max="6" width="35.42578125" customWidth="1"/>
    <col min="7" max="7" width="18.85546875" customWidth="1"/>
    <col min="8" max="8" width="15" customWidth="1"/>
    <col min="9" max="9" width="16" customWidth="1"/>
  </cols>
  <sheetData>
    <row r="1" spans="3:7" ht="15.75" thickBot="1"/>
    <row r="2" spans="3:7">
      <c r="C2" s="118" t="s">
        <v>100</v>
      </c>
      <c r="D2" s="119"/>
      <c r="E2" s="119"/>
      <c r="F2" s="65">
        <v>5</v>
      </c>
    </row>
    <row r="3" spans="3:7" ht="30">
      <c r="C3" s="120" t="s">
        <v>101</v>
      </c>
      <c r="D3" s="121"/>
      <c r="E3" s="122"/>
      <c r="F3" s="66" t="s">
        <v>103</v>
      </c>
    </row>
    <row r="4" spans="3:7" ht="15.75" thickBot="1">
      <c r="C4" s="123" t="s">
        <v>102</v>
      </c>
      <c r="D4" s="124"/>
      <c r="E4" s="124"/>
      <c r="F4" s="67">
        <v>45287</v>
      </c>
    </row>
    <row r="8" spans="3:7" ht="15.75" thickBot="1"/>
    <row r="9" spans="3:7" ht="15.75" thickBot="1">
      <c r="C9" s="108" t="s">
        <v>0</v>
      </c>
      <c r="D9" s="109"/>
      <c r="E9" s="110"/>
    </row>
    <row r="10" spans="3:7">
      <c r="C10" s="1" t="s">
        <v>1</v>
      </c>
      <c r="D10" s="111">
        <v>44197</v>
      </c>
      <c r="E10" s="112"/>
    </row>
    <row r="11" spans="3:7">
      <c r="C11" s="2" t="s">
        <v>2</v>
      </c>
      <c r="D11" s="113">
        <v>45050</v>
      </c>
      <c r="E11" s="114"/>
    </row>
    <row r="12" spans="3:7">
      <c r="C12" s="3" t="s">
        <v>3</v>
      </c>
      <c r="D12" s="4">
        <f>D11-D10+1</f>
        <v>854</v>
      </c>
      <c r="E12" s="5" t="s">
        <v>4</v>
      </c>
    </row>
    <row r="13" spans="3:7">
      <c r="C13" s="6" t="s">
        <v>5</v>
      </c>
      <c r="D13" s="7">
        <f>D29</f>
        <v>249556.04629032259</v>
      </c>
      <c r="E13" s="8" t="s">
        <v>6</v>
      </c>
      <c r="G13" s="9"/>
    </row>
    <row r="14" spans="3:7">
      <c r="C14" s="2" t="s">
        <v>7</v>
      </c>
      <c r="D14" s="10">
        <v>0.97770000000000001</v>
      </c>
      <c r="E14" s="8" t="s">
        <v>8</v>
      </c>
    </row>
    <row r="15" spans="3:7">
      <c r="C15" s="2" t="s">
        <v>9</v>
      </c>
      <c r="D15" s="11">
        <f>E29</f>
        <v>243990</v>
      </c>
      <c r="E15" s="12" t="s">
        <v>10</v>
      </c>
    </row>
    <row r="16" spans="3:7">
      <c r="C16" s="2" t="s">
        <v>11</v>
      </c>
      <c r="D16" s="11">
        <v>109500</v>
      </c>
      <c r="E16" s="12" t="s">
        <v>12</v>
      </c>
    </row>
    <row r="17" spans="3:7">
      <c r="C17" s="2" t="s">
        <v>13</v>
      </c>
      <c r="D17" s="11">
        <f>(D16/365)*D12</f>
        <v>256200</v>
      </c>
      <c r="E17" s="12" t="s">
        <v>6</v>
      </c>
    </row>
    <row r="18" spans="3:7">
      <c r="C18" s="2" t="s">
        <v>14</v>
      </c>
      <c r="D18" s="11">
        <v>107058</v>
      </c>
      <c r="E18" s="12" t="s">
        <v>15</v>
      </c>
    </row>
    <row r="19" spans="3:7">
      <c r="C19" s="3" t="s">
        <v>16</v>
      </c>
      <c r="D19" s="106">
        <f>(D18/365)*D12</f>
        <v>250486.38904109588</v>
      </c>
      <c r="E19" s="12" t="s">
        <v>10</v>
      </c>
    </row>
    <row r="20" spans="3:7">
      <c r="C20" s="2" t="s">
        <v>9</v>
      </c>
      <c r="D20" s="13">
        <f>D15</f>
        <v>243990</v>
      </c>
      <c r="E20" s="12" t="s">
        <v>10</v>
      </c>
    </row>
    <row r="21" spans="3:7" ht="16.5" thickBot="1">
      <c r="C21" s="14" t="s">
        <v>17</v>
      </c>
      <c r="D21" s="15">
        <f>(D20-D19)/D19</f>
        <v>-2.5935097974645077E-2</v>
      </c>
      <c r="E21" s="16"/>
    </row>
    <row r="23" spans="3:7" ht="15.75" thickBot="1"/>
    <row r="24" spans="3:7" ht="15.75" thickBot="1">
      <c r="C24" s="115" t="s">
        <v>99</v>
      </c>
      <c r="D24" s="116"/>
      <c r="E24" s="117"/>
    </row>
    <row r="25" spans="3:7">
      <c r="C25" s="17" t="s">
        <v>18</v>
      </c>
      <c r="D25" s="18" t="s">
        <v>19</v>
      </c>
      <c r="E25" s="19" t="s">
        <v>20</v>
      </c>
    </row>
    <row r="26" spans="3:7">
      <c r="C26" s="20">
        <v>2021</v>
      </c>
      <c r="D26" s="21">
        <f>'SDG 13'!J17</f>
        <v>117419.5</v>
      </c>
      <c r="E26" s="22">
        <f>'SDG 13'!L17</f>
        <v>114801</v>
      </c>
      <c r="G26" s="102"/>
    </row>
    <row r="27" spans="3:7">
      <c r="C27" s="20">
        <v>2022</v>
      </c>
      <c r="D27" s="21">
        <f>'SDG 13'!J30</f>
        <v>105305.902</v>
      </c>
      <c r="E27" s="22">
        <f>'SDG 13'!L30</f>
        <v>102957</v>
      </c>
      <c r="G27" s="102"/>
    </row>
    <row r="28" spans="3:7">
      <c r="C28" s="20">
        <v>2023</v>
      </c>
      <c r="D28" s="21">
        <f>'SDG 13'!J36</f>
        <v>26830.64429032258</v>
      </c>
      <c r="E28" s="22">
        <f>'SDG 13'!L36</f>
        <v>26232</v>
      </c>
    </row>
    <row r="29" spans="3:7" ht="15.75" thickBot="1">
      <c r="C29" s="23" t="s">
        <v>21</v>
      </c>
      <c r="D29" s="24">
        <f>SUM(D26:D28)</f>
        <v>249556.04629032259</v>
      </c>
      <c r="E29" s="25">
        <f>SUM(E26:E28)</f>
        <v>243990</v>
      </c>
    </row>
  </sheetData>
  <mergeCells count="7">
    <mergeCell ref="C9:E9"/>
    <mergeCell ref="D10:E10"/>
    <mergeCell ref="D11:E11"/>
    <mergeCell ref="C24:E24"/>
    <mergeCell ref="C2:E2"/>
    <mergeCell ref="C3:E3"/>
    <mergeCell ref="C4:E4"/>
  </mergeCells>
  <phoneticPr fontId="16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08DC-A9A2-424B-B478-47E5D7348E06}">
  <dimension ref="D3:M47"/>
  <sheetViews>
    <sheetView topLeftCell="A17" workbookViewId="0">
      <selection activeCell="C42" sqref="C42"/>
    </sheetView>
  </sheetViews>
  <sheetFormatPr defaultRowHeight="15"/>
  <cols>
    <col min="4" max="4" width="22.140625" style="72" bestFit="1" customWidth="1"/>
    <col min="5" max="5" width="19.7109375" style="72" customWidth="1"/>
    <col min="6" max="6" width="18.140625" style="72" customWidth="1"/>
    <col min="7" max="9" width="19" style="72" customWidth="1"/>
    <col min="10" max="10" width="17.28515625" style="72" customWidth="1"/>
    <col min="11" max="11" width="17.7109375" style="72" customWidth="1"/>
    <col min="12" max="12" width="17.7109375" customWidth="1"/>
  </cols>
  <sheetData>
    <row r="3" spans="4:13" ht="15.75" thickBot="1">
      <c r="E3" s="73"/>
      <c r="F3" s="73"/>
    </row>
    <row r="4" spans="4:13" ht="30.75" thickBot="1">
      <c r="D4" s="26" t="s">
        <v>22</v>
      </c>
      <c r="E4" s="26" t="s">
        <v>23</v>
      </c>
      <c r="F4" s="26" t="s">
        <v>63</v>
      </c>
      <c r="G4" s="26" t="s">
        <v>24</v>
      </c>
      <c r="H4" s="26" t="s">
        <v>64</v>
      </c>
      <c r="I4" s="26" t="s">
        <v>25</v>
      </c>
      <c r="J4" s="26" t="s">
        <v>26</v>
      </c>
      <c r="K4" s="26" t="s">
        <v>27</v>
      </c>
      <c r="L4" s="26" t="s">
        <v>28</v>
      </c>
    </row>
    <row r="5" spans="4:13">
      <c r="D5" s="74">
        <v>44197</v>
      </c>
      <c r="E5" s="75">
        <v>7725400</v>
      </c>
      <c r="F5" s="75">
        <f>E5</f>
        <v>7725400</v>
      </c>
      <c r="G5" s="75">
        <v>7725400</v>
      </c>
      <c r="H5" s="76">
        <f>F5-G5</f>
        <v>0</v>
      </c>
      <c r="I5" s="75">
        <v>27500</v>
      </c>
      <c r="J5" s="75">
        <f>(E5-I5)/1000</f>
        <v>7697.9</v>
      </c>
      <c r="K5" s="77">
        <v>0.97770000000000001</v>
      </c>
      <c r="L5" s="27">
        <f t="shared" ref="L5:L16" si="0">+J5*K5</f>
        <v>7526.2368299999998</v>
      </c>
    </row>
    <row r="6" spans="4:13">
      <c r="D6" s="74">
        <v>44228</v>
      </c>
      <c r="E6" s="75">
        <v>5047600</v>
      </c>
      <c r="F6" s="75">
        <f t="shared" ref="F6:F16" si="1">E6</f>
        <v>5047600</v>
      </c>
      <c r="G6" s="75">
        <v>5047600</v>
      </c>
      <c r="H6" s="76">
        <f t="shared" ref="H6:H16" si="2">F6-G6</f>
        <v>0</v>
      </c>
      <c r="I6" s="75">
        <v>50500</v>
      </c>
      <c r="J6" s="75">
        <f t="shared" ref="J6:J16" si="3">(E6-I6)/1000</f>
        <v>4997.1000000000004</v>
      </c>
      <c r="K6" s="77">
        <v>0.97770000000000001</v>
      </c>
      <c r="L6" s="27">
        <f t="shared" si="0"/>
        <v>4885.6646700000001</v>
      </c>
    </row>
    <row r="7" spans="4:13">
      <c r="D7" s="74">
        <v>44256</v>
      </c>
      <c r="E7" s="75">
        <v>8950100</v>
      </c>
      <c r="F7" s="75">
        <f t="shared" si="1"/>
        <v>8950100</v>
      </c>
      <c r="G7" s="78">
        <v>8950100</v>
      </c>
      <c r="H7" s="76">
        <f t="shared" si="2"/>
        <v>0</v>
      </c>
      <c r="I7" s="78">
        <v>40000</v>
      </c>
      <c r="J7" s="75">
        <f t="shared" si="3"/>
        <v>8910.1</v>
      </c>
      <c r="K7" s="77">
        <v>0.97770000000000001</v>
      </c>
      <c r="L7" s="27">
        <f t="shared" si="0"/>
        <v>8711.404770000001</v>
      </c>
    </row>
    <row r="8" spans="4:13">
      <c r="D8" s="74">
        <v>44287</v>
      </c>
      <c r="E8" s="75">
        <v>9503100</v>
      </c>
      <c r="F8" s="75">
        <f t="shared" si="1"/>
        <v>9503100</v>
      </c>
      <c r="G8" s="75">
        <v>9503100</v>
      </c>
      <c r="H8" s="76">
        <f t="shared" si="2"/>
        <v>0</v>
      </c>
      <c r="I8" s="75">
        <v>34800</v>
      </c>
      <c r="J8" s="75">
        <f t="shared" si="3"/>
        <v>9468.2999999999993</v>
      </c>
      <c r="K8" s="77">
        <v>0.97770000000000001</v>
      </c>
      <c r="L8" s="27">
        <f t="shared" si="0"/>
        <v>9257.1569099999997</v>
      </c>
      <c r="M8" s="28"/>
    </row>
    <row r="9" spans="4:13">
      <c r="D9" s="74">
        <v>44317</v>
      </c>
      <c r="E9" s="75">
        <v>12952400</v>
      </c>
      <c r="F9" s="75">
        <f t="shared" si="1"/>
        <v>12952400</v>
      </c>
      <c r="G9" s="75">
        <v>12952400</v>
      </c>
      <c r="H9" s="76">
        <f t="shared" si="2"/>
        <v>0</v>
      </c>
      <c r="I9" s="75">
        <v>16900</v>
      </c>
      <c r="J9" s="75">
        <f t="shared" si="3"/>
        <v>12935.5</v>
      </c>
      <c r="K9" s="77">
        <v>0.97770000000000001</v>
      </c>
      <c r="L9" s="27">
        <f t="shared" si="0"/>
        <v>12647.038350000001</v>
      </c>
      <c r="M9" s="28"/>
    </row>
    <row r="10" spans="4:13">
      <c r="D10" s="74">
        <v>44348</v>
      </c>
      <c r="E10" s="75">
        <v>14703100</v>
      </c>
      <c r="F10" s="75">
        <f t="shared" si="1"/>
        <v>14703100</v>
      </c>
      <c r="G10" s="75">
        <v>14703100</v>
      </c>
      <c r="H10" s="76">
        <f t="shared" si="2"/>
        <v>0</v>
      </c>
      <c r="I10" s="75">
        <v>5200</v>
      </c>
      <c r="J10" s="75">
        <f t="shared" si="3"/>
        <v>14697.9</v>
      </c>
      <c r="K10" s="77">
        <v>0.97770000000000001</v>
      </c>
      <c r="L10" s="27">
        <f t="shared" si="0"/>
        <v>14370.136829999999</v>
      </c>
      <c r="M10" s="28"/>
    </row>
    <row r="11" spans="4:13">
      <c r="D11" s="74">
        <v>44378</v>
      </c>
      <c r="E11" s="75">
        <v>16413400</v>
      </c>
      <c r="F11" s="75">
        <f t="shared" si="1"/>
        <v>16413400</v>
      </c>
      <c r="G11" s="75">
        <v>16413400</v>
      </c>
      <c r="H11" s="76">
        <f t="shared" si="2"/>
        <v>0</v>
      </c>
      <c r="I11" s="75">
        <v>11800</v>
      </c>
      <c r="J11" s="75">
        <f t="shared" si="3"/>
        <v>16401.599999999999</v>
      </c>
      <c r="K11" s="77">
        <v>0.97770000000000001</v>
      </c>
      <c r="L11" s="27">
        <f t="shared" si="0"/>
        <v>16035.844319999998</v>
      </c>
      <c r="M11" s="28"/>
    </row>
    <row r="12" spans="4:13">
      <c r="D12" s="74">
        <v>44409</v>
      </c>
      <c r="E12" s="75">
        <v>14348500</v>
      </c>
      <c r="F12" s="75">
        <f t="shared" si="1"/>
        <v>14348500</v>
      </c>
      <c r="G12" s="75">
        <v>14348500</v>
      </c>
      <c r="H12" s="76">
        <f t="shared" si="2"/>
        <v>0</v>
      </c>
      <c r="I12" s="75">
        <v>11100</v>
      </c>
      <c r="J12" s="75">
        <f t="shared" si="3"/>
        <v>14337.4</v>
      </c>
      <c r="K12" s="77">
        <v>0.97770000000000001</v>
      </c>
      <c r="L12" s="27">
        <f t="shared" si="0"/>
        <v>14017.67598</v>
      </c>
      <c r="M12" s="28"/>
    </row>
    <row r="13" spans="4:13">
      <c r="D13" s="74">
        <v>44440</v>
      </c>
      <c r="E13" s="75">
        <v>7593400</v>
      </c>
      <c r="F13" s="75">
        <f t="shared" si="1"/>
        <v>7593400</v>
      </c>
      <c r="G13" s="75">
        <v>7593400</v>
      </c>
      <c r="H13" s="76">
        <f t="shared" si="2"/>
        <v>0</v>
      </c>
      <c r="I13" s="75">
        <v>33300</v>
      </c>
      <c r="J13" s="75">
        <f t="shared" si="3"/>
        <v>7560.1</v>
      </c>
      <c r="K13" s="77">
        <v>0.97770000000000001</v>
      </c>
      <c r="L13" s="27">
        <f t="shared" si="0"/>
        <v>7391.5097700000006</v>
      </c>
      <c r="M13" s="28"/>
    </row>
    <row r="14" spans="4:13">
      <c r="D14" s="74">
        <v>44470</v>
      </c>
      <c r="E14" s="75">
        <v>4038200</v>
      </c>
      <c r="F14" s="75">
        <f t="shared" si="1"/>
        <v>4038200</v>
      </c>
      <c r="G14" s="75">
        <v>4038200</v>
      </c>
      <c r="H14" s="76">
        <f t="shared" si="2"/>
        <v>0</v>
      </c>
      <c r="I14" s="75">
        <v>53600</v>
      </c>
      <c r="J14" s="75">
        <f t="shared" si="3"/>
        <v>3984.6</v>
      </c>
      <c r="K14" s="77">
        <v>0.97770000000000001</v>
      </c>
      <c r="L14" s="27">
        <f t="shared" si="0"/>
        <v>3895.7434199999998</v>
      </c>
      <c r="M14" s="28"/>
    </row>
    <row r="15" spans="4:13">
      <c r="D15" s="74">
        <v>44501</v>
      </c>
      <c r="E15" s="75">
        <v>8237700</v>
      </c>
      <c r="F15" s="75">
        <f t="shared" si="1"/>
        <v>8237700</v>
      </c>
      <c r="G15" s="75">
        <v>8237700</v>
      </c>
      <c r="H15" s="76">
        <f t="shared" si="2"/>
        <v>0</v>
      </c>
      <c r="I15" s="75">
        <v>24100</v>
      </c>
      <c r="J15" s="75">
        <f t="shared" si="3"/>
        <v>8213.6</v>
      </c>
      <c r="K15" s="77">
        <v>0.97770000000000001</v>
      </c>
      <c r="L15" s="27">
        <f t="shared" si="0"/>
        <v>8030.4367200000006</v>
      </c>
      <c r="M15" s="28"/>
    </row>
    <row r="16" spans="4:13" ht="15.75" thickBot="1">
      <c r="D16" s="74">
        <v>44531</v>
      </c>
      <c r="E16" s="75">
        <v>8258000</v>
      </c>
      <c r="F16" s="75">
        <f t="shared" si="1"/>
        <v>8258000</v>
      </c>
      <c r="G16" s="79">
        <v>8258000</v>
      </c>
      <c r="H16" s="76">
        <f t="shared" si="2"/>
        <v>0</v>
      </c>
      <c r="I16" s="79">
        <v>42600</v>
      </c>
      <c r="J16" s="75">
        <f t="shared" si="3"/>
        <v>8215.4</v>
      </c>
      <c r="K16" s="77">
        <v>0.97770000000000001</v>
      </c>
      <c r="L16" s="29">
        <f t="shared" si="0"/>
        <v>8032.1965799999998</v>
      </c>
      <c r="M16" s="28"/>
    </row>
    <row r="17" spans="4:13" ht="15.75" thickBot="1">
      <c r="D17" s="30" t="s">
        <v>29</v>
      </c>
      <c r="E17" s="30">
        <f>SUM(E5:E16)</f>
        <v>117770900</v>
      </c>
      <c r="F17" s="30">
        <f>SUM(F5:F16)</f>
        <v>117770900</v>
      </c>
      <c r="G17" s="30">
        <f>SUM(G5:G16)</f>
        <v>117770900</v>
      </c>
      <c r="H17" s="30"/>
      <c r="I17" s="30">
        <f t="shared" ref="I17" si="4">SUM(I5:I16)</f>
        <v>351400</v>
      </c>
      <c r="J17" s="103">
        <f>SUM(J5:J16)</f>
        <v>117419.5</v>
      </c>
      <c r="K17" s="30"/>
      <c r="L17" s="30">
        <f>ROUNDDOWN((+SUM(L5:L16)),0)</f>
        <v>114801</v>
      </c>
      <c r="M17" s="28"/>
    </row>
    <row r="18" spans="4:13">
      <c r="D18" s="74">
        <v>44562</v>
      </c>
      <c r="E18" s="80">
        <v>6862500</v>
      </c>
      <c r="F18" s="80">
        <f>E18</f>
        <v>6862500</v>
      </c>
      <c r="G18" s="80">
        <v>6862500</v>
      </c>
      <c r="H18" s="81">
        <f>F18-G18</f>
        <v>0</v>
      </c>
      <c r="I18" s="80">
        <v>44900</v>
      </c>
      <c r="J18" s="80">
        <f>(E18-I18)/1000</f>
        <v>6817.6</v>
      </c>
      <c r="K18" s="77">
        <v>0.97770000000000001</v>
      </c>
      <c r="L18" s="31">
        <f>+J18*K18</f>
        <v>6665.5675200000005</v>
      </c>
      <c r="M18" s="28"/>
    </row>
    <row r="19" spans="4:13">
      <c r="D19" s="74">
        <v>44593</v>
      </c>
      <c r="E19" s="75">
        <v>6893900</v>
      </c>
      <c r="F19" s="80">
        <f t="shared" ref="F19:F29" si="5">E19</f>
        <v>6893900</v>
      </c>
      <c r="G19" s="75">
        <v>6893900</v>
      </c>
      <c r="H19" s="81">
        <f t="shared" ref="H19:H29" si="6">F19-G19</f>
        <v>0</v>
      </c>
      <c r="I19" s="80">
        <v>38700</v>
      </c>
      <c r="J19" s="80">
        <f t="shared" ref="J19:J29" si="7">(E19-I19)/1000</f>
        <v>6855.2</v>
      </c>
      <c r="K19" s="77">
        <v>0.97770000000000001</v>
      </c>
      <c r="L19" s="27">
        <f t="shared" ref="L19:L35" si="8">+J19*K19</f>
        <v>6702.3290399999996</v>
      </c>
      <c r="M19" s="28"/>
    </row>
    <row r="20" spans="4:13">
      <c r="D20" s="74">
        <v>44621</v>
      </c>
      <c r="E20" s="75">
        <v>7039100</v>
      </c>
      <c r="F20" s="80">
        <f t="shared" si="5"/>
        <v>7039100</v>
      </c>
      <c r="G20" s="78">
        <v>7039100</v>
      </c>
      <c r="H20" s="81">
        <f t="shared" si="6"/>
        <v>0</v>
      </c>
      <c r="I20" s="82">
        <v>47700</v>
      </c>
      <c r="J20" s="80">
        <f t="shared" si="7"/>
        <v>6991.4</v>
      </c>
      <c r="K20" s="77">
        <v>0.97770000000000001</v>
      </c>
      <c r="L20" s="27">
        <f t="shared" si="8"/>
        <v>6835.4917799999994</v>
      </c>
      <c r="M20" s="28"/>
    </row>
    <row r="21" spans="4:13">
      <c r="D21" s="74">
        <v>44652</v>
      </c>
      <c r="E21" s="75">
        <v>11507300</v>
      </c>
      <c r="F21" s="80">
        <f t="shared" si="5"/>
        <v>11507300</v>
      </c>
      <c r="G21" s="75">
        <v>11507300</v>
      </c>
      <c r="H21" s="81">
        <f t="shared" si="6"/>
        <v>0</v>
      </c>
      <c r="I21" s="80">
        <v>19800</v>
      </c>
      <c r="J21" s="80">
        <f t="shared" si="7"/>
        <v>11487.5</v>
      </c>
      <c r="K21" s="77">
        <v>0.97770000000000001</v>
      </c>
      <c r="L21" s="27">
        <f t="shared" si="8"/>
        <v>11231.328750000001</v>
      </c>
      <c r="M21" s="28"/>
    </row>
    <row r="22" spans="4:13">
      <c r="D22" s="74">
        <v>44682</v>
      </c>
      <c r="E22" s="75">
        <v>16819700</v>
      </c>
      <c r="F22" s="80">
        <f t="shared" si="5"/>
        <v>16819700</v>
      </c>
      <c r="G22" s="75">
        <v>16819700</v>
      </c>
      <c r="H22" s="81">
        <f t="shared" si="6"/>
        <v>0</v>
      </c>
      <c r="I22" s="80">
        <v>5200</v>
      </c>
      <c r="J22" s="80">
        <f t="shared" si="7"/>
        <v>16814.5</v>
      </c>
      <c r="K22" s="77">
        <v>0.97770000000000001</v>
      </c>
      <c r="L22" s="27">
        <f t="shared" si="8"/>
        <v>16439.536650000002</v>
      </c>
      <c r="M22" s="28"/>
    </row>
    <row r="23" spans="4:13">
      <c r="D23" s="74">
        <v>44713</v>
      </c>
      <c r="E23" s="75">
        <f>4209700+9744000</f>
        <v>13953700</v>
      </c>
      <c r="F23" s="80">
        <f t="shared" si="5"/>
        <v>13953700</v>
      </c>
      <c r="G23" s="75">
        <f>4209700+9744000</f>
        <v>13953700</v>
      </c>
      <c r="H23" s="81">
        <f t="shared" si="6"/>
        <v>0</v>
      </c>
      <c r="I23" s="75">
        <v>11000</v>
      </c>
      <c r="J23" s="80">
        <f t="shared" si="7"/>
        <v>13942.7</v>
      </c>
      <c r="K23" s="77">
        <v>0.97770000000000001</v>
      </c>
      <c r="L23" s="27">
        <f t="shared" si="8"/>
        <v>13631.77779</v>
      </c>
      <c r="M23" s="28"/>
    </row>
    <row r="24" spans="4:13">
      <c r="D24" s="74">
        <v>44743</v>
      </c>
      <c r="E24" s="75">
        <v>10185001</v>
      </c>
      <c r="F24" s="80">
        <f t="shared" si="5"/>
        <v>10185001</v>
      </c>
      <c r="G24" s="75">
        <v>10185001</v>
      </c>
      <c r="H24" s="81">
        <f t="shared" si="6"/>
        <v>0</v>
      </c>
      <c r="I24" s="75">
        <v>14000</v>
      </c>
      <c r="J24" s="80">
        <f t="shared" si="7"/>
        <v>10171.001</v>
      </c>
      <c r="K24" s="77">
        <v>0.97770000000000001</v>
      </c>
      <c r="L24" s="27">
        <f t="shared" si="8"/>
        <v>9944.1876776999998</v>
      </c>
      <c r="M24" s="28"/>
    </row>
    <row r="25" spans="4:13">
      <c r="D25" s="74">
        <v>44774</v>
      </c>
      <c r="E25" s="79">
        <v>10607999</v>
      </c>
      <c r="F25" s="80">
        <f t="shared" si="5"/>
        <v>10607999</v>
      </c>
      <c r="G25" s="79">
        <v>10607999</v>
      </c>
      <c r="H25" s="81">
        <f t="shared" si="6"/>
        <v>0</v>
      </c>
      <c r="I25" s="75">
        <v>41000</v>
      </c>
      <c r="J25" s="80">
        <f t="shared" si="7"/>
        <v>10566.999</v>
      </c>
      <c r="K25" s="77">
        <v>0.97770000000000001</v>
      </c>
      <c r="L25" s="29">
        <f t="shared" si="8"/>
        <v>10331.354922299999</v>
      </c>
      <c r="M25" s="28"/>
    </row>
    <row r="26" spans="4:13">
      <c r="D26" s="74">
        <v>44805</v>
      </c>
      <c r="E26" s="75">
        <v>8452000</v>
      </c>
      <c r="F26" s="80">
        <f t="shared" si="5"/>
        <v>8452000</v>
      </c>
      <c r="G26" s="75">
        <v>8452000</v>
      </c>
      <c r="H26" s="81">
        <f t="shared" si="6"/>
        <v>0</v>
      </c>
      <c r="I26" s="75">
        <v>45000</v>
      </c>
      <c r="J26" s="80">
        <f t="shared" si="7"/>
        <v>8407</v>
      </c>
      <c r="K26" s="77">
        <v>0.97770000000000001</v>
      </c>
      <c r="L26" s="29">
        <f t="shared" si="8"/>
        <v>8219.5239000000001</v>
      </c>
      <c r="M26" s="28"/>
    </row>
    <row r="27" spans="4:13">
      <c r="D27" s="74">
        <v>44835</v>
      </c>
      <c r="E27" s="75">
        <v>5174002</v>
      </c>
      <c r="F27" s="80">
        <f t="shared" si="5"/>
        <v>5174002</v>
      </c>
      <c r="G27" s="75">
        <v>5174002</v>
      </c>
      <c r="H27" s="81">
        <f t="shared" si="6"/>
        <v>0</v>
      </c>
      <c r="I27" s="75">
        <v>42000</v>
      </c>
      <c r="J27" s="80">
        <f t="shared" si="7"/>
        <v>5132.0020000000004</v>
      </c>
      <c r="K27" s="77">
        <v>0.97770000000000001</v>
      </c>
      <c r="L27" s="29">
        <f t="shared" si="8"/>
        <v>5017.5583554000004</v>
      </c>
    </row>
    <row r="28" spans="4:13">
      <c r="D28" s="74">
        <v>44866</v>
      </c>
      <c r="E28" s="75">
        <v>3011998</v>
      </c>
      <c r="F28" s="80">
        <f t="shared" si="5"/>
        <v>3011998</v>
      </c>
      <c r="G28" s="78">
        <v>3011998</v>
      </c>
      <c r="H28" s="81">
        <f t="shared" si="6"/>
        <v>0</v>
      </c>
      <c r="I28" s="82">
        <v>80000</v>
      </c>
      <c r="J28" s="80">
        <f t="shared" si="7"/>
        <v>2931.998</v>
      </c>
      <c r="K28" s="77">
        <v>0.97770000000000001</v>
      </c>
      <c r="L28" s="29">
        <f t="shared" si="8"/>
        <v>2866.6144446000003</v>
      </c>
    </row>
    <row r="29" spans="4:13" ht="15.75" thickBot="1">
      <c r="D29" s="74">
        <v>44896</v>
      </c>
      <c r="E29" s="79">
        <v>5237002</v>
      </c>
      <c r="F29" s="80">
        <f t="shared" si="5"/>
        <v>5237002</v>
      </c>
      <c r="G29" s="83">
        <v>5237002</v>
      </c>
      <c r="H29" s="81">
        <f t="shared" si="6"/>
        <v>0</v>
      </c>
      <c r="I29" s="84">
        <v>49000</v>
      </c>
      <c r="J29" s="80">
        <f t="shared" si="7"/>
        <v>5188.0020000000004</v>
      </c>
      <c r="K29" s="77">
        <v>0.97770000000000001</v>
      </c>
      <c r="L29" s="29">
        <f t="shared" si="8"/>
        <v>5072.3095554000001</v>
      </c>
    </row>
    <row r="30" spans="4:13" ht="15.75" thickBot="1">
      <c r="D30" s="33" t="s">
        <v>30</v>
      </c>
      <c r="E30" s="33">
        <f>SUM(E18:E29)</f>
        <v>105744202</v>
      </c>
      <c r="F30" s="33">
        <f t="shared" ref="F30" si="9">SUM(F18:F29)</f>
        <v>105744202</v>
      </c>
      <c r="G30" s="33">
        <f>SUM(G18:G29)</f>
        <v>105744202</v>
      </c>
      <c r="H30" s="33"/>
      <c r="I30" s="33">
        <f t="shared" ref="I30" si="10">SUM(I18:I29)</f>
        <v>438300</v>
      </c>
      <c r="J30" s="104">
        <f>SUM(J18:J29)</f>
        <v>105305.902</v>
      </c>
      <c r="K30" s="33"/>
      <c r="L30" s="33">
        <f>ROUNDDOWN((+SUM(L18:L29)),0)</f>
        <v>102957</v>
      </c>
      <c r="M30" s="28"/>
    </row>
    <row r="31" spans="4:13">
      <c r="D31" s="85">
        <v>44927</v>
      </c>
      <c r="E31" s="86">
        <v>7309001</v>
      </c>
      <c r="F31" s="86">
        <f>E31</f>
        <v>7309001</v>
      </c>
      <c r="G31" s="86">
        <v>7309001</v>
      </c>
      <c r="H31" s="87">
        <f>F31-G31</f>
        <v>0</v>
      </c>
      <c r="I31" s="88">
        <v>31000</v>
      </c>
      <c r="J31" s="89">
        <f>(E31-I31)/1000</f>
        <v>7278.0010000000002</v>
      </c>
      <c r="K31" s="90">
        <v>0.97770000000000001</v>
      </c>
      <c r="L31" s="35">
        <f t="shared" si="8"/>
        <v>7115.7015777000006</v>
      </c>
      <c r="M31" s="28"/>
    </row>
    <row r="32" spans="4:13">
      <c r="D32" s="74">
        <v>44958</v>
      </c>
      <c r="E32" s="80">
        <v>3425997</v>
      </c>
      <c r="F32" s="78">
        <f>E32</f>
        <v>3425997</v>
      </c>
      <c r="G32" s="78">
        <v>3425997</v>
      </c>
      <c r="H32" s="91">
        <f t="shared" ref="H32:H35" si="11">F32-G32</f>
        <v>0</v>
      </c>
      <c r="I32" s="83">
        <v>71000</v>
      </c>
      <c r="J32" s="75">
        <f>(E32-I32)/1000</f>
        <v>3354.9969999999998</v>
      </c>
      <c r="K32" s="77">
        <v>0.97770000000000001</v>
      </c>
      <c r="L32" s="29">
        <f t="shared" si="8"/>
        <v>3280.1805669</v>
      </c>
      <c r="M32" s="28"/>
    </row>
    <row r="33" spans="4:13">
      <c r="D33" s="74">
        <v>44986</v>
      </c>
      <c r="E33" s="80">
        <v>6011998</v>
      </c>
      <c r="F33" s="78">
        <f t="shared" ref="F33:F35" si="12">E33</f>
        <v>6011998</v>
      </c>
      <c r="G33" s="78">
        <v>6011998</v>
      </c>
      <c r="H33" s="91">
        <f t="shared" si="11"/>
        <v>0</v>
      </c>
      <c r="I33" s="83">
        <v>51000</v>
      </c>
      <c r="J33" s="75">
        <f>(E33-I33)/1000</f>
        <v>5960.9979999999996</v>
      </c>
      <c r="K33" s="77">
        <v>0.97770000000000001</v>
      </c>
      <c r="L33" s="29">
        <f t="shared" si="8"/>
        <v>5828.0677446</v>
      </c>
      <c r="M33" s="28"/>
    </row>
    <row r="34" spans="4:13">
      <c r="D34" s="74">
        <v>45017</v>
      </c>
      <c r="E34" s="80">
        <v>8799003</v>
      </c>
      <c r="F34" s="78">
        <f t="shared" si="12"/>
        <v>8799003</v>
      </c>
      <c r="G34" s="78">
        <v>8799003</v>
      </c>
      <c r="H34" s="91">
        <f t="shared" si="11"/>
        <v>0</v>
      </c>
      <c r="I34" s="83">
        <v>19000</v>
      </c>
      <c r="J34" s="75">
        <f>(E34-I34)/1000</f>
        <v>8780.0030000000006</v>
      </c>
      <c r="K34" s="77">
        <v>0.97770000000000001</v>
      </c>
      <c r="L34" s="29">
        <f t="shared" si="8"/>
        <v>8584.2089331000006</v>
      </c>
      <c r="M34" s="28"/>
    </row>
    <row r="35" spans="4:13" ht="15.75" thickBot="1">
      <c r="D35" s="36">
        <v>45047</v>
      </c>
      <c r="E35" s="92">
        <f>11320001*4/31</f>
        <v>1460645.2903225806</v>
      </c>
      <c r="F35" s="93">
        <f t="shared" si="12"/>
        <v>1460645.2903225806</v>
      </c>
      <c r="G35" s="93">
        <f>11320001*4/31</f>
        <v>1460645.2903225806</v>
      </c>
      <c r="H35" s="94">
        <f t="shared" si="11"/>
        <v>0</v>
      </c>
      <c r="I35" s="93">
        <f>31000*4/31</f>
        <v>4000</v>
      </c>
      <c r="J35" s="95">
        <f>(E35-I35)/1000</f>
        <v>1456.6452903225806</v>
      </c>
      <c r="K35" s="96">
        <v>0.97770000000000001</v>
      </c>
      <c r="L35" s="37">
        <f t="shared" si="8"/>
        <v>1424.1621003483872</v>
      </c>
      <c r="M35" s="28"/>
    </row>
    <row r="36" spans="4:13" ht="15.75" thickBot="1">
      <c r="D36" s="34" t="s">
        <v>31</v>
      </c>
      <c r="E36" s="34">
        <f>SUM(E31:E35)</f>
        <v>27006644.290322579</v>
      </c>
      <c r="F36" s="34">
        <f>SUM(F31:F35)</f>
        <v>27006644.290322579</v>
      </c>
      <c r="G36" s="34">
        <f>SUM(G31:G35)</f>
        <v>27006644.290322579</v>
      </c>
      <c r="H36" s="34"/>
      <c r="I36" s="34">
        <f t="shared" ref="I36" si="13">SUM(I31:I35)</f>
        <v>176000</v>
      </c>
      <c r="J36" s="105">
        <f>SUM(J31:J35)</f>
        <v>26830.64429032258</v>
      </c>
      <c r="K36" s="34"/>
      <c r="L36" s="34">
        <f>ROUNDDOWN((+SUM(L31:L35)),0)</f>
        <v>26232</v>
      </c>
      <c r="M36" s="28"/>
    </row>
    <row r="37" spans="4:13" ht="15.75" thickBot="1">
      <c r="D37" s="97" t="s">
        <v>21</v>
      </c>
      <c r="E37" s="98">
        <f>+E17+E30+E36</f>
        <v>250521746.29032257</v>
      </c>
      <c r="F37" s="98">
        <f>+F17+F30+F36</f>
        <v>250521746.29032257</v>
      </c>
      <c r="G37" s="98">
        <f>+G17+G30+G36</f>
        <v>250521746.29032257</v>
      </c>
      <c r="H37" s="98"/>
      <c r="I37" s="98"/>
      <c r="J37" s="98">
        <f>+J17+J30+J36</f>
        <v>249556.04629032259</v>
      </c>
      <c r="K37" s="99"/>
      <c r="L37" s="32">
        <f>L17+L30+L36</f>
        <v>243990</v>
      </c>
    </row>
    <row r="38" spans="4:13">
      <c r="J38" s="100"/>
    </row>
    <row r="42" spans="4:13">
      <c r="E42" s="72" t="s">
        <v>108</v>
      </c>
    </row>
    <row r="43" spans="4:13">
      <c r="E43" s="72" t="s">
        <v>104</v>
      </c>
    </row>
    <row r="44" spans="4:13">
      <c r="E44" s="72" t="s">
        <v>105</v>
      </c>
    </row>
    <row r="45" spans="4:13">
      <c r="E45" s="72" t="s">
        <v>106</v>
      </c>
    </row>
    <row r="46" spans="4:13">
      <c r="E46" s="72" t="s">
        <v>107</v>
      </c>
    </row>
    <row r="47" spans="4:13">
      <c r="F47" s="101"/>
    </row>
  </sheetData>
  <phoneticPr fontId="16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3F7AC-6A57-4229-B058-C669C710BC96}">
  <dimension ref="A2:E13"/>
  <sheetViews>
    <sheetView workbookViewId="0">
      <selection activeCell="C15" sqref="C15"/>
    </sheetView>
  </sheetViews>
  <sheetFormatPr defaultRowHeight="15"/>
  <cols>
    <col min="1" max="1" width="36.28515625" bestFit="1" customWidth="1"/>
    <col min="2" max="2" width="23.5703125" bestFit="1" customWidth="1"/>
    <col min="3" max="3" width="16.7109375" customWidth="1"/>
    <col min="4" max="4" width="19.85546875" customWidth="1"/>
    <col min="5" max="5" width="21.28515625" customWidth="1"/>
  </cols>
  <sheetData>
    <row r="2" spans="1:5">
      <c r="A2" s="38" t="s">
        <v>32</v>
      </c>
    </row>
    <row r="3" spans="1:5">
      <c r="A3" s="39" t="s">
        <v>33</v>
      </c>
      <c r="B3" s="39" t="s">
        <v>34</v>
      </c>
      <c r="C3" s="39" t="s">
        <v>35</v>
      </c>
      <c r="D3" s="39" t="s">
        <v>36</v>
      </c>
      <c r="E3" s="39" t="s">
        <v>37</v>
      </c>
    </row>
    <row r="4" spans="1:5">
      <c r="A4" s="125" t="s">
        <v>38</v>
      </c>
      <c r="B4" s="40" t="s">
        <v>39</v>
      </c>
      <c r="C4" s="41">
        <f>'SDG 13'!J17</f>
        <v>117419.5</v>
      </c>
      <c r="D4" s="42">
        <v>0</v>
      </c>
      <c r="E4" s="43">
        <f>C4-D4</f>
        <v>117419.5</v>
      </c>
    </row>
    <row r="5" spans="1:5">
      <c r="A5" s="126"/>
      <c r="B5" s="40" t="s">
        <v>40</v>
      </c>
      <c r="C5" s="41">
        <f>'SDG 13'!J30</f>
        <v>105305.902</v>
      </c>
      <c r="D5" s="42">
        <v>0</v>
      </c>
      <c r="E5" s="43">
        <f t="shared" ref="E5:E6" si="0">C5-D5</f>
        <v>105305.902</v>
      </c>
    </row>
    <row r="6" spans="1:5">
      <c r="A6" s="126"/>
      <c r="B6" s="40" t="s">
        <v>41</v>
      </c>
      <c r="C6" s="41">
        <f>'SDG 13'!J36</f>
        <v>26830.64429032258</v>
      </c>
      <c r="D6" s="42">
        <v>0</v>
      </c>
      <c r="E6" s="43">
        <f t="shared" si="0"/>
        <v>26830.64429032258</v>
      </c>
    </row>
    <row r="7" spans="1:5">
      <c r="A7" s="127"/>
      <c r="B7" s="44" t="s">
        <v>21</v>
      </c>
      <c r="C7" s="45">
        <f>SUM(C4:C6)</f>
        <v>249556.04629032259</v>
      </c>
      <c r="D7" s="46">
        <f>SUM(D4:D6)</f>
        <v>0</v>
      </c>
      <c r="E7" s="45">
        <f>SUM(E4:E6)</f>
        <v>249556.04629032259</v>
      </c>
    </row>
    <row r="10" spans="1:5">
      <c r="C10" s="102"/>
    </row>
    <row r="11" spans="1:5">
      <c r="C11" s="102"/>
    </row>
    <row r="13" spans="1:5">
      <c r="C13" s="102"/>
    </row>
  </sheetData>
  <mergeCells count="1">
    <mergeCell ref="A4:A7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CC94-AF42-4332-A90E-176DCD2A12E0}">
  <dimension ref="B2:I38"/>
  <sheetViews>
    <sheetView workbookViewId="0">
      <selection activeCell="E14" sqref="E14"/>
    </sheetView>
  </sheetViews>
  <sheetFormatPr defaultRowHeight="15"/>
  <cols>
    <col min="2" max="2" width="45.42578125" bestFit="1" customWidth="1"/>
    <col min="3" max="3" width="32.28515625" customWidth="1"/>
    <col min="4" max="4" width="17.7109375" customWidth="1"/>
    <col min="5" max="5" width="15.85546875" customWidth="1"/>
    <col min="6" max="6" width="19" customWidth="1"/>
    <col min="7" max="7" width="37.5703125" customWidth="1"/>
    <col min="8" max="8" width="23.42578125" customWidth="1"/>
    <col min="9" max="9" width="15.85546875" customWidth="1"/>
  </cols>
  <sheetData>
    <row r="2" spans="2:7">
      <c r="B2" s="47" t="s">
        <v>42</v>
      </c>
      <c r="C2" s="47"/>
    </row>
    <row r="3" spans="2:7">
      <c r="B3" s="39" t="s">
        <v>33</v>
      </c>
      <c r="C3" s="39" t="s">
        <v>34</v>
      </c>
      <c r="D3" s="39" t="s">
        <v>35</v>
      </c>
      <c r="E3" s="39" t="s">
        <v>36</v>
      </c>
      <c r="F3" s="39" t="s">
        <v>37</v>
      </c>
    </row>
    <row r="4" spans="2:7">
      <c r="B4" s="128" t="s">
        <v>43</v>
      </c>
      <c r="C4" s="40" t="s">
        <v>39</v>
      </c>
      <c r="D4" s="48">
        <f>SUM(H25:H29)</f>
        <v>5</v>
      </c>
      <c r="E4" s="46">
        <v>0</v>
      </c>
      <c r="F4" s="48">
        <f>D4-E4</f>
        <v>5</v>
      </c>
    </row>
    <row r="5" spans="2:7">
      <c r="B5" s="129"/>
      <c r="C5" s="40" t="s">
        <v>40</v>
      </c>
      <c r="D5" s="48">
        <f>SUM(H30:H34)</f>
        <v>5</v>
      </c>
      <c r="E5" s="46">
        <v>0</v>
      </c>
      <c r="F5" s="48">
        <f t="shared" ref="F5:F6" si="0">D5-E5</f>
        <v>5</v>
      </c>
    </row>
    <row r="6" spans="2:7">
      <c r="B6" s="129"/>
      <c r="C6" s="40" t="s">
        <v>41</v>
      </c>
      <c r="D6" s="48">
        <f>SUM(H35:H37)</f>
        <v>3</v>
      </c>
      <c r="E6" s="46">
        <v>0</v>
      </c>
      <c r="F6" s="48">
        <f t="shared" si="0"/>
        <v>3</v>
      </c>
    </row>
    <row r="7" spans="2:7">
      <c r="B7" s="130"/>
      <c r="C7" s="44" t="s">
        <v>21</v>
      </c>
      <c r="D7" s="49">
        <f>SUM(D4:D6)</f>
        <v>13</v>
      </c>
      <c r="E7" s="49">
        <f>SUM(E4:E6)</f>
        <v>0</v>
      </c>
      <c r="F7" s="49">
        <f>SUM(F4:F6)</f>
        <v>13</v>
      </c>
    </row>
    <row r="10" spans="2:7">
      <c r="B10" s="39" t="s">
        <v>33</v>
      </c>
      <c r="C10" s="39" t="s">
        <v>44</v>
      </c>
      <c r="D10" s="39" t="s">
        <v>35</v>
      </c>
      <c r="E10" s="39" t="s">
        <v>36</v>
      </c>
      <c r="F10" s="39" t="s">
        <v>37</v>
      </c>
    </row>
    <row r="11" spans="2:7">
      <c r="B11" s="128" t="s">
        <v>98</v>
      </c>
      <c r="C11" s="40" t="s">
        <v>39</v>
      </c>
      <c r="D11" s="70">
        <v>71233000</v>
      </c>
      <c r="E11" s="46">
        <v>0</v>
      </c>
      <c r="F11" s="70">
        <f>D11-E11</f>
        <v>71233000</v>
      </c>
    </row>
    <row r="12" spans="2:7">
      <c r="B12" s="129"/>
      <c r="C12" s="40" t="s">
        <v>40</v>
      </c>
      <c r="D12" s="70">
        <v>74782000</v>
      </c>
      <c r="E12" s="46">
        <v>0</v>
      </c>
      <c r="F12" s="70">
        <f t="shared" ref="F12:F13" si="1">D12-E12</f>
        <v>74782000</v>
      </c>
    </row>
    <row r="13" spans="2:7">
      <c r="B13" s="129"/>
      <c r="C13" s="40" t="s">
        <v>41</v>
      </c>
      <c r="D13" s="70">
        <v>26256000</v>
      </c>
      <c r="E13" s="46">
        <v>0</v>
      </c>
      <c r="F13" s="70">
        <f t="shared" si="1"/>
        <v>26256000</v>
      </c>
    </row>
    <row r="14" spans="2:7">
      <c r="B14" s="130"/>
      <c r="C14" s="44" t="s">
        <v>21</v>
      </c>
      <c r="D14" s="69">
        <f>SUM(D11:D13)</f>
        <v>172271000</v>
      </c>
      <c r="E14" s="51">
        <f>SUM(E11:E13)</f>
        <v>0</v>
      </c>
      <c r="F14" s="69">
        <f>SUM(F11:F13)</f>
        <v>172271000</v>
      </c>
    </row>
    <row r="15" spans="2:7">
      <c r="G15" s="71">
        <v>172271000</v>
      </c>
    </row>
    <row r="17" spans="2:9">
      <c r="B17" s="39" t="s">
        <v>33</v>
      </c>
      <c r="C17" s="39" t="s">
        <v>44</v>
      </c>
      <c r="D17" s="39" t="s">
        <v>35</v>
      </c>
      <c r="E17" s="39" t="s">
        <v>45</v>
      </c>
      <c r="F17" s="39" t="s">
        <v>46</v>
      </c>
    </row>
    <row r="18" spans="2:9">
      <c r="B18" s="128" t="s">
        <v>47</v>
      </c>
      <c r="C18" s="40" t="s">
        <v>39</v>
      </c>
      <c r="D18" s="52">
        <f>C34</f>
        <v>41</v>
      </c>
      <c r="E18" s="46">
        <v>0</v>
      </c>
      <c r="F18" s="52">
        <f>D18-E18</f>
        <v>41</v>
      </c>
    </row>
    <row r="19" spans="2:9">
      <c r="B19" s="129"/>
      <c r="C19" s="40" t="s">
        <v>40</v>
      </c>
      <c r="D19" s="52">
        <f>C34</f>
        <v>41</v>
      </c>
      <c r="E19" s="46">
        <v>0</v>
      </c>
      <c r="F19" s="52">
        <f t="shared" ref="F19:F20" si="2">D19-E19</f>
        <v>41</v>
      </c>
    </row>
    <row r="20" spans="2:9">
      <c r="B20" s="129"/>
      <c r="C20" s="40" t="s">
        <v>41</v>
      </c>
      <c r="D20" s="52">
        <f>C34</f>
        <v>41</v>
      </c>
      <c r="E20" s="46">
        <v>0</v>
      </c>
      <c r="F20" s="52">
        <f t="shared" si="2"/>
        <v>41</v>
      </c>
    </row>
    <row r="21" spans="2:9">
      <c r="B21" s="130"/>
      <c r="C21" s="44" t="s">
        <v>48</v>
      </c>
      <c r="D21" s="50">
        <f>C34</f>
        <v>41</v>
      </c>
      <c r="E21" s="51">
        <v>0</v>
      </c>
      <c r="F21" s="50">
        <f>C34</f>
        <v>41</v>
      </c>
    </row>
    <row r="24" spans="2:9">
      <c r="B24" s="39" t="s">
        <v>65</v>
      </c>
      <c r="C24" s="39"/>
      <c r="F24" s="39" t="s">
        <v>70</v>
      </c>
      <c r="G24" s="39" t="s">
        <v>71</v>
      </c>
      <c r="H24" s="39" t="s">
        <v>72</v>
      </c>
      <c r="I24" s="39" t="s">
        <v>73</v>
      </c>
    </row>
    <row r="25" spans="2:9">
      <c r="B25" s="40" t="s">
        <v>96</v>
      </c>
      <c r="C25" s="68">
        <f>D14</f>
        <v>172271000</v>
      </c>
      <c r="F25" s="60">
        <v>44320</v>
      </c>
      <c r="G25" s="60" t="s">
        <v>74</v>
      </c>
      <c r="H25" s="61">
        <v>1</v>
      </c>
      <c r="I25" s="62">
        <v>10</v>
      </c>
    </row>
    <row r="26" spans="2:9">
      <c r="F26" s="60">
        <v>44323</v>
      </c>
      <c r="G26" s="60" t="s">
        <v>75</v>
      </c>
      <c r="H26" s="61">
        <v>1</v>
      </c>
      <c r="I26" s="62">
        <v>9</v>
      </c>
    </row>
    <row r="27" spans="2:9">
      <c r="B27" s="38" t="s">
        <v>66</v>
      </c>
      <c r="C27" s="57"/>
      <c r="F27" s="60" t="s">
        <v>79</v>
      </c>
      <c r="G27" s="60" t="s">
        <v>76</v>
      </c>
      <c r="H27" s="61">
        <v>1</v>
      </c>
      <c r="I27" s="62">
        <v>12</v>
      </c>
    </row>
    <row r="28" spans="2:9">
      <c r="B28" s="39" t="s">
        <v>67</v>
      </c>
      <c r="C28" s="39" t="s">
        <v>68</v>
      </c>
      <c r="F28" s="60" t="s">
        <v>79</v>
      </c>
      <c r="G28" s="60" t="s">
        <v>77</v>
      </c>
      <c r="H28" s="61">
        <v>1</v>
      </c>
      <c r="I28" s="62">
        <v>11</v>
      </c>
    </row>
    <row r="29" spans="2:9">
      <c r="B29" s="40" t="s">
        <v>90</v>
      </c>
      <c r="C29" s="58">
        <v>1</v>
      </c>
      <c r="F29" s="60">
        <v>44296</v>
      </c>
      <c r="G29" s="60" t="s">
        <v>78</v>
      </c>
      <c r="H29" s="61">
        <v>1</v>
      </c>
      <c r="I29" s="62">
        <v>10</v>
      </c>
    </row>
    <row r="30" spans="2:9">
      <c r="B30" s="40" t="s">
        <v>94</v>
      </c>
      <c r="C30" s="58">
        <v>1</v>
      </c>
      <c r="F30" s="60">
        <v>44743</v>
      </c>
      <c r="G30" s="60" t="s">
        <v>81</v>
      </c>
      <c r="H30" s="61">
        <v>1</v>
      </c>
      <c r="I30" s="62">
        <v>11</v>
      </c>
    </row>
    <row r="31" spans="2:9">
      <c r="B31" s="40" t="s">
        <v>91</v>
      </c>
      <c r="C31" s="58">
        <v>5</v>
      </c>
      <c r="F31" s="60">
        <v>44806</v>
      </c>
      <c r="G31" s="60" t="s">
        <v>80</v>
      </c>
      <c r="H31" s="61">
        <v>1</v>
      </c>
      <c r="I31" s="62">
        <v>12</v>
      </c>
    </row>
    <row r="32" spans="2:9">
      <c r="B32" s="40" t="s">
        <v>92</v>
      </c>
      <c r="C32" s="58">
        <v>10</v>
      </c>
      <c r="F32" s="60" t="s">
        <v>82</v>
      </c>
      <c r="G32" s="60" t="s">
        <v>83</v>
      </c>
      <c r="H32" s="61">
        <v>1</v>
      </c>
      <c r="I32" s="62">
        <v>12</v>
      </c>
    </row>
    <row r="33" spans="2:9">
      <c r="B33" s="40" t="s">
        <v>93</v>
      </c>
      <c r="C33" s="58">
        <v>24</v>
      </c>
      <c r="F33" s="60">
        <v>44662</v>
      </c>
      <c r="G33" s="60" t="s">
        <v>84</v>
      </c>
      <c r="H33" s="61">
        <v>1</v>
      </c>
      <c r="I33" s="62">
        <v>15</v>
      </c>
    </row>
    <row r="34" spans="2:9">
      <c r="B34" s="40" t="s">
        <v>69</v>
      </c>
      <c r="C34" s="59">
        <f>SUM(C29:C33)</f>
        <v>41</v>
      </c>
      <c r="F34" s="60" t="s">
        <v>85</v>
      </c>
      <c r="G34" s="60" t="s">
        <v>86</v>
      </c>
      <c r="H34" s="61">
        <v>1</v>
      </c>
      <c r="I34" s="62">
        <v>15</v>
      </c>
    </row>
    <row r="35" spans="2:9">
      <c r="F35" s="60">
        <v>45261</v>
      </c>
      <c r="G35" s="60" t="s">
        <v>89</v>
      </c>
      <c r="H35" s="61">
        <v>1</v>
      </c>
      <c r="I35" s="62">
        <v>13</v>
      </c>
    </row>
    <row r="36" spans="2:9">
      <c r="F36" s="60">
        <v>45140</v>
      </c>
      <c r="G36" s="60" t="s">
        <v>88</v>
      </c>
      <c r="H36" s="61">
        <v>1</v>
      </c>
      <c r="I36" s="62">
        <v>10</v>
      </c>
    </row>
    <row r="37" spans="2:9">
      <c r="F37" s="60">
        <v>45080</v>
      </c>
      <c r="G37" s="60" t="s">
        <v>87</v>
      </c>
      <c r="H37" s="61">
        <v>1</v>
      </c>
      <c r="I37" s="62">
        <v>14</v>
      </c>
    </row>
    <row r="38" spans="2:9">
      <c r="F38" s="131" t="s">
        <v>21</v>
      </c>
      <c r="G38" s="131"/>
      <c r="H38" s="62">
        <f>SUM(H25:H37)</f>
        <v>13</v>
      </c>
      <c r="I38" s="62">
        <f>SUM(I25:I37)</f>
        <v>154</v>
      </c>
    </row>
  </sheetData>
  <mergeCells count="4">
    <mergeCell ref="B4:B7"/>
    <mergeCell ref="B11:B14"/>
    <mergeCell ref="B18:B21"/>
    <mergeCell ref="F38:G38"/>
  </mergeCells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15C73-77E6-4500-838F-83B64D026562}">
  <dimension ref="C3:H13"/>
  <sheetViews>
    <sheetView topLeftCell="B1" workbookViewId="0">
      <selection activeCell="E20" sqref="E20"/>
    </sheetView>
  </sheetViews>
  <sheetFormatPr defaultRowHeight="15"/>
  <cols>
    <col min="3" max="3" width="37.42578125" bestFit="1" customWidth="1"/>
    <col min="4" max="4" width="29.5703125" customWidth="1"/>
    <col min="5" max="5" width="27.7109375" bestFit="1" customWidth="1"/>
    <col min="6" max="6" width="15.5703125" customWidth="1"/>
    <col min="7" max="7" width="27.140625" customWidth="1"/>
    <col min="8" max="8" width="16.140625" customWidth="1"/>
  </cols>
  <sheetData>
    <row r="3" spans="3:8">
      <c r="C3" s="38"/>
    </row>
    <row r="4" spans="3:8">
      <c r="C4" s="53" t="s">
        <v>49</v>
      </c>
      <c r="D4" s="40">
        <v>44197</v>
      </c>
    </row>
    <row r="5" spans="3:8">
      <c r="C5" s="53" t="s">
        <v>50</v>
      </c>
      <c r="D5" s="40">
        <v>45050</v>
      </c>
    </row>
    <row r="6" spans="3:8">
      <c r="C6" s="53" t="s">
        <v>51</v>
      </c>
      <c r="D6" s="53">
        <f>D5-D4+1</f>
        <v>854</v>
      </c>
    </row>
    <row r="8" spans="3:8">
      <c r="C8" s="39" t="s">
        <v>52</v>
      </c>
      <c r="D8" s="39" t="s">
        <v>53</v>
      </c>
      <c r="E8" s="39" t="s">
        <v>54</v>
      </c>
      <c r="F8" s="132" t="s">
        <v>55</v>
      </c>
      <c r="G8" s="133"/>
      <c r="H8" s="134"/>
    </row>
    <row r="9" spans="3:8">
      <c r="C9" s="39"/>
      <c r="D9" s="39" t="s">
        <v>95</v>
      </c>
      <c r="E9" s="39" t="s">
        <v>56</v>
      </c>
      <c r="F9" s="39" t="s">
        <v>57</v>
      </c>
      <c r="G9" s="39" t="s">
        <v>97</v>
      </c>
      <c r="H9" s="39" t="s">
        <v>58</v>
      </c>
    </row>
    <row r="10" spans="3:8">
      <c r="C10" s="53" t="s">
        <v>59</v>
      </c>
      <c r="D10" s="54">
        <f>'ER Comparison'!D18</f>
        <v>107058</v>
      </c>
      <c r="E10" s="54">
        <f>'ER Comparison'!D16</f>
        <v>109500</v>
      </c>
      <c r="F10" s="4">
        <v>3</v>
      </c>
      <c r="G10" s="63">
        <v>53750000</v>
      </c>
      <c r="H10" s="4">
        <v>50</v>
      </c>
    </row>
    <row r="11" spans="3:8">
      <c r="C11" s="53" t="s">
        <v>60</v>
      </c>
      <c r="D11" s="107">
        <f>ROUNDDOWN((D10*D6/365),0)</f>
        <v>250486</v>
      </c>
      <c r="E11" s="63">
        <f>E10*D6/365</f>
        <v>256200</v>
      </c>
      <c r="F11" s="55">
        <f>F10*D6/365</f>
        <v>7.0191780821917806</v>
      </c>
      <c r="G11" s="63">
        <f>G10*D6/365</f>
        <v>125760273.97260274</v>
      </c>
      <c r="H11" s="4">
        <v>50</v>
      </c>
    </row>
    <row r="12" spans="3:8">
      <c r="C12" s="53" t="s">
        <v>61</v>
      </c>
      <c r="D12" s="63">
        <f>'ER Comparison'!E29</f>
        <v>243990</v>
      </c>
      <c r="E12" s="63">
        <f>'ER Comparison'!D29</f>
        <v>249556.04629032259</v>
      </c>
      <c r="F12" s="4">
        <f>'SDG 8'!D7</f>
        <v>13</v>
      </c>
      <c r="G12" s="64">
        <f>'SDG 8'!D14</f>
        <v>172271000</v>
      </c>
      <c r="H12" s="55">
        <f>'SDG 8'!D21</f>
        <v>41</v>
      </c>
    </row>
    <row r="13" spans="3:8">
      <c r="C13" s="53" t="s">
        <v>62</v>
      </c>
      <c r="D13" s="56">
        <f>(D12-D11)/D11</f>
        <v>-2.5933585110545099E-2</v>
      </c>
      <c r="E13" s="56">
        <f>(E12-E11)/E11</f>
        <v>-2.5932684268842369E-2</v>
      </c>
      <c r="F13" s="56">
        <f>(F12-F11)/F11</f>
        <v>0.85206869633099147</v>
      </c>
      <c r="G13" s="56">
        <f>(G12-G11)/G11</f>
        <v>0.36983639235335763</v>
      </c>
      <c r="H13" s="56">
        <f>(H12-H11)/H11</f>
        <v>-0.18</v>
      </c>
    </row>
  </sheetData>
  <mergeCells count="1">
    <mergeCell ref="F8:H8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ER Comparison</vt:lpstr>
      <vt:lpstr>SDG 13</vt:lpstr>
      <vt:lpstr>SDG 7</vt:lpstr>
      <vt:lpstr>SDG 8</vt:lpstr>
      <vt:lpstr>Ex-ante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m</dc:creator>
  <cp:lastModifiedBy>Abhishek Mondal</cp:lastModifiedBy>
  <dcterms:created xsi:type="dcterms:W3CDTF">2015-06-05T18:17:20Z</dcterms:created>
  <dcterms:modified xsi:type="dcterms:W3CDTF">2024-02-20T11:10:19Z</dcterms:modified>
</cp:coreProperties>
</file>