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TC Dell laptop@06.09.2020\d drive\GS.22.VAL.002-Bandirma WPP T&amp;C pack\T&amp;C pack\"/>
    </mc:Choice>
  </mc:AlternateContent>
  <xr:revisionPtr revIDLastSave="0" documentId="13_ncr:1_{E0A00D96-7987-4706-B7F6-0F2C648FD43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Emission Factors" sheetId="1" r:id="rId1"/>
    <sheet name="Monitoring Pl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2" l="1"/>
  <c r="L8" i="2"/>
  <c r="L7" i="2"/>
  <c r="C28" i="2"/>
  <c r="F26" i="2"/>
  <c r="D18" i="2"/>
  <c r="D11" i="2"/>
  <c r="G38" i="2" l="1"/>
  <c r="F18" i="2"/>
  <c r="F11" i="2"/>
  <c r="F13" i="2"/>
  <c r="F14" i="2"/>
  <c r="F15" i="2"/>
  <c r="F16" i="2"/>
  <c r="F17" i="2"/>
  <c r="F12" i="2"/>
  <c r="F19" i="2" l="1"/>
  <c r="L26" i="2"/>
  <c r="L33" i="2" l="1"/>
  <c r="O47" i="2"/>
  <c r="O40" i="2"/>
  <c r="O48" i="2" l="1"/>
  <c r="L34" i="2"/>
  <c r="C38" i="2"/>
  <c r="C27" i="2"/>
  <c r="C26" i="2"/>
  <c r="D26" i="2"/>
  <c r="E28" i="2" s="1"/>
  <c r="G19" i="2"/>
  <c r="E19" i="2"/>
  <c r="E26" i="2" l="1"/>
  <c r="E27" i="2"/>
  <c r="G28" i="2"/>
  <c r="O34" i="2" s="1"/>
  <c r="R33" i="2" s="1"/>
  <c r="O32" i="2" l="1"/>
  <c r="O30" i="2"/>
  <c r="O29" i="2"/>
  <c r="O28" i="2"/>
  <c r="O26" i="2"/>
  <c r="O27" i="2"/>
  <c r="O33" i="2"/>
  <c r="O31" i="2"/>
  <c r="G27" i="2"/>
  <c r="G26" i="2"/>
  <c r="M26" i="2" s="1"/>
  <c r="N34" i="2" l="1"/>
  <c r="R30" i="2" s="1"/>
  <c r="N26" i="2"/>
  <c r="M34" i="2"/>
  <c r="R28" i="2" s="1"/>
  <c r="M31" i="2"/>
  <c r="M30" i="2"/>
  <c r="M29" i="2"/>
  <c r="M27" i="2"/>
  <c r="M32" i="2"/>
  <c r="M28" i="2"/>
  <c r="M33" i="2"/>
  <c r="N27" i="2"/>
  <c r="N33" i="2"/>
  <c r="N31" i="2"/>
  <c r="N30" i="2"/>
  <c r="N29" i="2"/>
  <c r="N32" i="2"/>
  <c r="N28" i="2"/>
  <c r="D38" i="2"/>
  <c r="E38" i="2" l="1"/>
  <c r="F38" i="2" l="1"/>
  <c r="H38" i="2" s="1"/>
  <c r="G4" i="2"/>
  <c r="H11" i="2"/>
  <c r="H12" i="2"/>
  <c r="H13" i="2"/>
  <c r="H14" i="2"/>
  <c r="H15" i="2"/>
  <c r="H16" i="2"/>
  <c r="H17" i="2"/>
  <c r="H18" i="2"/>
  <c r="P42" i="2" l="1"/>
  <c r="P43" i="2"/>
  <c r="P44" i="2"/>
  <c r="P46" i="2"/>
  <c r="P47" i="2"/>
  <c r="P40" i="2"/>
  <c r="P48" i="2"/>
  <c r="O51" i="2" s="1"/>
  <c r="P41" i="2"/>
  <c r="P45" i="2"/>
  <c r="H19" i="2"/>
  <c r="L1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Shikha Sharma</author>
  </authors>
  <commentList>
    <comment ref="C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Shikha Sharma:</t>
        </r>
        <r>
          <rPr>
            <sz val="9"/>
            <color indexed="81"/>
            <rFont val="Tahoma"/>
            <family val="2"/>
          </rPr>
          <t xml:space="preserve">
Project title is inconsistent
Hazal: Revised</t>
        </r>
      </text>
    </comment>
  </commentList>
</comments>
</file>

<file path=xl/sharedStrings.xml><?xml version="1.0" encoding="utf-8"?>
<sst xmlns="http://schemas.openxmlformats.org/spreadsheetml/2006/main" count="77" uniqueCount="65">
  <si>
    <t>Amount of Avoided Wastewater Discharge by Project Activity per year (x1000 m3/y)</t>
  </si>
  <si>
    <t>Annual Electricity Generation of Project Activity (GWh/y)</t>
  </si>
  <si>
    <t>Total (tonnes of CO2e)</t>
  </si>
  <si>
    <r>
      <t>Estimation of overall emission reductions (tonnes of CO</t>
    </r>
    <r>
      <rPr>
        <b/>
        <vertAlign val="subscript"/>
        <sz val="10"/>
        <rFont val="Times New Roman"/>
        <family val="1"/>
        <charset val="162"/>
      </rPr>
      <t>2</t>
    </r>
    <r>
      <rPr>
        <b/>
        <sz val="10"/>
        <rFont val="Times New Roman"/>
        <family val="1"/>
        <charset val="162"/>
      </rPr>
      <t>e)</t>
    </r>
  </si>
  <si>
    <t>Estimation of leakage 
(tonnes of CO2e)</t>
  </si>
  <si>
    <t>Estimation of baseline emissions 
(tonnes of CO2e)</t>
  </si>
  <si>
    <r>
      <t>Estimation of project activity emissions  
(tonnes of CO</t>
    </r>
    <r>
      <rPr>
        <b/>
        <vertAlign val="subscript"/>
        <sz val="10"/>
        <rFont val="Times New Roman"/>
        <family val="1"/>
        <charset val="162"/>
      </rPr>
      <t>2</t>
    </r>
    <r>
      <rPr>
        <b/>
        <sz val="10"/>
        <rFont val="Times New Roman"/>
        <family val="1"/>
        <charset val="162"/>
      </rPr>
      <t>e)</t>
    </r>
  </si>
  <si>
    <t>Year</t>
  </si>
  <si>
    <t>MWh/year</t>
  </si>
  <si>
    <t>Generation During Total Crediting Period</t>
  </si>
  <si>
    <t>OM</t>
  </si>
  <si>
    <t>BM</t>
  </si>
  <si>
    <t>Factor</t>
  </si>
  <si>
    <t xml:space="preserve">(tCO2/MWh)
</t>
  </si>
  <si>
    <t>CM</t>
  </si>
  <si>
    <t>Emissions</t>
  </si>
  <si>
    <t>Emission per GWh (tons/GWh)</t>
  </si>
  <si>
    <t>Net Annual Electricity Generation of Project Activity (GWh/y)</t>
  </si>
  <si>
    <t>Avoided Emission Amount by Project Activity per year (tons/y)</t>
  </si>
  <si>
    <t>CO</t>
  </si>
  <si>
    <t>NMVOC</t>
  </si>
  <si>
    <t>*For NMVOC</t>
  </si>
  <si>
    <t>*For CO:</t>
  </si>
  <si>
    <t>For SDG 13 - Calculation of Reduction of CO and NMVOC Emission Amounts for Air Quality Indicator</t>
  </si>
  <si>
    <t>For SDG 6 - Calculation of Avoidance of  Wastewater Discharge Amount for Water Quality and Quantity Indicator of Sustainable Development Matrix</t>
  </si>
  <si>
    <t>For SDG 8 - Quantitative employment and income generation</t>
  </si>
  <si>
    <t>References:</t>
  </si>
  <si>
    <t>https://enerji.gov.tr/evced-cevre-ve-iklim-turkiye-ulusal-elektrik-sebekesi-emisyon-faktoru</t>
  </si>
  <si>
    <t>https://enerji.gov.tr//Media/Dizin/EVCED/tr/%C3%87evreVe%C4%B0klim/%C4%B0klimDe%C4%9Fi%C5%9Fikli%C4%9Fi/T%C3%BCrkiyeUlusalElektrik%C5%9EebekesiEmisyonFakt%C3%B6r%C3%BC/Belgeler/EK-2.pdf</t>
  </si>
  <si>
    <t>Amount of Avoided Cooling Wastewater Discharge per year by Project Activity (x1000 m3/y)</t>
  </si>
  <si>
    <t>Days</t>
  </si>
  <si>
    <t>Emission Amount due to Electricity Generation in 2019* (tons)</t>
  </si>
  <si>
    <t>Net Electricity Generation in 2020** (GWh)</t>
  </si>
  <si>
    <t>https://unfccc.int/documents/271541</t>
  </si>
  <si>
    <r>
      <rPr>
        <b/>
        <sz val="8"/>
        <rFont val="Arial"/>
        <family val="2"/>
        <charset val="162"/>
      </rPr>
      <t xml:space="preserve">IMPORTANT NOTE : </t>
    </r>
    <r>
      <rPr>
        <sz val="8"/>
        <color theme="1"/>
        <rFont val="Arial"/>
        <family val="2"/>
        <charset val="162"/>
      </rPr>
      <t>Turkey's most recent CO data belongs to 2019.</t>
    </r>
  </si>
  <si>
    <r>
      <rPr>
        <b/>
        <sz val="8"/>
        <rFont val="Arial"/>
        <family val="2"/>
        <charset val="162"/>
      </rPr>
      <t xml:space="preserve">IMPORTANT NOTE : </t>
    </r>
    <r>
      <rPr>
        <sz val="8"/>
        <color theme="1"/>
        <rFont val="Arial"/>
        <family val="2"/>
        <charset val="162"/>
      </rPr>
      <t>Turkey's most recent NMVOC data belongs to 2019.</t>
    </r>
  </si>
  <si>
    <t xml:space="preserve">** Net electrcity Generation for 2020
</t>
  </si>
  <si>
    <t>https://webapi.teias.gov.tr/file/e15261ce-c442-4fb6-ae82-25a690d85fd1?download</t>
  </si>
  <si>
    <r>
      <rPr>
        <b/>
        <sz val="8"/>
        <rFont val="Arial"/>
        <family val="2"/>
        <charset val="162"/>
      </rPr>
      <t xml:space="preserve">IMPORTANT NOTE : </t>
    </r>
    <r>
      <rPr>
        <sz val="8"/>
        <color theme="1"/>
        <rFont val="Arial"/>
        <family val="2"/>
        <charset val="162"/>
      </rPr>
      <t>Turkey's most recent electricity generation data belongs to 2020.</t>
    </r>
  </si>
  <si>
    <t>Total Waste Water Discharged by Thermal Power Plants in 2020 (x1000 m3) (1)</t>
  </si>
  <si>
    <t>Total Electricty Generation in 2020 (GWh) (2)</t>
  </si>
  <si>
    <t>Average Amount of Cooling Waste Water Discharged per each GWh Electricity Generation in 2020 (x1000 m3/GWh) (3)</t>
  </si>
  <si>
    <t>(1) For 2020 Wastewater Discharged:</t>
  </si>
  <si>
    <t>https://data.tuik.gov.tr/Bulten/Index?p=Su-ve-Atiksu-Istatistikleri-2020-37197</t>
  </si>
  <si>
    <r>
      <rPr>
        <b/>
        <sz val="8"/>
        <rFont val="Arial"/>
        <family val="2"/>
        <charset val="162"/>
      </rPr>
      <t xml:space="preserve">IMPORTANT NOTE : </t>
    </r>
    <r>
      <rPr>
        <sz val="8"/>
        <color theme="1"/>
        <rFont val="Arial"/>
        <family val="2"/>
        <charset val="162"/>
      </rPr>
      <t>Turkey's most recent wastewater data belongs to 2020.</t>
    </r>
  </si>
  <si>
    <t>Please see: Table 3-Cell G8</t>
  </si>
  <si>
    <t>(2) For 2020 Electricity Generation</t>
  </si>
  <si>
    <t>The project will lead to employment opportunities which would not have been possible in the baseline scenario. The project provides between 4 and 12 employment. Also, at least 1 training are to be provided to each employee annually during the crediting period.</t>
  </si>
  <si>
    <t>Avoided CO Emissions by PA (tons)</t>
  </si>
  <si>
    <t>Avoided NMVOC Emissions by PA (tons)</t>
  </si>
  <si>
    <t>TOTAL</t>
  </si>
  <si>
    <t>Avoided Wastewater Discharge by PA (x1000m3)</t>
  </si>
  <si>
    <t>Amount of Generated Domestic Wastewater Discharge by Project Activity per year (m3/y) (3)</t>
  </si>
  <si>
    <t>Annual Average for CO2</t>
  </si>
  <si>
    <t>Annual Average for CO</t>
  </si>
  <si>
    <t>Annual Average for NMVOC</t>
  </si>
  <si>
    <t>Annual Average for Wastewater Discharge</t>
  </si>
  <si>
    <t>(3) Water will be used only for daily consumption. 10 workers will be employed during operation. Daily water usage per worker is 0,189 m3</t>
  </si>
  <si>
    <t xml:space="preserve"> Hence total wastewater production in power plant per year becomes: 10*0,189*365 = 690 m3/year</t>
  </si>
  <si>
    <t>NOx</t>
  </si>
  <si>
    <t>For SDG 7 - Annual Electricity Generation of Bandırma WPP:</t>
  </si>
  <si>
    <t>Avoided NOx Emissions by PA (tons)</t>
  </si>
  <si>
    <t>Annual Average for NOx</t>
  </si>
  <si>
    <t>*For NOx</t>
  </si>
  <si>
    <t>For SDG 13 - Calculation of Emission Reduction of Bandırma WPP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</si>
</sst>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* #,##0.00\ _T_L_-;\-* #,##0.00\ _T_L_-;_-* &quot;-&quot;??\ _T_L_-;_-@_-"/>
    <numFmt numFmtId="166" formatCode="#,##0.0"/>
    <numFmt numFmtId="167" formatCode="0.0"/>
    <numFmt numFmtId="168" formatCode="#,##0.000"/>
    <numFmt numFmtId="169" formatCode="0.000"/>
    <numFmt numFmtId="170" formatCode="_-* #,##0.000_-;\-* #,##0.000_-;_-* &quot;-&quot;??_-;_-@_-"/>
    <numFmt numFmtId="171" formatCode="_-* #,##0_-;\-* #,##0_-;_-* &quot;-&quot;??_-;_-@_-"/>
    <numFmt numFmtId="172" formatCode="dd\/mm\/yyyy"/>
  </numFmts>
  <fonts count="30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u/>
      <sz val="7.5"/>
      <color indexed="12"/>
      <name val="Geneva"/>
      <charset val="162"/>
    </font>
    <font>
      <sz val="11"/>
      <color indexed="8"/>
      <name val="Calibri"/>
      <family val="2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b/>
      <u/>
      <sz val="12"/>
      <name val="Arial Tur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  <charset val="162"/>
    </font>
    <font>
      <b/>
      <vertAlign val="subscript"/>
      <sz val="10"/>
      <name val="Times New Roman"/>
      <family val="1"/>
      <charset val="162"/>
    </font>
    <font>
      <sz val="10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name val="Geneva"/>
      <family val="2"/>
      <charset val="162"/>
    </font>
    <font>
      <sz val="9"/>
      <name val="Arial Tur"/>
      <charset val="162"/>
    </font>
    <font>
      <b/>
      <sz val="8"/>
      <name val="Arial"/>
      <family val="2"/>
      <charset val="162"/>
    </font>
    <font>
      <sz val="8"/>
      <name val="Arial"/>
      <family val="2"/>
      <charset val="162"/>
    </font>
    <font>
      <sz val="8"/>
      <color theme="1"/>
      <name val="Arial"/>
      <family val="2"/>
      <charset val="162"/>
    </font>
    <font>
      <u/>
      <sz val="11"/>
      <color theme="1"/>
      <name val="Calibri"/>
      <family val="2"/>
      <charset val="162"/>
      <scheme val="minor"/>
    </font>
    <font>
      <u/>
      <sz val="10"/>
      <name val="Arial Tur"/>
      <charset val="162"/>
    </font>
    <font>
      <sz val="10"/>
      <name val="Verdana"/>
      <family val="2"/>
      <charset val="162"/>
    </font>
    <font>
      <u/>
      <sz val="7.5"/>
      <color rgb="FF0000FF"/>
      <name val="Geneva"/>
      <charset val="162"/>
    </font>
    <font>
      <sz val="8"/>
      <name val="Verdana"/>
      <family val="2"/>
      <charset val="162"/>
    </font>
    <font>
      <b/>
      <sz val="11"/>
      <name val="Times New Roman"/>
      <family val="1"/>
      <charset val="162"/>
    </font>
    <font>
      <b/>
      <sz val="10"/>
      <name val="Verdana"/>
      <family val="2"/>
      <charset val="16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6" fillId="0" borderId="0"/>
  </cellStyleXfs>
  <cellXfs count="128">
    <xf numFmtId="0" fontId="0" fillId="0" borderId="0" xfId="0"/>
    <xf numFmtId="0" fontId="1" fillId="0" borderId="0" xfId="1"/>
    <xf numFmtId="3" fontId="1" fillId="0" borderId="0" xfId="1" applyNumberFormat="1"/>
    <xf numFmtId="0" fontId="2" fillId="0" borderId="0" xfId="2" applyAlignment="1" applyProtection="1"/>
    <xf numFmtId="165" fontId="0" fillId="0" borderId="0" xfId="3" applyFont="1"/>
    <xf numFmtId="10" fontId="1" fillId="0" borderId="0" xfId="1" applyNumberFormat="1"/>
    <xf numFmtId="166" fontId="1" fillId="0" borderId="1" xfId="1" applyNumberForma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/>
    <xf numFmtId="167" fontId="1" fillId="0" borderId="1" xfId="1" applyNumberFormat="1" applyBorder="1" applyAlignment="1">
      <alignment horizontal="center"/>
    </xf>
    <xf numFmtId="3" fontId="8" fillId="0" borderId="4" xfId="1" applyNumberFormat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4" xfId="1" applyFont="1" applyBorder="1" applyAlignment="1">
      <alignment horizontal="center" vertical="top" wrapText="1"/>
    </xf>
    <xf numFmtId="0" fontId="1" fillId="0" borderId="0" xfId="1" applyAlignment="1">
      <alignment horizontal="left"/>
    </xf>
    <xf numFmtId="3" fontId="4" fillId="0" borderId="1" xfId="1" applyNumberFormat="1" applyFont="1" applyBorder="1"/>
    <xf numFmtId="14" fontId="1" fillId="0" borderId="0" xfId="1" applyNumberFormat="1"/>
    <xf numFmtId="0" fontId="13" fillId="3" borderId="1" xfId="0" applyFont="1" applyFill="1" applyBorder="1"/>
    <xf numFmtId="0" fontId="13" fillId="4" borderId="1" xfId="0" applyFont="1" applyFill="1" applyBorder="1"/>
    <xf numFmtId="0" fontId="13" fillId="0" borderId="1" xfId="0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14" fontId="11" fillId="0" borderId="0" xfId="0" applyNumberFormat="1" applyFont="1"/>
    <xf numFmtId="0" fontId="11" fillId="0" borderId="0" xfId="0" applyFont="1"/>
    <xf numFmtId="0" fontId="17" fillId="0" borderId="0" xfId="1" applyFont="1"/>
    <xf numFmtId="0" fontId="19" fillId="0" borderId="0" xfId="0" applyFont="1"/>
    <xf numFmtId="0" fontId="20" fillId="0" borderId="0" xfId="0" applyFont="1"/>
    <xf numFmtId="0" fontId="6" fillId="0" borderId="0" xfId="0" applyFont="1"/>
    <xf numFmtId="0" fontId="21" fillId="0" borderId="0" xfId="0" applyFont="1"/>
    <xf numFmtId="0" fontId="22" fillId="0" borderId="0" xfId="1" applyFont="1"/>
    <xf numFmtId="3" fontId="4" fillId="0" borderId="0" xfId="1" applyNumberFormat="1" applyFont="1"/>
    <xf numFmtId="0" fontId="12" fillId="0" borderId="0" xfId="5" applyFont="1"/>
    <xf numFmtId="164" fontId="1" fillId="0" borderId="0" xfId="4" applyFont="1"/>
    <xf numFmtId="164" fontId="1" fillId="0" borderId="0" xfId="1" applyNumberFormat="1"/>
    <xf numFmtId="0" fontId="2" fillId="0" borderId="0" xfId="2" applyFill="1" applyAlignment="1" applyProtection="1"/>
    <xf numFmtId="0" fontId="5" fillId="0" borderId="9" xfId="1" applyFont="1" applyBorder="1"/>
    <xf numFmtId="0" fontId="1" fillId="0" borderId="9" xfId="1" applyBorder="1"/>
    <xf numFmtId="1" fontId="1" fillId="0" borderId="0" xfId="1" applyNumberFormat="1"/>
    <xf numFmtId="1" fontId="8" fillId="0" borderId="4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0" xfId="2" applyFill="1" applyBorder="1" applyAlignment="1" applyProtection="1"/>
    <xf numFmtId="0" fontId="23" fillId="0" borderId="0" xfId="0" applyFont="1"/>
    <xf numFmtId="0" fontId="24" fillId="0" borderId="0" xfId="2" applyFont="1" applyFill="1" applyBorder="1" applyAlignment="1" applyProtection="1"/>
    <xf numFmtId="0" fontId="11" fillId="0" borderId="0" xfId="0" applyFont="1" applyAlignment="1">
      <alignment horizontal="center"/>
    </xf>
    <xf numFmtId="4" fontId="23" fillId="0" borderId="1" xfId="0" applyNumberFormat="1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1" fontId="9" fillId="0" borderId="17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23" fillId="0" borderId="18" xfId="4" applyFont="1" applyBorder="1" applyAlignment="1">
      <alignment horizontal="center"/>
    </xf>
    <xf numFmtId="2" fontId="23" fillId="0" borderId="7" xfId="0" applyNumberFormat="1" applyFont="1" applyBorder="1" applyAlignment="1">
      <alignment horizontal="right"/>
    </xf>
    <xf numFmtId="168" fontId="23" fillId="0" borderId="18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top" wrapText="1"/>
    </xf>
    <xf numFmtId="168" fontId="23" fillId="0" borderId="20" xfId="0" applyNumberFormat="1" applyFont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1" fontId="27" fillId="0" borderId="21" xfId="0" applyNumberFormat="1" applyFont="1" applyBorder="1" applyAlignment="1">
      <alignment horizontal="center"/>
    </xf>
    <xf numFmtId="168" fontId="27" fillId="0" borderId="21" xfId="0" applyNumberFormat="1" applyFont="1" applyBorder="1" applyAlignment="1">
      <alignment horizontal="center"/>
    </xf>
    <xf numFmtId="1" fontId="27" fillId="0" borderId="20" xfId="0" applyNumberFormat="1" applyFont="1" applyBorder="1" applyAlignment="1">
      <alignment horizontal="center"/>
    </xf>
    <xf numFmtId="2" fontId="27" fillId="0" borderId="18" xfId="0" applyNumberFormat="1" applyFont="1" applyBorder="1" applyAlignment="1">
      <alignment horizontal="right"/>
    </xf>
    <xf numFmtId="2" fontId="27" fillId="0" borderId="19" xfId="0" applyNumberFormat="1" applyFont="1" applyBorder="1" applyAlignment="1">
      <alignment horizontal="right"/>
    </xf>
    <xf numFmtId="170" fontId="1" fillId="0" borderId="1" xfId="4" applyNumberFormat="1" applyFont="1" applyFill="1" applyBorder="1" applyAlignment="1">
      <alignment horizontal="center"/>
    </xf>
    <xf numFmtId="171" fontId="27" fillId="0" borderId="0" xfId="4" applyNumberFormat="1" applyFont="1" applyBorder="1" applyAlignment="1">
      <alignment horizontal="center"/>
    </xf>
    <xf numFmtId="164" fontId="27" fillId="0" borderId="0" xfId="4" applyFont="1" applyBorder="1" applyAlignment="1">
      <alignment horizontal="center"/>
    </xf>
    <xf numFmtId="0" fontId="27" fillId="0" borderId="0" xfId="0" applyFont="1" applyAlignment="1">
      <alignment wrapText="1"/>
    </xf>
    <xf numFmtId="170" fontId="27" fillId="0" borderId="0" xfId="4" applyNumberFormat="1" applyFont="1" applyBorder="1" applyAlignment="1">
      <alignment horizontal="center" vertical="center"/>
    </xf>
    <xf numFmtId="3" fontId="1" fillId="0" borderId="1" xfId="1" applyNumberFormat="1" applyBorder="1" applyAlignment="1">
      <alignment horizontal="center" vertical="center"/>
    </xf>
    <xf numFmtId="172" fontId="26" fillId="0" borderId="19" xfId="1" applyNumberFormat="1" applyFont="1" applyBorder="1" applyAlignment="1">
      <alignment horizontal="center" vertical="top" wrapText="1"/>
    </xf>
    <xf numFmtId="172" fontId="26" fillId="0" borderId="6" xfId="1" applyNumberFormat="1" applyFont="1" applyBorder="1" applyAlignment="1">
      <alignment horizontal="center" vertical="top" wrapText="1"/>
    </xf>
    <xf numFmtId="172" fontId="7" fillId="0" borderId="4" xfId="1" applyNumberFormat="1" applyFont="1" applyBorder="1" applyAlignment="1">
      <alignment horizontal="center" vertical="top" wrapText="1"/>
    </xf>
    <xf numFmtId="172" fontId="26" fillId="0" borderId="21" xfId="1" applyNumberFormat="1" applyFont="1" applyBorder="1" applyAlignment="1">
      <alignment horizontal="center" vertical="top" wrapText="1"/>
    </xf>
    <xf numFmtId="172" fontId="7" fillId="0" borderId="21" xfId="1" applyNumberFormat="1" applyFont="1" applyBorder="1" applyAlignment="1">
      <alignment horizontal="center" vertical="top" wrapText="1"/>
    </xf>
    <xf numFmtId="0" fontId="27" fillId="0" borderId="0" xfId="0" applyFont="1" applyAlignment="1">
      <alignment horizontal="left"/>
    </xf>
    <xf numFmtId="3" fontId="23" fillId="0" borderId="0" xfId="0" applyNumberFormat="1" applyFont="1"/>
    <xf numFmtId="166" fontId="23" fillId="0" borderId="0" xfId="0" applyNumberFormat="1" applyFont="1" applyAlignment="1">
      <alignment horizontal="center" vertical="center"/>
    </xf>
    <xf numFmtId="169" fontId="0" fillId="0" borderId="0" xfId="0" applyNumberFormat="1"/>
    <xf numFmtId="166" fontId="0" fillId="0" borderId="0" xfId="0" applyNumberFormat="1" applyAlignment="1">
      <alignment horizontal="center" vertical="center"/>
    </xf>
    <xf numFmtId="4" fontId="0" fillId="0" borderId="0" xfId="0" applyNumberFormat="1"/>
    <xf numFmtId="0" fontId="0" fillId="0" borderId="1" xfId="0" applyBorder="1"/>
    <xf numFmtId="3" fontId="23" fillId="0" borderId="1" xfId="0" applyNumberFormat="1" applyFont="1" applyBorder="1"/>
    <xf numFmtId="169" fontId="0" fillId="0" borderId="1" xfId="0" applyNumberFormat="1" applyBorder="1"/>
    <xf numFmtId="4" fontId="0" fillId="0" borderId="1" xfId="0" applyNumberFormat="1" applyBorder="1"/>
    <xf numFmtId="164" fontId="27" fillId="0" borderId="0" xfId="4" applyFont="1" applyFill="1" applyBorder="1" applyAlignment="1">
      <alignment horizontal="center"/>
    </xf>
    <xf numFmtId="164" fontId="23" fillId="0" borderId="18" xfId="4" applyFont="1" applyFill="1" applyBorder="1" applyAlignment="1">
      <alignment horizontal="center"/>
    </xf>
    <xf numFmtId="171" fontId="1" fillId="0" borderId="0" xfId="4" applyNumberFormat="1" applyFont="1"/>
    <xf numFmtId="171" fontId="1" fillId="0" borderId="0" xfId="1" applyNumberFormat="1"/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6" fontId="23" fillId="0" borderId="7" xfId="0" applyNumberFormat="1" applyFont="1" applyBorder="1" applyAlignment="1">
      <alignment horizontal="center" vertical="center"/>
    </xf>
    <xf numFmtId="166" fontId="23" fillId="0" borderId="24" xfId="0" applyNumberFormat="1" applyFont="1" applyBorder="1" applyAlignment="1">
      <alignment horizontal="center" vertical="center"/>
    </xf>
    <xf numFmtId="166" fontId="23" fillId="0" borderId="8" xfId="0" applyNumberFormat="1" applyFon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23" xfId="0" applyNumberForma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top" wrapText="1"/>
    </xf>
    <xf numFmtId="3" fontId="7" fillId="0" borderId="2" xfId="1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top" wrapText="1"/>
    </xf>
    <xf numFmtId="0" fontId="26" fillId="5" borderId="6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19" xfId="0" applyFont="1" applyBorder="1" applyAlignment="1">
      <alignment horizontal="center"/>
    </xf>
  </cellXfs>
  <cellStyles count="6">
    <cellStyle name="Comma" xfId="4" builtinId="3"/>
    <cellStyle name="Hyperlink" xfId="2" builtinId="8"/>
    <cellStyle name="Normal" xfId="0" builtinId="0"/>
    <cellStyle name="Normal 2" xfId="1" xr:uid="{00000000-0005-0000-0000-000002000000}"/>
    <cellStyle name="Normal 3" xfId="5" xr:uid="{00000000-0005-0000-0000-000003000000}"/>
    <cellStyle name="Virgül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nerji.gov.tr/Media/Dizin/EVCED/tr/%C3%87evreVe%C4%B0klim/%C4%B0klimDe%C4%9Fi%C5%9Fikli%C4%9Fi/T%C3%BCrkiyeUlusalElektrik%C5%9EebekesiEmisyonFakt%C3%B6r%C3%BC/Belgeler/EK-2.pdf" TargetMode="External"/><Relationship Id="rId1" Type="http://schemas.openxmlformats.org/officeDocument/2006/relationships/hyperlink" Target="https://enerji.gov.tr/evced-cevre-ve-iklim-turkiye-ulusal-elektrik-sebekesi-emisyon-fakto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data.tuik.gov.tr/Bulten/Index?p=Su-ve-Atiksu-Istatistikleri-2020-37197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ebapi.teias.gov.tr/file/e15261ce-c442-4fb6-ae82-25a690d85fd1?download" TargetMode="External"/><Relationship Id="rId1" Type="http://schemas.openxmlformats.org/officeDocument/2006/relationships/hyperlink" Target="https://unfccc.int/documents/271541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unfccc.int/documents/194819" TargetMode="External"/><Relationship Id="rId4" Type="http://schemas.openxmlformats.org/officeDocument/2006/relationships/hyperlink" Target="https://data.tuik.gov.tr/Bulten/Index?p=Su-ve-Atiksu-Istatistikleri-2020-37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6"/>
  <sheetViews>
    <sheetView topLeftCell="B1" workbookViewId="0">
      <selection activeCell="E19" sqref="E19"/>
    </sheetView>
  </sheetViews>
  <sheetFormatPr defaultRowHeight="14.5"/>
  <cols>
    <col min="2" max="2" width="16.08984375" customWidth="1"/>
    <col min="3" max="3" width="21.90625" customWidth="1"/>
    <col min="5" max="5" width="120.36328125" bestFit="1" customWidth="1"/>
  </cols>
  <sheetData>
    <row r="3" spans="2:5" ht="18.5">
      <c r="B3" s="18" t="s">
        <v>12</v>
      </c>
      <c r="C3" s="20" t="s">
        <v>13</v>
      </c>
      <c r="E3" s="32" t="s">
        <v>26</v>
      </c>
    </row>
    <row r="4" spans="2:5" ht="18.5">
      <c r="B4" s="17" t="s">
        <v>10</v>
      </c>
      <c r="C4" s="19">
        <v>0.7258</v>
      </c>
      <c r="E4" s="3" t="s">
        <v>27</v>
      </c>
    </row>
    <row r="5" spans="2:5" ht="18.5">
      <c r="B5" s="17" t="s">
        <v>11</v>
      </c>
      <c r="C5" s="19">
        <v>0.4153</v>
      </c>
      <c r="E5" s="3" t="s">
        <v>28</v>
      </c>
    </row>
    <row r="6" spans="2:5" ht="18.5">
      <c r="B6" s="17" t="s">
        <v>14</v>
      </c>
      <c r="C6" s="19">
        <v>0.6482</v>
      </c>
    </row>
  </sheetData>
  <hyperlinks>
    <hyperlink ref="E4" r:id="rId1" xr:uid="{00000000-0004-0000-0000-000000000000}"/>
    <hyperlink ref="E5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R74"/>
  <sheetViews>
    <sheetView tabSelected="1" topLeftCell="E37" zoomScale="70" zoomScaleNormal="70" workbookViewId="0">
      <selection activeCell="K37" sqref="K37"/>
    </sheetView>
  </sheetViews>
  <sheetFormatPr defaultColWidth="9.08984375" defaultRowHeight="12.5"/>
  <cols>
    <col min="1" max="1" width="9.08984375" style="1"/>
    <col min="2" max="2" width="31.1796875" style="1" customWidth="1"/>
    <col min="3" max="3" width="22.54296875" style="1" customWidth="1"/>
    <col min="4" max="4" width="26.36328125" style="1" customWidth="1"/>
    <col min="5" max="5" width="19.90625" style="1" customWidth="1"/>
    <col min="6" max="6" width="24.54296875" style="1" customWidth="1"/>
    <col min="7" max="7" width="22.08984375" style="1" customWidth="1"/>
    <col min="8" max="8" width="20.6328125" style="1" customWidth="1"/>
    <col min="9" max="9" width="14.90625" style="1" customWidth="1"/>
    <col min="10" max="10" width="11.453125" style="1" customWidth="1"/>
    <col min="11" max="11" width="15.08984375" style="1" customWidth="1"/>
    <col min="12" max="12" width="17.6328125" style="1" customWidth="1"/>
    <col min="13" max="13" width="16.81640625" style="1" customWidth="1"/>
    <col min="14" max="14" width="19.36328125" style="1" customWidth="1"/>
    <col min="15" max="15" width="15" style="1" customWidth="1"/>
    <col min="16" max="16" width="20.81640625" style="1" customWidth="1"/>
    <col min="17" max="17" width="12.36328125" style="1" customWidth="1"/>
    <col min="18" max="18" width="11.453125" style="1" customWidth="1"/>
    <col min="19" max="16384" width="9.08984375" style="1"/>
  </cols>
  <sheetData>
    <row r="3" spans="2:14">
      <c r="G3" s="1" t="s">
        <v>9</v>
      </c>
    </row>
    <row r="4" spans="2:14" ht="15.5">
      <c r="B4" s="28" t="s">
        <v>60</v>
      </c>
      <c r="C4" s="28"/>
      <c r="D4" s="28"/>
      <c r="E4" s="15">
        <v>182700</v>
      </c>
      <c r="F4" s="14" t="s">
        <v>8</v>
      </c>
      <c r="G4" s="15">
        <f>E4*7</f>
        <v>1278900</v>
      </c>
      <c r="H4" s="14" t="s">
        <v>8</v>
      </c>
    </row>
    <row r="5" spans="2:14" ht="15.5">
      <c r="B5" s="28"/>
      <c r="C5" s="28"/>
      <c r="D5" s="28"/>
      <c r="E5" s="31"/>
      <c r="F5" s="14"/>
      <c r="G5" s="31"/>
      <c r="H5" s="14"/>
    </row>
    <row r="6" spans="2:14" ht="15.5">
      <c r="B6" s="28" t="s">
        <v>64</v>
      </c>
      <c r="C6" s="29"/>
      <c r="D6" s="29"/>
    </row>
    <row r="7" spans="2:14" ht="16" thickBot="1">
      <c r="B7" s="8"/>
      <c r="K7" s="1">
        <v>365</v>
      </c>
      <c r="L7" s="84">
        <f>K8*E4/K7</f>
        <v>80588.219178082189</v>
      </c>
      <c r="M7" s="33"/>
      <c r="N7" s="34"/>
    </row>
    <row r="8" spans="2:14" ht="12.75" customHeight="1">
      <c r="B8" s="95" t="s">
        <v>7</v>
      </c>
      <c r="C8" s="96"/>
      <c r="D8" s="86" t="s">
        <v>30</v>
      </c>
      <c r="E8" s="103" t="s">
        <v>6</v>
      </c>
      <c r="F8" s="103" t="s">
        <v>5</v>
      </c>
      <c r="G8" s="103" t="s">
        <v>4</v>
      </c>
      <c r="H8" s="103" t="s">
        <v>3</v>
      </c>
      <c r="K8" s="1">
        <v>161</v>
      </c>
      <c r="L8" s="84">
        <f>D18*E4/K7</f>
        <v>102111.78082191781</v>
      </c>
      <c r="M8" s="85">
        <f>L7+L8</f>
        <v>182700</v>
      </c>
    </row>
    <row r="9" spans="2:14" ht="14.4" customHeight="1">
      <c r="B9" s="97"/>
      <c r="C9" s="98"/>
      <c r="D9" s="87"/>
      <c r="E9" s="104"/>
      <c r="F9" s="104"/>
      <c r="G9" s="104"/>
      <c r="H9" s="104"/>
    </row>
    <row r="10" spans="2:14" ht="15" customHeight="1" thickBot="1">
      <c r="B10" s="99"/>
      <c r="C10" s="100"/>
      <c r="D10" s="88"/>
      <c r="E10" s="105"/>
      <c r="F10" s="105"/>
      <c r="G10" s="105"/>
      <c r="H10" s="105"/>
    </row>
    <row r="11" spans="2:14" ht="14.5" thickBot="1">
      <c r="B11" s="71">
        <v>44766</v>
      </c>
      <c r="C11" s="69">
        <v>44926</v>
      </c>
      <c r="D11" s="39">
        <f>C11-B11+1</f>
        <v>161</v>
      </c>
      <c r="E11" s="13">
        <v>0</v>
      </c>
      <c r="F11" s="11">
        <f>ROUNDDOWN($E$4*'Emission Factors'!C6,0)*(224/365)</f>
        <v>72677.873972602742</v>
      </c>
      <c r="G11" s="13">
        <v>0</v>
      </c>
      <c r="H11" s="11">
        <f t="shared" ref="H11:H18" si="0">F11-E11-G11</f>
        <v>72677.873972602742</v>
      </c>
      <c r="J11" s="16"/>
    </row>
    <row r="12" spans="2:14" ht="15" customHeight="1" thickBot="1">
      <c r="B12" s="106">
        <v>2023</v>
      </c>
      <c r="C12" s="107"/>
      <c r="D12" s="40">
        <v>365</v>
      </c>
      <c r="E12" s="12">
        <v>0</v>
      </c>
      <c r="F12" s="11">
        <f>ROUNDDOWN($E$4*'Emission Factors'!$C$6,0)</f>
        <v>118426</v>
      </c>
      <c r="G12" s="12">
        <v>0</v>
      </c>
      <c r="H12" s="11">
        <f t="shared" si="0"/>
        <v>118426</v>
      </c>
      <c r="J12" s="125" t="s">
        <v>53</v>
      </c>
      <c r="K12" s="125"/>
      <c r="L12" s="62">
        <f>H19/7</f>
        <v>118426</v>
      </c>
    </row>
    <row r="13" spans="2:14" ht="15" customHeight="1" thickBot="1">
      <c r="B13" s="106">
        <v>2024</v>
      </c>
      <c r="C13" s="107"/>
      <c r="D13" s="40">
        <v>365</v>
      </c>
      <c r="E13" s="12">
        <v>0</v>
      </c>
      <c r="F13" s="11">
        <f>ROUNDDOWN($E$4*'Emission Factors'!$C$6,0)</f>
        <v>118426</v>
      </c>
      <c r="G13" s="12">
        <v>0</v>
      </c>
      <c r="H13" s="11">
        <f t="shared" si="0"/>
        <v>118426</v>
      </c>
      <c r="L13" s="23"/>
    </row>
    <row r="14" spans="2:14" ht="15" customHeight="1" thickBot="1">
      <c r="B14" s="106">
        <v>2025</v>
      </c>
      <c r="C14" s="107"/>
      <c r="D14" s="40">
        <v>365</v>
      </c>
      <c r="E14" s="12">
        <v>0</v>
      </c>
      <c r="F14" s="11">
        <f>ROUNDDOWN($E$4*'Emission Factors'!$C$6,0)</f>
        <v>118426</v>
      </c>
      <c r="G14" s="12">
        <v>0</v>
      </c>
      <c r="H14" s="11">
        <f t="shared" si="0"/>
        <v>118426</v>
      </c>
      <c r="J14" s="16"/>
      <c r="L14" s="23"/>
    </row>
    <row r="15" spans="2:14" ht="15" customHeight="1" thickBot="1">
      <c r="B15" s="106">
        <v>2026</v>
      </c>
      <c r="C15" s="107"/>
      <c r="D15" s="40">
        <v>365</v>
      </c>
      <c r="E15" s="12">
        <v>0</v>
      </c>
      <c r="F15" s="11">
        <f>ROUNDDOWN($E$4*'Emission Factors'!$C$6,0)</f>
        <v>118426</v>
      </c>
      <c r="G15" s="12">
        <v>0</v>
      </c>
      <c r="H15" s="11">
        <f t="shared" si="0"/>
        <v>118426</v>
      </c>
      <c r="I15" s="2"/>
      <c r="J15" s="16"/>
      <c r="L15" s="24"/>
    </row>
    <row r="16" spans="2:14" ht="15" customHeight="1" thickBot="1">
      <c r="B16" s="106">
        <v>2027</v>
      </c>
      <c r="C16" s="107"/>
      <c r="D16" s="40">
        <v>365</v>
      </c>
      <c r="E16" s="12">
        <v>0</v>
      </c>
      <c r="F16" s="11">
        <f>ROUNDDOWN($E$4*'Emission Factors'!$C$6,0)</f>
        <v>118426</v>
      </c>
      <c r="G16" s="12">
        <v>0</v>
      </c>
      <c r="H16" s="11">
        <f t="shared" si="0"/>
        <v>118426</v>
      </c>
    </row>
    <row r="17" spans="2:18" ht="15" customHeight="1" thickBot="1">
      <c r="B17" s="106">
        <v>2028</v>
      </c>
      <c r="C17" s="107"/>
      <c r="D17" s="40">
        <v>365</v>
      </c>
      <c r="E17" s="12">
        <v>0</v>
      </c>
      <c r="F17" s="11">
        <f>ROUNDDOWN($E$4*'Emission Factors'!$C$6,0)</f>
        <v>118426</v>
      </c>
      <c r="G17" s="12">
        <v>0</v>
      </c>
      <c r="H17" s="11">
        <f t="shared" si="0"/>
        <v>118426</v>
      </c>
    </row>
    <row r="18" spans="2:18" ht="14.5" thickBot="1">
      <c r="B18" s="71">
        <v>47119</v>
      </c>
      <c r="C18" s="69">
        <v>47322</v>
      </c>
      <c r="D18" s="40">
        <f>C18-B18+1</f>
        <v>204</v>
      </c>
      <c r="E18" s="12">
        <v>0</v>
      </c>
      <c r="F18" s="11">
        <f>ROUNDDOWN($E$4*'Emission Factors'!$C$6,0)*(141/365)</f>
        <v>45748.126027397266</v>
      </c>
      <c r="G18" s="12">
        <v>0</v>
      </c>
      <c r="H18" s="11">
        <f t="shared" si="0"/>
        <v>45748.126027397266</v>
      </c>
      <c r="J18" s="16"/>
      <c r="K18" s="16"/>
      <c r="M18" s="2"/>
    </row>
    <row r="19" spans="2:18" ht="12.75" customHeight="1">
      <c r="B19" s="109" t="s">
        <v>2</v>
      </c>
      <c r="C19" s="110"/>
      <c r="D19" s="111"/>
      <c r="E19" s="101">
        <f>SUM(E11:E18)</f>
        <v>0</v>
      </c>
      <c r="F19" s="101">
        <f>ROUNDDOWN(SUM(F11:F18),0)</f>
        <v>828982</v>
      </c>
      <c r="G19" s="101">
        <f>SUM(G11:G18)</f>
        <v>0</v>
      </c>
      <c r="H19" s="101">
        <f>ROUNDDOWN(SUM(H11:H18),0)</f>
        <v>828982</v>
      </c>
      <c r="J19" s="38"/>
    </row>
    <row r="20" spans="2:18" ht="32.25" customHeight="1" thickBot="1">
      <c r="B20" s="112"/>
      <c r="C20" s="113"/>
      <c r="D20" s="114"/>
      <c r="E20" s="108"/>
      <c r="F20" s="102"/>
      <c r="G20" s="108"/>
      <c r="H20" s="102"/>
      <c r="I20" s="16"/>
      <c r="J20" s="16"/>
      <c r="L20" s="2"/>
    </row>
    <row r="21" spans="2:18">
      <c r="H21" s="16"/>
      <c r="I21" s="16"/>
      <c r="K21" s="33"/>
    </row>
    <row r="22" spans="2:18" ht="13" thickBot="1">
      <c r="H22" s="16"/>
      <c r="I22" s="16"/>
      <c r="L22" s="34"/>
    </row>
    <row r="23" spans="2:18" ht="15.5">
      <c r="B23" s="28" t="s">
        <v>23</v>
      </c>
      <c r="C23" s="29"/>
      <c r="D23" s="29"/>
      <c r="E23" s="29"/>
      <c r="F23"/>
      <c r="G23"/>
      <c r="H23" s="16"/>
      <c r="I23" s="16"/>
      <c r="J23" s="115" t="s">
        <v>7</v>
      </c>
      <c r="K23" s="116"/>
      <c r="L23" s="86" t="s">
        <v>30</v>
      </c>
      <c r="M23" s="86" t="s">
        <v>48</v>
      </c>
      <c r="N23" s="86" t="s">
        <v>49</v>
      </c>
      <c r="O23" s="86" t="s">
        <v>61</v>
      </c>
    </row>
    <row r="24" spans="2:18" ht="14.5">
      <c r="B24"/>
      <c r="C24"/>
      <c r="D24"/>
      <c r="E24"/>
      <c r="F24"/>
      <c r="G24"/>
      <c r="H24" s="16"/>
      <c r="I24" s="16"/>
      <c r="J24" s="117"/>
      <c r="K24" s="118"/>
      <c r="L24" s="87"/>
      <c r="M24" s="87"/>
      <c r="N24" s="87"/>
      <c r="O24" s="87"/>
    </row>
    <row r="25" spans="2:18" ht="52.5" thickBot="1">
      <c r="B25" s="21" t="s">
        <v>15</v>
      </c>
      <c r="C25" s="21" t="s">
        <v>31</v>
      </c>
      <c r="D25" s="21" t="s">
        <v>32</v>
      </c>
      <c r="E25" s="21" t="s">
        <v>16</v>
      </c>
      <c r="F25" s="21" t="s">
        <v>17</v>
      </c>
      <c r="G25" s="21" t="s">
        <v>18</v>
      </c>
      <c r="H25" s="16"/>
      <c r="I25" s="16"/>
      <c r="J25" s="119"/>
      <c r="K25" s="120"/>
      <c r="L25" s="87"/>
      <c r="M25" s="87"/>
      <c r="N25" s="87"/>
      <c r="O25" s="87"/>
    </row>
    <row r="26" spans="2:18" ht="15" customHeight="1" thickBot="1">
      <c r="B26" s="78" t="s">
        <v>19</v>
      </c>
      <c r="C26" s="79">
        <f>29.7*1000</f>
        <v>29700</v>
      </c>
      <c r="D26" s="89">
        <f>292664.055</f>
        <v>292664.05499999999</v>
      </c>
      <c r="E26" s="80">
        <f>C26/D26</f>
        <v>0.1014815434030667</v>
      </c>
      <c r="F26" s="92">
        <f>E4/1000</f>
        <v>182.7</v>
      </c>
      <c r="G26" s="81">
        <f>ROUNDDOWN(E26*F26,2)</f>
        <v>18.54</v>
      </c>
      <c r="H26" s="16"/>
      <c r="I26" s="16"/>
      <c r="J26" s="70">
        <v>44766</v>
      </c>
      <c r="K26" s="68">
        <v>44926</v>
      </c>
      <c r="L26" s="47">
        <f>K26-J26+1</f>
        <v>161</v>
      </c>
      <c r="M26" s="50">
        <f>G26*(L26/365)</f>
        <v>8.1779178082191777</v>
      </c>
      <c r="N26" s="50">
        <f>G27*(L26/365)</f>
        <v>0.78515068493150686</v>
      </c>
      <c r="O26" s="83">
        <f>G28*(L26/365)</f>
        <v>94.94589041095891</v>
      </c>
    </row>
    <row r="27" spans="2:18" ht="15" customHeight="1" thickBot="1">
      <c r="B27" s="78" t="s">
        <v>20</v>
      </c>
      <c r="C27" s="79">
        <f>2.86*1000</f>
        <v>2860</v>
      </c>
      <c r="D27" s="90"/>
      <c r="E27" s="80">
        <f>C27/D26</f>
        <v>9.7722967721471637E-3</v>
      </c>
      <c r="F27" s="93"/>
      <c r="G27" s="81">
        <f>ROUNDDOWN(E27*F26,2)</f>
        <v>1.78</v>
      </c>
      <c r="H27" s="16"/>
      <c r="I27" s="16"/>
      <c r="J27" s="121">
        <v>2023</v>
      </c>
      <c r="K27" s="122"/>
      <c r="L27" s="48">
        <v>365</v>
      </c>
      <c r="M27" s="50">
        <f>G26*(L27/365)</f>
        <v>18.54</v>
      </c>
      <c r="N27" s="50">
        <f>$G$27</f>
        <v>1.78</v>
      </c>
      <c r="O27" s="83">
        <f>$G$28</f>
        <v>215.25</v>
      </c>
    </row>
    <row r="28" spans="2:18" ht="15" customHeight="1" thickBot="1">
      <c r="B28" s="78" t="s">
        <v>59</v>
      </c>
      <c r="C28" s="79">
        <f>344.81*1000</f>
        <v>344810</v>
      </c>
      <c r="D28" s="91"/>
      <c r="E28" s="80">
        <f>C28/D26</f>
        <v>1.1781768007007216</v>
      </c>
      <c r="F28" s="94"/>
      <c r="G28" s="81">
        <f>ROUNDDOWN(E28*F26,2)</f>
        <v>215.25</v>
      </c>
      <c r="H28" s="16"/>
      <c r="I28" s="16"/>
      <c r="J28" s="121">
        <v>2024</v>
      </c>
      <c r="K28" s="122"/>
      <c r="L28" s="48">
        <v>365</v>
      </c>
      <c r="M28" s="50">
        <f>G26*(L28/365)</f>
        <v>18.54</v>
      </c>
      <c r="N28" s="50">
        <f>$G$27</f>
        <v>1.78</v>
      </c>
      <c r="O28" s="83">
        <f t="shared" ref="O28:O32" si="1">$G$28</f>
        <v>215.25</v>
      </c>
      <c r="P28" s="125" t="s">
        <v>54</v>
      </c>
      <c r="Q28" s="125"/>
      <c r="R28" s="63">
        <f>M34/7</f>
        <v>18.54</v>
      </c>
    </row>
    <row r="29" spans="2:18" ht="15" customHeight="1" thickBot="1">
      <c r="B29"/>
      <c r="C29" s="73"/>
      <c r="D29" s="74"/>
      <c r="E29" s="75"/>
      <c r="F29" s="76"/>
      <c r="G29" s="77"/>
      <c r="H29" s="16"/>
      <c r="I29" s="16"/>
      <c r="J29" s="121">
        <v>2025</v>
      </c>
      <c r="K29" s="122"/>
      <c r="L29" s="48">
        <v>365</v>
      </c>
      <c r="M29" s="50">
        <f>G26*(L29/365)</f>
        <v>18.54</v>
      </c>
      <c r="N29" s="50">
        <f>$G$27</f>
        <v>1.78</v>
      </c>
      <c r="O29" s="83">
        <f t="shared" si="1"/>
        <v>215.25</v>
      </c>
      <c r="P29" s="72"/>
      <c r="Q29" s="72"/>
      <c r="R29" s="63"/>
    </row>
    <row r="30" spans="2:18" ht="14.4" customHeight="1" thickBot="1">
      <c r="B30" t="s">
        <v>22</v>
      </c>
      <c r="C30" s="41" t="s">
        <v>33</v>
      </c>
      <c r="D30" s="42"/>
      <c r="E30"/>
      <c r="F30" s="26" t="s">
        <v>34</v>
      </c>
      <c r="G30" s="27"/>
      <c r="H30" s="27"/>
      <c r="I30" s="16"/>
      <c r="J30" s="121">
        <v>2026</v>
      </c>
      <c r="K30" s="122"/>
      <c r="L30" s="48">
        <v>365</v>
      </c>
      <c r="M30" s="50">
        <f>G26*(L30/365)</f>
        <v>18.54</v>
      </c>
      <c r="N30" s="50">
        <f t="shared" ref="N30:N32" si="2">$G$27</f>
        <v>1.78</v>
      </c>
      <c r="O30" s="83">
        <f t="shared" si="1"/>
        <v>215.25</v>
      </c>
      <c r="P30" s="125" t="s">
        <v>55</v>
      </c>
      <c r="Q30" s="125"/>
      <c r="R30" s="63">
        <f>N34/7</f>
        <v>1.78</v>
      </c>
    </row>
    <row r="31" spans="2:18" ht="14.4" customHeight="1" thickBot="1">
      <c r="B31" t="s">
        <v>21</v>
      </c>
      <c r="C31" s="41" t="s">
        <v>33</v>
      </c>
      <c r="D31" s="42"/>
      <c r="E31"/>
      <c r="F31" s="26" t="s">
        <v>35</v>
      </c>
      <c r="G31" s="27"/>
      <c r="H31" s="27"/>
      <c r="I31" s="16"/>
      <c r="J31" s="121">
        <v>2027</v>
      </c>
      <c r="K31" s="122"/>
      <c r="L31" s="48">
        <v>365</v>
      </c>
      <c r="M31" s="50">
        <f>G26*(L31/365)</f>
        <v>18.54</v>
      </c>
      <c r="N31" s="50">
        <f t="shared" si="2"/>
        <v>1.78</v>
      </c>
      <c r="O31" s="83">
        <f t="shared" si="1"/>
        <v>215.25</v>
      </c>
    </row>
    <row r="32" spans="2:18" ht="14.4" customHeight="1" thickBot="1">
      <c r="B32" t="s">
        <v>63</v>
      </c>
      <c r="C32" s="43" t="s">
        <v>33</v>
      </c>
      <c r="D32" s="42"/>
      <c r="E32"/>
      <c r="F32" s="26" t="s">
        <v>35</v>
      </c>
      <c r="G32" s="27"/>
      <c r="H32" s="27"/>
      <c r="I32" s="16"/>
      <c r="J32" s="121">
        <v>2028</v>
      </c>
      <c r="K32" s="122"/>
      <c r="L32" s="48">
        <v>365</v>
      </c>
      <c r="M32" s="50">
        <f>G26*(L32/365)</f>
        <v>18.54</v>
      </c>
      <c r="N32" s="50">
        <f t="shared" si="2"/>
        <v>1.78</v>
      </c>
      <c r="O32" s="83">
        <f t="shared" si="1"/>
        <v>215.25</v>
      </c>
    </row>
    <row r="33" spans="2:18" ht="15.65" customHeight="1" thickBot="1">
      <c r="B33" s="44" t="s">
        <v>36</v>
      </c>
      <c r="C33" s="41" t="s">
        <v>37</v>
      </c>
      <c r="D33" s="43"/>
      <c r="E33" s="43"/>
      <c r="F33" s="26" t="s">
        <v>38</v>
      </c>
      <c r="G33" s="27"/>
      <c r="H33" s="27"/>
      <c r="I33" s="16"/>
      <c r="J33" s="70">
        <v>47119</v>
      </c>
      <c r="K33" s="67">
        <v>47322</v>
      </c>
      <c r="L33" s="49">
        <f>K33-J33+1</f>
        <v>204</v>
      </c>
      <c r="M33" s="50">
        <f>G26*(L33/365)</f>
        <v>10.362082191780821</v>
      </c>
      <c r="N33" s="51">
        <f>G27*(L33/365)</f>
        <v>0.99484931506849328</v>
      </c>
      <c r="O33" s="51">
        <f>G28*(L33/365)</f>
        <v>120.3041095890411</v>
      </c>
      <c r="P33" s="125" t="s">
        <v>62</v>
      </c>
      <c r="Q33" s="125"/>
      <c r="R33" s="82">
        <f>O34/7</f>
        <v>215.25</v>
      </c>
    </row>
    <row r="34" spans="2:18" ht="14" thickBot="1">
      <c r="J34" s="126" t="s">
        <v>50</v>
      </c>
      <c r="K34" s="127"/>
      <c r="L34" s="58">
        <f>SUM(L26:L33)</f>
        <v>2555</v>
      </c>
      <c r="M34" s="59">
        <f>ROUNDDOWN(G26*7,2)</f>
        <v>129.78</v>
      </c>
      <c r="N34" s="60">
        <f>ROUNDDOWN(G27*7,2)</f>
        <v>12.46</v>
      </c>
      <c r="O34" s="60">
        <f>ROUNDDOWN(G28*7,2)</f>
        <v>1506.75</v>
      </c>
    </row>
    <row r="35" spans="2:18" ht="15.5">
      <c r="B35" s="9" t="s">
        <v>24</v>
      </c>
      <c r="C35" s="30"/>
      <c r="D35" s="30"/>
      <c r="E35" s="30"/>
      <c r="F35" s="30"/>
      <c r="G35" s="30"/>
      <c r="H35" s="30"/>
    </row>
    <row r="36" spans="2:18" ht="13" thickBot="1"/>
    <row r="37" spans="2:18" ht="66.75" customHeight="1">
      <c r="B37" s="21" t="s">
        <v>39</v>
      </c>
      <c r="C37" s="21" t="s">
        <v>40</v>
      </c>
      <c r="D37" s="21" t="s">
        <v>41</v>
      </c>
      <c r="E37" s="7" t="s">
        <v>1</v>
      </c>
      <c r="F37" s="7" t="s">
        <v>29</v>
      </c>
      <c r="G37" s="7" t="s">
        <v>52</v>
      </c>
      <c r="H37" s="7" t="s">
        <v>0</v>
      </c>
      <c r="M37" s="115" t="s">
        <v>7</v>
      </c>
      <c r="N37" s="116"/>
      <c r="O37" s="86" t="s">
        <v>30</v>
      </c>
      <c r="P37" s="86" t="s">
        <v>51</v>
      </c>
    </row>
    <row r="38" spans="2:18" ht="13.25" customHeight="1">
      <c r="B38" s="45">
        <v>7986526.1880000001</v>
      </c>
      <c r="C38" s="45">
        <f>306703.096</f>
        <v>306703.09600000002</v>
      </c>
      <c r="D38" s="10">
        <f>B38/C38</f>
        <v>26.039926861383883</v>
      </c>
      <c r="E38" s="10">
        <f>E4/1000</f>
        <v>182.7</v>
      </c>
      <c r="F38" s="6">
        <f>D38*E38</f>
        <v>4757.494637574835</v>
      </c>
      <c r="G38" s="66">
        <f>ROUNDUP(10*0.189*365,0)</f>
        <v>690</v>
      </c>
      <c r="H38" s="61">
        <f>ROUNDDOWN(F38-G38,2)</f>
        <v>4067.49</v>
      </c>
      <c r="M38" s="117"/>
      <c r="N38" s="118"/>
      <c r="O38" s="87"/>
      <c r="P38" s="87"/>
    </row>
    <row r="39" spans="2:18" ht="15" customHeight="1" thickBot="1">
      <c r="J39" s="25"/>
      <c r="M39" s="119"/>
      <c r="N39" s="120"/>
      <c r="O39" s="87"/>
      <c r="P39" s="88"/>
    </row>
    <row r="40" spans="2:18" ht="20.5" thickBot="1">
      <c r="B40" s="1" t="s">
        <v>42</v>
      </c>
      <c r="C40" s="3" t="s">
        <v>43</v>
      </c>
      <c r="D40" s="42"/>
      <c r="E40" s="46" t="s">
        <v>45</v>
      </c>
      <c r="F40" s="26" t="s">
        <v>44</v>
      </c>
      <c r="G40" s="27"/>
      <c r="H40" s="27"/>
      <c r="I40" s="22"/>
      <c r="M40" s="70">
        <v>44766</v>
      </c>
      <c r="N40" s="67">
        <v>44926</v>
      </c>
      <c r="O40" s="47">
        <f>N40-M40+1</f>
        <v>161</v>
      </c>
      <c r="P40" s="52">
        <f>H38*(O40/365)</f>
        <v>1794.1531232876712</v>
      </c>
    </row>
    <row r="41" spans="2:18" ht="14.5" thickBot="1">
      <c r="B41" s="1" t="s">
        <v>46</v>
      </c>
      <c r="C41" s="3" t="s">
        <v>37</v>
      </c>
      <c r="D41" s="3"/>
      <c r="E41" s="3"/>
      <c r="F41" s="26" t="s">
        <v>38</v>
      </c>
      <c r="G41" s="27"/>
      <c r="H41" s="27"/>
      <c r="J41" s="42"/>
      <c r="M41" s="121">
        <v>2023</v>
      </c>
      <c r="N41" s="122"/>
      <c r="O41" s="53">
        <v>365</v>
      </c>
      <c r="P41" s="54">
        <f>H38</f>
        <v>4067.49</v>
      </c>
    </row>
    <row r="42" spans="2:18" ht="14.5" thickBot="1">
      <c r="B42" s="1" t="s">
        <v>57</v>
      </c>
      <c r="C42" s="35"/>
      <c r="G42" s="3" t="s">
        <v>43</v>
      </c>
      <c r="H42" s="42"/>
      <c r="I42" s="42"/>
      <c r="M42" s="121">
        <v>2024</v>
      </c>
      <c r="N42" s="122"/>
      <c r="O42" s="53">
        <v>365</v>
      </c>
      <c r="P42" s="54">
        <f>H38</f>
        <v>4067.49</v>
      </c>
    </row>
    <row r="43" spans="2:18" ht="14.5" thickBot="1">
      <c r="B43" s="1" t="s">
        <v>58</v>
      </c>
      <c r="M43" s="121">
        <v>2025</v>
      </c>
      <c r="N43" s="122"/>
      <c r="O43" s="53">
        <v>365</v>
      </c>
      <c r="P43" s="54">
        <f>H38</f>
        <v>4067.49</v>
      </c>
    </row>
    <row r="44" spans="2:18" ht="14.5" thickBot="1">
      <c r="M44" s="121">
        <v>2026</v>
      </c>
      <c r="N44" s="122"/>
      <c r="O44" s="53">
        <v>365</v>
      </c>
      <c r="P44" s="54">
        <f>H38</f>
        <v>4067.49</v>
      </c>
    </row>
    <row r="45" spans="2:18" ht="16" thickBot="1">
      <c r="B45" s="9"/>
      <c r="M45" s="121">
        <v>2027</v>
      </c>
      <c r="N45" s="122"/>
      <c r="O45" s="53">
        <v>365</v>
      </c>
      <c r="P45" s="54">
        <f>H38</f>
        <v>4067.49</v>
      </c>
    </row>
    <row r="46" spans="2:18" ht="14.5" thickBot="1">
      <c r="M46" s="124">
        <v>2028</v>
      </c>
      <c r="N46" s="122"/>
      <c r="O46" s="53">
        <v>365</v>
      </c>
      <c r="P46" s="54">
        <f>H38</f>
        <v>4067.49</v>
      </c>
    </row>
    <row r="47" spans="2:18" ht="16" thickBot="1">
      <c r="B47" s="36" t="s">
        <v>25</v>
      </c>
      <c r="C47" s="37"/>
      <c r="D47" s="37"/>
      <c r="M47" s="70">
        <v>47119</v>
      </c>
      <c r="N47" s="67">
        <v>47322</v>
      </c>
      <c r="O47" s="55">
        <f>N47-M47+1</f>
        <v>204</v>
      </c>
      <c r="P47" s="52">
        <f>H38*(O47/365)</f>
        <v>2273.3368767123288</v>
      </c>
    </row>
    <row r="48" spans="2:18" ht="16" thickBot="1">
      <c r="B48" s="8"/>
      <c r="M48" s="126" t="s">
        <v>50</v>
      </c>
      <c r="N48" s="127"/>
      <c r="O48" s="56">
        <f>SUM(O40:O47)</f>
        <v>2555</v>
      </c>
      <c r="P48" s="57">
        <f>ROUNDDOWN(H38*7,2)</f>
        <v>28472.43</v>
      </c>
    </row>
    <row r="49" spans="2:15">
      <c r="B49" s="1" t="s">
        <v>47</v>
      </c>
    </row>
    <row r="51" spans="2:15" ht="13.5">
      <c r="C51" s="3"/>
      <c r="M51" s="123" t="s">
        <v>56</v>
      </c>
      <c r="N51" s="123"/>
      <c r="O51" s="65">
        <f>P48/7</f>
        <v>4067.4900000000002</v>
      </c>
    </row>
    <row r="52" spans="2:15" ht="51" customHeight="1">
      <c r="C52" s="3"/>
      <c r="M52" s="64"/>
      <c r="N52" s="64"/>
    </row>
    <row r="55" spans="2:15" ht="15.5">
      <c r="B55" s="9"/>
    </row>
    <row r="57" spans="2:15" ht="15.5">
      <c r="B57" s="8"/>
    </row>
    <row r="58" spans="2:15" ht="14.5">
      <c r="F58" s="5"/>
      <c r="L58" s="4"/>
    </row>
    <row r="59" spans="2:15">
      <c r="C59" s="3"/>
    </row>
    <row r="60" spans="2:15">
      <c r="C60" s="3"/>
    </row>
    <row r="61" spans="2:15">
      <c r="C61" s="3"/>
    </row>
    <row r="62" spans="2:15">
      <c r="C62" s="3"/>
    </row>
    <row r="63" spans="2:15">
      <c r="C63" s="3"/>
    </row>
    <row r="64" spans="2:15">
      <c r="C64" s="3"/>
      <c r="L64" s="2"/>
    </row>
    <row r="74" spans="3:3">
      <c r="C74" s="3"/>
    </row>
  </sheetData>
  <mergeCells count="46">
    <mergeCell ref="O23:O25"/>
    <mergeCell ref="P33:Q33"/>
    <mergeCell ref="M48:N48"/>
    <mergeCell ref="J12:K12"/>
    <mergeCell ref="P28:Q28"/>
    <mergeCell ref="P30:Q30"/>
    <mergeCell ref="J34:K34"/>
    <mergeCell ref="M37:N39"/>
    <mergeCell ref="O37:O39"/>
    <mergeCell ref="M41:N41"/>
    <mergeCell ref="J28:K28"/>
    <mergeCell ref="J30:K30"/>
    <mergeCell ref="J31:K31"/>
    <mergeCell ref="J32:K32"/>
    <mergeCell ref="N23:N25"/>
    <mergeCell ref="L23:L25"/>
    <mergeCell ref="M23:M25"/>
    <mergeCell ref="J27:K27"/>
    <mergeCell ref="J29:K29"/>
    <mergeCell ref="M51:N51"/>
    <mergeCell ref="M42:N42"/>
    <mergeCell ref="M43:N43"/>
    <mergeCell ref="M44:N44"/>
    <mergeCell ref="M45:N45"/>
    <mergeCell ref="M46:N46"/>
    <mergeCell ref="B13:C13"/>
    <mergeCell ref="B14:C14"/>
    <mergeCell ref="B15:C15"/>
    <mergeCell ref="B16:C16"/>
    <mergeCell ref="J23:K25"/>
    <mergeCell ref="P37:P39"/>
    <mergeCell ref="D26:D28"/>
    <mergeCell ref="F26:F28"/>
    <mergeCell ref="D8:D10"/>
    <mergeCell ref="B8:C10"/>
    <mergeCell ref="H19:H20"/>
    <mergeCell ref="E8:E10"/>
    <mergeCell ref="F8:F10"/>
    <mergeCell ref="G8:G10"/>
    <mergeCell ref="H8:H10"/>
    <mergeCell ref="B17:C17"/>
    <mergeCell ref="E19:E20"/>
    <mergeCell ref="F19:F20"/>
    <mergeCell ref="G19:G20"/>
    <mergeCell ref="B19:D20"/>
    <mergeCell ref="B12:C12"/>
  </mergeCells>
  <hyperlinks>
    <hyperlink ref="C30" r:id="rId1" xr:uid="{00000000-0004-0000-0100-000000000000}"/>
    <hyperlink ref="C33" r:id="rId2" xr:uid="{00000000-0004-0000-0100-000001000000}"/>
    <hyperlink ref="C40" r:id="rId3" xr:uid="{00000000-0004-0000-0100-000002000000}"/>
    <hyperlink ref="G42" r:id="rId4" xr:uid="{00000000-0004-0000-0100-000003000000}"/>
    <hyperlink ref="C32" r:id="rId5" display="https://unfccc.int/documents/194819" xr:uid="{00000000-0004-0000-0100-000004000000}"/>
  </hyperlinks>
  <pageMargins left="0.75" right="0.75" top="1" bottom="1" header="0.5" footer="0.5"/>
  <pageSetup paperSize="9" orientation="portrait" r:id="rId6"/>
  <headerFooter alignWithMargins="0"/>
  <ignoredErrors>
    <ignoredError sqref="F19" formula="1"/>
  </ignoredErrors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Emission Factors</vt:lpstr>
      <vt:lpstr>Monitoring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ogulcan</dc:creator>
  <cp:lastModifiedBy>TUSHAR</cp:lastModifiedBy>
  <dcterms:created xsi:type="dcterms:W3CDTF">2020-12-17T08:51:13Z</dcterms:created>
  <dcterms:modified xsi:type="dcterms:W3CDTF">2022-07-22T09:44:14Z</dcterms:modified>
</cp:coreProperties>
</file>