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filterPrivacy="1" defaultThemeVersion="124226"/>
  <xr:revisionPtr revIDLastSave="3" documentId="13_ncr:1_{CB2935AA-1081-493E-8202-D4AEA854CFEF}" xr6:coauthVersionLast="47" xr6:coauthVersionMax="47" xr10:uidLastSave="{1F4D2D49-9286-4365-ADA0-25E3F21FEC7E}"/>
  <bookViews>
    <workbookView xWindow="-108" yWindow="-108" windowWidth="23256" windowHeight="12456" tabRatio="696" firstSheet="3" activeTab="2" xr2:uid="{00000000-000D-0000-FFFF-FFFF00000000}"/>
  </bookViews>
  <sheets>
    <sheet name="RDF_Baseline emissions_CH4" sheetId="1" r:id="rId1"/>
    <sheet name="RDF_Baseline Emission_Elec" sheetId="7" r:id="rId2"/>
    <sheet name="RDF_Project emission" sheetId="6" r:id="rId3"/>
    <sheet name="Emission Reduction_RDF" sheetId="5" r:id="rId4"/>
    <sheet name="EF" sheetId="8" r:id="rId5"/>
    <sheet name="Results" sheetId="9" r:id="rId6"/>
  </sheets>
  <externalReferences>
    <externalReference r:id="rId7"/>
    <externalReference r:id="rId8"/>
  </externalReferences>
  <definedNames>
    <definedName name="_msoanchor_1">#REF!</definedName>
    <definedName name="A" localSheetId="4">#REF!</definedName>
    <definedName name="A">#REF!</definedName>
    <definedName name="AA" localSheetId="4">#REF!</definedName>
    <definedName name="AA">#REF!</definedName>
    <definedName name="Aux_Coal" localSheetId="4">#REF!</definedName>
    <definedName name="Aux_Coal">#REF!</definedName>
    <definedName name="Aux_CoalR1" localSheetId="4">#REF!</definedName>
    <definedName name="Aux_CoalR1">#REF!</definedName>
    <definedName name="Aux_CoalR2" localSheetId="4">#REF!</definedName>
    <definedName name="Aux_CoalR2">#REF!</definedName>
    <definedName name="Aux_CoalR3" localSheetId="4">#REF!</definedName>
    <definedName name="Aux_CoalR3">#REF!</definedName>
    <definedName name="Aux_CoalR4" localSheetId="4">#REF!</definedName>
    <definedName name="Aux_CoalR4">#REF!</definedName>
    <definedName name="Aux_CoalR5" localSheetId="4">#REF!</definedName>
    <definedName name="Aux_CoalR5">#REF!</definedName>
    <definedName name="Aux_CoalR5.new" localSheetId="4">#REF!</definedName>
    <definedName name="Aux_CoalR5.new">#REF!</definedName>
    <definedName name="Aux_CoalR6" localSheetId="4">#REF!</definedName>
    <definedName name="Aux_CoalR6">#REF!</definedName>
    <definedName name="Aux_CoalR7.1" localSheetId="4">#REF!</definedName>
    <definedName name="Aux_CoalR7.1">#REF!</definedName>
    <definedName name="Aux_CoalR7.2" localSheetId="4">#REF!</definedName>
    <definedName name="Aux_CoalR7.2">#REF!</definedName>
    <definedName name="Aux_CoalR8" localSheetId="4">#REF!</definedName>
    <definedName name="Aux_CoalR8">#REF!</definedName>
    <definedName name="Aux_Diesel" localSheetId="4">#REF!</definedName>
    <definedName name="Aux_Diesel">#REF!</definedName>
    <definedName name="Aux_DieselOC" localSheetId="4">#REF!</definedName>
    <definedName name="Aux_DieselOC">#REF!</definedName>
    <definedName name="Aux_Gas" localSheetId="4">#REF!</definedName>
    <definedName name="Aux_Gas">#REF!</definedName>
    <definedName name="Aux_GasOC" localSheetId="4">#REF!</definedName>
    <definedName name="Aux_GasOC">#REF!</definedName>
    <definedName name="Aux_GasR1" localSheetId="4">#REF!</definedName>
    <definedName name="Aux_GasR1">#REF!</definedName>
    <definedName name="Aux_GasR2" localSheetId="4">#REF!</definedName>
    <definedName name="Aux_GasR2">#REF!</definedName>
    <definedName name="Aux_GasR3" localSheetId="4">#REF!</definedName>
    <definedName name="Aux_GasR3">#REF!</definedName>
    <definedName name="Aux_Hydro" localSheetId="4">#REF!</definedName>
    <definedName name="Aux_Hydro">#REF!</definedName>
    <definedName name="Aux_Lign" localSheetId="4">#REF!</definedName>
    <definedName name="Aux_Lign">#REF!</definedName>
    <definedName name="Aux_LignR1" localSheetId="4">#REF!</definedName>
    <definedName name="Aux_LignR1">#REF!</definedName>
    <definedName name="Aux_LignR2" localSheetId="4">#REF!</definedName>
    <definedName name="Aux_LignR2">#REF!</definedName>
    <definedName name="Aux_LignR3" localSheetId="4">#REF!</definedName>
    <definedName name="Aux_LignR3">#REF!</definedName>
    <definedName name="Aux_Napt" localSheetId="4">#REF!</definedName>
    <definedName name="Aux_Napt">#REF!</definedName>
    <definedName name="Aux_Nuclear" localSheetId="4">#REF!</definedName>
    <definedName name="Aux_Nuclear">#REF!</definedName>
    <definedName name="Aux_Oil" localSheetId="4">#REF!</definedName>
    <definedName name="Aux_Oil">#REF!</definedName>
    <definedName name="Bottom_ash" localSheetId="4">#REF!</definedName>
    <definedName name="Bottom_ash">#REF!</definedName>
    <definedName name="CEF_CO">#REF!</definedName>
    <definedName name="CEF_FO">#REF!</definedName>
    <definedName name="CEF_NG">#REF!</definedName>
    <definedName name="Data_full" localSheetId="4">#REF!</definedName>
    <definedName name="Data_full">#REF!</definedName>
    <definedName name="DD" localSheetId="4">#REF!</definedName>
    <definedName name="DD">#REF!</definedName>
    <definedName name="Density_Diesel" localSheetId="4">#REF!</definedName>
    <definedName name="Density_Diesel" localSheetId="5">[1]Assumptions!$I$22</definedName>
    <definedName name="Density_Diesel">#REF!</definedName>
    <definedName name="Density_DieselOC" localSheetId="4">#REF!</definedName>
    <definedName name="Density_DieselOC">#REF!</definedName>
    <definedName name="Density_Naphta" localSheetId="4">#REF!</definedName>
    <definedName name="Density_Naphta">#REF!</definedName>
    <definedName name="Density_Oil" localSheetId="4">#REF!</definedName>
    <definedName name="Density_Oil" localSheetId="5">[1]Assumptions!$H$22</definedName>
    <definedName name="Density_Oil">#REF!</definedName>
    <definedName name="Fly_ash" localSheetId="4">#REF!</definedName>
    <definedName name="Fly_ash">#REF!</definedName>
    <definedName name="Flyash" localSheetId="4">#REF!</definedName>
    <definedName name="Flyash">#REF!</definedName>
    <definedName name="GCV_Coal" localSheetId="4">#REF!</definedName>
    <definedName name="GCV_Coal">#REF!</definedName>
    <definedName name="GCV_Diesel" localSheetId="4">#REF!</definedName>
    <definedName name="GCV_Diesel">#REF!</definedName>
    <definedName name="GCV_DieselOC" localSheetId="4">#REF!</definedName>
    <definedName name="GCV_DieselOC">#REF!</definedName>
    <definedName name="GCV_Gas" localSheetId="4">#REF!</definedName>
    <definedName name="GCV_Gas">#REF!</definedName>
    <definedName name="GCV_Naphta" localSheetId="4">#REF!</definedName>
    <definedName name="GCV_Naphta">#REF!</definedName>
    <definedName name="GCV_Oil" localSheetId="4">#REF!</definedName>
    <definedName name="GCV_Oil">#REF!</definedName>
    <definedName name="I22Density_Naphta" localSheetId="4">#REF!</definedName>
    <definedName name="I22Density_Naphta">#REF!</definedName>
    <definedName name="kJ_kcal" localSheetId="4">#REF!</definedName>
    <definedName name="kJ_kcal" localSheetId="5">[1]Assumptions!$D$67</definedName>
    <definedName name="kJ_kcal">#REF!</definedName>
    <definedName name="MJ_kWh" localSheetId="4">#REF!</definedName>
    <definedName name="MJ_kWh">#REF!</definedName>
    <definedName name="NCV_CO">#REF!</definedName>
    <definedName name="NCV_FO">#REF!</definedName>
    <definedName name="NCV_NG">#REF!</definedName>
    <definedName name="Op" localSheetId="4">#REF!</definedName>
    <definedName name="Op">#REF!</definedName>
    <definedName name="OpHours_Hydro" localSheetId="4">#REF!</definedName>
    <definedName name="OpHours_Hydro">#REF!</definedName>
    <definedName name="OXF_CO">#REF!</definedName>
    <definedName name="OXF_FO">#REF!</definedName>
    <definedName name="OXF_NG">#REF!</definedName>
    <definedName name="PLF_Gas" localSheetId="4">#REF!</definedName>
    <definedName name="PLF_Gas">#REF!</definedName>
    <definedName name="SG_DO">#REF!</definedName>
    <definedName name="SG_NG">#REF!</definedName>
    <definedName name="SpecCons_OillF2" localSheetId="4">#REF!</definedName>
    <definedName name="SpecCons_OillF2">#REF!</definedName>
    <definedName name="SpecCons_OillF2_Lign" localSheetId="4">#REF!</definedName>
    <definedName name="SpecCons_OillF2_Lign">#REF!</definedName>
    <definedName name="SpecEm_Coal" localSheetId="4">#REF!</definedName>
    <definedName name="SpecEm_Coal">#REF!</definedName>
    <definedName name="SpecEm_CoalR1" localSheetId="4">#REF!</definedName>
    <definedName name="SpecEm_CoalR1">#REF!</definedName>
    <definedName name="SpecEm_CoalR2" localSheetId="4">#REF!</definedName>
    <definedName name="SpecEm_CoalR2">#REF!</definedName>
    <definedName name="SpecEm_CoalR3" localSheetId="4">#REF!</definedName>
    <definedName name="SpecEm_CoalR3">#REF!</definedName>
    <definedName name="SpecEm_CoalR4" localSheetId="4">#REF!</definedName>
    <definedName name="SpecEm_CoalR4">#REF!</definedName>
    <definedName name="SpecEm_CoalR5" localSheetId="4">#REF!</definedName>
    <definedName name="SpecEm_CoalR5">#REF!</definedName>
    <definedName name="SpecEm_CoalR5.new" localSheetId="4">#REF!</definedName>
    <definedName name="SpecEm_CoalR5.new">#REF!</definedName>
    <definedName name="SpecEm_CoalR6" localSheetId="4">#REF!</definedName>
    <definedName name="SpecEm_CoalR6">#REF!</definedName>
    <definedName name="SpecEm_CoalR7.1" localSheetId="4">#REF!</definedName>
    <definedName name="SpecEm_CoalR7.1">#REF!</definedName>
    <definedName name="SpecEm_CoalR7.2" localSheetId="4">#REF!</definedName>
    <definedName name="SpecEm_CoalR7.2">#REF!</definedName>
    <definedName name="SpecEm_CoalR8" localSheetId="4">#REF!</definedName>
    <definedName name="SpecEm_CoalR8">#REF!</definedName>
    <definedName name="SpecEm_Diesel" localSheetId="4">#REF!</definedName>
    <definedName name="SpecEm_Diesel">#REF!</definedName>
    <definedName name="SpecEm_DieselOC" localSheetId="4">#REF!</definedName>
    <definedName name="SpecEm_DieselOC">#REF!</definedName>
    <definedName name="SpecEm_DieselR1" localSheetId="4">#REF!</definedName>
    <definedName name="SpecEm_DieselR1">#REF!</definedName>
    <definedName name="SpecEm_DieselR2" localSheetId="4">#REF!</definedName>
    <definedName name="SpecEm_DieselR2">#REF!</definedName>
    <definedName name="SpecEm_DieselR3" localSheetId="4">#REF!</definedName>
    <definedName name="SpecEm_DieselR3">#REF!</definedName>
    <definedName name="SpecEm_DieselR4" localSheetId="4">#REF!</definedName>
    <definedName name="SpecEm_DieselR4">#REF!</definedName>
    <definedName name="SpecEm_Gas" localSheetId="4">#REF!</definedName>
    <definedName name="SpecEm_Gas">#REF!</definedName>
    <definedName name="SpecEm_GasOC" localSheetId="4">#REF!</definedName>
    <definedName name="SpecEm_GasOC">#REF!</definedName>
    <definedName name="SpecEm_GasR1" localSheetId="4">#REF!</definedName>
    <definedName name="SpecEm_GasR1">#REF!</definedName>
    <definedName name="SpecEm_GasR2" localSheetId="4">#REF!</definedName>
    <definedName name="SpecEm_GasR2">#REF!</definedName>
    <definedName name="SpecEm_GasR3" localSheetId="4">#REF!</definedName>
    <definedName name="SpecEm_GasR3">#REF!</definedName>
    <definedName name="SpecEm_GasR4">#REF!</definedName>
    <definedName name="SpecEm_Lignite" localSheetId="4">#REF!</definedName>
    <definedName name="SpecEm_Lignite">#REF!</definedName>
    <definedName name="SpecEm_LignR1" localSheetId="4">#REF!</definedName>
    <definedName name="SpecEm_LignR1">#REF!</definedName>
    <definedName name="SpecEm_LignR2" localSheetId="4">#REF!</definedName>
    <definedName name="SpecEm_LignR2">#REF!</definedName>
    <definedName name="SpecEm_LignR3" localSheetId="4">#REF!</definedName>
    <definedName name="SpecEm_LignR3">#REF!</definedName>
    <definedName name="SpecEm_Naphta" localSheetId="4">#REF!</definedName>
    <definedName name="SpecEm_Naphta">#REF!</definedName>
    <definedName name="SpecEm_Oil" localSheetId="4">#REF!</definedName>
    <definedName name="SpecEm_Oil">#REF!</definedName>
    <definedName name="Weight_BM" localSheetId="4">#REF!</definedName>
    <definedName name="Weight_BM" localSheetId="5">#REF!</definedName>
    <definedName name="Weight_BM">#REF!</definedName>
    <definedName name="Weight_OM" localSheetId="4">#REF!</definedName>
    <definedName name="Weight_OM" localSheetId="5">#REF!</definedName>
    <definedName name="Weight_O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54" i="1" l="1"/>
  <c r="F51" i="1"/>
  <c r="I48" i="6"/>
  <c r="I74" i="6"/>
  <c r="I47" i="6" l="1"/>
  <c r="N21" i="1" l="1"/>
  <c r="I23" i="8"/>
  <c r="J32" i="9" l="1"/>
  <c r="J33" i="9" s="1"/>
  <c r="J21" i="9"/>
  <c r="F17" i="8"/>
  <c r="H13" i="8"/>
  <c r="G13" i="8"/>
  <c r="F13" i="8"/>
  <c r="F20" i="8" s="1"/>
  <c r="H9" i="8"/>
  <c r="G9" i="8"/>
  <c r="F9" i="8"/>
  <c r="D16" i="7" l="1"/>
  <c r="F23" i="8"/>
  <c r="H12" i="1" l="1"/>
  <c r="L10" i="1" s="1"/>
  <c r="D28" i="1" l="1"/>
  <c r="E10" i="5"/>
  <c r="I44" i="6" l="1"/>
  <c r="I55" i="6"/>
  <c r="I58" i="6" s="1"/>
  <c r="D4" i="6" l="1"/>
  <c r="D5" i="6" l="1"/>
  <c r="D3" i="6"/>
  <c r="D4" i="7"/>
  <c r="D6" i="7" s="1"/>
  <c r="D10" i="7"/>
  <c r="D12" i="7" l="1"/>
  <c r="D15" i="7" s="1"/>
  <c r="D18" i="7" s="1"/>
  <c r="D11" i="7"/>
  <c r="BB30" i="1" l="1"/>
  <c r="BB33" i="1" s="1"/>
  <c r="BB37" i="1" s="1"/>
  <c r="BB42" i="1" s="1"/>
  <c r="BB48" i="1" s="1"/>
  <c r="BB55" i="1" s="1"/>
  <c r="D14" i="7" l="1"/>
  <c r="D17" i="7" s="1"/>
  <c r="BB28" i="1" l="1"/>
  <c r="E11" i="5" l="1"/>
  <c r="D6" i="6"/>
  <c r="M21" i="1" l="1"/>
  <c r="F28" i="1" l="1"/>
  <c r="C15" i="1"/>
  <c r="C24" i="6"/>
  <c r="D24" i="6" s="1"/>
  <c r="F24" i="6" s="1"/>
  <c r="C25" i="6"/>
  <c r="C26" i="6"/>
  <c r="C27" i="6"/>
  <c r="C28" i="6"/>
  <c r="C29" i="6"/>
  <c r="C30" i="6"/>
  <c r="C31" i="6"/>
  <c r="C32" i="6"/>
  <c r="C33" i="6"/>
  <c r="C23" i="6"/>
  <c r="D23" i="6" s="1"/>
  <c r="F23" i="6" s="1"/>
  <c r="K21" i="1" l="1"/>
  <c r="BB58" i="1" l="1"/>
  <c r="BB57" i="1"/>
  <c r="C34" i="6" l="1"/>
  <c r="D28" i="6"/>
  <c r="F28" i="6" l="1"/>
  <c r="I28" i="6" s="1"/>
  <c r="D33" i="6"/>
  <c r="F33" i="6" s="1"/>
  <c r="I33" i="6" s="1"/>
  <c r="I24" i="6"/>
  <c r="D25" i="6"/>
  <c r="F25" i="6" s="1"/>
  <c r="I25" i="6" s="1"/>
  <c r="D26" i="6"/>
  <c r="F26" i="6" s="1"/>
  <c r="I26" i="6" s="1"/>
  <c r="D27" i="6"/>
  <c r="F27" i="6" s="1"/>
  <c r="I27" i="6" s="1"/>
  <c r="D29" i="6"/>
  <c r="F29" i="6" s="1"/>
  <c r="I29" i="6" s="1"/>
  <c r="D30" i="6"/>
  <c r="F30" i="6" s="1"/>
  <c r="I30" i="6" s="1"/>
  <c r="D31" i="6"/>
  <c r="D32" i="6"/>
  <c r="I23" i="6" l="1"/>
  <c r="D34" i="6"/>
  <c r="AL29" i="1" l="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28" i="1"/>
  <c r="AJ29" i="1"/>
  <c r="AK29" i="1" s="1"/>
  <c r="AJ30" i="1"/>
  <c r="AK30" i="1" s="1"/>
  <c r="AJ31" i="1"/>
  <c r="AK31" i="1" s="1"/>
  <c r="AJ32" i="1"/>
  <c r="AK32" i="1" s="1"/>
  <c r="AJ33" i="1"/>
  <c r="AK33" i="1" s="1"/>
  <c r="AJ34" i="1"/>
  <c r="AK34" i="1" s="1"/>
  <c r="AJ35" i="1"/>
  <c r="AK35" i="1" s="1"/>
  <c r="AJ36" i="1"/>
  <c r="AK36" i="1" s="1"/>
  <c r="AJ37" i="1"/>
  <c r="AK37" i="1" s="1"/>
  <c r="AJ38" i="1"/>
  <c r="AK38" i="1" s="1"/>
  <c r="AJ39" i="1"/>
  <c r="AK39" i="1" s="1"/>
  <c r="AJ40" i="1"/>
  <c r="AK40" i="1" s="1"/>
  <c r="AJ41" i="1"/>
  <c r="AK41" i="1" s="1"/>
  <c r="AJ42" i="1"/>
  <c r="AK42" i="1" s="1"/>
  <c r="AJ43" i="1"/>
  <c r="AK43" i="1" s="1"/>
  <c r="AJ44" i="1"/>
  <c r="AK44" i="1" s="1"/>
  <c r="AJ45" i="1"/>
  <c r="AK45" i="1" s="1"/>
  <c r="AJ46" i="1"/>
  <c r="AK46" i="1" s="1"/>
  <c r="AJ47" i="1"/>
  <c r="AK47" i="1" s="1"/>
  <c r="AJ48" i="1"/>
  <c r="AK48" i="1" s="1"/>
  <c r="AJ49" i="1"/>
  <c r="AK49" i="1" s="1"/>
  <c r="AJ50" i="1"/>
  <c r="AK50" i="1" s="1"/>
  <c r="AJ51" i="1"/>
  <c r="AK51" i="1" s="1"/>
  <c r="AJ52" i="1"/>
  <c r="AK52" i="1" s="1"/>
  <c r="AJ53" i="1"/>
  <c r="AK53" i="1" s="1"/>
  <c r="AJ54" i="1"/>
  <c r="AK54" i="1" s="1"/>
  <c r="AJ55" i="1"/>
  <c r="AK55" i="1" s="1"/>
  <c r="AJ28" i="1"/>
  <c r="AK28" i="1" s="1"/>
  <c r="AG29" i="1"/>
  <c r="AG30" i="1"/>
  <c r="AG31" i="1"/>
  <c r="AG32" i="1"/>
  <c r="AG33" i="1"/>
  <c r="AG34" i="1"/>
  <c r="AG35" i="1"/>
  <c r="AG36" i="1"/>
  <c r="AG37" i="1"/>
  <c r="AG38" i="1"/>
  <c r="AG39" i="1"/>
  <c r="AG40" i="1"/>
  <c r="AG41" i="1"/>
  <c r="AG42" i="1"/>
  <c r="AG43" i="1"/>
  <c r="AG44" i="1"/>
  <c r="AG45" i="1"/>
  <c r="AG46" i="1"/>
  <c r="AG47" i="1"/>
  <c r="AG48" i="1"/>
  <c r="AG49" i="1"/>
  <c r="AG50" i="1"/>
  <c r="AG51" i="1"/>
  <c r="AG52" i="1"/>
  <c r="AG53" i="1"/>
  <c r="AG54" i="1"/>
  <c r="AG55" i="1"/>
  <c r="AG28" i="1"/>
  <c r="AE29" i="1"/>
  <c r="AF29" i="1" s="1"/>
  <c r="AE30" i="1"/>
  <c r="AF30" i="1" s="1"/>
  <c r="AE31" i="1"/>
  <c r="AF31" i="1" s="1"/>
  <c r="AE32" i="1"/>
  <c r="AF32" i="1" s="1"/>
  <c r="AE33" i="1"/>
  <c r="AF33" i="1" s="1"/>
  <c r="AE34" i="1"/>
  <c r="AF34" i="1" s="1"/>
  <c r="AE35" i="1"/>
  <c r="AF35" i="1" s="1"/>
  <c r="AE36" i="1"/>
  <c r="AF36" i="1" s="1"/>
  <c r="AE37" i="1"/>
  <c r="AF37" i="1" s="1"/>
  <c r="AE38" i="1"/>
  <c r="AF38" i="1" s="1"/>
  <c r="AE39" i="1"/>
  <c r="AF39" i="1" s="1"/>
  <c r="AE40" i="1"/>
  <c r="AF40" i="1" s="1"/>
  <c r="AE41" i="1"/>
  <c r="AF41" i="1" s="1"/>
  <c r="AE42" i="1"/>
  <c r="AF42" i="1" s="1"/>
  <c r="AE43" i="1"/>
  <c r="AF43" i="1" s="1"/>
  <c r="AE44" i="1"/>
  <c r="AF44" i="1" s="1"/>
  <c r="AE45" i="1"/>
  <c r="AF45" i="1" s="1"/>
  <c r="AE46" i="1"/>
  <c r="AF46" i="1" s="1"/>
  <c r="AE47" i="1"/>
  <c r="AF47" i="1" s="1"/>
  <c r="AE48" i="1"/>
  <c r="AF48" i="1" s="1"/>
  <c r="AE49" i="1"/>
  <c r="AF49" i="1" s="1"/>
  <c r="AE50" i="1"/>
  <c r="AF50" i="1" s="1"/>
  <c r="AE51" i="1"/>
  <c r="AF51" i="1" s="1"/>
  <c r="AE52" i="1"/>
  <c r="AF52" i="1" s="1"/>
  <c r="AE53" i="1"/>
  <c r="AF53" i="1" s="1"/>
  <c r="AE54" i="1"/>
  <c r="AF54" i="1" s="1"/>
  <c r="AE55" i="1"/>
  <c r="AF55" i="1" s="1"/>
  <c r="AE28" i="1"/>
  <c r="AF28" i="1" s="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28" i="1"/>
  <c r="Z29" i="1"/>
  <c r="AA29" i="1" s="1"/>
  <c r="Z30" i="1"/>
  <c r="AA30" i="1" s="1"/>
  <c r="Z31" i="1"/>
  <c r="AA31" i="1" s="1"/>
  <c r="Z32" i="1"/>
  <c r="AA32" i="1" s="1"/>
  <c r="Z33" i="1"/>
  <c r="AA33" i="1" s="1"/>
  <c r="Z34" i="1"/>
  <c r="AA34" i="1" s="1"/>
  <c r="Z35" i="1"/>
  <c r="AA35" i="1" s="1"/>
  <c r="Z36" i="1"/>
  <c r="AA36" i="1" s="1"/>
  <c r="Z37" i="1"/>
  <c r="AA37" i="1" s="1"/>
  <c r="Z38" i="1"/>
  <c r="AA38" i="1" s="1"/>
  <c r="Z39" i="1"/>
  <c r="AA39" i="1" s="1"/>
  <c r="Z40" i="1"/>
  <c r="AA40" i="1" s="1"/>
  <c r="Z41" i="1"/>
  <c r="AA41" i="1" s="1"/>
  <c r="Z42" i="1"/>
  <c r="AA42" i="1" s="1"/>
  <c r="Z43" i="1"/>
  <c r="AA43" i="1" s="1"/>
  <c r="Z44" i="1"/>
  <c r="AA44" i="1" s="1"/>
  <c r="Z45" i="1"/>
  <c r="AA45" i="1" s="1"/>
  <c r="Z46" i="1"/>
  <c r="AA46" i="1" s="1"/>
  <c r="Z47" i="1"/>
  <c r="AA47" i="1" s="1"/>
  <c r="Z48" i="1"/>
  <c r="AA48" i="1" s="1"/>
  <c r="Z49" i="1"/>
  <c r="AA49" i="1" s="1"/>
  <c r="Z50" i="1"/>
  <c r="AA50" i="1" s="1"/>
  <c r="Z51" i="1"/>
  <c r="AA51" i="1" s="1"/>
  <c r="Z52" i="1"/>
  <c r="AA52" i="1" s="1"/>
  <c r="Z53" i="1"/>
  <c r="AA53" i="1" s="1"/>
  <c r="Z54" i="1"/>
  <c r="AA54" i="1" s="1"/>
  <c r="Z55" i="1"/>
  <c r="AA55" i="1" s="1"/>
  <c r="Z28" i="1"/>
  <c r="AA28" i="1" s="1"/>
  <c r="W29" i="1"/>
  <c r="W30" i="1"/>
  <c r="W31" i="1"/>
  <c r="W32" i="1"/>
  <c r="W33" i="1"/>
  <c r="W34" i="1"/>
  <c r="W35" i="1"/>
  <c r="W36" i="1"/>
  <c r="W37" i="1"/>
  <c r="W38" i="1"/>
  <c r="W39" i="1"/>
  <c r="W40" i="1"/>
  <c r="W41" i="1"/>
  <c r="W42" i="1"/>
  <c r="W43" i="1"/>
  <c r="W44" i="1"/>
  <c r="W45" i="1"/>
  <c r="W46" i="1"/>
  <c r="W47" i="1"/>
  <c r="W48" i="1"/>
  <c r="W49" i="1"/>
  <c r="W50" i="1"/>
  <c r="W51" i="1"/>
  <c r="W52" i="1"/>
  <c r="W53" i="1"/>
  <c r="W54" i="1"/>
  <c r="W55" i="1"/>
  <c r="W28" i="1"/>
  <c r="U29" i="1"/>
  <c r="V29" i="1" s="1"/>
  <c r="U30" i="1"/>
  <c r="V30" i="1" s="1"/>
  <c r="U31" i="1"/>
  <c r="V31" i="1" s="1"/>
  <c r="U32" i="1"/>
  <c r="V32" i="1" s="1"/>
  <c r="U33" i="1"/>
  <c r="V33" i="1" s="1"/>
  <c r="U34" i="1"/>
  <c r="V34" i="1" s="1"/>
  <c r="U35" i="1"/>
  <c r="V35" i="1" s="1"/>
  <c r="U36" i="1"/>
  <c r="V36" i="1" s="1"/>
  <c r="U37" i="1"/>
  <c r="V37" i="1" s="1"/>
  <c r="U38" i="1"/>
  <c r="V38" i="1" s="1"/>
  <c r="U39" i="1"/>
  <c r="V39" i="1" s="1"/>
  <c r="U40" i="1"/>
  <c r="V40" i="1" s="1"/>
  <c r="U41" i="1"/>
  <c r="V41" i="1" s="1"/>
  <c r="U42" i="1"/>
  <c r="V42" i="1" s="1"/>
  <c r="U43" i="1"/>
  <c r="V43" i="1" s="1"/>
  <c r="U44" i="1"/>
  <c r="V44" i="1" s="1"/>
  <c r="U45" i="1"/>
  <c r="V45" i="1" s="1"/>
  <c r="U46" i="1"/>
  <c r="V46" i="1" s="1"/>
  <c r="U47" i="1"/>
  <c r="V47" i="1" s="1"/>
  <c r="U48" i="1"/>
  <c r="V48" i="1" s="1"/>
  <c r="U49" i="1"/>
  <c r="V49" i="1" s="1"/>
  <c r="U50" i="1"/>
  <c r="V50" i="1" s="1"/>
  <c r="U51" i="1"/>
  <c r="V51" i="1" s="1"/>
  <c r="U52" i="1"/>
  <c r="V52" i="1" s="1"/>
  <c r="U53" i="1"/>
  <c r="V53" i="1" s="1"/>
  <c r="U54" i="1"/>
  <c r="V54" i="1" s="1"/>
  <c r="U55" i="1"/>
  <c r="V55" i="1" s="1"/>
  <c r="U28" i="1"/>
  <c r="V28" i="1" s="1"/>
  <c r="R29" i="1"/>
  <c r="R30" i="1"/>
  <c r="R31" i="1"/>
  <c r="R32" i="1"/>
  <c r="R33" i="1"/>
  <c r="R34" i="1"/>
  <c r="R35" i="1"/>
  <c r="R36" i="1"/>
  <c r="R37" i="1"/>
  <c r="R38" i="1"/>
  <c r="R39" i="1"/>
  <c r="R40" i="1"/>
  <c r="R41" i="1"/>
  <c r="R42" i="1"/>
  <c r="R43" i="1"/>
  <c r="R44" i="1"/>
  <c r="R45" i="1"/>
  <c r="R46" i="1"/>
  <c r="R47" i="1"/>
  <c r="R48" i="1"/>
  <c r="R49" i="1"/>
  <c r="R50" i="1"/>
  <c r="R51" i="1"/>
  <c r="R52" i="1"/>
  <c r="R53" i="1"/>
  <c r="R54" i="1"/>
  <c r="R55" i="1"/>
  <c r="R28" i="1"/>
  <c r="P29" i="1"/>
  <c r="Q29" i="1" s="1"/>
  <c r="P30" i="1"/>
  <c r="Q30" i="1" s="1"/>
  <c r="P31" i="1"/>
  <c r="Q31" i="1" s="1"/>
  <c r="P32" i="1"/>
  <c r="Q32" i="1" s="1"/>
  <c r="P33" i="1"/>
  <c r="Q33" i="1" s="1"/>
  <c r="P34" i="1"/>
  <c r="Q34" i="1" s="1"/>
  <c r="P35" i="1"/>
  <c r="Q35" i="1" s="1"/>
  <c r="P36" i="1"/>
  <c r="Q36" i="1" s="1"/>
  <c r="P37" i="1"/>
  <c r="Q37" i="1" s="1"/>
  <c r="P38" i="1"/>
  <c r="Q38" i="1" s="1"/>
  <c r="P39" i="1"/>
  <c r="Q39" i="1" s="1"/>
  <c r="P40" i="1"/>
  <c r="Q40" i="1" s="1"/>
  <c r="P41" i="1"/>
  <c r="Q41" i="1" s="1"/>
  <c r="P42" i="1"/>
  <c r="Q42" i="1" s="1"/>
  <c r="P43" i="1"/>
  <c r="Q43" i="1" s="1"/>
  <c r="P44" i="1"/>
  <c r="Q44" i="1" s="1"/>
  <c r="P45" i="1"/>
  <c r="Q45" i="1" s="1"/>
  <c r="P46" i="1"/>
  <c r="Q46" i="1" s="1"/>
  <c r="P47" i="1"/>
  <c r="Q47" i="1" s="1"/>
  <c r="P48" i="1"/>
  <c r="Q48" i="1" s="1"/>
  <c r="P49" i="1"/>
  <c r="Q49" i="1" s="1"/>
  <c r="P50" i="1"/>
  <c r="Q50" i="1" s="1"/>
  <c r="P51" i="1"/>
  <c r="Q51" i="1" s="1"/>
  <c r="P52" i="1"/>
  <c r="Q52" i="1" s="1"/>
  <c r="P53" i="1"/>
  <c r="Q53" i="1" s="1"/>
  <c r="P54" i="1"/>
  <c r="Q54" i="1" s="1"/>
  <c r="P55" i="1"/>
  <c r="Q55" i="1" s="1"/>
  <c r="P28" i="1"/>
  <c r="Q28" i="1" s="1"/>
  <c r="M29" i="1"/>
  <c r="M30" i="1"/>
  <c r="M31" i="1"/>
  <c r="M32" i="1"/>
  <c r="M33" i="1"/>
  <c r="M34" i="1"/>
  <c r="M35" i="1"/>
  <c r="M36" i="1"/>
  <c r="M37" i="1"/>
  <c r="M38" i="1"/>
  <c r="M39" i="1"/>
  <c r="M40" i="1"/>
  <c r="M41" i="1"/>
  <c r="M42" i="1"/>
  <c r="M43" i="1"/>
  <c r="M44" i="1"/>
  <c r="M45" i="1"/>
  <c r="M46" i="1"/>
  <c r="M47" i="1"/>
  <c r="M48" i="1"/>
  <c r="M49" i="1"/>
  <c r="M50" i="1"/>
  <c r="M51" i="1"/>
  <c r="M52" i="1"/>
  <c r="M53" i="1"/>
  <c r="M54" i="1"/>
  <c r="M55" i="1"/>
  <c r="M28" i="1"/>
  <c r="K29" i="1"/>
  <c r="L29" i="1" s="1"/>
  <c r="K30" i="1"/>
  <c r="L30" i="1" s="1"/>
  <c r="K31" i="1"/>
  <c r="L31" i="1" s="1"/>
  <c r="K32" i="1"/>
  <c r="L32" i="1" s="1"/>
  <c r="K33" i="1"/>
  <c r="L33" i="1" s="1"/>
  <c r="K34" i="1"/>
  <c r="L34" i="1" s="1"/>
  <c r="K35" i="1"/>
  <c r="L35" i="1" s="1"/>
  <c r="K36" i="1"/>
  <c r="L36" i="1" s="1"/>
  <c r="K37" i="1"/>
  <c r="L37" i="1" s="1"/>
  <c r="K38" i="1"/>
  <c r="L38" i="1" s="1"/>
  <c r="K39" i="1"/>
  <c r="L39" i="1" s="1"/>
  <c r="K40" i="1"/>
  <c r="L40" i="1" s="1"/>
  <c r="K41" i="1"/>
  <c r="L41" i="1" s="1"/>
  <c r="K42" i="1"/>
  <c r="L42" i="1" s="1"/>
  <c r="K43" i="1"/>
  <c r="L43" i="1" s="1"/>
  <c r="K44" i="1"/>
  <c r="L44" i="1" s="1"/>
  <c r="K45" i="1"/>
  <c r="L45" i="1" s="1"/>
  <c r="K46" i="1"/>
  <c r="L46" i="1" s="1"/>
  <c r="K47" i="1"/>
  <c r="L47" i="1" s="1"/>
  <c r="K48" i="1"/>
  <c r="L48" i="1" s="1"/>
  <c r="K49" i="1"/>
  <c r="L49" i="1" s="1"/>
  <c r="K50" i="1"/>
  <c r="L50" i="1" s="1"/>
  <c r="K51" i="1"/>
  <c r="L51" i="1" s="1"/>
  <c r="K52" i="1"/>
  <c r="L52" i="1" s="1"/>
  <c r="K53" i="1"/>
  <c r="L53" i="1" s="1"/>
  <c r="K54" i="1"/>
  <c r="L54" i="1" s="1"/>
  <c r="K55" i="1"/>
  <c r="L55" i="1" s="1"/>
  <c r="K28" i="1"/>
  <c r="L28" i="1" s="1"/>
  <c r="H29" i="1"/>
  <c r="H30" i="1"/>
  <c r="H31" i="1"/>
  <c r="H32" i="1"/>
  <c r="H33" i="1"/>
  <c r="H34" i="1"/>
  <c r="H35" i="1"/>
  <c r="H36" i="1"/>
  <c r="H37" i="1"/>
  <c r="H38" i="1"/>
  <c r="H39" i="1"/>
  <c r="H40" i="1"/>
  <c r="H41" i="1"/>
  <c r="H42" i="1"/>
  <c r="H43" i="1"/>
  <c r="H44" i="1"/>
  <c r="H45" i="1"/>
  <c r="H46" i="1"/>
  <c r="H47" i="1"/>
  <c r="H48" i="1"/>
  <c r="H49" i="1"/>
  <c r="H50" i="1"/>
  <c r="H51" i="1"/>
  <c r="H52" i="1"/>
  <c r="H53" i="1"/>
  <c r="H54" i="1"/>
  <c r="H55" i="1"/>
  <c r="H28" i="1"/>
  <c r="F29" i="1"/>
  <c r="G29" i="1" s="1"/>
  <c r="F30" i="1"/>
  <c r="G30" i="1" s="1"/>
  <c r="F31" i="1"/>
  <c r="G31" i="1" s="1"/>
  <c r="F32" i="1"/>
  <c r="G32" i="1" s="1"/>
  <c r="F33" i="1"/>
  <c r="G33" i="1" s="1"/>
  <c r="F34" i="1"/>
  <c r="G34" i="1" s="1"/>
  <c r="F35" i="1"/>
  <c r="G35" i="1" s="1"/>
  <c r="F36" i="1"/>
  <c r="G36" i="1" s="1"/>
  <c r="F37" i="1"/>
  <c r="G37" i="1" s="1"/>
  <c r="F38" i="1"/>
  <c r="G38" i="1" s="1"/>
  <c r="F39" i="1"/>
  <c r="G39" i="1" s="1"/>
  <c r="F40" i="1"/>
  <c r="G40" i="1" s="1"/>
  <c r="F41" i="1"/>
  <c r="G41" i="1" s="1"/>
  <c r="F42" i="1"/>
  <c r="G42" i="1" s="1"/>
  <c r="F43" i="1"/>
  <c r="G43" i="1" s="1"/>
  <c r="F44" i="1"/>
  <c r="G44" i="1" s="1"/>
  <c r="F45" i="1"/>
  <c r="G45" i="1" s="1"/>
  <c r="F46" i="1"/>
  <c r="G46" i="1" s="1"/>
  <c r="F47" i="1"/>
  <c r="G47" i="1" s="1"/>
  <c r="F48" i="1"/>
  <c r="G48" i="1" s="1"/>
  <c r="F49" i="1"/>
  <c r="G49" i="1" s="1"/>
  <c r="F50" i="1"/>
  <c r="G50" i="1" s="1"/>
  <c r="G51" i="1"/>
  <c r="F52" i="1"/>
  <c r="G52" i="1" s="1"/>
  <c r="F53" i="1"/>
  <c r="G53" i="1" s="1"/>
  <c r="F54" i="1"/>
  <c r="G54" i="1" s="1"/>
  <c r="F55" i="1"/>
  <c r="G55" i="1" s="1"/>
  <c r="G28" i="1"/>
  <c r="AI29" i="1"/>
  <c r="AI30" i="1"/>
  <c r="AI31" i="1"/>
  <c r="AI32" i="1"/>
  <c r="AI33" i="1"/>
  <c r="AI34" i="1"/>
  <c r="AI35" i="1"/>
  <c r="AI36" i="1"/>
  <c r="AI37" i="1"/>
  <c r="AI38" i="1"/>
  <c r="AI39" i="1"/>
  <c r="AI40" i="1"/>
  <c r="AI41" i="1"/>
  <c r="AI42" i="1"/>
  <c r="AI43" i="1"/>
  <c r="AI44" i="1"/>
  <c r="AI45" i="1"/>
  <c r="AI46" i="1"/>
  <c r="AI47" i="1"/>
  <c r="AI48" i="1"/>
  <c r="AI49" i="1"/>
  <c r="AI50" i="1"/>
  <c r="AI51" i="1"/>
  <c r="AI52" i="1"/>
  <c r="AI53" i="1"/>
  <c r="AI54" i="1"/>
  <c r="AI55" i="1"/>
  <c r="AI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28" i="1"/>
  <c r="L15" i="1" l="1"/>
  <c r="L13" i="1" l="1"/>
  <c r="L17" i="1"/>
  <c r="L14" i="1"/>
  <c r="L18" i="1"/>
  <c r="L16" i="1"/>
  <c r="L11" i="1"/>
  <c r="L19" i="1"/>
  <c r="L12" i="1"/>
  <c r="L20" i="1"/>
  <c r="L21" i="1" l="1"/>
  <c r="AM28" i="1"/>
  <c r="AN28" i="1" s="1"/>
  <c r="X32" i="1"/>
  <c r="AU32" i="1" s="1"/>
  <c r="X36" i="1"/>
  <c r="AU36" i="1" s="1"/>
  <c r="X40" i="1"/>
  <c r="AU40" i="1" s="1"/>
  <c r="X44" i="1"/>
  <c r="AU44" i="1" s="1"/>
  <c r="X48" i="1"/>
  <c r="AU48" i="1" s="1"/>
  <c r="X52" i="1"/>
  <c r="AU52" i="1" s="1"/>
  <c r="X29" i="1"/>
  <c r="AU29" i="1" s="1"/>
  <c r="X33" i="1"/>
  <c r="AU33" i="1" s="1"/>
  <c r="X37" i="1"/>
  <c r="AU37" i="1" s="1"/>
  <c r="X41" i="1"/>
  <c r="AU41" i="1" s="1"/>
  <c r="X45" i="1"/>
  <c r="AU45" i="1" s="1"/>
  <c r="X49" i="1"/>
  <c r="AU49" i="1" s="1"/>
  <c r="X53" i="1"/>
  <c r="AU53" i="1" s="1"/>
  <c r="X30" i="1"/>
  <c r="AU30" i="1" s="1"/>
  <c r="X34" i="1"/>
  <c r="AU34" i="1" s="1"/>
  <c r="X38" i="1"/>
  <c r="AU38" i="1" s="1"/>
  <c r="X42" i="1"/>
  <c r="AU42" i="1" s="1"/>
  <c r="X46" i="1"/>
  <c r="AU46" i="1" s="1"/>
  <c r="X50" i="1"/>
  <c r="AU50" i="1" s="1"/>
  <c r="X54" i="1"/>
  <c r="X43" i="1"/>
  <c r="AU43" i="1" s="1"/>
  <c r="X31" i="1"/>
  <c r="AU31" i="1" s="1"/>
  <c r="X47" i="1"/>
  <c r="AU47" i="1" s="1"/>
  <c r="X39" i="1"/>
  <c r="AU39" i="1" s="1"/>
  <c r="X35" i="1"/>
  <c r="AU35" i="1" s="1"/>
  <c r="X51" i="1"/>
  <c r="AU51" i="1" s="1"/>
  <c r="X28" i="1"/>
  <c r="AU28" i="1" s="1"/>
  <c r="AV28" i="1" s="1"/>
  <c r="X55" i="1"/>
  <c r="AU55" i="1" s="1"/>
  <c r="I31" i="1"/>
  <c r="AO31" i="1" s="1"/>
  <c r="I35" i="1"/>
  <c r="AO35" i="1" s="1"/>
  <c r="I39" i="1"/>
  <c r="AO39" i="1" s="1"/>
  <c r="I43" i="1"/>
  <c r="AO43" i="1" s="1"/>
  <c r="I47" i="1"/>
  <c r="AO47" i="1" s="1"/>
  <c r="I51" i="1"/>
  <c r="AO51" i="1" s="1"/>
  <c r="I55" i="1"/>
  <c r="AO55" i="1" s="1"/>
  <c r="I28" i="1"/>
  <c r="AO28" i="1" s="1"/>
  <c r="AP28" i="1" s="1"/>
  <c r="I32" i="1"/>
  <c r="AO32" i="1" s="1"/>
  <c r="I36" i="1"/>
  <c r="AO36" i="1" s="1"/>
  <c r="I40" i="1"/>
  <c r="AO40" i="1" s="1"/>
  <c r="I44" i="1"/>
  <c r="AO44" i="1" s="1"/>
  <c r="I48" i="1"/>
  <c r="AO48" i="1" s="1"/>
  <c r="I52" i="1"/>
  <c r="AO52" i="1" s="1"/>
  <c r="I34" i="1"/>
  <c r="AO34" i="1" s="1"/>
  <c r="I42" i="1"/>
  <c r="AO42" i="1" s="1"/>
  <c r="I50" i="1"/>
  <c r="AO50" i="1" s="1"/>
  <c r="I29" i="1"/>
  <c r="AO29" i="1" s="1"/>
  <c r="I37" i="1"/>
  <c r="AO37" i="1" s="1"/>
  <c r="I45" i="1"/>
  <c r="AO45" i="1" s="1"/>
  <c r="I53" i="1"/>
  <c r="AO53" i="1" s="1"/>
  <c r="I41" i="1"/>
  <c r="AO41" i="1" s="1"/>
  <c r="I30" i="1"/>
  <c r="AO30" i="1" s="1"/>
  <c r="I38" i="1"/>
  <c r="AO38" i="1" s="1"/>
  <c r="I46" i="1"/>
  <c r="AO46" i="1" s="1"/>
  <c r="I54" i="1"/>
  <c r="AO54" i="1" s="1"/>
  <c r="I33" i="1"/>
  <c r="AO33" i="1" s="1"/>
  <c r="I49" i="1"/>
  <c r="AO49" i="1" s="1"/>
  <c r="D32" i="1"/>
  <c r="AM32" i="1" s="1"/>
  <c r="D36" i="1"/>
  <c r="AM36" i="1" s="1"/>
  <c r="D40" i="1"/>
  <c r="AM40" i="1" s="1"/>
  <c r="D44" i="1"/>
  <c r="AM44" i="1" s="1"/>
  <c r="D48" i="1"/>
  <c r="AM48" i="1" s="1"/>
  <c r="D52" i="1"/>
  <c r="AM52" i="1" s="1"/>
  <c r="D29" i="1"/>
  <c r="AM29" i="1" s="1"/>
  <c r="D33" i="1"/>
  <c r="AM33" i="1" s="1"/>
  <c r="D37" i="1"/>
  <c r="AM37" i="1" s="1"/>
  <c r="D41" i="1"/>
  <c r="AM41" i="1" s="1"/>
  <c r="D35" i="1"/>
  <c r="AM35" i="1" s="1"/>
  <c r="D43" i="1"/>
  <c r="AM43" i="1" s="1"/>
  <c r="D49" i="1"/>
  <c r="AM49" i="1" s="1"/>
  <c r="D54" i="1"/>
  <c r="AM54" i="1" s="1"/>
  <c r="D30" i="1"/>
  <c r="AM30" i="1" s="1"/>
  <c r="D38" i="1"/>
  <c r="AM38" i="1" s="1"/>
  <c r="D45" i="1"/>
  <c r="AM45" i="1" s="1"/>
  <c r="D50" i="1"/>
  <c r="AM50" i="1" s="1"/>
  <c r="D55" i="1"/>
  <c r="AM55" i="1" s="1"/>
  <c r="D34" i="1"/>
  <c r="AM34" i="1" s="1"/>
  <c r="D47" i="1"/>
  <c r="AM47" i="1" s="1"/>
  <c r="D31" i="1"/>
  <c r="AM31" i="1" s="1"/>
  <c r="D39" i="1"/>
  <c r="AM39" i="1" s="1"/>
  <c r="D46" i="1"/>
  <c r="AM46" i="1" s="1"/>
  <c r="D51" i="1"/>
  <c r="AM51" i="1" s="1"/>
  <c r="D42" i="1"/>
  <c r="AM42" i="1" s="1"/>
  <c r="D53" i="1"/>
  <c r="AM53" i="1" s="1"/>
  <c r="N29" i="1"/>
  <c r="AQ29" i="1" s="1"/>
  <c r="N33" i="1"/>
  <c r="AQ33" i="1" s="1"/>
  <c r="N37" i="1"/>
  <c r="AQ37" i="1" s="1"/>
  <c r="N41" i="1"/>
  <c r="AQ41" i="1" s="1"/>
  <c r="N45" i="1"/>
  <c r="AQ45" i="1" s="1"/>
  <c r="N49" i="1"/>
  <c r="AQ49" i="1" s="1"/>
  <c r="N53" i="1"/>
  <c r="AQ53" i="1" s="1"/>
  <c r="N30" i="1"/>
  <c r="AQ30" i="1" s="1"/>
  <c r="N34" i="1"/>
  <c r="AQ34" i="1" s="1"/>
  <c r="N38" i="1"/>
  <c r="AQ38" i="1" s="1"/>
  <c r="N42" i="1"/>
  <c r="AQ42" i="1" s="1"/>
  <c r="N46" i="1"/>
  <c r="AQ46" i="1" s="1"/>
  <c r="N50" i="1"/>
  <c r="AQ50" i="1" s="1"/>
  <c r="N54" i="1"/>
  <c r="AQ54" i="1" s="1"/>
  <c r="N31" i="1"/>
  <c r="AQ31" i="1" s="1"/>
  <c r="N35" i="1"/>
  <c r="AQ35" i="1" s="1"/>
  <c r="N39" i="1"/>
  <c r="AQ39" i="1" s="1"/>
  <c r="N43" i="1"/>
  <c r="AQ43" i="1" s="1"/>
  <c r="N47" i="1"/>
  <c r="AQ47" i="1" s="1"/>
  <c r="N51" i="1"/>
  <c r="AQ51" i="1" s="1"/>
  <c r="N55" i="1"/>
  <c r="AQ55" i="1" s="1"/>
  <c r="N28" i="1"/>
  <c r="AQ28" i="1" s="1"/>
  <c r="AR28" i="1" s="1"/>
  <c r="N36" i="1"/>
  <c r="AQ36" i="1" s="1"/>
  <c r="N52" i="1"/>
  <c r="AQ52" i="1" s="1"/>
  <c r="N40" i="1"/>
  <c r="AQ40" i="1" s="1"/>
  <c r="N48" i="1"/>
  <c r="AQ48" i="1" s="1"/>
  <c r="N44" i="1"/>
  <c r="AQ44" i="1" s="1"/>
  <c r="N32" i="1"/>
  <c r="AQ32" i="1" s="1"/>
  <c r="AC31" i="1"/>
  <c r="AW31" i="1" s="1"/>
  <c r="AC35" i="1"/>
  <c r="AW35" i="1" s="1"/>
  <c r="AC39" i="1"/>
  <c r="AW39" i="1" s="1"/>
  <c r="AC43" i="1"/>
  <c r="AW43" i="1" s="1"/>
  <c r="AC47" i="1"/>
  <c r="AW47" i="1" s="1"/>
  <c r="AC51" i="1"/>
  <c r="AW51" i="1" s="1"/>
  <c r="AC55" i="1"/>
  <c r="AW55" i="1" s="1"/>
  <c r="AC28" i="1"/>
  <c r="AW28" i="1" s="1"/>
  <c r="AX28" i="1" s="1"/>
  <c r="AC29" i="1"/>
  <c r="AW29" i="1" s="1"/>
  <c r="AC33" i="1"/>
  <c r="AW33" i="1" s="1"/>
  <c r="AC37" i="1"/>
  <c r="AW37" i="1" s="1"/>
  <c r="AC41" i="1"/>
  <c r="AW41" i="1" s="1"/>
  <c r="AC45" i="1"/>
  <c r="AW45" i="1" s="1"/>
  <c r="AC49" i="1"/>
  <c r="AW49" i="1" s="1"/>
  <c r="AC53" i="1"/>
  <c r="AW53" i="1" s="1"/>
  <c r="AC34" i="1"/>
  <c r="AW34" i="1" s="1"/>
  <c r="AC42" i="1"/>
  <c r="AW42" i="1" s="1"/>
  <c r="AC50" i="1"/>
  <c r="AW50" i="1" s="1"/>
  <c r="AC36" i="1"/>
  <c r="AW36" i="1" s="1"/>
  <c r="AC44" i="1"/>
  <c r="AW44" i="1" s="1"/>
  <c r="AC52" i="1"/>
  <c r="AW52" i="1" s="1"/>
  <c r="AC30" i="1"/>
  <c r="AW30" i="1" s="1"/>
  <c r="AC38" i="1"/>
  <c r="AW38" i="1" s="1"/>
  <c r="AC46" i="1"/>
  <c r="AW46" i="1" s="1"/>
  <c r="AC54" i="1"/>
  <c r="AW54" i="1" s="1"/>
  <c r="AC32" i="1"/>
  <c r="AW32" i="1" s="1"/>
  <c r="AC40" i="1"/>
  <c r="AW40" i="1" s="1"/>
  <c r="AC48" i="1"/>
  <c r="AW48" i="1" s="1"/>
  <c r="AH30" i="1"/>
  <c r="AY30" i="1" s="1"/>
  <c r="AH34" i="1"/>
  <c r="AY34" i="1" s="1"/>
  <c r="AH38" i="1"/>
  <c r="AY38" i="1" s="1"/>
  <c r="AH42" i="1"/>
  <c r="AY42" i="1" s="1"/>
  <c r="AH46" i="1"/>
  <c r="AY46" i="1" s="1"/>
  <c r="AH50" i="1"/>
  <c r="AY50" i="1" s="1"/>
  <c r="AH54" i="1"/>
  <c r="AY54" i="1" s="1"/>
  <c r="AH32" i="1"/>
  <c r="AY32" i="1" s="1"/>
  <c r="AH36" i="1"/>
  <c r="AY36" i="1" s="1"/>
  <c r="AH40" i="1"/>
  <c r="AY40" i="1" s="1"/>
  <c r="AH44" i="1"/>
  <c r="AY44" i="1" s="1"/>
  <c r="AH48" i="1"/>
  <c r="AY48" i="1" s="1"/>
  <c r="AH52" i="1"/>
  <c r="AY52" i="1" s="1"/>
  <c r="AH33" i="1"/>
  <c r="AY33" i="1" s="1"/>
  <c r="AH41" i="1"/>
  <c r="AY41" i="1" s="1"/>
  <c r="AH49" i="1"/>
  <c r="AY49" i="1" s="1"/>
  <c r="AH35" i="1"/>
  <c r="AY35" i="1" s="1"/>
  <c r="AH43" i="1"/>
  <c r="AY43" i="1" s="1"/>
  <c r="AH51" i="1"/>
  <c r="AY51" i="1" s="1"/>
  <c r="AH28" i="1"/>
  <c r="AY28" i="1" s="1"/>
  <c r="AZ28" i="1" s="1"/>
  <c r="AH29" i="1"/>
  <c r="AY29" i="1" s="1"/>
  <c r="AH37" i="1"/>
  <c r="AY37" i="1" s="1"/>
  <c r="AH45" i="1"/>
  <c r="AY45" i="1" s="1"/>
  <c r="AH53" i="1"/>
  <c r="AY53" i="1" s="1"/>
  <c r="AH47" i="1"/>
  <c r="AY47" i="1" s="1"/>
  <c r="AH55" i="1"/>
  <c r="AY55" i="1" s="1"/>
  <c r="AH39" i="1"/>
  <c r="AY39" i="1" s="1"/>
  <c r="AH31" i="1"/>
  <c r="AY31" i="1" s="1"/>
  <c r="S32" i="1"/>
  <c r="AS32" i="1" s="1"/>
  <c r="S36" i="1"/>
  <c r="AS36" i="1" s="1"/>
  <c r="S40" i="1"/>
  <c r="AS40" i="1" s="1"/>
  <c r="S44" i="1"/>
  <c r="AS44" i="1" s="1"/>
  <c r="S48" i="1"/>
  <c r="AS48" i="1" s="1"/>
  <c r="S52" i="1"/>
  <c r="AS52" i="1" s="1"/>
  <c r="S30" i="1"/>
  <c r="AS30" i="1" s="1"/>
  <c r="S34" i="1"/>
  <c r="AS34" i="1" s="1"/>
  <c r="S38" i="1"/>
  <c r="AS38" i="1" s="1"/>
  <c r="S42" i="1"/>
  <c r="AS42" i="1" s="1"/>
  <c r="S46" i="1"/>
  <c r="AS46" i="1" s="1"/>
  <c r="S50" i="1"/>
  <c r="AS50" i="1" s="1"/>
  <c r="S54" i="1"/>
  <c r="AS54" i="1" s="1"/>
  <c r="S35" i="1"/>
  <c r="AS35" i="1" s="1"/>
  <c r="S43" i="1"/>
  <c r="AS43" i="1" s="1"/>
  <c r="S51" i="1"/>
  <c r="AS51" i="1" s="1"/>
  <c r="S28" i="1"/>
  <c r="AS28" i="1" s="1"/>
  <c r="AT28" i="1" s="1"/>
  <c r="S29" i="1"/>
  <c r="AS29" i="1" s="1"/>
  <c r="S37" i="1"/>
  <c r="AS37" i="1" s="1"/>
  <c r="S45" i="1"/>
  <c r="AS45" i="1" s="1"/>
  <c r="S53" i="1"/>
  <c r="AS53" i="1" s="1"/>
  <c r="S31" i="1"/>
  <c r="AS31" i="1" s="1"/>
  <c r="S39" i="1"/>
  <c r="AS39" i="1" s="1"/>
  <c r="S47" i="1"/>
  <c r="AS47" i="1" s="1"/>
  <c r="S55" i="1"/>
  <c r="AS55" i="1" s="1"/>
  <c r="S33" i="1"/>
  <c r="AS33" i="1" s="1"/>
  <c r="S41" i="1"/>
  <c r="AS41" i="1" s="1"/>
  <c r="S49" i="1"/>
  <c r="AS49" i="1" s="1"/>
  <c r="BA28" i="1" l="1"/>
  <c r="AZ30" i="1"/>
  <c r="AN37" i="1"/>
  <c r="AN33" i="1"/>
  <c r="AX42" i="1"/>
  <c r="AV33" i="1"/>
  <c r="AT55" i="1"/>
  <c r="AT48" i="1"/>
  <c r="AT33" i="1"/>
  <c r="BA33" i="1" s="1"/>
  <c r="AT30" i="1"/>
  <c r="AZ33" i="1"/>
  <c r="AP55" i="1"/>
  <c r="AP42" i="1"/>
  <c r="AT37" i="1"/>
  <c r="AZ48" i="1"/>
  <c r="AX55" i="1"/>
  <c r="AX48" i="1"/>
  <c r="AR33" i="1"/>
  <c r="AR42" i="1"/>
  <c r="AN48" i="1"/>
  <c r="AP37" i="1"/>
  <c r="AP48" i="1"/>
  <c r="AZ42" i="1"/>
  <c r="AX30" i="1"/>
  <c r="AR48" i="1"/>
  <c r="AR37" i="1"/>
  <c r="AN42" i="1"/>
  <c r="AN30" i="1"/>
  <c r="AP30" i="1"/>
  <c r="AV55" i="1"/>
  <c r="AZ55" i="1"/>
  <c r="AZ37" i="1"/>
  <c r="AR55" i="1"/>
  <c r="AV48" i="1"/>
  <c r="AV42" i="1"/>
  <c r="AV30" i="1"/>
  <c r="AT42" i="1"/>
  <c r="AX37" i="1"/>
  <c r="AX33" i="1"/>
  <c r="AR30" i="1"/>
  <c r="AN55" i="1"/>
  <c r="AP33" i="1"/>
  <c r="AV37" i="1"/>
  <c r="BA55" i="1" l="1"/>
  <c r="BA30" i="1"/>
  <c r="BA48" i="1"/>
  <c r="BC48" i="1" s="1"/>
  <c r="C8" i="5" s="1"/>
  <c r="BA37" i="1"/>
  <c r="BA42" i="1"/>
  <c r="BC42" i="1" s="1"/>
  <c r="BC55" i="1"/>
  <c r="C9" i="5" s="1"/>
  <c r="BC37" i="1"/>
  <c r="BC28" i="1" l="1"/>
  <c r="C3" i="5" s="1"/>
  <c r="BC33" i="1"/>
  <c r="BC30" i="1"/>
  <c r="C4" i="5" s="1"/>
  <c r="BA57" i="1"/>
  <c r="BA58" i="1"/>
  <c r="C7" i="5"/>
  <c r="C6" i="5"/>
  <c r="BC58" i="1" l="1"/>
  <c r="BC57" i="1"/>
  <c r="C5" i="5"/>
  <c r="C11" i="5" l="1"/>
  <c r="C10" i="5"/>
  <c r="F32" i="6" l="1"/>
  <c r="I32" i="6" s="1"/>
  <c r="F31" i="6"/>
  <c r="F34" i="6" l="1"/>
  <c r="I31" i="6"/>
  <c r="I34" i="6" s="1"/>
  <c r="I41" i="6" l="1"/>
  <c r="D80" i="6" s="1"/>
  <c r="D7" i="5" l="1"/>
  <c r="F7" i="5" s="1"/>
  <c r="D4" i="5"/>
  <c r="F4" i="5" s="1"/>
  <c r="D9" i="5"/>
  <c r="F9" i="5" s="1"/>
  <c r="D5" i="5"/>
  <c r="F5" i="5" s="1"/>
  <c r="D8" i="5"/>
  <c r="F8" i="5" s="1"/>
  <c r="D3" i="5"/>
  <c r="D6" i="5"/>
  <c r="F6" i="5" s="1"/>
  <c r="D11" i="5" l="1"/>
  <c r="F11" i="5" s="1"/>
  <c r="F3" i="5"/>
  <c r="F10" i="5" s="1"/>
  <c r="D10" i="5"/>
</calcChain>
</file>

<file path=xl/sharedStrings.xml><?xml version="1.0" encoding="utf-8"?>
<sst xmlns="http://schemas.openxmlformats.org/spreadsheetml/2006/main" count="414" uniqueCount="277">
  <si>
    <r>
      <rPr>
        <b/>
        <sz val="11"/>
        <color theme="1"/>
        <rFont val="Calibri"/>
        <family val="2"/>
        <scheme val="minor"/>
      </rPr>
      <t>Project Title:</t>
    </r>
    <r>
      <rPr>
        <sz val="11"/>
        <color theme="1"/>
        <rFont val="Calibri"/>
        <family val="2"/>
        <scheme val="minor"/>
      </rPr>
      <t xml:space="preserve"> 7.5 MW Waste-to-Energy Power Plant by Goodwatts WTE Jamnagar Private Limited in Gujarat, India</t>
    </r>
  </si>
  <si>
    <r>
      <rPr>
        <b/>
        <sz val="11"/>
        <color theme="1"/>
        <rFont val="Calibri"/>
        <family val="2"/>
        <scheme val="minor"/>
      </rPr>
      <t>ER Sheet:</t>
    </r>
    <r>
      <rPr>
        <sz val="11"/>
        <color theme="1"/>
        <rFont val="Calibri"/>
        <family val="2"/>
        <scheme val="minor"/>
      </rPr>
      <t xml:space="preserve"> Version 04, 02/08/2024</t>
    </r>
  </si>
  <si>
    <t>Baseline Emissions from Solid Waste Disposal Sites</t>
  </si>
  <si>
    <t>As per Tool 04, Version 08.1</t>
  </si>
  <si>
    <r>
      <t>φ</t>
    </r>
    <r>
      <rPr>
        <vertAlign val="subscript"/>
        <sz val="11"/>
        <rFont val="Calibri"/>
        <family val="2"/>
        <scheme val="minor"/>
      </rPr>
      <t>y</t>
    </r>
  </si>
  <si>
    <t>Model Correction Factor</t>
  </si>
  <si>
    <t>Waste Type</t>
  </si>
  <si>
    <r>
      <t>p</t>
    </r>
    <r>
      <rPr>
        <b/>
        <vertAlign val="subscript"/>
        <sz val="12"/>
        <color theme="1"/>
        <rFont val="Calibri"/>
        <family val="2"/>
        <scheme val="minor"/>
      </rPr>
      <t>j,x</t>
    </r>
  </si>
  <si>
    <r>
      <t>W</t>
    </r>
    <r>
      <rPr>
        <b/>
        <vertAlign val="subscript"/>
        <sz val="12"/>
        <color theme="1"/>
        <rFont val="Calibri"/>
        <family val="2"/>
        <scheme val="minor"/>
      </rPr>
      <t>jx</t>
    </r>
  </si>
  <si>
    <r>
      <t>DOC</t>
    </r>
    <r>
      <rPr>
        <b/>
        <vertAlign val="subscript"/>
        <sz val="12"/>
        <color theme="1"/>
        <rFont val="Calibri"/>
        <family val="2"/>
        <scheme val="minor"/>
      </rPr>
      <t>j</t>
    </r>
  </si>
  <si>
    <r>
      <t>K</t>
    </r>
    <r>
      <rPr>
        <b/>
        <vertAlign val="subscript"/>
        <sz val="12"/>
        <color theme="1"/>
        <rFont val="Calibri"/>
        <family val="2"/>
        <scheme val="minor"/>
      </rPr>
      <t>j</t>
    </r>
  </si>
  <si>
    <r>
      <t>1-f</t>
    </r>
    <r>
      <rPr>
        <vertAlign val="subscript"/>
        <sz val="11"/>
        <color theme="1"/>
        <rFont val="Calibri"/>
        <family val="2"/>
        <scheme val="minor"/>
      </rPr>
      <t>y</t>
    </r>
  </si>
  <si>
    <t>Fraction of methane captured</t>
  </si>
  <si>
    <t xml:space="preserve">Quantity of RDF Processed </t>
  </si>
  <si>
    <t>TPD</t>
  </si>
  <si>
    <t>j</t>
  </si>
  <si>
    <t>%</t>
  </si>
  <si>
    <t>TPY (Wet)</t>
  </si>
  <si>
    <t>1/y</t>
  </si>
  <si>
    <r>
      <t>GWP</t>
    </r>
    <r>
      <rPr>
        <vertAlign val="subscript"/>
        <sz val="11"/>
        <rFont val="Calibri"/>
        <family val="2"/>
        <scheme val="minor"/>
      </rPr>
      <t>CH4</t>
    </r>
  </si>
  <si>
    <r>
      <t>Global Warming Potential of CH</t>
    </r>
    <r>
      <rPr>
        <vertAlign val="subscript"/>
        <sz val="10"/>
        <rFont val="Arial"/>
        <family val="2"/>
      </rPr>
      <t>4</t>
    </r>
  </si>
  <si>
    <t>Operating days</t>
  </si>
  <si>
    <t>days</t>
  </si>
  <si>
    <t>Food</t>
  </si>
  <si>
    <t>1-OX</t>
  </si>
  <si>
    <t>Oxidation factor</t>
    <phoneticPr fontId="0" type="noConversion"/>
  </si>
  <si>
    <t>Operating hours</t>
  </si>
  <si>
    <t>hours</t>
  </si>
  <si>
    <t>Paper</t>
  </si>
  <si>
    <t>F</t>
  </si>
  <si>
    <r>
      <t>Fraction of CH</t>
    </r>
    <r>
      <rPr>
        <vertAlign val="subscript"/>
        <sz val="10"/>
        <rFont val="Arial"/>
        <family val="2"/>
      </rPr>
      <t>4</t>
    </r>
    <r>
      <rPr>
        <sz val="11"/>
        <color theme="1"/>
        <rFont val="Calibri"/>
        <family val="2"/>
        <scheme val="minor"/>
      </rPr>
      <t xml:space="preserve"> </t>
    </r>
  </si>
  <si>
    <r>
      <t>Total RDF consumed (W</t>
    </r>
    <r>
      <rPr>
        <vertAlign val="subscript"/>
        <sz val="11"/>
        <color theme="1"/>
        <rFont val="Calibri"/>
        <family val="2"/>
        <scheme val="minor"/>
      </rPr>
      <t>x</t>
    </r>
    <r>
      <rPr>
        <sz val="11"/>
        <color theme="1"/>
        <rFont val="Calibri"/>
        <family val="2"/>
        <scheme val="minor"/>
      </rPr>
      <t>)</t>
    </r>
  </si>
  <si>
    <t>MT/yr</t>
  </si>
  <si>
    <t>Coconut</t>
  </si>
  <si>
    <r>
      <t>DOC</t>
    </r>
    <r>
      <rPr>
        <vertAlign val="subscript"/>
        <sz val="11"/>
        <rFont val="Calibri"/>
        <family val="2"/>
        <scheme val="minor"/>
      </rPr>
      <t>f,y</t>
    </r>
  </si>
  <si>
    <t>Fraction of DOC decomposed</t>
  </si>
  <si>
    <t>Green/Mix</t>
  </si>
  <si>
    <r>
      <t>MCF</t>
    </r>
    <r>
      <rPr>
        <vertAlign val="subscript"/>
        <sz val="11"/>
        <rFont val="Calibri"/>
        <family val="2"/>
        <scheme val="minor"/>
      </rPr>
      <t>y</t>
    </r>
  </si>
  <si>
    <t>Methane Correction Factor</t>
  </si>
  <si>
    <t xml:space="preserve"> </t>
  </si>
  <si>
    <t>Wood</t>
  </si>
  <si>
    <r>
      <t>φ</t>
    </r>
    <r>
      <rPr>
        <vertAlign val="subscript"/>
        <sz val="11"/>
        <color theme="1"/>
        <rFont val="Calibri"/>
        <family val="2"/>
        <scheme val="minor"/>
      </rPr>
      <t>y</t>
    </r>
    <r>
      <rPr>
        <sz val="11"/>
        <color theme="1"/>
        <rFont val="Calibri"/>
        <family val="2"/>
        <scheme val="minor"/>
      </rPr>
      <t xml:space="preserve"> x (1-f</t>
    </r>
    <r>
      <rPr>
        <vertAlign val="subscript"/>
        <sz val="11"/>
        <color theme="1"/>
        <rFont val="Calibri"/>
        <family val="2"/>
        <scheme val="minor"/>
      </rPr>
      <t>y</t>
    </r>
    <r>
      <rPr>
        <sz val="11"/>
        <color theme="1"/>
        <rFont val="Calibri"/>
        <family val="2"/>
        <scheme val="minor"/>
      </rPr>
      <t>) x GWP</t>
    </r>
    <r>
      <rPr>
        <vertAlign val="subscript"/>
        <sz val="11"/>
        <color theme="1"/>
        <rFont val="Calibri"/>
        <family val="2"/>
        <scheme val="minor"/>
      </rPr>
      <t>CH4</t>
    </r>
    <r>
      <rPr>
        <sz val="11"/>
        <color theme="1"/>
        <rFont val="Calibri"/>
        <family val="2"/>
        <scheme val="minor"/>
      </rPr>
      <t xml:space="preserve"> × (1-OX) x 16/12 x F x DOC</t>
    </r>
    <r>
      <rPr>
        <vertAlign val="subscript"/>
        <sz val="11"/>
        <color theme="1"/>
        <rFont val="Calibri"/>
        <family val="2"/>
        <scheme val="minor"/>
      </rPr>
      <t>f,y</t>
    </r>
    <r>
      <rPr>
        <sz val="11"/>
        <color theme="1"/>
        <rFont val="Calibri"/>
        <family val="2"/>
        <scheme val="minor"/>
      </rPr>
      <t xml:space="preserve"> </t>
    </r>
  </si>
  <si>
    <t>Plastic</t>
  </si>
  <si>
    <t>Cloth</t>
  </si>
  <si>
    <t>Rubber</t>
  </si>
  <si>
    <t xml:space="preserve">Metal </t>
  </si>
  <si>
    <t>Glass</t>
  </si>
  <si>
    <t>Inert</t>
  </si>
  <si>
    <t>Total</t>
  </si>
  <si>
    <t xml:space="preserve">Computation of Baseline Emissions </t>
  </si>
  <si>
    <t>Crediting Period</t>
  </si>
  <si>
    <t>y</t>
  </si>
  <si>
    <t>x</t>
  </si>
  <si>
    <t>Emission from Food</t>
  </si>
  <si>
    <t>Emission from paper</t>
  </si>
  <si>
    <t>Emission from coconut</t>
  </si>
  <si>
    <t>Emission from green/ Mix</t>
  </si>
  <si>
    <t>Emission from  wood</t>
  </si>
  <si>
    <t>Emission from cloth</t>
  </si>
  <si>
    <t>Emission from rubber</t>
  </si>
  <si>
    <r>
      <t>BE</t>
    </r>
    <r>
      <rPr>
        <b/>
        <vertAlign val="subscript"/>
        <sz val="10"/>
        <rFont val="Calibri"/>
        <family val="2"/>
        <scheme val="minor"/>
      </rPr>
      <t>CH4,SWDS,y</t>
    </r>
    <r>
      <rPr>
        <b/>
        <sz val="10"/>
        <rFont val="Calibri"/>
        <family val="2"/>
        <scheme val="minor"/>
      </rPr>
      <t xml:space="preserve"> (tCO</t>
    </r>
    <r>
      <rPr>
        <b/>
        <vertAlign val="subscript"/>
        <sz val="10"/>
        <rFont val="Calibri"/>
        <family val="2"/>
        <scheme val="minor"/>
      </rPr>
      <t>2</t>
    </r>
    <r>
      <rPr>
        <b/>
        <sz val="10"/>
        <rFont val="Calibri"/>
        <family val="2"/>
        <scheme val="minor"/>
      </rPr>
      <t>e/year)</t>
    </r>
  </si>
  <si>
    <r>
      <t>BE</t>
    </r>
    <r>
      <rPr>
        <b/>
        <vertAlign val="subscript"/>
        <sz val="10"/>
        <rFont val="Calibri"/>
        <family val="2"/>
        <scheme val="minor"/>
      </rPr>
      <t>Elec,y</t>
    </r>
    <r>
      <rPr>
        <b/>
        <sz val="10"/>
        <rFont val="Calibri"/>
        <family val="2"/>
        <scheme val="minor"/>
      </rPr>
      <t xml:space="preserve">      (tCO</t>
    </r>
    <r>
      <rPr>
        <b/>
        <vertAlign val="subscript"/>
        <sz val="10"/>
        <rFont val="Calibri"/>
        <family val="2"/>
        <scheme val="minor"/>
      </rPr>
      <t>2</t>
    </r>
    <r>
      <rPr>
        <b/>
        <sz val="10"/>
        <rFont val="Calibri"/>
        <family val="2"/>
        <scheme val="minor"/>
      </rPr>
      <t>e/year)</t>
    </r>
  </si>
  <si>
    <r>
      <t>Total Baseline Emissions (BE</t>
    </r>
    <r>
      <rPr>
        <b/>
        <vertAlign val="subscript"/>
        <sz val="10"/>
        <rFont val="Calibri"/>
        <family val="2"/>
        <scheme val="minor"/>
      </rPr>
      <t>y</t>
    </r>
    <r>
      <rPr>
        <b/>
        <sz val="10"/>
        <rFont val="Calibri"/>
        <family val="2"/>
        <scheme val="minor"/>
      </rPr>
      <t>) (tCO</t>
    </r>
    <r>
      <rPr>
        <b/>
        <vertAlign val="subscript"/>
        <sz val="10"/>
        <rFont val="Calibri"/>
        <family val="2"/>
        <scheme val="minor"/>
      </rPr>
      <t>2e</t>
    </r>
    <r>
      <rPr>
        <b/>
        <sz val="10"/>
        <rFont val="Calibri"/>
        <family val="2"/>
        <scheme val="minor"/>
      </rPr>
      <t>/year)</t>
    </r>
  </si>
  <si>
    <r>
      <t>W</t>
    </r>
    <r>
      <rPr>
        <b/>
        <vertAlign val="subscript"/>
        <sz val="10"/>
        <rFont val="Calibri"/>
        <family val="2"/>
        <scheme val="minor"/>
      </rPr>
      <t>j,x</t>
    </r>
  </si>
  <si>
    <r>
      <t>DOC</t>
    </r>
    <r>
      <rPr>
        <b/>
        <vertAlign val="subscript"/>
        <sz val="10"/>
        <rFont val="Calibri"/>
        <family val="2"/>
        <scheme val="minor"/>
      </rPr>
      <t>j</t>
    </r>
  </si>
  <si>
    <r>
      <t>k</t>
    </r>
    <r>
      <rPr>
        <b/>
        <vertAlign val="subscript"/>
        <sz val="10"/>
        <rFont val="Calibri"/>
        <family val="2"/>
        <scheme val="minor"/>
      </rPr>
      <t>j</t>
    </r>
    <r>
      <rPr>
        <b/>
        <sz val="10"/>
        <rFont val="Calibri"/>
        <family val="2"/>
        <scheme val="minor"/>
      </rPr>
      <t>(y-x)</t>
    </r>
  </si>
  <si>
    <r>
      <t>(e</t>
    </r>
    <r>
      <rPr>
        <b/>
        <vertAlign val="superscript"/>
        <sz val="10"/>
        <rFont val="Calibri"/>
        <family val="2"/>
        <scheme val="minor"/>
      </rPr>
      <t>-kj(y-x)</t>
    </r>
    <r>
      <rPr>
        <b/>
        <sz val="10"/>
        <rFont val="Calibri"/>
        <family val="2"/>
        <scheme val="minor"/>
      </rPr>
      <t>)</t>
    </r>
  </si>
  <si>
    <r>
      <t>(1-e</t>
    </r>
    <r>
      <rPr>
        <b/>
        <vertAlign val="superscript"/>
        <sz val="10"/>
        <rFont val="Calibri"/>
        <family val="2"/>
        <scheme val="minor"/>
      </rPr>
      <t>-kj</t>
    </r>
    <r>
      <rPr>
        <b/>
        <sz val="10"/>
        <rFont val="Calibri"/>
        <family val="2"/>
        <scheme val="minor"/>
      </rPr>
      <t>)</t>
    </r>
  </si>
  <si>
    <t>Wjx</t>
  </si>
  <si>
    <t>DOC</t>
  </si>
  <si>
    <r>
      <t>BE</t>
    </r>
    <r>
      <rPr>
        <b/>
        <vertAlign val="subscript"/>
        <sz val="10"/>
        <rFont val="Calibri"/>
        <family val="2"/>
        <scheme val="minor"/>
      </rPr>
      <t>y=1</t>
    </r>
  </si>
  <si>
    <t>BEy=1</t>
  </si>
  <si>
    <r>
      <t>BE</t>
    </r>
    <r>
      <rPr>
        <b/>
        <vertAlign val="subscript"/>
        <sz val="10"/>
        <rFont val="Calibri"/>
        <family val="2"/>
        <scheme val="minor"/>
      </rPr>
      <t>y=2</t>
    </r>
  </si>
  <si>
    <t>BEy=2</t>
  </si>
  <si>
    <r>
      <t>BE</t>
    </r>
    <r>
      <rPr>
        <b/>
        <vertAlign val="subscript"/>
        <sz val="10"/>
        <rFont val="Calibri"/>
        <family val="2"/>
        <scheme val="minor"/>
      </rPr>
      <t>y=3</t>
    </r>
  </si>
  <si>
    <t>BEy=3</t>
  </si>
  <si>
    <r>
      <t>BE</t>
    </r>
    <r>
      <rPr>
        <b/>
        <vertAlign val="subscript"/>
        <sz val="10"/>
        <rFont val="Calibri"/>
        <family val="2"/>
        <scheme val="minor"/>
      </rPr>
      <t>y=4</t>
    </r>
  </si>
  <si>
    <t>BEy=4</t>
  </si>
  <si>
    <r>
      <t>BE</t>
    </r>
    <r>
      <rPr>
        <b/>
        <vertAlign val="subscript"/>
        <sz val="10"/>
        <rFont val="Calibri"/>
        <family val="2"/>
        <scheme val="minor"/>
      </rPr>
      <t>y=5</t>
    </r>
  </si>
  <si>
    <t>BEy=5</t>
  </si>
  <si>
    <r>
      <t>BE</t>
    </r>
    <r>
      <rPr>
        <b/>
        <vertAlign val="subscript"/>
        <sz val="10"/>
        <rFont val="Calibri"/>
        <family val="2"/>
        <scheme val="minor"/>
      </rPr>
      <t>y=6</t>
    </r>
  </si>
  <si>
    <t>BEy=6</t>
  </si>
  <si>
    <t>BEy=7</t>
  </si>
  <si>
    <t>Average</t>
  </si>
  <si>
    <t>Baseline Emissions from Electricity Generation</t>
  </si>
  <si>
    <t>As per Methodology AMS I.D, Version 18.0</t>
  </si>
  <si>
    <t>Description</t>
  </si>
  <si>
    <t>Unit</t>
  </si>
  <si>
    <t>Values</t>
  </si>
  <si>
    <t>Remarks</t>
  </si>
  <si>
    <t>Quantity of Processed RDF</t>
  </si>
  <si>
    <t>hrs</t>
  </si>
  <si>
    <t>Waste received in campus</t>
  </si>
  <si>
    <t>MT/hr</t>
  </si>
  <si>
    <t>Power generation capacity </t>
  </si>
  <si>
    <t>MW </t>
  </si>
  <si>
    <t>Plant Load Factor (First Year)</t>
  </si>
  <si>
    <t>Plant Load Factor (From Second Year)</t>
  </si>
  <si>
    <t xml:space="preserve">Operating days </t>
  </si>
  <si>
    <t>Total power generation (first year)</t>
  </si>
  <si>
    <t>MWh/yr</t>
  </si>
  <si>
    <t>Total power generation (from second year)</t>
  </si>
  <si>
    <t>Auxiliary Electricity Consumption</t>
  </si>
  <si>
    <t xml:space="preserve">https://gercin.org/wp-content/uploads/2019/09/Order-No.-4-of-2016.pdf  </t>
  </si>
  <si>
    <t>Net Power Generation (first year)</t>
  </si>
  <si>
    <t>Net Power Generation (from second year)</t>
  </si>
  <si>
    <t xml:space="preserve">Grid emission factor </t>
  </si>
  <si>
    <r>
      <t>tCO</t>
    </r>
    <r>
      <rPr>
        <vertAlign val="subscript"/>
        <sz val="10"/>
        <color rgb="FF000000"/>
        <rFont val="Calibri"/>
        <family val="2"/>
      </rPr>
      <t>2</t>
    </r>
    <r>
      <rPr>
        <sz val="10"/>
        <color rgb="FF000000"/>
        <rFont val="Calibri"/>
        <family val="2"/>
      </rPr>
      <t xml:space="preserve"> eq./MWh</t>
    </r>
  </si>
  <si>
    <t>CEA Database Version 19, 2023</t>
  </si>
  <si>
    <t xml:space="preserve">https://cea.nic.in/wp-content/uploads/baseline/2024/04/CO2_DatabaseVersion_19_2022_23.xlsx </t>
  </si>
  <si>
    <t xml:space="preserve">Total baseline emission from electricity generation (first year) </t>
  </si>
  <si>
    <r>
      <t>tCO</t>
    </r>
    <r>
      <rPr>
        <b/>
        <vertAlign val="subscript"/>
        <sz val="10"/>
        <color rgb="FF000000"/>
        <rFont val="Calibri"/>
        <family val="2"/>
      </rPr>
      <t>2</t>
    </r>
    <r>
      <rPr>
        <b/>
        <sz val="10"/>
        <color rgb="FF000000"/>
        <rFont val="Calibri"/>
        <family val="2"/>
      </rPr>
      <t>e/year</t>
    </r>
  </si>
  <si>
    <t>Total baseline emission from electricity generation(from second year)</t>
  </si>
  <si>
    <t>Waste feeding to boiler</t>
  </si>
  <si>
    <t>Quantity of RDF Processed</t>
  </si>
  <si>
    <t>MT</t>
  </si>
  <si>
    <t>Total RDF consumed</t>
  </si>
  <si>
    <t>MT/year</t>
  </si>
  <si>
    <t>Project Emissions from WTE Plant</t>
  </si>
  <si>
    <t>As per Methodology AMS III E, Version 17.0</t>
  </si>
  <si>
    <r>
      <t>PE</t>
    </r>
    <r>
      <rPr>
        <b/>
        <vertAlign val="subscript"/>
        <sz val="11"/>
        <color theme="1"/>
        <rFont val="Calibri"/>
        <family val="2"/>
        <scheme val="minor"/>
      </rPr>
      <t>y</t>
    </r>
  </si>
  <si>
    <t>Project activity direct emissions in the year y (t CO2e)</t>
  </si>
  <si>
    <r>
      <t>PE</t>
    </r>
    <r>
      <rPr>
        <b/>
        <vertAlign val="subscript"/>
        <sz val="11"/>
        <color theme="1"/>
        <rFont val="Calibri"/>
        <family val="2"/>
        <scheme val="minor"/>
      </rPr>
      <t>y,comb</t>
    </r>
  </si>
  <si>
    <t>Emissions through combustion and gasification of non-biomass carbon of waste and RDF/SB in the year y (t CO2e)</t>
  </si>
  <si>
    <r>
      <t>PE</t>
    </r>
    <r>
      <rPr>
        <b/>
        <vertAlign val="subscript"/>
        <sz val="11"/>
        <color theme="1"/>
        <rFont val="Calibri"/>
        <family val="2"/>
        <scheme val="minor"/>
      </rPr>
      <t>y,transp</t>
    </r>
  </si>
  <si>
    <t>Emissions through incremental transportation in the year y (t CO2e)</t>
  </si>
  <si>
    <r>
      <t>PE</t>
    </r>
    <r>
      <rPr>
        <b/>
        <vertAlign val="subscript"/>
        <sz val="11"/>
        <color theme="1"/>
        <rFont val="Calibri"/>
        <family val="2"/>
        <scheme val="minor"/>
      </rPr>
      <t>y, power</t>
    </r>
  </si>
  <si>
    <t>Emissions through electricity or diesel consumption in the year y (t CO2e)</t>
  </si>
  <si>
    <t>Project Emissions from Combustion of RDF</t>
  </si>
  <si>
    <r>
      <t>Q</t>
    </r>
    <r>
      <rPr>
        <b/>
        <vertAlign val="subscript"/>
        <sz val="14"/>
        <color theme="1"/>
        <rFont val="Calibri"/>
        <family val="2"/>
        <scheme val="minor"/>
      </rPr>
      <t>y</t>
    </r>
  </si>
  <si>
    <r>
      <t>FCC</t>
    </r>
    <r>
      <rPr>
        <b/>
        <vertAlign val="subscript"/>
        <sz val="12"/>
        <color theme="1"/>
        <rFont val="Calibri"/>
        <family val="2"/>
        <scheme val="minor"/>
      </rPr>
      <t>j,y</t>
    </r>
  </si>
  <si>
    <r>
      <t>FFC</t>
    </r>
    <r>
      <rPr>
        <b/>
        <vertAlign val="subscript"/>
        <sz val="12"/>
        <color theme="1"/>
        <rFont val="Calibri"/>
        <family val="2"/>
        <scheme val="minor"/>
      </rPr>
      <t>j,y</t>
    </r>
  </si>
  <si>
    <r>
      <t>Q</t>
    </r>
    <r>
      <rPr>
        <b/>
        <vertAlign val="subscript"/>
        <sz val="12"/>
        <color theme="1"/>
        <rFont val="Calibri"/>
        <family val="2"/>
        <scheme val="minor"/>
      </rPr>
      <t>y,non-biomass</t>
    </r>
  </si>
  <si>
    <r>
      <rPr>
        <sz val="11"/>
        <color theme="1"/>
        <rFont val="Calibri"/>
        <family val="2"/>
        <scheme val="minor"/>
      </rPr>
      <t>Default dry matter content</t>
    </r>
    <r>
      <rPr>
        <sz val="10"/>
        <color theme="1"/>
        <rFont val="Calibri"/>
        <family val="2"/>
        <scheme val="minor"/>
      </rPr>
      <t xml:space="preserve"> (%)</t>
    </r>
  </si>
  <si>
    <t>TPY (Dry)</t>
  </si>
  <si>
    <t>Total Carbon(%)</t>
  </si>
  <si>
    <t>Fossil carbon in total carbon (%)</t>
  </si>
  <si>
    <t>Non-biomass carbon of the RDF (TPY)</t>
  </si>
  <si>
    <t>Parameter</t>
  </si>
  <si>
    <t>Value</t>
  </si>
  <si>
    <t>Remark</t>
  </si>
  <si>
    <t>Non-biomass carbon of the waste and RDF/SB combusted/gasified in the year y (tonnes of carbon)</t>
  </si>
  <si>
    <t>tonnes</t>
  </si>
  <si>
    <t>Calculated</t>
  </si>
  <si>
    <r>
      <t>Q</t>
    </r>
    <r>
      <rPr>
        <b/>
        <vertAlign val="subscript"/>
        <sz val="12"/>
        <color theme="1"/>
        <rFont val="Calibri"/>
        <family val="2"/>
        <scheme val="minor"/>
      </rPr>
      <t>y,fuel</t>
    </r>
  </si>
  <si>
    <t>Quantity of auxiliary fossil fuel used in the year y (tonnes)</t>
  </si>
  <si>
    <t>litres</t>
  </si>
  <si>
    <t>Plant records</t>
  </si>
  <si>
    <r>
      <rPr>
        <b/>
        <sz val="12"/>
        <rFont val="Calibri"/>
        <family val="2"/>
        <scheme val="minor"/>
      </rPr>
      <t>ρ</t>
    </r>
    <r>
      <rPr>
        <b/>
        <vertAlign val="subscript"/>
        <sz val="11"/>
        <rFont val="Calibri"/>
        <family val="2"/>
        <scheme val="minor"/>
      </rPr>
      <t>i,y</t>
    </r>
  </si>
  <si>
    <t>Density of Diesel</t>
  </si>
  <si>
    <t>kg/litre</t>
  </si>
  <si>
    <t>National Publication</t>
  </si>
  <si>
    <t xml:space="preserve">https://iocl.com/light-diesel-oil </t>
  </si>
  <si>
    <r>
      <t>EF</t>
    </r>
    <r>
      <rPr>
        <b/>
        <vertAlign val="subscript"/>
        <sz val="12"/>
        <color theme="1"/>
        <rFont val="Calibri"/>
        <family val="2"/>
        <scheme val="minor"/>
      </rPr>
      <t>y, fuel</t>
    </r>
  </si>
  <si>
    <r>
      <t>CO</t>
    </r>
    <r>
      <rPr>
        <vertAlign val="subscript"/>
        <sz val="11"/>
        <color theme="1"/>
        <rFont val="Calibri"/>
        <family val="2"/>
        <scheme val="minor"/>
      </rPr>
      <t>2</t>
    </r>
    <r>
      <rPr>
        <sz val="11"/>
        <color theme="1"/>
        <rFont val="Calibri"/>
        <family val="2"/>
        <scheme val="minor"/>
      </rPr>
      <t xml:space="preserve"> emission factor for the combustion of the auxiliary fossil fuel </t>
    </r>
  </si>
  <si>
    <t xml:space="preserve"> kg/TJ</t>
  </si>
  <si>
    <t>IPCC</t>
  </si>
  <si>
    <t xml:space="preserve">https://www.ipcc-nggip.iges.or.jp/public/2006gl/pdf/2_Volume2/V2_1_Ch1_Introduction.pdf </t>
  </si>
  <si>
    <r>
      <t>NCV</t>
    </r>
    <r>
      <rPr>
        <b/>
        <vertAlign val="subscript"/>
        <sz val="11"/>
        <rFont val="Calibri"/>
        <family val="2"/>
        <scheme val="minor"/>
      </rPr>
      <t>i,y</t>
    </r>
  </si>
  <si>
    <t>Net calorific value of fuel (diesel)</t>
  </si>
  <si>
    <t>TJ / Gg</t>
  </si>
  <si>
    <r>
      <t>EF</t>
    </r>
    <r>
      <rPr>
        <b/>
        <vertAlign val="subscript"/>
        <sz val="12"/>
        <color theme="1"/>
        <rFont val="Calibri"/>
        <family val="2"/>
        <scheme val="minor"/>
      </rPr>
      <t>y,fuel</t>
    </r>
  </si>
  <si>
    <r>
      <t>CO</t>
    </r>
    <r>
      <rPr>
        <vertAlign val="subscript"/>
        <sz val="11"/>
        <color theme="1"/>
        <rFont val="Calibri"/>
        <family val="2"/>
        <scheme val="minor"/>
      </rPr>
      <t>2</t>
    </r>
    <r>
      <rPr>
        <sz val="11"/>
        <color theme="1"/>
        <rFont val="Calibri"/>
        <family val="2"/>
        <scheme val="minor"/>
      </rPr>
      <t xml:space="preserve"> emission factor for the combustion of the auxiliary fossil fuel (tonnes CO</t>
    </r>
    <r>
      <rPr>
        <vertAlign val="subscript"/>
        <sz val="11"/>
        <color theme="1"/>
        <rFont val="Calibri"/>
        <family val="2"/>
        <scheme val="minor"/>
      </rPr>
      <t>2</t>
    </r>
    <r>
      <rPr>
        <sz val="11"/>
        <color theme="1"/>
        <rFont val="Calibri"/>
        <family val="2"/>
        <scheme val="minor"/>
      </rPr>
      <t xml:space="preserve"> per tonne fuel, according to latest IPCC Guidelines)</t>
    </r>
  </si>
  <si>
    <r>
      <t>PE</t>
    </r>
    <r>
      <rPr>
        <b/>
        <vertAlign val="subscript"/>
        <sz val="12"/>
        <color theme="1"/>
        <rFont val="Calibri"/>
        <family val="2"/>
        <scheme val="minor"/>
      </rPr>
      <t>y,comb</t>
    </r>
  </si>
  <si>
    <t>Project Emissions from Combustion of RDF in process i in year y</t>
  </si>
  <si>
    <r>
      <t>tCO</t>
    </r>
    <r>
      <rPr>
        <b/>
        <vertAlign val="subscript"/>
        <sz val="11"/>
        <color theme="1"/>
        <rFont val="Calibri"/>
        <family val="2"/>
        <scheme val="minor"/>
      </rPr>
      <t>2</t>
    </r>
    <r>
      <rPr>
        <b/>
        <sz val="11"/>
        <color theme="1"/>
        <rFont val="Calibri"/>
        <family val="2"/>
        <scheme val="minor"/>
      </rPr>
      <t xml:space="preserve"> eq./year</t>
    </r>
  </si>
  <si>
    <t>Project Emissions from Fossil Fuel Consumption</t>
  </si>
  <si>
    <t>As per Tool 03, Vers 03.0</t>
  </si>
  <si>
    <r>
      <t>FC</t>
    </r>
    <r>
      <rPr>
        <vertAlign val="subscript"/>
        <sz val="11"/>
        <rFont val="Calibri"/>
        <family val="2"/>
        <scheme val="minor"/>
      </rPr>
      <t>i,j,y</t>
    </r>
  </si>
  <si>
    <t>Quantity of fossil fuel combusted in the project activity (diesel)</t>
  </si>
  <si>
    <t>Litres</t>
  </si>
  <si>
    <r>
      <t>ρ</t>
    </r>
    <r>
      <rPr>
        <vertAlign val="subscript"/>
        <sz val="11"/>
        <rFont val="Calibri"/>
        <family val="2"/>
        <scheme val="minor"/>
      </rPr>
      <t>i,y</t>
    </r>
  </si>
  <si>
    <t>Indian Oil</t>
  </si>
  <si>
    <t>Quantity of fossil fuel combusted in the project activity</t>
  </si>
  <si>
    <r>
      <t>NCV</t>
    </r>
    <r>
      <rPr>
        <vertAlign val="subscript"/>
        <sz val="11"/>
        <rFont val="Calibri"/>
        <family val="2"/>
        <scheme val="minor"/>
      </rPr>
      <t>i,y</t>
    </r>
  </si>
  <si>
    <t>2006 IPCC</t>
  </si>
  <si>
    <r>
      <t>EF</t>
    </r>
    <r>
      <rPr>
        <vertAlign val="subscript"/>
        <sz val="11"/>
        <rFont val="Calibri"/>
        <family val="2"/>
        <scheme val="minor"/>
      </rPr>
      <t>CO2,i, y</t>
    </r>
  </si>
  <si>
    <r>
      <t>Weighted average CO</t>
    </r>
    <r>
      <rPr>
        <vertAlign val="subscript"/>
        <sz val="11"/>
        <rFont val="Calibri"/>
        <family val="2"/>
        <scheme val="minor"/>
      </rPr>
      <t>2</t>
    </r>
    <r>
      <rPr>
        <sz val="11"/>
        <rFont val="Calibri"/>
        <family val="2"/>
        <scheme val="minor"/>
      </rPr>
      <t xml:space="preserve"> emission factor of fuel  (diesel)</t>
    </r>
  </si>
  <si>
    <t>Kg/TJ</t>
  </si>
  <si>
    <t>https://www.ipcc-nggip.iges.or.jp/public/2006gl/pdf/2_Volume2/V2_1_Ch1_Introduction.pdf</t>
  </si>
  <si>
    <r>
      <t>PE</t>
    </r>
    <r>
      <rPr>
        <b/>
        <vertAlign val="subscript"/>
        <sz val="11"/>
        <color theme="1"/>
        <rFont val="Calibri"/>
        <family val="2"/>
        <scheme val="minor"/>
      </rPr>
      <t>FC,j,y</t>
    </r>
  </si>
  <si>
    <t>Project emissions from fossil fuel combustion in process i in year y</t>
  </si>
  <si>
    <r>
      <t>tCO</t>
    </r>
    <r>
      <rPr>
        <b/>
        <vertAlign val="subscript"/>
        <sz val="11"/>
        <color theme="1"/>
        <rFont val="Calibri"/>
        <family val="2"/>
        <scheme val="minor"/>
      </rPr>
      <t>2</t>
    </r>
    <r>
      <rPr>
        <b/>
        <sz val="11"/>
        <color theme="1"/>
        <rFont val="Calibri"/>
        <family val="2"/>
        <scheme val="minor"/>
      </rPr>
      <t>/ year</t>
    </r>
  </si>
  <si>
    <t>Project Emissions from Incremental Transportation</t>
  </si>
  <si>
    <t>As per tool 12, Version 01.1.0</t>
  </si>
  <si>
    <r>
      <t>D</t>
    </r>
    <r>
      <rPr>
        <b/>
        <vertAlign val="subscript"/>
        <sz val="11"/>
        <color theme="1"/>
        <rFont val="Calibri"/>
        <family val="2"/>
        <scheme val="minor"/>
      </rPr>
      <t>MSW,m</t>
    </r>
  </si>
  <si>
    <t>Return trip distance between the origin and destination of freight transportation for collection of MSW</t>
  </si>
  <si>
    <t>km</t>
  </si>
  <si>
    <t>The collection and transportation of MSW is under the scope of Jamnagar Municipal Corporation. The average distance between the project site and waste collection point is in same range of distance between the waste collection point and the landfill site in the baseline scenario. Hence the project emissions from freight transportation for collection of MSW is considered as zero.</t>
  </si>
  <si>
    <r>
      <t>FR</t>
    </r>
    <r>
      <rPr>
        <b/>
        <vertAlign val="subscript"/>
        <sz val="11"/>
        <color theme="1"/>
        <rFont val="Calibri"/>
        <family val="2"/>
        <scheme val="minor"/>
      </rPr>
      <t>MSW,m</t>
    </r>
  </si>
  <si>
    <t>Total mass of freight transported in freight transportation for collection of MSW</t>
  </si>
  <si>
    <t>t</t>
  </si>
  <si>
    <t>N</t>
  </si>
  <si>
    <t xml:space="preserve">No of Operating days </t>
  </si>
  <si>
    <r>
      <t>D</t>
    </r>
    <r>
      <rPr>
        <b/>
        <vertAlign val="subscript"/>
        <sz val="11"/>
        <color theme="1"/>
        <rFont val="Calibri"/>
        <family val="2"/>
        <scheme val="minor"/>
      </rPr>
      <t>Inert,m</t>
    </r>
  </si>
  <si>
    <t>Return trip distance between the origin and destination of freight transportation for disposal of inert waste</t>
  </si>
  <si>
    <t>Plant Record</t>
  </si>
  <si>
    <r>
      <t>FR</t>
    </r>
    <r>
      <rPr>
        <b/>
        <vertAlign val="subscript"/>
        <sz val="11"/>
        <color theme="1"/>
        <rFont val="Calibri"/>
        <family val="2"/>
        <scheme val="minor"/>
      </rPr>
      <t>inert,m</t>
    </r>
  </si>
  <si>
    <t>Total mass of freight transported in freight transportation for disposal of inert waste</t>
  </si>
  <si>
    <r>
      <t>D</t>
    </r>
    <r>
      <rPr>
        <b/>
        <vertAlign val="subscript"/>
        <sz val="11"/>
        <color theme="1"/>
        <rFont val="Calibri"/>
        <family val="2"/>
        <scheme val="minor"/>
      </rPr>
      <t>ash,m</t>
    </r>
  </si>
  <si>
    <t>Return trip distance between the origin and destination of freight transportation for disposal of combustion residue</t>
  </si>
  <si>
    <r>
      <t>F</t>
    </r>
    <r>
      <rPr>
        <b/>
        <vertAlign val="subscript"/>
        <sz val="11"/>
        <color theme="1"/>
        <rFont val="Calibri"/>
        <family val="2"/>
        <scheme val="minor"/>
      </rPr>
      <t>ash,m</t>
    </r>
  </si>
  <si>
    <t>Total mass of freight transported in freight transportation for disposal of combustion residue</t>
  </si>
  <si>
    <r>
      <t>EF</t>
    </r>
    <r>
      <rPr>
        <b/>
        <vertAlign val="subscript"/>
        <sz val="11"/>
        <color theme="1"/>
        <rFont val="Calibri"/>
        <family val="2"/>
        <scheme val="minor"/>
      </rPr>
      <t>CO2,f</t>
    </r>
  </si>
  <si>
    <t>Default CO2 emission factor for freight transportation activity f</t>
  </si>
  <si>
    <t>g CO2/t km</t>
  </si>
  <si>
    <t>As per table 1 of tool 12, version 01.1.0, (For Light Vehicles)</t>
  </si>
  <si>
    <t xml:space="preserve">Total Project Emissions </t>
  </si>
  <si>
    <r>
      <t>tCO</t>
    </r>
    <r>
      <rPr>
        <b/>
        <vertAlign val="subscript"/>
        <sz val="11"/>
        <rFont val="Calibri"/>
        <family val="2"/>
        <scheme val="minor"/>
      </rPr>
      <t>2</t>
    </r>
    <r>
      <rPr>
        <b/>
        <sz val="11"/>
        <rFont val="Calibri"/>
        <family val="2"/>
        <scheme val="minor"/>
      </rPr>
      <t>/year</t>
    </r>
  </si>
  <si>
    <t>Annual Emission Reductions</t>
  </si>
  <si>
    <t>Years</t>
  </si>
  <si>
    <t>Baseline Emissions</t>
  </si>
  <si>
    <t>Project Emissions</t>
  </si>
  <si>
    <t>Leakage Emissions</t>
  </si>
  <si>
    <t>Emission Reduction</t>
  </si>
  <si>
    <t>15-November-2021 to 14-November-2022</t>
  </si>
  <si>
    <t>15-November-2022 to 14-November-2023</t>
  </si>
  <si>
    <t>15-November-2023 to 14-November-2024</t>
  </si>
  <si>
    <t>15-November-2024 to 14-November-2025</t>
  </si>
  <si>
    <t>15-November-2025 to 14-November-2026</t>
  </si>
  <si>
    <t>15-November-2026 to 14-November-2027</t>
  </si>
  <si>
    <t>15-November-2027 to 14-November-2028</t>
  </si>
  <si>
    <t>Annual Average</t>
  </si>
  <si>
    <t>CENTRAL ELECTRICITY AUTHORITY: CO2 BASELINE DATABASE</t>
  </si>
  <si>
    <t>VERSION</t>
  </si>
  <si>
    <t>DATE</t>
  </si>
  <si>
    <t>BASELINE METHODOLOGY</t>
  </si>
  <si>
    <t>AMS -ID, Version 18.0 and TOOL07 "Tool to Calculate the Emission Factor for an Electricity System", Version 7.0</t>
  </si>
  <si>
    <t>Net Generation in Operating Margin (GWH) (incl. Imports)</t>
  </si>
  <si>
    <t>2020-21</t>
  </si>
  <si>
    <t>2021-22</t>
  </si>
  <si>
    <t>2022-23</t>
  </si>
  <si>
    <t>Indian Grid</t>
  </si>
  <si>
    <t>Simple Operating Margin (tCO2/MWh) (incl. Imports) (1) (2)</t>
  </si>
  <si>
    <t>2019-20</t>
  </si>
  <si>
    <t>Build Margin (tCO2/MWh) (not adjusted for imports)</t>
  </si>
  <si>
    <t>Weighted Generation Operating Margin</t>
  </si>
  <si>
    <t>Combined Margin Emission Factor for Wind/Solar Projects</t>
  </si>
  <si>
    <t>For hydro, Biomas based projects</t>
  </si>
  <si>
    <t xml:space="preserve">VERSION </t>
  </si>
  <si>
    <t>19.0</t>
  </si>
  <si>
    <t>ACM0002 / Ver 20.0 and "Tool to Calculate the Emission Factor for an Electricity System", Version 7.0</t>
  </si>
  <si>
    <t>GENERATION DATA</t>
  </si>
  <si>
    <t>2018-19</t>
  </si>
  <si>
    <t>Gross Generation Total (GWh)</t>
  </si>
  <si>
    <t>Net Generation Total (GWh)</t>
  </si>
  <si>
    <t>Share of Must-Run (Hydro/Nuclear) (% of Net Generation)</t>
  </si>
  <si>
    <t>Net Generation in Operating Margin (GWh)</t>
  </si>
  <si>
    <t>20% of Net Generation (GWh)</t>
  </si>
  <si>
    <t>Net Generation in Build Margin (GWh)</t>
  </si>
  <si>
    <t xml:space="preserve">  Net Renewable Generation (GWh)</t>
  </si>
  <si>
    <t>Net Imports (GWh)</t>
  </si>
  <si>
    <t>Gross Generation Total, Including RES and Imports (GWh)</t>
  </si>
  <si>
    <t>Net Generation Total, Including RES and Imports (GWh)</t>
  </si>
  <si>
    <t>Captive Power Injection into Grid (GWh)*</t>
  </si>
  <si>
    <t>Renewable Generation in Open access Adjustment(GWh)**</t>
  </si>
  <si>
    <t>Net Generation injected into grid  (Net Gen. adjusted for Captive power injection and Renewable O.A.) (GWh)</t>
  </si>
  <si>
    <t>* Captive Power Injection for 2022-23 calculated based on progressive analysis from 2021-22 Captive Generation Report published by CEA</t>
  </si>
  <si>
    <t>** Renewable Open access data as provided by IEX,HPX, and PXL Power exchanges for GDAM and GTAM market transactions by Industries/consumers through open access in 2022-23</t>
  </si>
  <si>
    <t>EMISSION DATA</t>
  </si>
  <si>
    <t>Absolute Emissions Total (tCO2)</t>
  </si>
  <si>
    <t>Absolute Emissions OM (tCO2)</t>
  </si>
  <si>
    <t>Absolute Emissions BM (tCO2)</t>
  </si>
  <si>
    <t>Absolute Emissions from Captive Injection in Grid (tCO2)</t>
  </si>
  <si>
    <t>Absolute Emissions Avg (inc. Captive Generation Emission)</t>
  </si>
  <si>
    <t>Emission Factors (tCO2/MWh) (incl. Imports)</t>
  </si>
  <si>
    <t xml:space="preserve">Simple Operating Margin (1) (2) </t>
  </si>
  <si>
    <t>Build Margin (not adjusted for imports)</t>
  </si>
  <si>
    <t>Combined Margin (1) (2)</t>
  </si>
  <si>
    <t>Weighted Average Emission Rate (2)</t>
  </si>
  <si>
    <t>Weighted Average Emission Rate Incl. RES (2)</t>
  </si>
  <si>
    <t>Grid Emission Factor (for net effective injection into grid)</t>
  </si>
  <si>
    <r>
      <t xml:space="preserve">(1) Operating margin is based on the data for the same year. This corresponds to the </t>
    </r>
    <r>
      <rPr>
        <i/>
        <sz val="8"/>
        <rFont val="Arial"/>
        <family val="2"/>
      </rPr>
      <t xml:space="preserve">ex post option </t>
    </r>
  </si>
  <si>
    <t xml:space="preserve">      given in "Tool to Calculate the Emission Factor for an Electricity System", Ver. 7.0 (p.16)</t>
  </si>
  <si>
    <t>(2) Adjustments for imports from other Indian grids are based on operating margin of exporting grid.</t>
  </si>
  <si>
    <t xml:space="preserve">       For imports from other countries, an emission factor of zero is used.</t>
  </si>
  <si>
    <t xml:space="preserve">       See "Tool to Calculate the Emission Factor for an Electricity System", Ver. 7.0 (p.10 &amp; 11), options 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</si>
</sst>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164" formatCode="_ * #,##0.00_ ;_ * \-#,##0.00_ ;_ * &quot;-&quot;??_ ;_ @_ "/>
    <numFmt numFmtId="165" formatCode="0.0"/>
    <numFmt numFmtId="166" formatCode="0.0000"/>
    <numFmt numFmtId="167" formatCode="0.000"/>
    <numFmt numFmtId="168" formatCode="#,##0.0"/>
    <numFmt numFmtId="169" formatCode="0.0%"/>
    <numFmt numFmtId="170" formatCode="[$-409]d\-mmm\-yy;@"/>
    <numFmt numFmtId="171" formatCode="#,##0.0000"/>
    <numFmt numFmtId="172" formatCode="#,##0.000"/>
  </numFmts>
  <fonts count="55">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vertAlign val="subscript"/>
      <sz val="10"/>
      <name val="Arial"/>
      <family val="2"/>
    </font>
    <font>
      <sz val="12"/>
      <color theme="1"/>
      <name val="Calibri"/>
      <family val="2"/>
      <scheme val="minor"/>
    </font>
    <font>
      <b/>
      <sz val="14"/>
      <color theme="1"/>
      <name val="Calibri"/>
      <family val="2"/>
      <scheme val="minor"/>
    </font>
    <font>
      <b/>
      <sz val="12"/>
      <color theme="1"/>
      <name val="Calibri"/>
      <family val="2"/>
      <scheme val="minor"/>
    </font>
    <font>
      <b/>
      <vertAlign val="subscript"/>
      <sz val="12"/>
      <color theme="1"/>
      <name val="Calibri"/>
      <family val="2"/>
      <scheme val="minor"/>
    </font>
    <font>
      <sz val="12"/>
      <name val="Calibri"/>
      <family val="2"/>
      <scheme val="minor"/>
    </font>
    <font>
      <b/>
      <sz val="12"/>
      <name val="Calibri"/>
      <family val="2"/>
      <scheme val="minor"/>
    </font>
    <font>
      <b/>
      <sz val="12"/>
      <color indexed="8"/>
      <name val="Calibri"/>
      <family val="2"/>
      <scheme val="minor"/>
    </font>
    <font>
      <sz val="12"/>
      <color indexed="8"/>
      <name val="Calibri"/>
      <family val="2"/>
      <scheme val="minor"/>
    </font>
    <font>
      <b/>
      <i/>
      <sz val="12"/>
      <name val="Calibri"/>
      <family val="2"/>
      <scheme val="minor"/>
    </font>
    <font>
      <b/>
      <sz val="10"/>
      <name val="Calibri"/>
      <family val="2"/>
      <scheme val="minor"/>
    </font>
    <font>
      <sz val="10"/>
      <name val="Calibri"/>
      <family val="2"/>
      <scheme val="minor"/>
    </font>
    <font>
      <b/>
      <vertAlign val="subscript"/>
      <sz val="10"/>
      <name val="Calibri"/>
      <family val="2"/>
      <scheme val="minor"/>
    </font>
    <font>
      <b/>
      <vertAlign val="superscript"/>
      <sz val="10"/>
      <name val="Calibri"/>
      <family val="2"/>
      <scheme val="minor"/>
    </font>
    <font>
      <sz val="10"/>
      <color theme="1"/>
      <name val="Calibri"/>
      <family val="2"/>
      <scheme val="minor"/>
    </font>
    <font>
      <b/>
      <sz val="10"/>
      <color rgb="FF000000"/>
      <name val="Calibri"/>
      <family val="2"/>
    </font>
    <font>
      <sz val="10"/>
      <color rgb="FF000000"/>
      <name val="Calibri"/>
      <family val="2"/>
    </font>
    <font>
      <vertAlign val="subscript"/>
      <sz val="10"/>
      <color rgb="FF000000"/>
      <name val="Calibri"/>
      <family val="2"/>
    </font>
    <font>
      <sz val="10"/>
      <name val="Arial"/>
      <family val="2"/>
    </font>
    <font>
      <b/>
      <vertAlign val="subscript"/>
      <sz val="14"/>
      <color theme="1"/>
      <name val="Calibri"/>
      <family val="2"/>
      <scheme val="minor"/>
    </font>
    <font>
      <b/>
      <sz val="10"/>
      <color theme="1"/>
      <name val="Calibri"/>
      <family val="2"/>
      <scheme val="minor"/>
    </font>
    <font>
      <b/>
      <vertAlign val="subscript"/>
      <sz val="11"/>
      <color theme="1"/>
      <name val="Calibri"/>
      <family val="2"/>
      <scheme val="minor"/>
    </font>
    <font>
      <b/>
      <sz val="11"/>
      <color indexed="8"/>
      <name val="Calibri"/>
      <family val="2"/>
      <scheme val="minor"/>
    </font>
    <font>
      <b/>
      <vertAlign val="subscript"/>
      <sz val="11"/>
      <name val="Calibri"/>
      <family val="2"/>
      <scheme val="minor"/>
    </font>
    <font>
      <b/>
      <sz val="11"/>
      <name val="Calibri"/>
      <family val="2"/>
      <scheme val="minor"/>
    </font>
    <font>
      <sz val="9.8000000000000007"/>
      <color theme="1"/>
      <name val="Calibri"/>
      <family val="2"/>
      <scheme val="minor"/>
    </font>
    <font>
      <sz val="11"/>
      <name val="Calibri"/>
      <family val="2"/>
      <scheme val="minor"/>
    </font>
    <font>
      <vertAlign val="subscript"/>
      <sz val="11"/>
      <name val="Calibri"/>
      <family val="2"/>
      <scheme val="minor"/>
    </font>
    <font>
      <b/>
      <sz val="11"/>
      <color theme="8" tint="0.79998168889431442"/>
      <name val="Calibri"/>
      <family val="2"/>
      <scheme val="minor"/>
    </font>
    <font>
      <b/>
      <vertAlign val="subscript"/>
      <sz val="10"/>
      <color rgb="FF000000"/>
      <name val="Calibri"/>
      <family val="2"/>
    </font>
    <font>
      <sz val="8"/>
      <name val="Calibri"/>
      <family val="2"/>
      <scheme val="minor"/>
    </font>
    <font>
      <u/>
      <sz val="11"/>
      <color theme="10"/>
      <name val="Calibri"/>
      <family val="2"/>
      <scheme val="minor"/>
    </font>
    <font>
      <sz val="10.5"/>
      <name val="Calibri"/>
      <family val="2"/>
      <scheme val="minor"/>
    </font>
    <font>
      <sz val="11"/>
      <color rgb="FF000000"/>
      <name val="Calibri"/>
      <family val="2"/>
      <scheme val="minor"/>
    </font>
    <font>
      <vertAlign val="subscript"/>
      <sz val="11"/>
      <color theme="1"/>
      <name val="Calibri"/>
      <family val="2"/>
      <scheme val="minor"/>
    </font>
    <font>
      <sz val="10"/>
      <name val="Arial"/>
    </font>
    <font>
      <b/>
      <u val="double"/>
      <sz val="11"/>
      <color rgb="FFFFFF00"/>
      <name val="Arial"/>
      <family val="2"/>
    </font>
    <font>
      <b/>
      <sz val="11"/>
      <name val="Arial"/>
      <family val="2"/>
    </font>
    <font>
      <sz val="11"/>
      <name val="Arial"/>
      <family val="2"/>
    </font>
    <font>
      <sz val="11"/>
      <color theme="1"/>
      <name val="Arial"/>
      <family val="2"/>
    </font>
    <font>
      <b/>
      <sz val="11"/>
      <color rgb="FF00B0F0"/>
      <name val="Arial"/>
      <family val="2"/>
    </font>
    <font>
      <sz val="11"/>
      <color indexed="8"/>
      <name val="Calibri"/>
    </font>
    <font>
      <b/>
      <sz val="9"/>
      <name val="Arial"/>
      <family val="2"/>
    </font>
    <font>
      <b/>
      <sz val="8"/>
      <name val="Arial"/>
      <family val="2"/>
    </font>
    <font>
      <sz val="8"/>
      <name val="Arial"/>
      <family val="2"/>
    </font>
    <font>
      <b/>
      <sz val="11"/>
      <color indexed="8"/>
      <name val="Calibri"/>
      <family val="2"/>
    </font>
    <font>
      <sz val="11"/>
      <color indexed="8"/>
      <name val="Calibri"/>
      <family val="2"/>
    </font>
    <font>
      <b/>
      <sz val="12"/>
      <color indexed="8"/>
      <name val="Calibri"/>
      <family val="2"/>
    </font>
    <font>
      <b/>
      <sz val="10"/>
      <name val="Arial"/>
      <family val="2"/>
    </font>
    <font>
      <b/>
      <sz val="14"/>
      <color indexed="8"/>
      <name val="Calibri"/>
      <family val="2"/>
    </font>
    <font>
      <i/>
      <sz val="8"/>
      <name val="Arial"/>
      <family val="2"/>
    </font>
  </fonts>
  <fills count="13">
    <fill>
      <patternFill patternType="none"/>
    </fill>
    <fill>
      <patternFill patternType="gray125"/>
    </fill>
    <fill>
      <patternFill patternType="solid">
        <fgColor indexed="22"/>
        <bgColor indexed="64"/>
      </patternFill>
    </fill>
    <fill>
      <patternFill patternType="solid">
        <fgColor theme="8" tint="0.79998168889431442"/>
        <bgColor indexed="64"/>
      </patternFill>
    </fill>
    <fill>
      <patternFill patternType="solid">
        <fgColor theme="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theme="7"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11">
    <xf numFmtId="0" fontId="0" fillId="0" borderId="0"/>
    <xf numFmtId="9" fontId="1" fillId="0" borderId="0" applyFont="0" applyFill="0" applyBorder="0" applyAlignment="0" applyProtection="0"/>
    <xf numFmtId="0" fontId="3" fillId="0" borderId="0"/>
    <xf numFmtId="41" fontId="3" fillId="0" borderId="0" applyFont="0" applyFill="0" applyBorder="0" applyAlignment="0" applyProtection="0"/>
    <xf numFmtId="0" fontId="3" fillId="0" borderId="0"/>
    <xf numFmtId="9" fontId="3" fillId="0" borderId="0" applyFont="0" applyFill="0" applyBorder="0" applyAlignment="0" applyProtection="0"/>
    <xf numFmtId="0" fontId="22" fillId="0" borderId="0"/>
    <xf numFmtId="0" fontId="1" fillId="0" borderId="0"/>
    <xf numFmtId="0" fontId="35" fillId="0" borderId="0" applyNumberFormat="0" applyFill="0" applyBorder="0" applyAlignment="0" applyProtection="0"/>
    <xf numFmtId="0" fontId="39" fillId="0" borderId="0"/>
    <xf numFmtId="0" fontId="45" fillId="0" borderId="0" applyNumberFormat="0" applyFill="0" applyBorder="0" applyProtection="0"/>
  </cellStyleXfs>
  <cellXfs count="345">
    <xf numFmtId="0" fontId="0" fillId="0" borderId="0" xfId="0"/>
    <xf numFmtId="49" fontId="0" fillId="0" borderId="1" xfId="3" applyNumberFormat="1" applyFont="1" applyBorder="1" applyAlignment="1">
      <alignment horizontal="left" vertical="center" wrapText="1"/>
    </xf>
    <xf numFmtId="9" fontId="0" fillId="0" borderId="1" xfId="0" applyNumberFormat="1" applyBorder="1"/>
    <xf numFmtId="1" fontId="2" fillId="0" borderId="1" xfId="0" applyNumberFormat="1" applyFont="1" applyBorder="1"/>
    <xf numFmtId="0" fontId="0" fillId="0" borderId="1" xfId="0" applyBorder="1"/>
    <xf numFmtId="1" fontId="0" fillId="0" borderId="1" xfId="0" applyNumberFormat="1" applyBorder="1"/>
    <xf numFmtId="1" fontId="0" fillId="0" borderId="0" xfId="0" applyNumberFormat="1"/>
    <xf numFmtId="0" fontId="7" fillId="0" borderId="1" xfId="0" applyFont="1" applyBorder="1"/>
    <xf numFmtId="0" fontId="5" fillId="0" borderId="0" xfId="0" applyFont="1"/>
    <xf numFmtId="0" fontId="7" fillId="0" borderId="0" xfId="0" applyFont="1"/>
    <xf numFmtId="0" fontId="9" fillId="0" borderId="0" xfId="0" applyFont="1" applyAlignment="1">
      <alignment vertical="center"/>
    </xf>
    <xf numFmtId="0" fontId="9" fillId="0" borderId="0" xfId="0" applyFont="1" applyAlignment="1">
      <alignment horizontal="justify" vertical="top" wrapText="1"/>
    </xf>
    <xf numFmtId="0" fontId="9" fillId="0" borderId="0" xfId="0" applyFont="1" applyAlignment="1">
      <alignment horizontal="left"/>
    </xf>
    <xf numFmtId="0" fontId="13" fillId="0" borderId="0" xfId="0" applyFont="1" applyAlignment="1">
      <alignment horizontal="center"/>
    </xf>
    <xf numFmtId="0" fontId="9" fillId="0" borderId="0" xfId="0" applyFont="1" applyAlignment="1">
      <alignment horizontal="justify" vertical="center" wrapText="1"/>
    </xf>
    <xf numFmtId="0" fontId="14" fillId="0" borderId="13" xfId="0" applyFont="1" applyBorder="1" applyAlignment="1">
      <alignment horizontal="center" vertical="center" wrapText="1"/>
    </xf>
    <xf numFmtId="0" fontId="14" fillId="0" borderId="13" xfId="0" applyFont="1" applyBorder="1" applyAlignment="1">
      <alignment horizontal="center" wrapText="1"/>
    </xf>
    <xf numFmtId="167" fontId="14" fillId="2" borderId="14" xfId="0" applyNumberFormat="1" applyFont="1" applyFill="1" applyBorder="1" applyAlignment="1">
      <alignment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15" xfId="0" applyFont="1" applyBorder="1" applyAlignment="1">
      <alignment horizontal="center" wrapText="1"/>
    </xf>
    <xf numFmtId="0" fontId="14" fillId="0" borderId="16" xfId="0" applyFont="1" applyBorder="1" applyAlignment="1">
      <alignment horizontal="center" wrapText="1"/>
    </xf>
    <xf numFmtId="0" fontId="14" fillId="0" borderId="1" xfId="0" applyFont="1" applyBorder="1" applyAlignment="1">
      <alignment horizontal="center" wrapText="1"/>
    </xf>
    <xf numFmtId="0" fontId="14" fillId="0" borderId="7" xfId="0" applyFont="1" applyBorder="1" applyAlignment="1">
      <alignment horizontal="center" wrapText="1"/>
    </xf>
    <xf numFmtId="0" fontId="14" fillId="0" borderId="29" xfId="0" applyFont="1" applyBorder="1" applyAlignment="1">
      <alignment vertical="center" wrapText="1"/>
    </xf>
    <xf numFmtId="0" fontId="14" fillId="0" borderId="3" xfId="0" applyFont="1" applyBorder="1" applyAlignment="1">
      <alignment vertical="center"/>
    </xf>
    <xf numFmtId="1" fontId="0" fillId="0" borderId="7" xfId="0" applyNumberFormat="1" applyBorder="1" applyAlignment="1">
      <alignment horizontal="right"/>
    </xf>
    <xf numFmtId="2" fontId="15" fillId="0" borderId="1" xfId="0" applyNumberFormat="1" applyFont="1" applyBorder="1" applyAlignment="1">
      <alignment horizontal="right" vertical="center" wrapText="1"/>
    </xf>
    <xf numFmtId="166" fontId="15" fillId="0" borderId="8" xfId="0" applyNumberFormat="1" applyFont="1" applyBorder="1" applyAlignment="1">
      <alignment horizontal="right" vertical="center" wrapText="1"/>
    </xf>
    <xf numFmtId="1" fontId="15" fillId="0" borderId="7" xfId="0" applyNumberFormat="1" applyFont="1" applyBorder="1" applyAlignment="1">
      <alignment horizontal="right" vertical="center" wrapText="1"/>
    </xf>
    <xf numFmtId="167" fontId="15" fillId="0" borderId="8" xfId="0" applyNumberFormat="1" applyFont="1" applyBorder="1" applyAlignment="1">
      <alignment horizontal="right" vertical="center" wrapText="1"/>
    </xf>
    <xf numFmtId="166" fontId="15" fillId="0" borderId="2" xfId="0" applyNumberFormat="1" applyFont="1" applyBorder="1" applyAlignment="1">
      <alignment horizontal="right" vertical="center" wrapText="1"/>
    </xf>
    <xf numFmtId="167" fontId="0" fillId="0" borderId="1" xfId="0" applyNumberFormat="1" applyBorder="1" applyAlignment="1">
      <alignment horizontal="right"/>
    </xf>
    <xf numFmtId="1" fontId="15" fillId="0" borderId="1" xfId="0" applyNumberFormat="1" applyFont="1" applyBorder="1" applyAlignment="1">
      <alignment horizontal="right" vertical="center" wrapText="1"/>
    </xf>
    <xf numFmtId="1" fontId="0" fillId="0" borderId="9" xfId="0" applyNumberFormat="1" applyBorder="1" applyAlignment="1">
      <alignment horizontal="right"/>
    </xf>
    <xf numFmtId="2" fontId="15" fillId="0" borderId="10" xfId="0" applyNumberFormat="1" applyFont="1" applyBorder="1" applyAlignment="1">
      <alignment horizontal="right" vertical="center" wrapText="1"/>
    </xf>
    <xf numFmtId="166" fontId="15" fillId="0" borderId="11" xfId="0" applyNumberFormat="1" applyFont="1" applyBorder="1" applyAlignment="1">
      <alignment horizontal="right" vertical="center" wrapText="1"/>
    </xf>
    <xf numFmtId="1" fontId="15" fillId="0" borderId="9" xfId="0" applyNumberFormat="1" applyFont="1" applyBorder="1" applyAlignment="1">
      <alignment horizontal="right" vertical="center" wrapText="1"/>
    </xf>
    <xf numFmtId="167" fontId="15" fillId="0" borderId="11" xfId="0" applyNumberFormat="1" applyFont="1" applyBorder="1" applyAlignment="1">
      <alignment horizontal="right" vertical="center" wrapText="1"/>
    </xf>
    <xf numFmtId="166" fontId="15" fillId="0" borderId="28" xfId="0" applyNumberFormat="1" applyFont="1" applyBorder="1" applyAlignment="1">
      <alignment horizontal="right" vertical="center" wrapText="1"/>
    </xf>
    <xf numFmtId="167" fontId="0" fillId="0" borderId="10" xfId="0" applyNumberFormat="1" applyBorder="1" applyAlignment="1">
      <alignment horizontal="right"/>
    </xf>
    <xf numFmtId="0" fontId="14" fillId="0" borderId="2" xfId="0" applyFont="1" applyBorder="1" applyAlignment="1">
      <alignment horizontal="center" wrapText="1"/>
    </xf>
    <xf numFmtId="0" fontId="14" fillId="0" borderId="24" xfId="0" applyFont="1" applyBorder="1" applyAlignment="1">
      <alignment vertical="center" wrapText="1"/>
    </xf>
    <xf numFmtId="0" fontId="14" fillId="0" borderId="25" xfId="0" applyFont="1" applyBorder="1" applyAlignment="1">
      <alignment vertical="center" wrapText="1"/>
    </xf>
    <xf numFmtId="165" fontId="15" fillId="0" borderId="7" xfId="0" applyNumberFormat="1" applyFont="1" applyBorder="1" applyAlignment="1">
      <alignment horizontal="right" vertical="center" wrapText="1"/>
    </xf>
    <xf numFmtId="165" fontId="15" fillId="0" borderId="8" xfId="0" applyNumberFormat="1" applyFont="1" applyBorder="1" applyAlignment="1">
      <alignment horizontal="right" vertical="center" wrapText="1"/>
    </xf>
    <xf numFmtId="165" fontId="15" fillId="0" borderId="9" xfId="0" applyNumberFormat="1" applyFont="1" applyBorder="1" applyAlignment="1">
      <alignment horizontal="right" vertical="center" wrapText="1"/>
    </xf>
    <xf numFmtId="165" fontId="15" fillId="0" borderId="11" xfId="0" applyNumberFormat="1" applyFont="1" applyBorder="1" applyAlignment="1">
      <alignment horizontal="right" vertical="center" wrapText="1"/>
    </xf>
    <xf numFmtId="0" fontId="15" fillId="0" borderId="8" xfId="0" applyFont="1" applyBorder="1" applyAlignment="1">
      <alignment horizontal="right" vertical="center" wrapText="1"/>
    </xf>
    <xf numFmtId="167" fontId="15" fillId="0" borderId="7" xfId="0" applyNumberFormat="1" applyFont="1" applyBorder="1" applyAlignment="1">
      <alignment horizontal="right" vertical="center" wrapText="1"/>
    </xf>
    <xf numFmtId="167" fontId="15" fillId="0" borderId="9" xfId="0" applyNumberFormat="1" applyFont="1" applyBorder="1" applyAlignment="1">
      <alignment horizontal="right" vertical="center" wrapText="1"/>
    </xf>
    <xf numFmtId="0" fontId="15" fillId="0" borderId="6" xfId="0" applyFont="1" applyBorder="1" applyAlignment="1">
      <alignment vertical="center" wrapText="1"/>
    </xf>
    <xf numFmtId="0" fontId="15" fillId="0" borderId="8" xfId="0" applyFont="1" applyBorder="1" applyAlignment="1">
      <alignment vertical="center" wrapText="1"/>
    </xf>
    <xf numFmtId="167" fontId="14" fillId="2" borderId="25" xfId="0" applyNumberFormat="1" applyFont="1" applyFill="1" applyBorder="1" applyAlignment="1">
      <alignment horizontal="right" vertical="center" wrapText="1"/>
    </xf>
    <xf numFmtId="167" fontId="14" fillId="2" borderId="8" xfId="0" applyNumberFormat="1" applyFont="1" applyFill="1" applyBorder="1" applyAlignment="1">
      <alignment horizontal="right" vertical="center" wrapText="1"/>
    </xf>
    <xf numFmtId="0" fontId="14" fillId="2" borderId="8" xfId="0" applyFont="1" applyFill="1" applyBorder="1" applyAlignment="1">
      <alignment horizontal="right" vertical="center" wrapText="1"/>
    </xf>
    <xf numFmtId="1" fontId="15" fillId="0" borderId="10" xfId="0" applyNumberFormat="1" applyFont="1" applyBorder="1" applyAlignment="1">
      <alignment horizontal="right" vertical="center" wrapText="1"/>
    </xf>
    <xf numFmtId="0" fontId="14" fillId="2" borderId="11" xfId="0" applyFont="1" applyFill="1" applyBorder="1" applyAlignment="1">
      <alignment horizontal="right" vertical="center" wrapText="1"/>
    </xf>
    <xf numFmtId="0" fontId="2" fillId="0" borderId="0" xfId="0" applyFont="1"/>
    <xf numFmtId="1" fontId="2" fillId="0" borderId="0" xfId="0" applyNumberFormat="1" applyFont="1" applyAlignment="1">
      <alignment horizontal="right"/>
    </xf>
    <xf numFmtId="0" fontId="0" fillId="0" borderId="1" xfId="0" applyBorder="1" applyAlignment="1">
      <alignment horizontal="center" vertical="center"/>
    </xf>
    <xf numFmtId="0" fontId="0" fillId="0" borderId="0" xfId="0" applyAlignment="1">
      <alignment vertical="center"/>
    </xf>
    <xf numFmtId="3" fontId="0" fillId="0" borderId="0" xfId="0" applyNumberFormat="1"/>
    <xf numFmtId="1" fontId="7" fillId="0" borderId="0" xfId="0" applyNumberFormat="1" applyFont="1"/>
    <xf numFmtId="0" fontId="5" fillId="4" borderId="0" xfId="0" applyFont="1" applyFill="1"/>
    <xf numFmtId="0" fontId="0" fillId="4" borderId="0" xfId="0" applyFill="1"/>
    <xf numFmtId="9" fontId="0" fillId="0" borderId="0" xfId="0" applyNumberFormat="1"/>
    <xf numFmtId="2" fontId="0" fillId="0" borderId="0" xfId="0" applyNumberFormat="1"/>
    <xf numFmtId="2" fontId="5" fillId="0" borderId="0" xfId="0" applyNumberFormat="1" applyFont="1"/>
    <xf numFmtId="168" fontId="0" fillId="0" borderId="0" xfId="0" applyNumberFormat="1"/>
    <xf numFmtId="4" fontId="0" fillId="0" borderId="0" xfId="0" applyNumberFormat="1"/>
    <xf numFmtId="0" fontId="19" fillId="5" borderId="1" xfId="0" applyFont="1" applyFill="1" applyBorder="1" applyAlignment="1">
      <alignment horizontal="center" vertical="center" wrapText="1"/>
    </xf>
    <xf numFmtId="0" fontId="20" fillId="5" borderId="1" xfId="0" applyFont="1" applyFill="1" applyBorder="1" applyAlignment="1">
      <alignment vertical="center" wrapText="1"/>
    </xf>
    <xf numFmtId="1" fontId="0" fillId="4" borderId="1" xfId="0" applyNumberFormat="1" applyFill="1" applyBorder="1"/>
    <xf numFmtId="0" fontId="0" fillId="0" borderId="0" xfId="0" applyAlignment="1">
      <alignment vertical="top"/>
    </xf>
    <xf numFmtId="165" fontId="0" fillId="0" borderId="0" xfId="0" applyNumberFormat="1"/>
    <xf numFmtId="0" fontId="20" fillId="5" borderId="1" xfId="0" applyFont="1" applyFill="1" applyBorder="1" applyAlignment="1">
      <alignment horizontal="left" vertical="center" wrapText="1"/>
    </xf>
    <xf numFmtId="1" fontId="20" fillId="5" borderId="1" xfId="0" applyNumberFormat="1" applyFont="1" applyFill="1" applyBorder="1" applyAlignment="1">
      <alignment vertical="center" wrapText="1"/>
    </xf>
    <xf numFmtId="2" fontId="20" fillId="5" borderId="1" xfId="0" applyNumberFormat="1" applyFont="1" applyFill="1" applyBorder="1" applyAlignment="1">
      <alignment vertical="center" wrapText="1"/>
    </xf>
    <xf numFmtId="2" fontId="15" fillId="0" borderId="1" xfId="0" applyNumberFormat="1" applyFont="1" applyBorder="1" applyAlignment="1">
      <alignment horizontal="center" vertical="center" wrapText="1"/>
    </xf>
    <xf numFmtId="2" fontId="15" fillId="0" borderId="10" xfId="0" applyNumberFormat="1" applyFont="1" applyBorder="1" applyAlignment="1">
      <alignment horizontal="center" vertical="center" wrapText="1"/>
    </xf>
    <xf numFmtId="0" fontId="18" fillId="0" borderId="1" xfId="0" applyFont="1" applyBorder="1" applyAlignment="1">
      <alignment vertical="center"/>
    </xf>
    <xf numFmtId="0" fontId="18" fillId="0" borderId="1" xfId="0" applyFont="1" applyBorder="1"/>
    <xf numFmtId="0" fontId="18" fillId="0" borderId="1" xfId="0" applyFont="1" applyBorder="1" applyAlignment="1">
      <alignment vertical="center" wrapText="1"/>
    </xf>
    <xf numFmtId="1" fontId="19" fillId="5" borderId="1" xfId="0" applyNumberFormat="1" applyFont="1" applyFill="1" applyBorder="1" applyAlignment="1">
      <alignment vertical="center" wrapText="1"/>
    </xf>
    <xf numFmtId="0" fontId="18" fillId="0" borderId="0" xfId="0" applyFont="1"/>
    <xf numFmtId="0" fontId="24" fillId="0" borderId="1" xfId="0" applyFont="1" applyBorder="1"/>
    <xf numFmtId="1" fontId="18" fillId="0" borderId="1" xfId="0" applyNumberFormat="1" applyFont="1" applyBorder="1"/>
    <xf numFmtId="0" fontId="24" fillId="0" borderId="1" xfId="0" applyFont="1" applyBorder="1" applyAlignment="1">
      <alignment wrapText="1"/>
    </xf>
    <xf numFmtId="0" fontId="18" fillId="0" borderId="1" xfId="0" applyFont="1" applyBorder="1" applyAlignment="1">
      <alignment horizontal="center" vertical="center" wrapText="1"/>
    </xf>
    <xf numFmtId="0" fontId="24" fillId="4" borderId="1" xfId="0" applyFont="1" applyFill="1" applyBorder="1"/>
    <xf numFmtId="1" fontId="18" fillId="4" borderId="1" xfId="0" applyNumberFormat="1" applyFont="1" applyFill="1" applyBorder="1"/>
    <xf numFmtId="9" fontId="18" fillId="0" borderId="1" xfId="1" applyFont="1" applyBorder="1"/>
    <xf numFmtId="9" fontId="18" fillId="4" borderId="1" xfId="1" applyFont="1" applyFill="1" applyBorder="1"/>
    <xf numFmtId="1" fontId="24" fillId="0" borderId="1" xfId="0" applyNumberFormat="1" applyFont="1" applyBorder="1"/>
    <xf numFmtId="0" fontId="10" fillId="0" borderId="0" xfId="0"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pplyAlignment="1">
      <alignment vertical="center" wrapText="1"/>
    </xf>
    <xf numFmtId="0" fontId="12" fillId="0" borderId="0" xfId="0" applyFont="1" applyAlignment="1">
      <alignment horizontal="center" vertical="center" wrapText="1"/>
    </xf>
    <xf numFmtId="1" fontId="12" fillId="0" borderId="0" xfId="0" applyNumberFormat="1" applyFont="1" applyAlignment="1">
      <alignment horizontal="right" vertical="center"/>
    </xf>
    <xf numFmtId="0" fontId="5" fillId="0" borderId="0" xfId="0" applyFont="1" applyAlignment="1">
      <alignment horizontal="right"/>
    </xf>
    <xf numFmtId="0" fontId="12" fillId="0" borderId="0" xfId="0" applyFont="1" applyAlignment="1">
      <alignment horizontal="right" vertical="center"/>
    </xf>
    <xf numFmtId="0" fontId="10" fillId="0" borderId="0" xfId="0" applyFont="1" applyAlignment="1">
      <alignment vertical="center" wrapText="1"/>
    </xf>
    <xf numFmtId="2" fontId="11" fillId="0" borderId="0" xfId="0" applyNumberFormat="1" applyFont="1" applyAlignment="1">
      <alignment horizontal="center" vertical="center" wrapText="1"/>
    </xf>
    <xf numFmtId="1" fontId="11" fillId="0" borderId="0" xfId="0" applyNumberFormat="1" applyFont="1" applyAlignment="1">
      <alignment horizontal="right" vertical="center"/>
    </xf>
    <xf numFmtId="0" fontId="11" fillId="0" borderId="0" xfId="0" applyFont="1" applyAlignment="1">
      <alignment horizontal="center" vertical="top" wrapText="1"/>
    </xf>
    <xf numFmtId="0" fontId="9" fillId="0" borderId="0" xfId="0" applyFont="1" applyAlignment="1">
      <alignment vertical="center" wrapText="1"/>
    </xf>
    <xf numFmtId="1" fontId="12" fillId="0" borderId="0" xfId="0" applyNumberFormat="1" applyFont="1" applyAlignment="1">
      <alignment horizontal="right" wrapText="1"/>
    </xf>
    <xf numFmtId="1" fontId="12" fillId="0" borderId="0" xfId="0" applyNumberFormat="1" applyFont="1" applyAlignment="1">
      <alignment horizontal="right" vertical="center" wrapText="1"/>
    </xf>
    <xf numFmtId="0" fontId="24" fillId="0" borderId="1" xfId="0" applyFont="1" applyBorder="1" applyAlignment="1">
      <alignment vertical="center"/>
    </xf>
    <xf numFmtId="1" fontId="18" fillId="4" borderId="1" xfId="0" applyNumberFormat="1" applyFont="1" applyFill="1" applyBorder="1" applyAlignment="1">
      <alignment vertical="center"/>
    </xf>
    <xf numFmtId="9" fontId="18" fillId="0" borderId="1" xfId="1" applyFont="1" applyBorder="1" applyAlignment="1">
      <alignment vertical="center"/>
    </xf>
    <xf numFmtId="1" fontId="18" fillId="0" borderId="1" xfId="0" applyNumberFormat="1" applyFont="1" applyBorder="1" applyAlignment="1">
      <alignment vertical="center"/>
    </xf>
    <xf numFmtId="0" fontId="2" fillId="0" borderId="1" xfId="0" applyFont="1" applyBorder="1"/>
    <xf numFmtId="0" fontId="0" fillId="0" borderId="0" xfId="0" applyAlignment="1">
      <alignment horizontal="center"/>
    </xf>
    <xf numFmtId="0" fontId="0" fillId="4" borderId="38" xfId="0" applyFill="1" applyBorder="1"/>
    <xf numFmtId="0" fontId="0" fillId="4" borderId="39" xfId="0" applyFill="1" applyBorder="1"/>
    <xf numFmtId="0" fontId="0" fillId="4" borderId="29" xfId="0" applyFill="1" applyBorder="1"/>
    <xf numFmtId="0" fontId="2" fillId="0" borderId="36" xfId="0" applyFont="1" applyBorder="1"/>
    <xf numFmtId="0" fontId="0" fillId="0" borderId="39" xfId="0" applyBorder="1"/>
    <xf numFmtId="2" fontId="26" fillId="3" borderId="1" xfId="0" applyNumberFormat="1" applyFont="1" applyFill="1" applyBorder="1" applyAlignment="1">
      <alignment horizontal="center" vertical="center" wrapText="1"/>
    </xf>
    <xf numFmtId="0" fontId="19" fillId="5" borderId="3" xfId="0" applyFont="1" applyFill="1" applyBorder="1" applyAlignment="1">
      <alignment horizontal="center" vertical="center" wrapText="1"/>
    </xf>
    <xf numFmtId="0" fontId="19" fillId="5" borderId="40"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18" fillId="0" borderId="3" xfId="0" applyFont="1" applyBorder="1" applyAlignment="1">
      <alignment horizontal="center" vertical="center"/>
    </xf>
    <xf numFmtId="0" fontId="29" fillId="0" borderId="1" xfId="0" applyFont="1" applyBorder="1" applyAlignment="1">
      <alignment horizontal="center" vertical="center" wrapText="1"/>
    </xf>
    <xf numFmtId="0" fontId="28" fillId="3" borderId="1" xfId="0" applyFont="1" applyFill="1" applyBorder="1" applyAlignment="1">
      <alignment vertical="center" wrapText="1"/>
    </xf>
    <xf numFmtId="1" fontId="26" fillId="3" borderId="1" xfId="0" applyNumberFormat="1" applyFont="1" applyFill="1" applyBorder="1" applyAlignment="1">
      <alignment horizontal="right" vertical="center"/>
    </xf>
    <xf numFmtId="164" fontId="0" fillId="0" borderId="0" xfId="0" applyNumberFormat="1"/>
    <xf numFmtId="166" fontId="20" fillId="0" borderId="1" xfId="0" applyNumberFormat="1" applyFont="1" applyBorder="1" applyAlignment="1">
      <alignment vertical="center" wrapText="1"/>
    </xf>
    <xf numFmtId="9" fontId="18" fillId="0" borderId="1" xfId="0" applyNumberFormat="1" applyFont="1" applyBorder="1"/>
    <xf numFmtId="9" fontId="18" fillId="0" borderId="1" xfId="0" applyNumberFormat="1" applyFont="1" applyBorder="1" applyAlignment="1">
      <alignment vertical="center"/>
    </xf>
    <xf numFmtId="0" fontId="2" fillId="0" borderId="0" xfId="0" applyFont="1" applyAlignment="1">
      <alignment vertical="center" wrapText="1"/>
    </xf>
    <xf numFmtId="1" fontId="2" fillId="0" borderId="0" xfId="0" applyNumberFormat="1" applyFont="1"/>
    <xf numFmtId="0" fontId="7" fillId="0" borderId="1" xfId="0" applyFont="1" applyBorder="1" applyAlignment="1">
      <alignment horizontal="center"/>
    </xf>
    <xf numFmtId="1" fontId="0" fillId="0" borderId="1" xfId="0" applyNumberFormat="1" applyBorder="1" applyAlignment="1">
      <alignment horizontal="center" vertical="center"/>
    </xf>
    <xf numFmtId="1" fontId="0" fillId="0" borderId="8" xfId="0" applyNumberFormat="1" applyBorder="1" applyAlignment="1">
      <alignment horizontal="center" vertical="center"/>
    </xf>
    <xf numFmtId="1" fontId="2" fillId="0" borderId="1" xfId="0" applyNumberFormat="1" applyFont="1" applyBorder="1" applyAlignment="1">
      <alignment horizontal="center" vertical="center"/>
    </xf>
    <xf numFmtId="1" fontId="2" fillId="0" borderId="8" xfId="0" applyNumberFormat="1" applyFont="1" applyBorder="1" applyAlignment="1">
      <alignment horizontal="center" vertical="center"/>
    </xf>
    <xf numFmtId="1" fontId="2" fillId="0" borderId="10" xfId="0" applyNumberFormat="1" applyFont="1" applyBorder="1" applyAlignment="1">
      <alignment horizontal="center" vertical="center"/>
    </xf>
    <xf numFmtId="1" fontId="2" fillId="0" borderId="11" xfId="0" applyNumberFormat="1" applyFont="1" applyBorder="1" applyAlignment="1">
      <alignment horizontal="center" vertical="center"/>
    </xf>
    <xf numFmtId="0" fontId="0" fillId="0" borderId="1" xfId="0" applyBorder="1" applyAlignment="1">
      <alignment horizontal="left"/>
    </xf>
    <xf numFmtId="1" fontId="0" fillId="0" borderId="2" xfId="0" applyNumberFormat="1" applyBorder="1" applyAlignment="1">
      <alignment horizontal="center" vertical="center"/>
    </xf>
    <xf numFmtId="0" fontId="2" fillId="7" borderId="3" xfId="0" applyFont="1" applyFill="1" applyBorder="1" applyAlignment="1">
      <alignment horizontal="center" vertical="center" wrapText="1"/>
    </xf>
    <xf numFmtId="0" fontId="2" fillId="7" borderId="17" xfId="0" applyFont="1" applyFill="1" applyBorder="1" applyAlignment="1">
      <alignment horizontal="center" vertical="center" wrapText="1"/>
    </xf>
    <xf numFmtId="0" fontId="2" fillId="7" borderId="25"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7" xfId="0" applyFont="1" applyBorder="1" applyAlignment="1">
      <alignment horizontal="center" vertical="center"/>
    </xf>
    <xf numFmtId="0" fontId="20" fillId="0" borderId="0" xfId="0" applyFont="1" applyAlignment="1">
      <alignment horizontal="left" vertical="center" wrapText="1"/>
    </xf>
    <xf numFmtId="0" fontId="20" fillId="0" borderId="0" xfId="0" applyFont="1" applyAlignment="1">
      <alignment vertical="center" wrapText="1"/>
    </xf>
    <xf numFmtId="1" fontId="20" fillId="0" borderId="0" xfId="0" applyNumberFormat="1" applyFont="1" applyAlignment="1">
      <alignment vertical="center" wrapText="1"/>
    </xf>
    <xf numFmtId="0" fontId="18" fillId="0" borderId="0" xfId="0" applyFont="1" applyAlignment="1">
      <alignment vertical="center" wrapText="1"/>
    </xf>
    <xf numFmtId="1" fontId="19" fillId="0" borderId="0" xfId="0" applyNumberFormat="1" applyFont="1" applyAlignment="1">
      <alignment vertical="center" wrapText="1"/>
    </xf>
    <xf numFmtId="0" fontId="19" fillId="5" borderId="1" xfId="0" applyFont="1" applyFill="1" applyBorder="1" applyAlignment="1">
      <alignment horizontal="left" vertical="center" wrapText="1"/>
    </xf>
    <xf numFmtId="0" fontId="19" fillId="5" borderId="1" xfId="0" applyFont="1" applyFill="1" applyBorder="1" applyAlignment="1">
      <alignment vertical="center" wrapText="1"/>
    </xf>
    <xf numFmtId="0" fontId="5" fillId="0" borderId="16" xfId="0" applyFont="1" applyBorder="1" applyAlignment="1">
      <alignment vertical="top" wrapText="1"/>
    </xf>
    <xf numFmtId="0" fontId="5" fillId="0" borderId="0" xfId="0" applyFont="1" applyAlignment="1">
      <alignment vertical="top" wrapText="1"/>
    </xf>
    <xf numFmtId="2" fontId="7" fillId="0" borderId="1" xfId="0" applyNumberFormat="1" applyFont="1" applyBorder="1" applyAlignment="1">
      <alignment horizontal="center" vertical="center"/>
    </xf>
    <xf numFmtId="10" fontId="5" fillId="0" borderId="1" xfId="0" applyNumberFormat="1" applyFont="1" applyBorder="1"/>
    <xf numFmtId="9" fontId="30" fillId="0" borderId="1" xfId="0" applyNumberFormat="1" applyFont="1" applyBorder="1"/>
    <xf numFmtId="9" fontId="20" fillId="0" borderId="1" xfId="0" applyNumberFormat="1" applyFont="1" applyBorder="1" applyAlignment="1">
      <alignment vertical="center" wrapText="1"/>
    </xf>
    <xf numFmtId="10" fontId="18" fillId="0" borderId="1" xfId="0" applyNumberFormat="1" applyFont="1" applyBorder="1"/>
    <xf numFmtId="10" fontId="18" fillId="0" borderId="1" xfId="0" applyNumberFormat="1" applyFont="1" applyBorder="1" applyAlignment="1">
      <alignment vertical="center"/>
    </xf>
    <xf numFmtId="169" fontId="24" fillId="0" borderId="1" xfId="0" applyNumberFormat="1" applyFont="1" applyBorder="1"/>
    <xf numFmtId="0" fontId="30" fillId="0" borderId="1" xfId="0" applyFont="1" applyBorder="1"/>
    <xf numFmtId="0" fontId="30" fillId="0" borderId="1" xfId="0" applyFont="1" applyBorder="1" applyAlignment="1">
      <alignment vertical="top" wrapText="1"/>
    </xf>
    <xf numFmtId="0" fontId="30" fillId="0" borderId="1" xfId="0" applyFont="1" applyBorder="1" applyAlignment="1">
      <alignment horizontal="left" vertical="center"/>
    </xf>
    <xf numFmtId="165" fontId="0" fillId="0" borderId="1" xfId="0" applyNumberFormat="1" applyBorder="1"/>
    <xf numFmtId="0" fontId="2" fillId="0" borderId="1" xfId="0" applyFont="1" applyBorder="1" applyAlignment="1">
      <alignment horizontal="left" vertical="center"/>
    </xf>
    <xf numFmtId="0" fontId="35" fillId="0" borderId="0" xfId="8"/>
    <xf numFmtId="1" fontId="2" fillId="0" borderId="1" xfId="0" applyNumberFormat="1" applyFont="1" applyBorder="1" applyAlignment="1">
      <alignment horizontal="right" vertical="center"/>
    </xf>
    <xf numFmtId="0" fontId="2" fillId="7" borderId="15" xfId="0" applyFont="1" applyFill="1" applyBorder="1" applyAlignment="1">
      <alignment horizontal="center" vertical="center" wrapText="1"/>
    </xf>
    <xf numFmtId="0" fontId="36" fillId="0" borderId="1" xfId="0" applyFont="1" applyBorder="1" applyAlignment="1">
      <alignment vertical="center" wrapText="1"/>
    </xf>
    <xf numFmtId="0" fontId="28" fillId="0" borderId="1" xfId="0" applyFont="1" applyBorder="1" applyAlignment="1">
      <alignment horizontal="left" vertical="center"/>
    </xf>
    <xf numFmtId="0" fontId="35" fillId="0" borderId="0" xfId="8" applyFill="1" applyBorder="1" applyAlignment="1"/>
    <xf numFmtId="0" fontId="35" fillId="0" borderId="1" xfId="8" applyBorder="1"/>
    <xf numFmtId="1" fontId="5" fillId="0" borderId="0" xfId="0" applyNumberFormat="1" applyFont="1"/>
    <xf numFmtId="0" fontId="37" fillId="0" borderId="1" xfId="0" applyFont="1" applyBorder="1"/>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1" fontId="18" fillId="0" borderId="1" xfId="0" applyNumberFormat="1" applyFont="1" applyBorder="1" applyAlignment="1">
      <alignment horizontal="right" vertical="center"/>
    </xf>
    <xf numFmtId="167" fontId="0" fillId="0" borderId="1" xfId="0" applyNumberFormat="1" applyBorder="1"/>
    <xf numFmtId="0" fontId="3" fillId="0" borderId="0" xfId="9" applyFont="1"/>
    <xf numFmtId="0" fontId="41" fillId="0" borderId="21" xfId="7" applyFont="1" applyBorder="1"/>
    <xf numFmtId="0" fontId="42" fillId="0" borderId="0" xfId="7" applyFont="1"/>
    <xf numFmtId="0" fontId="43" fillId="0" borderId="0" xfId="7" applyFont="1"/>
    <xf numFmtId="0" fontId="43" fillId="0" borderId="40" xfId="7" applyFont="1" applyBorder="1"/>
    <xf numFmtId="170" fontId="43" fillId="0" borderId="0" xfId="7" applyNumberFormat="1" applyFont="1" applyAlignment="1">
      <alignment wrapText="1"/>
    </xf>
    <xf numFmtId="17" fontId="42" fillId="4" borderId="0" xfId="9" quotePrefix="1" applyNumberFormat="1" applyFont="1" applyFill="1" applyAlignment="1">
      <alignment horizontal="right"/>
    </xf>
    <xf numFmtId="0" fontId="41" fillId="0" borderId="20" xfId="7" applyFont="1" applyBorder="1" applyAlignment="1">
      <alignment vertical="center"/>
    </xf>
    <xf numFmtId="4" fontId="41" fillId="4" borderId="3" xfId="7" applyNumberFormat="1" applyFont="1" applyFill="1" applyBorder="1" applyAlignment="1">
      <alignment horizontal="right"/>
    </xf>
    <xf numFmtId="3" fontId="42" fillId="4" borderId="1" xfId="7" applyNumberFormat="1" applyFont="1" applyFill="1" applyBorder="1" applyAlignment="1">
      <alignment horizontal="right"/>
    </xf>
    <xf numFmtId="171" fontId="42" fillId="0" borderId="36" xfId="7" applyNumberFormat="1" applyFont="1" applyBorder="1" applyAlignment="1">
      <alignment horizontal="right"/>
    </xf>
    <xf numFmtId="171" fontId="43" fillId="0" borderId="1" xfId="7" applyNumberFormat="1" applyFont="1" applyBorder="1"/>
    <xf numFmtId="166" fontId="42" fillId="0" borderId="44" xfId="7" applyNumberFormat="1" applyFont="1" applyBorder="1"/>
    <xf numFmtId="166" fontId="42" fillId="0" borderId="45" xfId="7" applyNumberFormat="1" applyFont="1" applyBorder="1"/>
    <xf numFmtId="0" fontId="44" fillId="10" borderId="43" xfId="7" applyFont="1" applyFill="1" applyBorder="1"/>
    <xf numFmtId="166" fontId="43" fillId="0" borderId="44" xfId="7" applyNumberFormat="1" applyFont="1" applyBorder="1"/>
    <xf numFmtId="166" fontId="43" fillId="0" borderId="45" xfId="7" applyNumberFormat="1" applyFont="1" applyBorder="1"/>
    <xf numFmtId="0" fontId="45" fillId="0" borderId="0" xfId="10"/>
    <xf numFmtId="4" fontId="47" fillId="4" borderId="1" xfId="10" applyNumberFormat="1" applyFont="1" applyFill="1" applyBorder="1" applyAlignment="1">
      <alignment horizontal="right"/>
    </xf>
    <xf numFmtId="3" fontId="48" fillId="4" borderId="1" xfId="10" applyNumberFormat="1" applyFont="1" applyFill="1" applyBorder="1" applyAlignment="1">
      <alignment horizontal="right"/>
    </xf>
    <xf numFmtId="4" fontId="48" fillId="4" borderId="1" xfId="10" applyNumberFormat="1" applyFont="1" applyFill="1" applyBorder="1" applyAlignment="1">
      <alignment horizontal="right"/>
    </xf>
    <xf numFmtId="169" fontId="48" fillId="4" borderId="1" xfId="10" applyNumberFormat="1" applyFont="1" applyFill="1" applyBorder="1" applyAlignment="1">
      <alignment horizontal="right"/>
    </xf>
    <xf numFmtId="10" fontId="48" fillId="4" borderId="1" xfId="10" applyNumberFormat="1" applyFont="1" applyFill="1" applyBorder="1" applyAlignment="1">
      <alignment horizontal="right"/>
    </xf>
    <xf numFmtId="0" fontId="49" fillId="0" borderId="0" xfId="10" applyFont="1"/>
    <xf numFmtId="3" fontId="47" fillId="4" borderId="1" xfId="10" applyNumberFormat="1" applyFont="1" applyFill="1" applyBorder="1" applyAlignment="1">
      <alignment horizontal="right"/>
    </xf>
    <xf numFmtId="0" fontId="45" fillId="0" borderId="1" xfId="10" applyBorder="1"/>
    <xf numFmtId="0" fontId="50" fillId="0" borderId="1" xfId="10" applyFont="1" applyBorder="1"/>
    <xf numFmtId="3" fontId="51" fillId="0" borderId="1" xfId="10" applyNumberFormat="1" applyFont="1" applyBorder="1"/>
    <xf numFmtId="3" fontId="46" fillId="4" borderId="1" xfId="10" applyNumberFormat="1" applyFont="1" applyFill="1" applyBorder="1" applyAlignment="1">
      <alignment horizontal="right"/>
    </xf>
    <xf numFmtId="0" fontId="47" fillId="4" borderId="1" xfId="10" applyFont="1" applyFill="1" applyBorder="1" applyAlignment="1">
      <alignment horizontal="right"/>
    </xf>
    <xf numFmtId="172" fontId="48" fillId="4" borderId="1" xfId="10" applyNumberFormat="1" applyFont="1" applyFill="1" applyBorder="1" applyAlignment="1">
      <alignment horizontal="right"/>
    </xf>
    <xf numFmtId="172" fontId="47" fillId="4" borderId="1" xfId="10" applyNumberFormat="1" applyFont="1" applyFill="1" applyBorder="1" applyAlignment="1">
      <alignment horizontal="right"/>
    </xf>
    <xf numFmtId="0" fontId="53" fillId="0" borderId="1" xfId="10" applyFont="1" applyBorder="1"/>
    <xf numFmtId="0" fontId="48" fillId="4" borderId="0" xfId="10" applyFont="1" applyFill="1" applyBorder="1" applyAlignment="1">
      <alignment horizontal="center"/>
    </xf>
    <xf numFmtId="4" fontId="48" fillId="4" borderId="0" xfId="10" applyNumberFormat="1" applyFont="1" applyFill="1" applyBorder="1" applyAlignment="1">
      <alignment horizontal="right"/>
    </xf>
    <xf numFmtId="172" fontId="48" fillId="4" borderId="0" xfId="10" applyNumberFormat="1" applyFont="1" applyFill="1" applyBorder="1" applyAlignment="1">
      <alignment horizontal="right"/>
    </xf>
    <xf numFmtId="0" fontId="45" fillId="0" borderId="0" xfId="10" applyBorder="1"/>
    <xf numFmtId="0" fontId="48" fillId="4" borderId="0" xfId="10" applyFont="1" applyFill="1" applyBorder="1"/>
    <xf numFmtId="0" fontId="48" fillId="4" borderId="0" xfId="10" applyFont="1" applyFill="1"/>
    <xf numFmtId="0" fontId="5" fillId="0" borderId="1" xfId="0" applyFont="1" applyBorder="1" applyAlignment="1">
      <alignment horizontal="center" vertical="center"/>
    </xf>
    <xf numFmtId="0" fontId="7" fillId="0" borderId="1" xfId="0" applyFont="1" applyBorder="1" applyAlignment="1">
      <alignment vertical="center"/>
    </xf>
    <xf numFmtId="0" fontId="7" fillId="0" borderId="1" xfId="0" applyFont="1" applyBorder="1" applyAlignment="1">
      <alignment horizontal="center" vertical="center"/>
    </xf>
    <xf numFmtId="0" fontId="2" fillId="4" borderId="1" xfId="0" applyFont="1" applyFill="1" applyBorder="1"/>
    <xf numFmtId="167" fontId="0" fillId="4" borderId="1" xfId="0" applyNumberFormat="1" applyFill="1" applyBorder="1"/>
    <xf numFmtId="169" fontId="2" fillId="0" borderId="1" xfId="1" applyNumberFormat="1" applyFont="1" applyBorder="1"/>
    <xf numFmtId="9" fontId="32" fillId="0" borderId="1" xfId="1" applyFont="1" applyBorder="1"/>
    <xf numFmtId="0" fontId="30" fillId="0" borderId="1" xfId="2" applyFont="1" applyBorder="1" applyAlignment="1">
      <alignment horizontal="center" vertical="center" wrapText="1"/>
    </xf>
    <xf numFmtId="2" fontId="3" fillId="0" borderId="1" xfId="2" applyNumberFormat="1" applyBorder="1" applyAlignment="1">
      <alignment horizontal="center" vertical="center" wrapText="1"/>
    </xf>
    <xf numFmtId="41" fontId="0" fillId="0" borderId="1" xfId="3" applyFont="1" applyBorder="1" applyAlignment="1">
      <alignment horizontal="center" vertical="center"/>
    </xf>
    <xf numFmtId="165" fontId="3" fillId="0" borderId="1" xfId="2" applyNumberFormat="1" applyBorder="1" applyAlignment="1">
      <alignment horizontal="center" vertical="center" wrapText="1"/>
    </xf>
    <xf numFmtId="0" fontId="3" fillId="0" borderId="1" xfId="2" applyBorder="1" applyAlignment="1">
      <alignment horizontal="center" vertical="center" wrapText="1"/>
    </xf>
    <xf numFmtId="0" fontId="7" fillId="0" borderId="2" xfId="0" applyFont="1" applyBorder="1" applyAlignment="1">
      <alignment vertical="center"/>
    </xf>
    <xf numFmtId="0" fontId="2" fillId="0" borderId="1" xfId="0" applyFont="1" applyBorder="1" applyAlignment="1">
      <alignment horizontal="left"/>
    </xf>
    <xf numFmtId="0" fontId="2" fillId="0" borderId="1" xfId="0" applyFont="1" applyBorder="1" applyAlignment="1">
      <alignment horizontal="left" vertical="top"/>
    </xf>
    <xf numFmtId="0" fontId="0" fillId="0" borderId="1" xfId="0" applyBorder="1" applyAlignment="1">
      <alignment vertical="top"/>
    </xf>
    <xf numFmtId="0" fontId="0" fillId="0" borderId="1" xfId="0" applyBorder="1" applyAlignment="1">
      <alignment horizontal="center" vertical="top"/>
    </xf>
    <xf numFmtId="0" fontId="2" fillId="7" borderId="1" xfId="0" applyFont="1" applyFill="1" applyBorder="1" applyAlignment="1">
      <alignment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0" xfId="0" applyAlignment="1">
      <alignment horizontal="center" vertical="center"/>
    </xf>
    <xf numFmtId="0" fontId="0" fillId="0" borderId="17" xfId="0" applyBorder="1" applyAlignment="1">
      <alignment horizontal="center" vertical="top" wrapText="1"/>
    </xf>
    <xf numFmtId="1" fontId="2" fillId="0" borderId="1" xfId="0" applyNumberFormat="1" applyFont="1" applyBorder="1" applyAlignment="1">
      <alignment horizontal="center"/>
    </xf>
    <xf numFmtId="0" fontId="6" fillId="0" borderId="1" xfId="0" applyFont="1" applyBorder="1" applyAlignment="1">
      <alignment horizontal="center" vertical="center"/>
    </xf>
    <xf numFmtId="0" fontId="7" fillId="0" borderId="35" xfId="0" applyFont="1" applyBorder="1" applyAlignment="1">
      <alignment vertical="center"/>
    </xf>
    <xf numFmtId="0" fontId="14" fillId="2" borderId="23"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14" fillId="2" borderId="17" xfId="0" applyFont="1" applyFill="1" applyBorder="1" applyAlignment="1">
      <alignment horizontal="left" vertical="center" wrapText="1"/>
    </xf>
    <xf numFmtId="167" fontId="14" fillId="2" borderId="19" xfId="0" applyNumberFormat="1" applyFont="1" applyFill="1" applyBorder="1" applyAlignment="1">
      <alignment horizontal="left" vertical="center" wrapText="1"/>
    </xf>
    <xf numFmtId="167" fontId="14" fillId="2" borderId="20" xfId="0" applyNumberFormat="1" applyFont="1" applyFill="1" applyBorder="1" applyAlignment="1">
      <alignment horizontal="left" vertical="center" wrapText="1"/>
    </xf>
    <xf numFmtId="167" fontId="14" fillId="2" borderId="21" xfId="0" applyNumberFormat="1" applyFont="1" applyFill="1" applyBorder="1" applyAlignment="1">
      <alignment horizontal="left" vertical="center" wrapText="1"/>
    </xf>
    <xf numFmtId="167" fontId="14" fillId="2" borderId="12" xfId="0" applyNumberFormat="1" applyFont="1" applyFill="1" applyBorder="1" applyAlignment="1">
      <alignment horizontal="left" vertical="center" wrapText="1"/>
    </xf>
    <xf numFmtId="167" fontId="14" fillId="2" borderId="0" xfId="0" applyNumberFormat="1" applyFont="1" applyFill="1" applyAlignment="1">
      <alignment horizontal="left" vertical="center" wrapText="1"/>
    </xf>
    <xf numFmtId="167" fontId="14" fillId="2" borderId="22" xfId="0" applyNumberFormat="1" applyFont="1" applyFill="1" applyBorder="1" applyAlignment="1">
      <alignment horizontal="left" vertical="center" wrapText="1"/>
    </xf>
    <xf numFmtId="0" fontId="14" fillId="0" borderId="14"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32" xfId="0" applyFont="1" applyBorder="1" applyAlignment="1">
      <alignment horizontal="center" vertical="center" wrapText="1"/>
    </xf>
    <xf numFmtId="0" fontId="0" fillId="0" borderId="1" xfId="0" applyBorder="1" applyAlignment="1">
      <alignment horizontal="center"/>
    </xf>
    <xf numFmtId="0" fontId="14" fillId="0" borderId="16"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0" fillId="0" borderId="1" xfId="0" applyBorder="1" applyAlignment="1">
      <alignment horizontal="left" vertical="center" wrapText="1"/>
    </xf>
    <xf numFmtId="0" fontId="0" fillId="8" borderId="1" xfId="0" applyFill="1" applyBorder="1" applyAlignment="1">
      <alignment horizontal="left"/>
    </xf>
    <xf numFmtId="0" fontId="2" fillId="6" borderId="1" xfId="0" applyFont="1" applyFill="1" applyBorder="1" applyAlignment="1">
      <alignment horizontal="center" vertical="center" wrapText="1"/>
    </xf>
    <xf numFmtId="0" fontId="2" fillId="7" borderId="2" xfId="0" applyFont="1" applyFill="1" applyBorder="1" applyAlignment="1">
      <alignment horizontal="center" vertical="center"/>
    </xf>
    <xf numFmtId="0" fontId="2" fillId="7" borderId="36" xfId="0" applyFont="1" applyFill="1" applyBorder="1" applyAlignment="1">
      <alignment horizontal="center" vertical="center"/>
    </xf>
    <xf numFmtId="0" fontId="20" fillId="6" borderId="1" xfId="0" applyFont="1" applyFill="1" applyBorder="1" applyAlignment="1">
      <alignment horizontal="center" vertical="center" wrapText="1"/>
    </xf>
    <xf numFmtId="0" fontId="0" fillId="0" borderId="2"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2" xfId="0" applyBorder="1" applyAlignment="1">
      <alignment horizontal="left"/>
    </xf>
    <xf numFmtId="0" fontId="0" fillId="0" borderId="35" xfId="0" applyBorder="1" applyAlignment="1">
      <alignment horizontal="left"/>
    </xf>
    <xf numFmtId="0" fontId="0" fillId="0" borderId="36" xfId="0" applyBorder="1" applyAlignment="1">
      <alignment horizontal="left"/>
    </xf>
    <xf numFmtId="0" fontId="2" fillId="0" borderId="1" xfId="0" applyFont="1" applyBorder="1" applyAlignment="1">
      <alignment horizontal="left"/>
    </xf>
    <xf numFmtId="0" fontId="0" fillId="0" borderId="1" xfId="0" applyBorder="1" applyAlignment="1">
      <alignment horizontal="left" vertical="top" wrapText="1"/>
    </xf>
    <xf numFmtId="0" fontId="2" fillId="7" borderId="1" xfId="0" applyFont="1" applyFill="1" applyBorder="1" applyAlignment="1">
      <alignment horizontal="center" vertical="center"/>
    </xf>
    <xf numFmtId="0" fontId="30" fillId="0" borderId="1" xfId="0" applyFont="1" applyBorder="1" applyAlignment="1">
      <alignment horizontal="left" vertical="top" wrapText="1"/>
    </xf>
    <xf numFmtId="0" fontId="2" fillId="0" borderId="1" xfId="0" applyFont="1" applyBorder="1" applyAlignment="1">
      <alignment horizontal="left" vertical="center" wrapText="1"/>
    </xf>
    <xf numFmtId="0" fontId="24" fillId="6" borderId="1" xfId="0" applyFont="1" applyFill="1" applyBorder="1" applyAlignment="1">
      <alignment horizontal="center"/>
    </xf>
    <xf numFmtId="0" fontId="0" fillId="7" borderId="1" xfId="0" applyFill="1" applyBorder="1" applyAlignment="1">
      <alignment horizontal="center"/>
    </xf>
    <xf numFmtId="0" fontId="2" fillId="6" borderId="1" xfId="0" applyFont="1" applyFill="1" applyBorder="1" applyAlignment="1">
      <alignment horizontal="center"/>
    </xf>
    <xf numFmtId="0" fontId="18" fillId="0" borderId="0" xfId="0" applyFont="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xf>
    <xf numFmtId="0" fontId="24" fillId="0" borderId="1" xfId="0" applyFont="1" applyBorder="1" applyAlignment="1">
      <alignment horizontal="center" wrapText="1"/>
    </xf>
    <xf numFmtId="0" fontId="2" fillId="7" borderId="20" xfId="0" applyFont="1" applyFill="1" applyBorder="1" applyAlignment="1">
      <alignment horizontal="center" vertical="center"/>
    </xf>
    <xf numFmtId="0" fontId="2" fillId="7" borderId="22" xfId="0" applyFont="1" applyFill="1" applyBorder="1" applyAlignment="1">
      <alignment horizontal="center" vertical="center"/>
    </xf>
    <xf numFmtId="0" fontId="2" fillId="7" borderId="37" xfId="0" applyFont="1" applyFill="1" applyBorder="1" applyAlignment="1">
      <alignment horizontal="center" vertical="center"/>
    </xf>
    <xf numFmtId="0" fontId="44" fillId="10" borderId="43" xfId="7" applyFont="1" applyFill="1" applyBorder="1" applyAlignment="1">
      <alignment horizontal="left"/>
    </xf>
    <xf numFmtId="0" fontId="40" fillId="9" borderId="26" xfId="7" applyFont="1" applyFill="1" applyBorder="1" applyAlignment="1">
      <alignment horizontal="center" vertical="center" wrapText="1"/>
    </xf>
    <xf numFmtId="0" fontId="40" fillId="9" borderId="41" xfId="7" applyFont="1" applyFill="1" applyBorder="1" applyAlignment="1">
      <alignment horizontal="center" vertical="center" wrapText="1"/>
    </xf>
    <xf numFmtId="0" fontId="40" fillId="9" borderId="42" xfId="7" applyFont="1" applyFill="1" applyBorder="1" applyAlignment="1">
      <alignment horizontal="center" vertical="center" wrapText="1"/>
    </xf>
    <xf numFmtId="0" fontId="43" fillId="0" borderId="22" xfId="7" applyFont="1" applyBorder="1" applyAlignment="1">
      <alignment horizontal="right"/>
    </xf>
    <xf numFmtId="0" fontId="43" fillId="0" borderId="37" xfId="7" applyFont="1" applyBorder="1" applyAlignment="1">
      <alignment horizontal="right"/>
    </xf>
    <xf numFmtId="0" fontId="42" fillId="0" borderId="3" xfId="7" applyFont="1" applyBorder="1" applyAlignment="1">
      <alignment horizontal="center"/>
    </xf>
    <xf numFmtId="0" fontId="41" fillId="0" borderId="1" xfId="7" applyFont="1" applyBorder="1" applyAlignment="1">
      <alignment horizontal="left"/>
    </xf>
    <xf numFmtId="0" fontId="43" fillId="0" borderId="17" xfId="7" applyFont="1" applyBorder="1" applyAlignment="1">
      <alignment horizontal="center"/>
    </xf>
    <xf numFmtId="0" fontId="43" fillId="0" borderId="30" xfId="7" applyFont="1" applyBorder="1" applyAlignment="1">
      <alignment horizontal="center"/>
    </xf>
    <xf numFmtId="0" fontId="43" fillId="0" borderId="29" xfId="7" applyFont="1" applyBorder="1" applyAlignment="1">
      <alignment horizontal="center"/>
    </xf>
    <xf numFmtId="0" fontId="46" fillId="6" borderId="1" xfId="10" applyFont="1" applyFill="1" applyBorder="1" applyAlignment="1">
      <alignment horizontal="center"/>
    </xf>
    <xf numFmtId="0" fontId="46" fillId="4" borderId="35" xfId="10" applyFont="1" applyFill="1" applyBorder="1" applyAlignment="1">
      <alignment horizontal="center"/>
    </xf>
    <xf numFmtId="0" fontId="46" fillId="4" borderId="36" xfId="10" applyFont="1" applyFill="1" applyBorder="1" applyAlignment="1">
      <alignment horizontal="center"/>
    </xf>
    <xf numFmtId="0" fontId="46" fillId="11" borderId="1" xfId="10" applyFont="1" applyFill="1" applyBorder="1" applyAlignment="1">
      <alignment horizontal="center"/>
    </xf>
    <xf numFmtId="0" fontId="46" fillId="6" borderId="2" xfId="10" applyFont="1" applyFill="1" applyBorder="1" applyAlignment="1">
      <alignment horizontal="center"/>
    </xf>
    <xf numFmtId="0" fontId="46" fillId="6" borderId="36" xfId="10" applyFont="1" applyFill="1" applyBorder="1" applyAlignment="1">
      <alignment horizontal="center"/>
    </xf>
    <xf numFmtId="49" fontId="46" fillId="4" borderId="2" xfId="10" applyNumberFormat="1" applyFont="1" applyFill="1" applyBorder="1" applyAlignment="1">
      <alignment horizontal="center"/>
    </xf>
    <xf numFmtId="49" fontId="46" fillId="4" borderId="35" xfId="10" applyNumberFormat="1" applyFont="1" applyFill="1" applyBorder="1" applyAlignment="1">
      <alignment horizontal="center"/>
    </xf>
    <xf numFmtId="49" fontId="46" fillId="4" borderId="36" xfId="10" applyNumberFormat="1" applyFont="1" applyFill="1" applyBorder="1" applyAlignment="1">
      <alignment horizontal="center"/>
    </xf>
    <xf numFmtId="17" fontId="46" fillId="4" borderId="2" xfId="10" quotePrefix="1" applyNumberFormat="1" applyFont="1" applyFill="1" applyBorder="1" applyAlignment="1">
      <alignment horizontal="center"/>
    </xf>
    <xf numFmtId="17" fontId="46" fillId="4" borderId="35" xfId="10" quotePrefix="1" applyNumberFormat="1" applyFont="1" applyFill="1" applyBorder="1" applyAlignment="1">
      <alignment horizontal="center"/>
    </xf>
    <xf numFmtId="17" fontId="46" fillId="4" borderId="36" xfId="10" quotePrefix="1" applyNumberFormat="1" applyFont="1" applyFill="1" applyBorder="1" applyAlignment="1">
      <alignment horizontal="center"/>
    </xf>
    <xf numFmtId="0" fontId="50" fillId="12" borderId="1" xfId="10" applyFont="1" applyFill="1" applyBorder="1" applyAlignment="1">
      <alignment horizontal="center"/>
    </xf>
    <xf numFmtId="0" fontId="47" fillId="12" borderId="1" xfId="10" applyFont="1" applyFill="1" applyBorder="1" applyAlignment="1">
      <alignment horizontal="center"/>
    </xf>
    <xf numFmtId="0" fontId="48" fillId="12" borderId="2" xfId="10" applyFont="1" applyFill="1" applyBorder="1" applyAlignment="1">
      <alignment horizontal="center"/>
    </xf>
    <xf numFmtId="0" fontId="48" fillId="12" borderId="35" xfId="10" applyFont="1" applyFill="1" applyBorder="1" applyAlignment="1">
      <alignment horizontal="center"/>
    </xf>
    <xf numFmtId="0" fontId="48" fillId="12" borderId="36" xfId="10" applyFont="1" applyFill="1" applyBorder="1" applyAlignment="1">
      <alignment horizontal="center"/>
    </xf>
    <xf numFmtId="0" fontId="48" fillId="12" borderId="2" xfId="10" applyFont="1" applyFill="1" applyBorder="1" applyAlignment="1">
      <alignment horizontal="center" vertical="center"/>
    </xf>
    <xf numFmtId="0" fontId="48" fillId="12" borderId="35" xfId="10" applyFont="1" applyFill="1" applyBorder="1" applyAlignment="1">
      <alignment horizontal="center" vertical="center"/>
    </xf>
    <xf numFmtId="0" fontId="48" fillId="12" borderId="36" xfId="10" applyFont="1" applyFill="1" applyBorder="1" applyAlignment="1">
      <alignment horizontal="center" vertical="center"/>
    </xf>
    <xf numFmtId="0" fontId="47" fillId="12" borderId="2" xfId="10" applyFont="1" applyFill="1" applyBorder="1" applyAlignment="1">
      <alignment horizontal="center"/>
    </xf>
    <xf numFmtId="0" fontId="47" fillId="12" borderId="35" xfId="10" applyFont="1" applyFill="1" applyBorder="1" applyAlignment="1">
      <alignment horizontal="center"/>
    </xf>
    <xf numFmtId="0" fontId="47" fillId="12" borderId="36" xfId="10" applyFont="1" applyFill="1" applyBorder="1" applyAlignment="1">
      <alignment horizontal="center"/>
    </xf>
    <xf numFmtId="0" fontId="48" fillId="12" borderId="1" xfId="10" applyFont="1" applyFill="1" applyBorder="1" applyAlignment="1">
      <alignment horizontal="center"/>
    </xf>
    <xf numFmtId="0" fontId="45" fillId="12" borderId="1" xfId="10" applyFill="1" applyBorder="1" applyAlignment="1">
      <alignment horizontal="center"/>
    </xf>
    <xf numFmtId="0" fontId="47" fillId="12" borderId="2" xfId="10" applyFont="1" applyFill="1" applyBorder="1" applyAlignment="1">
      <alignment horizontal="center" wrapText="1"/>
    </xf>
    <xf numFmtId="0" fontId="47" fillId="12" borderId="35" xfId="10" applyFont="1" applyFill="1" applyBorder="1" applyAlignment="1">
      <alignment horizontal="center" wrapText="1"/>
    </xf>
    <xf numFmtId="0" fontId="47" fillId="12" borderId="36" xfId="10" applyFont="1" applyFill="1" applyBorder="1" applyAlignment="1">
      <alignment horizontal="center" wrapText="1"/>
    </xf>
    <xf numFmtId="0" fontId="50" fillId="0" borderId="0" xfId="10" applyFont="1" applyAlignment="1">
      <alignment horizontal="left" wrapText="1"/>
    </xf>
    <xf numFmtId="0" fontId="52" fillId="12" borderId="1" xfId="10" applyFont="1" applyFill="1" applyBorder="1" applyAlignment="1">
      <alignment horizontal="center"/>
    </xf>
  </cellXfs>
  <cellStyles count="11">
    <cellStyle name="Comma [0] 2" xfId="3" xr:uid="{00000000-0005-0000-0000-000001000000}"/>
    <cellStyle name="Hyperlink" xfId="8" builtinId="8"/>
    <cellStyle name="Normal" xfId="0" builtinId="0"/>
    <cellStyle name="Normal 16 2" xfId="7" xr:uid="{00000000-0005-0000-0000-000003000000}"/>
    <cellStyle name="Normal 2" xfId="2" xr:uid="{00000000-0005-0000-0000-000004000000}"/>
    <cellStyle name="Normal 2 2" xfId="9" xr:uid="{68BB18E6-FBED-4E89-B43B-BA3DA526E934}"/>
    <cellStyle name="Normal 3" xfId="6" xr:uid="{00000000-0005-0000-0000-000005000000}"/>
    <cellStyle name="Normal 3 2" xfId="4" xr:uid="{00000000-0005-0000-0000-000006000000}"/>
    <cellStyle name="Normal 4" xfId="10" xr:uid="{BE42B5F8-1E1A-4CF6-AEFE-75FBA0533F65}"/>
    <cellStyle name="Percent" xfId="1" builtinId="5"/>
    <cellStyle name="Percent 2" xfId="5" xr:uid="{00000000-0005-0000-0000-000008000000}"/>
  </cellStyles>
  <dxfs count="0"/>
  <tableStyles count="0" defaultTableStyle="TableStyleMedium2" defaultPivotStyle="PivotStyleMedium9"/>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7.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529300</xdr:colOff>
      <xdr:row>5</xdr:row>
      <xdr:rowOff>395696</xdr:rowOff>
    </xdr:from>
    <xdr:to>
      <xdr:col>12</xdr:col>
      <xdr:colOff>486384</xdr:colOff>
      <xdr:row>6</xdr:row>
      <xdr:rowOff>405167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372679" y="1461016"/>
          <a:ext cx="9877880" cy="9342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129540</xdr:colOff>
      <xdr:row>16</xdr:row>
      <xdr:rowOff>38100</xdr:rowOff>
    </xdr:from>
    <xdr:to>
      <xdr:col>4</xdr:col>
      <xdr:colOff>1661293</xdr:colOff>
      <xdr:row>17</xdr:row>
      <xdr:rowOff>135280</xdr:rowOff>
    </xdr:to>
    <xdr:pic>
      <xdr:nvPicPr>
        <xdr:cNvPr id="2" name="Picture 1">
          <a:extLst>
            <a:ext uri="{FF2B5EF4-FFF2-40B4-BE49-F238E27FC236}">
              <a16:creationId xmlns:a16="http://schemas.microsoft.com/office/drawing/2014/main" id="{AE2E5AE8-A4CC-03F9-114B-A96452956BEB}"/>
            </a:ext>
          </a:extLst>
        </xdr:cNvPr>
        <xdr:cNvPicPr>
          <a:picLocks noChangeAspect="1"/>
        </xdr:cNvPicPr>
      </xdr:nvPicPr>
      <xdr:blipFill>
        <a:blip xmlns:r="http://schemas.openxmlformats.org/officeDocument/2006/relationships" r:embed="rId1"/>
        <a:stretch>
          <a:fillRect/>
        </a:stretch>
      </xdr:blipFill>
      <xdr:spPr>
        <a:xfrm>
          <a:off x="5722620" y="2575560"/>
          <a:ext cx="1531753" cy="2876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32174</xdr:colOff>
      <xdr:row>36</xdr:row>
      <xdr:rowOff>19473</xdr:rowOff>
    </xdr:from>
    <xdr:to>
      <xdr:col>4</xdr:col>
      <xdr:colOff>199465</xdr:colOff>
      <xdr:row>37</xdr:row>
      <xdr:rowOff>15240</xdr:rowOff>
    </xdr:to>
    <xdr:pic>
      <xdr:nvPicPr>
        <xdr:cNvPr id="6" name="Picture 5">
          <a:extLst>
            <a:ext uri="{FF2B5EF4-FFF2-40B4-BE49-F238E27FC236}">
              <a16:creationId xmlns:a16="http://schemas.microsoft.com/office/drawing/2014/main" id="{4C5C0A09-E0A5-2A52-94D4-7451BA5575E8}"/>
            </a:ext>
          </a:extLst>
        </xdr:cNvPr>
        <xdr:cNvPicPr>
          <a:picLocks noChangeAspect="1"/>
        </xdr:cNvPicPr>
      </xdr:nvPicPr>
      <xdr:blipFill>
        <a:blip xmlns:r="http://schemas.openxmlformats.org/officeDocument/2006/relationships" r:embed="rId1"/>
        <a:stretch>
          <a:fillRect/>
        </a:stretch>
      </xdr:blipFill>
      <xdr:spPr>
        <a:xfrm>
          <a:off x="634154" y="5201073"/>
          <a:ext cx="3236246" cy="468207"/>
        </a:xfrm>
        <a:prstGeom prst="rect">
          <a:avLst/>
        </a:prstGeom>
        <a:solidFill>
          <a:srgbClr val="FFFFFF">
            <a:shade val="85000"/>
          </a:srgbClr>
        </a:solidFill>
        <a:ln w="12700" cap="sq">
          <a:solidFill>
            <a:srgbClr val="0070C0"/>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editAs="oneCell">
    <xdr:from>
      <xdr:col>1</xdr:col>
      <xdr:colOff>76201</xdr:colOff>
      <xdr:row>8</xdr:row>
      <xdr:rowOff>53341</xdr:rowOff>
    </xdr:from>
    <xdr:to>
      <xdr:col>3</xdr:col>
      <xdr:colOff>320040</xdr:colOff>
      <xdr:row>10</xdr:row>
      <xdr:rowOff>78809</xdr:rowOff>
    </xdr:to>
    <xdr:pic>
      <xdr:nvPicPr>
        <xdr:cNvPr id="7" name="Picture 6">
          <a:extLst>
            <a:ext uri="{FF2B5EF4-FFF2-40B4-BE49-F238E27FC236}">
              <a16:creationId xmlns:a16="http://schemas.microsoft.com/office/drawing/2014/main" id="{20620C7E-B382-D03E-0977-BA05E05490C5}"/>
            </a:ext>
          </a:extLst>
        </xdr:cNvPr>
        <xdr:cNvPicPr>
          <a:picLocks noChangeAspect="1"/>
        </xdr:cNvPicPr>
      </xdr:nvPicPr>
      <xdr:blipFill>
        <a:blip xmlns:r="http://schemas.openxmlformats.org/officeDocument/2006/relationships" r:embed="rId2"/>
        <a:stretch>
          <a:fillRect/>
        </a:stretch>
      </xdr:blipFill>
      <xdr:spPr>
        <a:xfrm>
          <a:off x="685801" y="1546861"/>
          <a:ext cx="2583179" cy="391228"/>
        </a:xfrm>
        <a:prstGeom prst="rect">
          <a:avLst/>
        </a:prstGeom>
        <a:ln w="12700">
          <a:solidFill>
            <a:schemeClr val="tx1"/>
          </a:solidFill>
        </a:ln>
      </xdr:spPr>
    </xdr:pic>
    <xdr:clientData/>
  </xdr:twoCellAnchor>
  <xdr:twoCellAnchor editAs="oneCell">
    <xdr:from>
      <xdr:col>9</xdr:col>
      <xdr:colOff>60961</xdr:colOff>
      <xdr:row>73</xdr:row>
      <xdr:rowOff>60960</xdr:rowOff>
    </xdr:from>
    <xdr:to>
      <xdr:col>10</xdr:col>
      <xdr:colOff>518160</xdr:colOff>
      <xdr:row>74</xdr:row>
      <xdr:rowOff>188513</xdr:rowOff>
    </xdr:to>
    <xdr:pic>
      <xdr:nvPicPr>
        <xdr:cNvPr id="2" name="Picture 1">
          <a:extLst>
            <a:ext uri="{FF2B5EF4-FFF2-40B4-BE49-F238E27FC236}">
              <a16:creationId xmlns:a16="http://schemas.microsoft.com/office/drawing/2014/main" id="{3AB77068-0DD4-990A-F876-EE89FE3BA714}"/>
            </a:ext>
          </a:extLst>
        </xdr:cNvPr>
        <xdr:cNvPicPr>
          <a:picLocks noChangeAspect="1"/>
        </xdr:cNvPicPr>
      </xdr:nvPicPr>
      <xdr:blipFill>
        <a:blip xmlns:r="http://schemas.openxmlformats.org/officeDocument/2006/relationships" r:embed="rId3"/>
        <a:stretch>
          <a:fillRect/>
        </a:stretch>
      </xdr:blipFill>
      <xdr:spPr>
        <a:xfrm>
          <a:off x="9144001" y="18387060"/>
          <a:ext cx="2164079" cy="335198"/>
        </a:xfrm>
        <a:prstGeom prst="rect">
          <a:avLst/>
        </a:prstGeom>
        <a:ln w="12700">
          <a:solidFill>
            <a:schemeClr val="tx1"/>
          </a:solidFill>
        </a:ln>
      </xdr:spPr>
    </xdr:pic>
    <xdr:clientData/>
  </xdr:twoCellAnchor>
  <xdr:twoCellAnchor editAs="oneCell">
    <xdr:from>
      <xdr:col>9</xdr:col>
      <xdr:colOff>22860</xdr:colOff>
      <xdr:row>57</xdr:row>
      <xdr:rowOff>60960</xdr:rowOff>
    </xdr:from>
    <xdr:to>
      <xdr:col>10</xdr:col>
      <xdr:colOff>274490</xdr:colOff>
      <xdr:row>59</xdr:row>
      <xdr:rowOff>22894</xdr:rowOff>
    </xdr:to>
    <xdr:pic>
      <xdr:nvPicPr>
        <xdr:cNvPr id="3" name="Picture 2">
          <a:extLst>
            <a:ext uri="{FF2B5EF4-FFF2-40B4-BE49-F238E27FC236}">
              <a16:creationId xmlns:a16="http://schemas.microsoft.com/office/drawing/2014/main" id="{DECA49CE-49BE-9AF0-0C3C-982B15B61173}"/>
            </a:ext>
          </a:extLst>
        </xdr:cNvPr>
        <xdr:cNvPicPr>
          <a:picLocks noChangeAspect="1"/>
        </xdr:cNvPicPr>
      </xdr:nvPicPr>
      <xdr:blipFill>
        <a:blip xmlns:r="http://schemas.openxmlformats.org/officeDocument/2006/relationships" r:embed="rId4"/>
        <a:stretch>
          <a:fillRect/>
        </a:stretch>
      </xdr:blipFill>
      <xdr:spPr>
        <a:xfrm>
          <a:off x="9105900" y="12092940"/>
          <a:ext cx="1958510" cy="396274"/>
        </a:xfrm>
        <a:prstGeom prst="rect">
          <a:avLst/>
        </a:prstGeom>
      </xdr:spPr>
    </xdr:pic>
    <xdr:clientData/>
  </xdr:twoCellAnchor>
  <xdr:twoCellAnchor editAs="oneCell">
    <xdr:from>
      <xdr:col>9</xdr:col>
      <xdr:colOff>91440</xdr:colOff>
      <xdr:row>59</xdr:row>
      <xdr:rowOff>76200</xdr:rowOff>
    </xdr:from>
    <xdr:to>
      <xdr:col>10</xdr:col>
      <xdr:colOff>144933</xdr:colOff>
      <xdr:row>60</xdr:row>
      <xdr:rowOff>76217</xdr:rowOff>
    </xdr:to>
    <xdr:pic>
      <xdr:nvPicPr>
        <xdr:cNvPr id="5" name="Picture 4">
          <a:extLst>
            <a:ext uri="{FF2B5EF4-FFF2-40B4-BE49-F238E27FC236}">
              <a16:creationId xmlns:a16="http://schemas.microsoft.com/office/drawing/2014/main" id="{B873676B-2B0C-FF12-079A-0AC5471FE41C}"/>
            </a:ext>
          </a:extLst>
        </xdr:cNvPr>
        <xdr:cNvPicPr>
          <a:picLocks noChangeAspect="1"/>
        </xdr:cNvPicPr>
      </xdr:nvPicPr>
      <xdr:blipFill>
        <a:blip xmlns:r="http://schemas.openxmlformats.org/officeDocument/2006/relationships" r:embed="rId5"/>
        <a:stretch>
          <a:fillRect/>
        </a:stretch>
      </xdr:blipFill>
      <xdr:spPr>
        <a:xfrm>
          <a:off x="9174480" y="12542520"/>
          <a:ext cx="1760373" cy="1981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rkaran%20Singh\Downloads\2021-22%20CO2%20database%20final_VM281222_Publish%20(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yste\Downloads\ER%20Sheet%20of%2020%20MW%20solar%20project%20in%20Uttar%20Pradesh.xlsm" TargetMode="External"/><Relationship Id="rId1" Type="http://schemas.openxmlformats.org/officeDocument/2006/relationships/externalLinkPath" Target="file:///C:\Users\syste\Downloads\ER%20Sheet%20of%2020%20MW%20solar%20project%20in%20Uttar%20Pradesh.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ocumentation"/>
      <sheetName val="Questions 13-14"/>
      <sheetName val="Questions CEA-FC 14-15"/>
      <sheetName val="FC Quality Check 1 &amp; 2"/>
      <sheetName val="Data"/>
      <sheetName val="Results"/>
      <sheetName val="Transfer (1G)"/>
      <sheetName val="Units + Abbrev"/>
      <sheetName val="Assumptions"/>
      <sheetName val="Compare"/>
      <sheetName val="BM2022"/>
      <sheetName val="Unit_Gen2022"/>
      <sheetName val="Transfers (2G)"/>
      <sheetName val="Transfers (5G)"/>
      <sheetName val="BM 1011"/>
      <sheetName val="BM 1112"/>
      <sheetName val="BM 1213"/>
      <sheetName val="BM 1314"/>
      <sheetName val="BM 1415"/>
      <sheetName val="BM 1516"/>
      <sheetName val="Stat 1011"/>
      <sheetName val="BM 1617"/>
      <sheetName val="Stat 1112"/>
      <sheetName val="Stat 1213"/>
      <sheetName val="Stat 1314"/>
      <sheetName val="Stat 1415"/>
      <sheetName val="Stat 1516"/>
      <sheetName val="BM 1718"/>
      <sheetName val="BM 1819"/>
      <sheetName val="BM2021"/>
      <sheetName val="BM 1920"/>
      <sheetName val="Stat 1617"/>
      <sheetName val="Unit_Gen 1011"/>
      <sheetName val="Unit_Gen 1112"/>
      <sheetName val="Unit_Gen 1213"/>
      <sheetName val="Unit_Gen 1314"/>
      <sheetName val="Unit_Gen 1415"/>
      <sheetName val="Unit_Gen 1516"/>
      <sheetName val="CDM Projects until 2013-14"/>
      <sheetName val="CDM Projects until 2013-14_old"/>
      <sheetName val="CDM Projects until 2014-15"/>
      <sheetName val="Unit_Gen 1617"/>
      <sheetName val="CDM Projects untill 2015-16"/>
      <sheetName val="Stat 1718"/>
      <sheetName val="Stat 1819"/>
      <sheetName val="Unit_Gen1718"/>
      <sheetName val="CDM Projects untill 2016-17"/>
      <sheetName val="Figures for User Guide 1314"/>
      <sheetName val="Figures for User Guide 1415"/>
      <sheetName val="Figures for User Guide 1516"/>
      <sheetName val="Stat 2022"/>
      <sheetName val="Stat 2021"/>
      <sheetName val="Stat 1920"/>
      <sheetName val="Unit_Gen1819"/>
      <sheetName val="Unit_Gen2021"/>
      <sheetName val="CDM Projects untill 2021-22"/>
      <sheetName val="CDM Projects untill 2020-21"/>
      <sheetName val="Figures for User Guide 2022"/>
      <sheetName val="Figures for User Guide 2021"/>
      <sheetName val="Unit_Gen 1920"/>
      <sheetName val="CDM Projects untill 2017-18"/>
      <sheetName val="CDM Projects untill 2018-19"/>
      <sheetName val="Figures for User Guide 1617"/>
      <sheetName val="Figures for User Guide 1819"/>
      <sheetName val="CDM Projects untill 201920"/>
      <sheetName val="Figures for User Guide 1920"/>
      <sheetName val="Figures for User Guide 171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DM Projects until 2013-14_old"/>
      <sheetName val="Notes on Plausibility"/>
      <sheetName val="Estimated ER"/>
      <sheetName val="EF"/>
      <sheetName val="Results"/>
      <sheetName val="Transfers (2G)"/>
      <sheetName val="Transfers (5G)"/>
      <sheetName val="Stat 0910"/>
      <sheetName val="Unit_Gen 0910"/>
    </sheetNames>
    <sheetDataSet>
      <sheetData sheetId="0"/>
      <sheetData sheetId="1"/>
      <sheetData sheetId="2"/>
      <sheetData sheetId="3"/>
      <sheetData sheetId="4">
        <row r="11">
          <cell r="H11">
            <v>958218.26963667246</v>
          </cell>
          <cell r="I11">
            <v>1035671.7914353008</v>
          </cell>
          <cell r="J11">
            <v>1117845.6599999999</v>
          </cell>
        </row>
        <row r="37">
          <cell r="H37">
            <v>0.9401732664372231</v>
          </cell>
          <cell r="I37">
            <v>0.96045934642191733</v>
          </cell>
          <cell r="J37">
            <v>0.97099999999999997</v>
          </cell>
        </row>
        <row r="38">
          <cell r="J38">
            <v>0.86699999999999999</v>
          </cell>
        </row>
      </sheetData>
      <sheetData sheetId="5"/>
      <sheetData sheetId="6"/>
      <sheetData sheetId="7"/>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cea.nic.in/wp-content/uploads/baseline/2024/04/CO2_DatabaseVersion_19_2022_23.xlsx" TargetMode="External"/><Relationship Id="rId1" Type="http://schemas.openxmlformats.org/officeDocument/2006/relationships/hyperlink" Target="https://gercin.org/wp-content/uploads/2019/09/Order-No.-4-of-2016.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s://iocl.com/light-diesel-oil" TargetMode="External"/><Relationship Id="rId2" Type="http://schemas.openxmlformats.org/officeDocument/2006/relationships/hyperlink" Target="https://iocl.com/light-diesel-oil" TargetMode="External"/><Relationship Id="rId1" Type="http://schemas.openxmlformats.org/officeDocument/2006/relationships/hyperlink" Target="https://www.ipcc-nggip.iges.or.jp/public/2006gl/pdf/2_Volume2/V2_1_Ch1_Introduction.pdf"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ipcc-nggip.iges.or.jp/public/2006gl/pdf/2_Volume2/V2_1_Ch1_Introduction.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H60"/>
  <sheetViews>
    <sheetView topLeftCell="S26" zoomScale="103" zoomScaleNormal="80" workbookViewId="0">
      <selection activeCell="AB53" sqref="AB53"/>
    </sheetView>
  </sheetViews>
  <sheetFormatPr defaultColWidth="8.85546875" defaultRowHeight="14.45"/>
  <cols>
    <col min="1" max="1" width="12.28515625" customWidth="1"/>
    <col min="2" max="2" width="32.5703125" customWidth="1"/>
    <col min="3" max="3" width="13.140625" customWidth="1"/>
    <col min="4" max="4" width="10.28515625" bestFit="1" customWidth="1"/>
    <col min="6" max="6" width="21.7109375" customWidth="1"/>
    <col min="7" max="7" width="7.5703125" customWidth="1"/>
    <col min="8" max="8" width="9" customWidth="1"/>
    <col min="10" max="10" width="13.140625" bestFit="1" customWidth="1"/>
    <col min="12" max="12" width="10.7109375" bestFit="1" customWidth="1"/>
    <col min="13" max="14" width="10.7109375" customWidth="1"/>
    <col min="15" max="15" width="10.140625" bestFit="1" customWidth="1"/>
    <col min="40" max="40" width="9.7109375" bestFit="1" customWidth="1"/>
    <col min="45" max="45" width="10.42578125" bestFit="1" customWidth="1"/>
    <col min="53" max="53" width="15.42578125" bestFit="1" customWidth="1"/>
    <col min="54" max="54" width="11.28515625" customWidth="1"/>
    <col min="55" max="55" width="16.42578125" customWidth="1"/>
    <col min="57" max="57" width="12.7109375" customWidth="1"/>
    <col min="58" max="58" width="9.7109375" bestFit="1" customWidth="1"/>
  </cols>
  <sheetData>
    <row r="2" spans="1:19">
      <c r="B2" s="278" t="s">
        <v>0</v>
      </c>
      <c r="C2" s="278"/>
      <c r="D2" s="278"/>
      <c r="E2" s="278"/>
      <c r="F2" s="278"/>
      <c r="G2" s="278"/>
      <c r="H2" s="278"/>
    </row>
    <row r="3" spans="1:19">
      <c r="B3" s="278" t="s">
        <v>1</v>
      </c>
      <c r="C3" s="278"/>
      <c r="D3" s="278"/>
      <c r="E3" s="278"/>
      <c r="F3" s="278"/>
      <c r="G3" s="278"/>
      <c r="H3" s="278"/>
    </row>
    <row r="5" spans="1:19" ht="25.9" customHeight="1">
      <c r="B5" s="279" t="s">
        <v>2</v>
      </c>
      <c r="C5" s="279"/>
      <c r="D5" s="279"/>
      <c r="E5" s="280" t="s">
        <v>3</v>
      </c>
      <c r="F5" s="281"/>
    </row>
    <row r="6" spans="1:19" ht="72.75" customHeight="1"/>
    <row r="7" spans="1:19" ht="72.75" customHeight="1">
      <c r="H7" s="73"/>
      <c r="Q7" s="135"/>
    </row>
    <row r="8" spans="1:19" ht="18">
      <c r="A8" s="235" t="s">
        <v>4</v>
      </c>
      <c r="B8" s="1" t="s">
        <v>5</v>
      </c>
      <c r="C8" s="236">
        <v>0.85</v>
      </c>
      <c r="J8" s="229" t="s">
        <v>6</v>
      </c>
      <c r="K8" s="230" t="s">
        <v>7</v>
      </c>
      <c r="L8" s="230" t="s">
        <v>8</v>
      </c>
      <c r="M8" s="230" t="s">
        <v>9</v>
      </c>
      <c r="N8" s="230" t="s">
        <v>10</v>
      </c>
    </row>
    <row r="9" spans="1:19" ht="18" customHeight="1">
      <c r="A9" s="237" t="s">
        <v>11</v>
      </c>
      <c r="B9" s="1" t="s">
        <v>12</v>
      </c>
      <c r="C9" s="238">
        <v>1</v>
      </c>
      <c r="E9" s="277" t="s">
        <v>13</v>
      </c>
      <c r="F9" s="277"/>
      <c r="G9" s="66" t="s">
        <v>14</v>
      </c>
      <c r="H9" s="3">
        <v>311</v>
      </c>
      <c r="J9" s="228" t="s">
        <v>15</v>
      </c>
      <c r="K9" s="66" t="s">
        <v>16</v>
      </c>
      <c r="L9" s="66" t="s">
        <v>17</v>
      </c>
      <c r="M9" s="66" t="s">
        <v>16</v>
      </c>
      <c r="N9" s="66" t="s">
        <v>18</v>
      </c>
      <c r="S9" s="73"/>
    </row>
    <row r="10" spans="1:19" ht="15.6">
      <c r="A10" s="235" t="s">
        <v>19</v>
      </c>
      <c r="B10" s="1" t="s">
        <v>20</v>
      </c>
      <c r="C10" s="239">
        <v>28</v>
      </c>
      <c r="E10" s="277" t="s">
        <v>21</v>
      </c>
      <c r="F10" s="277"/>
      <c r="G10" s="66" t="s">
        <v>22</v>
      </c>
      <c r="H10" s="5">
        <v>330</v>
      </c>
      <c r="J10" s="231" t="s">
        <v>23</v>
      </c>
      <c r="K10" s="165">
        <v>0.3599</v>
      </c>
      <c r="L10" s="5">
        <f>K10*$H$12</f>
        <v>36936.536999999997</v>
      </c>
      <c r="M10" s="2">
        <v>0.15</v>
      </c>
      <c r="N10" s="232">
        <v>0.4</v>
      </c>
      <c r="R10" s="6"/>
      <c r="S10" s="73"/>
    </row>
    <row r="11" spans="1:19" ht="15.6">
      <c r="A11" s="235" t="s">
        <v>24</v>
      </c>
      <c r="B11" s="1" t="s">
        <v>25</v>
      </c>
      <c r="C11" s="239">
        <v>0.9</v>
      </c>
      <c r="E11" s="277" t="s">
        <v>26</v>
      </c>
      <c r="F11" s="277"/>
      <c r="G11" s="66" t="s">
        <v>27</v>
      </c>
      <c r="H11" s="4">
        <v>24</v>
      </c>
      <c r="J11" s="120" t="s">
        <v>28</v>
      </c>
      <c r="K11" s="165">
        <v>1.1520000000000001E-2</v>
      </c>
      <c r="L11" s="5">
        <f t="shared" ref="L11:L20" si="0">K11*$H$12</f>
        <v>1182.2976000000001</v>
      </c>
      <c r="M11" s="2">
        <v>0.4</v>
      </c>
      <c r="N11" s="232">
        <v>7.0000000000000007E-2</v>
      </c>
      <c r="R11" s="6"/>
    </row>
    <row r="12" spans="1:19" ht="19.149999999999999" customHeight="1">
      <c r="A12" s="235" t="s">
        <v>29</v>
      </c>
      <c r="B12" s="1" t="s">
        <v>30</v>
      </c>
      <c r="C12" s="239">
        <v>0.5</v>
      </c>
      <c r="E12" s="277" t="s">
        <v>31</v>
      </c>
      <c r="F12" s="277"/>
      <c r="G12" s="66" t="s">
        <v>32</v>
      </c>
      <c r="H12" s="3">
        <f>H9*H10</f>
        <v>102630</v>
      </c>
      <c r="J12" s="120" t="s">
        <v>33</v>
      </c>
      <c r="K12" s="165">
        <v>0</v>
      </c>
      <c r="L12" s="5">
        <f t="shared" si="0"/>
        <v>0</v>
      </c>
      <c r="M12" s="2">
        <v>0.43</v>
      </c>
      <c r="N12" s="232">
        <v>3.5000000000000003E-2</v>
      </c>
      <c r="R12" s="6"/>
    </row>
    <row r="13" spans="1:19" ht="15.6">
      <c r="A13" s="235" t="s">
        <v>34</v>
      </c>
      <c r="B13" s="1" t="s">
        <v>35</v>
      </c>
      <c r="C13" s="239">
        <v>0.5</v>
      </c>
      <c r="J13" s="120" t="s">
        <v>36</v>
      </c>
      <c r="K13" s="165">
        <v>0.13424</v>
      </c>
      <c r="L13" s="5">
        <f t="shared" si="0"/>
        <v>13777.0512</v>
      </c>
      <c r="M13" s="2">
        <v>0.2</v>
      </c>
      <c r="N13" s="232">
        <v>0.17</v>
      </c>
      <c r="R13" s="6"/>
    </row>
    <row r="14" spans="1:19" ht="15.6">
      <c r="A14" s="235" t="s">
        <v>37</v>
      </c>
      <c r="B14" s="1" t="s">
        <v>38</v>
      </c>
      <c r="C14" s="239">
        <v>1</v>
      </c>
      <c r="H14" t="s">
        <v>39</v>
      </c>
      <c r="J14" s="120" t="s">
        <v>40</v>
      </c>
      <c r="K14" s="165">
        <v>2.5239999999999999E-2</v>
      </c>
      <c r="L14" s="5">
        <f t="shared" si="0"/>
        <v>2590.3811999999998</v>
      </c>
      <c r="M14" s="2">
        <v>0.43</v>
      </c>
      <c r="N14" s="232">
        <v>3.5000000000000003E-2</v>
      </c>
      <c r="R14" s="6"/>
    </row>
    <row r="15" spans="1:19" ht="16.149999999999999">
      <c r="A15" s="268" t="s">
        <v>41</v>
      </c>
      <c r="B15" s="268"/>
      <c r="C15" s="164">
        <f>C8*(C9)*C10*C11*C12*C13*C14*(16/12)</f>
        <v>7.1400000000000006</v>
      </c>
      <c r="J15" s="120" t="s">
        <v>42</v>
      </c>
      <c r="K15" s="165">
        <v>0.11823</v>
      </c>
      <c r="L15" s="79">
        <f>K15*$H$12</f>
        <v>12133.9449</v>
      </c>
      <c r="M15" s="2">
        <v>0</v>
      </c>
      <c r="N15" s="232"/>
      <c r="R15" s="6"/>
    </row>
    <row r="16" spans="1:19" ht="15.6">
      <c r="J16" s="120" t="s">
        <v>43</v>
      </c>
      <c r="K16" s="165">
        <v>0.12493</v>
      </c>
      <c r="L16" s="5">
        <f t="shared" si="0"/>
        <v>12821.5659</v>
      </c>
      <c r="M16" s="2">
        <v>0.24</v>
      </c>
      <c r="N16" s="232">
        <v>7.0000000000000007E-2</v>
      </c>
      <c r="R16" s="6"/>
    </row>
    <row r="17" spans="1:60" ht="15.6">
      <c r="J17" s="120" t="s">
        <v>44</v>
      </c>
      <c r="K17" s="165">
        <v>8.2000000000000007E-3</v>
      </c>
      <c r="L17" s="5">
        <f t="shared" si="0"/>
        <v>841.56600000000003</v>
      </c>
      <c r="M17" s="2">
        <v>0</v>
      </c>
      <c r="N17" s="232">
        <v>7.0000000000000007E-2</v>
      </c>
      <c r="R17" s="6"/>
    </row>
    <row r="18" spans="1:60" ht="15.6">
      <c r="J18" s="120" t="s">
        <v>45</v>
      </c>
      <c r="K18" s="165">
        <v>4.4000000000000002E-4</v>
      </c>
      <c r="L18" s="5">
        <f t="shared" si="0"/>
        <v>45.157200000000003</v>
      </c>
      <c r="M18" s="2">
        <v>0</v>
      </c>
      <c r="N18" s="4"/>
    </row>
    <row r="19" spans="1:60" ht="15.6">
      <c r="J19" s="120" t="s">
        <v>46</v>
      </c>
      <c r="K19" s="165">
        <v>1.2999999999999999E-3</v>
      </c>
      <c r="L19" s="5">
        <f t="shared" si="0"/>
        <v>133.41899999999998</v>
      </c>
      <c r="M19" s="2">
        <v>0</v>
      </c>
      <c r="N19" s="4"/>
    </row>
    <row r="20" spans="1:60" ht="15.6">
      <c r="J20" s="120" t="s">
        <v>47</v>
      </c>
      <c r="K20" s="165">
        <v>0.216</v>
      </c>
      <c r="L20" s="5">
        <f t="shared" si="0"/>
        <v>22168.079999999998</v>
      </c>
      <c r="M20" s="2">
        <v>0</v>
      </c>
      <c r="N20" s="4"/>
    </row>
    <row r="21" spans="1:60" ht="20.25" customHeight="1">
      <c r="J21" s="120" t="s">
        <v>48</v>
      </c>
      <c r="K21" s="233">
        <f>SUM(K10:K20)</f>
        <v>0.99999999999999989</v>
      </c>
      <c r="L21" s="3">
        <f>ROUNDDOWN(SUM(L10:L20),0)</f>
        <v>102630</v>
      </c>
      <c r="M21" s="234">
        <f>SUMPRODUCT($K$10:$K$20,M10:M20)</f>
        <v>0.12627739999999998</v>
      </c>
      <c r="N21" s="234">
        <f>SUMPRODUCT($K$10:$K$20,N10:N20)</f>
        <v>0.17778970000000002</v>
      </c>
    </row>
    <row r="24" spans="1:60" ht="15" thickBot="1">
      <c r="AT24" s="81"/>
    </row>
    <row r="25" spans="1:60" ht="15" customHeight="1" thickBot="1">
      <c r="A25" s="262" t="s">
        <v>49</v>
      </c>
      <c r="B25" s="263"/>
      <c r="C25" s="263"/>
      <c r="D25" s="263"/>
      <c r="E25" s="263"/>
      <c r="F25" s="263"/>
      <c r="G25" s="263"/>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3"/>
      <c r="AG25" s="263"/>
      <c r="AH25" s="263"/>
      <c r="AI25" s="263"/>
      <c r="AJ25" s="263"/>
      <c r="AK25" s="263"/>
      <c r="AL25" s="263"/>
      <c r="AM25" s="263"/>
      <c r="AN25" s="263"/>
      <c r="AO25" s="263"/>
      <c r="AP25" s="263"/>
      <c r="AQ25" s="263"/>
      <c r="AR25" s="263"/>
      <c r="AS25" s="263"/>
      <c r="AT25" s="263"/>
      <c r="AU25" s="263"/>
      <c r="AV25" s="263"/>
      <c r="AW25" s="263"/>
      <c r="AX25" s="263"/>
      <c r="AY25" s="263"/>
      <c r="AZ25" s="263"/>
      <c r="BA25" s="263"/>
      <c r="BB25" s="263"/>
      <c r="BC25" s="263"/>
      <c r="BD25" s="264"/>
    </row>
    <row r="26" spans="1:60" ht="43.9">
      <c r="A26" s="269" t="s">
        <v>50</v>
      </c>
      <c r="B26" s="271" t="s">
        <v>51</v>
      </c>
      <c r="C26" s="273" t="s">
        <v>52</v>
      </c>
      <c r="D26" s="265" t="s">
        <v>23</v>
      </c>
      <c r="E26" s="266"/>
      <c r="F26" s="266"/>
      <c r="G26" s="266"/>
      <c r="H26" s="267"/>
      <c r="I26" s="265" t="s">
        <v>28</v>
      </c>
      <c r="J26" s="266"/>
      <c r="K26" s="266"/>
      <c r="L26" s="266"/>
      <c r="M26" s="267"/>
      <c r="N26" s="265" t="s">
        <v>33</v>
      </c>
      <c r="O26" s="266"/>
      <c r="P26" s="266"/>
      <c r="Q26" s="266"/>
      <c r="R26" s="267"/>
      <c r="S26" s="265" t="s">
        <v>36</v>
      </c>
      <c r="T26" s="266"/>
      <c r="U26" s="266"/>
      <c r="V26" s="266"/>
      <c r="W26" s="267"/>
      <c r="X26" s="265" t="s">
        <v>40</v>
      </c>
      <c r="Y26" s="266"/>
      <c r="Z26" s="266"/>
      <c r="AA26" s="266"/>
      <c r="AB26" s="267"/>
      <c r="AC26" s="265" t="s">
        <v>43</v>
      </c>
      <c r="AD26" s="266"/>
      <c r="AE26" s="266"/>
      <c r="AF26" s="266"/>
      <c r="AG26" s="266"/>
      <c r="AH26" s="272" t="s">
        <v>44</v>
      </c>
      <c r="AI26" s="275"/>
      <c r="AJ26" s="275"/>
      <c r="AK26" s="275"/>
      <c r="AL26" s="276"/>
      <c r="AM26" s="48" t="s">
        <v>53</v>
      </c>
      <c r="AN26" s="49"/>
      <c r="AO26" s="48" t="s">
        <v>54</v>
      </c>
      <c r="AP26" s="49"/>
      <c r="AQ26" s="48" t="s">
        <v>55</v>
      </c>
      <c r="AR26" s="49"/>
      <c r="AS26" s="48" t="s">
        <v>56</v>
      </c>
      <c r="AT26" s="49"/>
      <c r="AU26" s="48" t="s">
        <v>57</v>
      </c>
      <c r="AV26" s="49"/>
      <c r="AW26" s="48" t="s">
        <v>58</v>
      </c>
      <c r="AX26" s="49"/>
      <c r="AY26" s="48" t="s">
        <v>59</v>
      </c>
      <c r="AZ26" s="49"/>
      <c r="BA26" s="185" t="s">
        <v>60</v>
      </c>
      <c r="BB26" s="186" t="s">
        <v>61</v>
      </c>
      <c r="BC26" s="186" t="s">
        <v>62</v>
      </c>
      <c r="BD26" s="57"/>
    </row>
    <row r="27" spans="1:60" ht="16.149999999999999" thickBot="1">
      <c r="A27" s="270"/>
      <c r="B27" s="272"/>
      <c r="C27" s="274"/>
      <c r="D27" s="22" t="s">
        <v>63</v>
      </c>
      <c r="E27" s="15" t="s">
        <v>64</v>
      </c>
      <c r="F27" s="15" t="s">
        <v>65</v>
      </c>
      <c r="G27" s="15" t="s">
        <v>66</v>
      </c>
      <c r="H27" s="23" t="s">
        <v>67</v>
      </c>
      <c r="I27" s="24" t="s">
        <v>63</v>
      </c>
      <c r="J27" s="15" t="s">
        <v>64</v>
      </c>
      <c r="K27" s="15" t="s">
        <v>65</v>
      </c>
      <c r="L27" s="15" t="s">
        <v>66</v>
      </c>
      <c r="M27" s="25" t="s">
        <v>67</v>
      </c>
      <c r="N27" s="24" t="s">
        <v>63</v>
      </c>
      <c r="O27" s="15" t="s">
        <v>64</v>
      </c>
      <c r="P27" s="15" t="s">
        <v>65</v>
      </c>
      <c r="Q27" s="15" t="s">
        <v>66</v>
      </c>
      <c r="R27" s="25" t="s">
        <v>67</v>
      </c>
      <c r="S27" s="24" t="s">
        <v>63</v>
      </c>
      <c r="T27" s="15" t="s">
        <v>64</v>
      </c>
      <c r="U27" s="15" t="s">
        <v>65</v>
      </c>
      <c r="V27" s="15" t="s">
        <v>66</v>
      </c>
      <c r="W27" s="25" t="s">
        <v>67</v>
      </c>
      <c r="X27" s="24" t="s">
        <v>63</v>
      </c>
      <c r="Y27" s="15" t="s">
        <v>64</v>
      </c>
      <c r="Z27" s="15" t="s">
        <v>65</v>
      </c>
      <c r="AA27" s="15" t="s">
        <v>66</v>
      </c>
      <c r="AB27" s="25" t="s">
        <v>67</v>
      </c>
      <c r="AC27" s="26" t="s">
        <v>63</v>
      </c>
      <c r="AD27" s="16" t="s">
        <v>64</v>
      </c>
      <c r="AE27" s="16" t="s">
        <v>65</v>
      </c>
      <c r="AF27" s="16" t="s">
        <v>66</v>
      </c>
      <c r="AG27" s="27" t="s">
        <v>67</v>
      </c>
      <c r="AH27" s="29" t="s">
        <v>68</v>
      </c>
      <c r="AI27" s="28" t="s">
        <v>69</v>
      </c>
      <c r="AJ27" s="28" t="s">
        <v>65</v>
      </c>
      <c r="AK27" s="28" t="s">
        <v>66</v>
      </c>
      <c r="AL27" s="47" t="s">
        <v>67</v>
      </c>
      <c r="AM27" s="48"/>
      <c r="AN27" s="49"/>
      <c r="AO27" s="48"/>
      <c r="AP27" s="49"/>
      <c r="AQ27" s="48"/>
      <c r="AR27" s="49"/>
      <c r="AS27" s="48"/>
      <c r="AT27" s="49"/>
      <c r="AU27" s="48"/>
      <c r="AV27" s="49"/>
      <c r="AW27" s="48"/>
      <c r="AX27" s="49"/>
      <c r="AY27" s="48"/>
      <c r="AZ27" s="49"/>
      <c r="BA27" s="48"/>
      <c r="BB27" s="31"/>
      <c r="BC27" s="30"/>
      <c r="BD27" s="58"/>
    </row>
    <row r="28" spans="1:60" ht="15.6" thickBot="1">
      <c r="A28" s="17" t="s">
        <v>70</v>
      </c>
      <c r="B28" s="18">
        <v>1</v>
      </c>
      <c r="C28" s="19">
        <v>1</v>
      </c>
      <c r="D28" s="32">
        <f>$L$10</f>
        <v>36936.536999999997</v>
      </c>
      <c r="E28" s="33">
        <f t="shared" ref="E28:E55" si="1">$M$10</f>
        <v>0.15</v>
      </c>
      <c r="F28" s="85">
        <f t="shared" ref="F28:F55" si="2">$N$10*(B28-C28)</f>
        <v>0</v>
      </c>
      <c r="G28" s="33">
        <f>EXP(-F28)</f>
        <v>1</v>
      </c>
      <c r="H28" s="34">
        <f t="shared" ref="H28:H55" si="3">(1-EXP(-$N$10))</f>
        <v>0.32967995396436067</v>
      </c>
      <c r="I28" s="35">
        <f>$L$11</f>
        <v>1182.2976000000001</v>
      </c>
      <c r="J28" s="33">
        <f t="shared" ref="J28:J55" si="4">$M$11</f>
        <v>0.4</v>
      </c>
      <c r="K28" s="33">
        <f t="shared" ref="K28:K55" si="5">$N$11*(B28-C28)</f>
        <v>0</v>
      </c>
      <c r="L28" s="33">
        <f>EXP(-K28)</f>
        <v>1</v>
      </c>
      <c r="M28" s="36">
        <f t="shared" ref="M28:M55" si="6">(1-EXP(-$N$11))</f>
        <v>6.7606180094051727E-2</v>
      </c>
      <c r="N28" s="35">
        <f>$L$12</f>
        <v>0</v>
      </c>
      <c r="O28" s="33">
        <f t="shared" ref="O28:O55" si="7">$M$12</f>
        <v>0.43</v>
      </c>
      <c r="P28" s="33">
        <f t="shared" ref="P28:P55" si="8">$N$12*(B28-C28)</f>
        <v>0</v>
      </c>
      <c r="Q28" s="33">
        <f>EXP(-P28)</f>
        <v>1</v>
      </c>
      <c r="R28" s="34">
        <f t="shared" ref="R28:R55" si="9">(1-EXP(-$N$12))</f>
        <v>3.4394583742433538E-2</v>
      </c>
      <c r="S28" s="35">
        <f>$L$13</f>
        <v>13777.0512</v>
      </c>
      <c r="T28" s="33">
        <f t="shared" ref="T28:T55" si="10">$M$13</f>
        <v>0.2</v>
      </c>
      <c r="U28" s="33">
        <f t="shared" ref="U28:U55" si="11">$N$13*(B28-C28)</f>
        <v>0</v>
      </c>
      <c r="V28" s="33">
        <f>EXP(-U28)</f>
        <v>1</v>
      </c>
      <c r="W28" s="34">
        <f t="shared" ref="W28:W55" si="12">1-EXP(-$N$13)</f>
        <v>0.1563351834036163</v>
      </c>
      <c r="X28" s="35">
        <f>$L$14</f>
        <v>2590.3811999999998</v>
      </c>
      <c r="Y28" s="33">
        <f t="shared" ref="Y28:Y55" si="13">$M$14</f>
        <v>0.43</v>
      </c>
      <c r="Z28" s="33">
        <f t="shared" ref="Z28:Z55" si="14">$N$14*(B28-C28)</f>
        <v>0</v>
      </c>
      <c r="AA28" s="33">
        <f>EXP(-Z28)</f>
        <v>1</v>
      </c>
      <c r="AB28" s="34">
        <f t="shared" ref="AB28:AB55" si="15">(1-EXP(-$N$14))</f>
        <v>3.4394583742433538E-2</v>
      </c>
      <c r="AC28" s="35">
        <f>$L$16</f>
        <v>12821.5659</v>
      </c>
      <c r="AD28" s="33">
        <f t="shared" ref="AD28:AD55" si="16">$M$16</f>
        <v>0.24</v>
      </c>
      <c r="AE28" s="33">
        <f t="shared" ref="AE28:AE55" si="17">$N$16*(B28-C28)</f>
        <v>0</v>
      </c>
      <c r="AF28" s="33">
        <f>(EXP(-AE28))</f>
        <v>1</v>
      </c>
      <c r="AG28" s="37">
        <f t="shared" ref="AG28:AG55" si="18">(1-EXP(-$N$16))</f>
        <v>6.7606180094051727E-2</v>
      </c>
      <c r="AH28" s="35">
        <f>$L$17</f>
        <v>841.56600000000003</v>
      </c>
      <c r="AI28" s="33">
        <f t="shared" ref="AI28:AI55" si="19">$M$17</f>
        <v>0</v>
      </c>
      <c r="AJ28" s="38">
        <f t="shared" ref="AJ28:AJ55" si="20">$N$17*(B28-C28)</f>
        <v>0</v>
      </c>
      <c r="AK28" s="33">
        <f>(EXP(-AJ28))</f>
        <v>1</v>
      </c>
      <c r="AL28" s="37">
        <f t="shared" ref="AL28:AL55" si="21">1-EXP(-$N$17)</f>
        <v>6.7606180094051727E-2</v>
      </c>
      <c r="AM28" s="50">
        <f>$C$15*D28*E28*G28*H28</f>
        <v>13041.819560824069</v>
      </c>
      <c r="AN28" s="51">
        <f>AM28</f>
        <v>13041.819560824069</v>
      </c>
      <c r="AO28" s="50">
        <f>$C$15*I28*J28*L28*M28</f>
        <v>228.28186348736284</v>
      </c>
      <c r="AP28" s="51">
        <f>AO28</f>
        <v>228.28186348736284</v>
      </c>
      <c r="AQ28" s="55">
        <f>$C$15*N28*O28*Q28*R28</f>
        <v>0</v>
      </c>
      <c r="AR28" s="51">
        <f>AQ28</f>
        <v>0</v>
      </c>
      <c r="AS28" s="55">
        <f>$C$15*S28*T28*V28*W28</f>
        <v>3075.6804156893818</v>
      </c>
      <c r="AT28" s="51">
        <f>AS28</f>
        <v>3075.6804156893818</v>
      </c>
      <c r="AU28" s="55">
        <f>$C$15*X28*Y28*AA28*AB28</f>
        <v>273.53972415887387</v>
      </c>
      <c r="AV28" s="51">
        <f>AU28</f>
        <v>273.53972415887387</v>
      </c>
      <c r="AW28" s="55">
        <f>$C$15*AC28*AD28*AF28*AG28</f>
        <v>1485.3777711185539</v>
      </c>
      <c r="AX28" s="51">
        <f>AW28</f>
        <v>1485.3777711185539</v>
      </c>
      <c r="AY28" s="55">
        <f>$C$15*AH28*AI28*AK28*AL28</f>
        <v>0</v>
      </c>
      <c r="AZ28" s="51">
        <f>AY28</f>
        <v>0</v>
      </c>
      <c r="BA28" s="35">
        <f>SUM(AN28,AP28,AR28,AT28,AV28,AX28,AZ28)</f>
        <v>18104.699335278241</v>
      </c>
      <c r="BB28" s="39">
        <f>'RDF_Baseline Emission_Elec'!D17</f>
        <v>31003</v>
      </c>
      <c r="BC28" s="39">
        <f>SUM(BA28:BB28)</f>
        <v>49107.699335278245</v>
      </c>
      <c r="BD28" s="59" t="s">
        <v>71</v>
      </c>
      <c r="BE28" s="6"/>
    </row>
    <row r="29" spans="1:60">
      <c r="A29" s="256" t="s">
        <v>72</v>
      </c>
      <c r="B29" s="18">
        <v>2</v>
      </c>
      <c r="C29" s="19">
        <v>1</v>
      </c>
      <c r="D29" s="32">
        <f t="shared" ref="D29:D55" si="22">$L$10</f>
        <v>36936.536999999997</v>
      </c>
      <c r="E29" s="33">
        <f t="shared" si="1"/>
        <v>0.15</v>
      </c>
      <c r="F29" s="85">
        <f t="shared" si="2"/>
        <v>0.4</v>
      </c>
      <c r="G29" s="33">
        <f t="shared" ref="G29:G55" si="23">EXP(-F29)</f>
        <v>0.67032004603563933</v>
      </c>
      <c r="H29" s="34">
        <f t="shared" si="3"/>
        <v>0.32967995396436067</v>
      </c>
      <c r="I29" s="35">
        <f t="shared" ref="I29:I55" si="24">$L$11</f>
        <v>1182.2976000000001</v>
      </c>
      <c r="J29" s="33">
        <f t="shared" si="4"/>
        <v>0.4</v>
      </c>
      <c r="K29" s="33">
        <f t="shared" si="5"/>
        <v>7.0000000000000007E-2</v>
      </c>
      <c r="L29" s="33">
        <f t="shared" ref="L29:L55" si="25">EXP(-K29)</f>
        <v>0.93239381990594827</v>
      </c>
      <c r="M29" s="36">
        <f t="shared" si="6"/>
        <v>6.7606180094051727E-2</v>
      </c>
      <c r="N29" s="35">
        <f t="shared" ref="N29:N55" si="26">$L$12</f>
        <v>0</v>
      </c>
      <c r="O29" s="33">
        <f t="shared" si="7"/>
        <v>0.43</v>
      </c>
      <c r="P29" s="33">
        <f t="shared" si="8"/>
        <v>3.5000000000000003E-2</v>
      </c>
      <c r="Q29" s="33">
        <f t="shared" ref="Q29:Q55" si="27">EXP(-P29)</f>
        <v>0.96560541625756646</v>
      </c>
      <c r="R29" s="34">
        <f t="shared" si="9"/>
        <v>3.4394583742433538E-2</v>
      </c>
      <c r="S29" s="35">
        <f t="shared" ref="S29:S55" si="28">$L$13</f>
        <v>13777.0512</v>
      </c>
      <c r="T29" s="33">
        <f t="shared" si="10"/>
        <v>0.2</v>
      </c>
      <c r="U29" s="33">
        <f t="shared" si="11"/>
        <v>0.17</v>
      </c>
      <c r="V29" s="33">
        <f t="shared" ref="V29:V55" si="29">EXP(-U29)</f>
        <v>0.8436648165963837</v>
      </c>
      <c r="W29" s="34">
        <f t="shared" si="12"/>
        <v>0.1563351834036163</v>
      </c>
      <c r="X29" s="35">
        <f t="shared" ref="X29:X55" si="30">$L$14</f>
        <v>2590.3811999999998</v>
      </c>
      <c r="Y29" s="33">
        <f t="shared" si="13"/>
        <v>0.43</v>
      </c>
      <c r="Z29" s="33">
        <f t="shared" si="14"/>
        <v>3.5000000000000003E-2</v>
      </c>
      <c r="AA29" s="33">
        <f t="shared" ref="AA29:AA55" si="31">EXP(-Z29)</f>
        <v>0.96560541625756646</v>
      </c>
      <c r="AB29" s="34">
        <f t="shared" si="15"/>
        <v>3.4394583742433538E-2</v>
      </c>
      <c r="AC29" s="35">
        <f t="shared" ref="AC29:AC55" si="32">$L$16</f>
        <v>12821.5659</v>
      </c>
      <c r="AD29" s="33">
        <f t="shared" si="16"/>
        <v>0.24</v>
      </c>
      <c r="AE29" s="33">
        <f t="shared" si="17"/>
        <v>7.0000000000000007E-2</v>
      </c>
      <c r="AF29" s="33">
        <f t="shared" ref="AF29:AF55" si="33">(EXP(-AE29))</f>
        <v>0.93239381990594827</v>
      </c>
      <c r="AG29" s="37">
        <f t="shared" si="18"/>
        <v>6.7606180094051727E-2</v>
      </c>
      <c r="AH29" s="35">
        <f t="shared" ref="AH29:AH55" si="34">$L$17</f>
        <v>841.56600000000003</v>
      </c>
      <c r="AI29" s="33">
        <f t="shared" si="19"/>
        <v>0</v>
      </c>
      <c r="AJ29" s="38">
        <f t="shared" si="20"/>
        <v>7.0000000000000007E-2</v>
      </c>
      <c r="AK29" s="33">
        <f t="shared" ref="AK29:AK55" si="35">(EXP(-AJ29))</f>
        <v>0.93239381990594827</v>
      </c>
      <c r="AL29" s="37">
        <f t="shared" si="21"/>
        <v>6.7606180094051727E-2</v>
      </c>
      <c r="AM29" s="50">
        <f t="shared" ref="AM29:AM55" si="36">$C$15*D29*E29*G29*H29</f>
        <v>8742.1930884000922</v>
      </c>
      <c r="AN29" s="51"/>
      <c r="AO29" s="50">
        <f t="shared" ref="AO29:AO55" si="37">$C$15*I29*J29*L29*M29</f>
        <v>212.84859871223046</v>
      </c>
      <c r="AP29" s="54"/>
      <c r="AQ29" s="55">
        <f t="shared" ref="AQ29:AQ55" si="38">$C$15*N29*O29*Q29*R29</f>
        <v>0</v>
      </c>
      <c r="AR29" s="54"/>
      <c r="AS29" s="55">
        <f t="shared" ref="AS29:AS55" si="39">$C$15*S29*T29*V29*W29</f>
        <v>2594.8433538116715</v>
      </c>
      <c r="AT29" s="54"/>
      <c r="AU29" s="55">
        <f t="shared" ref="AU29:AU55" si="40">$C$15*X29*Y29*AA29*AB29</f>
        <v>264.13143920940934</v>
      </c>
      <c r="AV29" s="54"/>
      <c r="AW29" s="55">
        <f t="shared" ref="AW29:AW55" si="41">$C$15*AC29*AD29*AF29*AG29</f>
        <v>1384.9570540166117</v>
      </c>
      <c r="AX29" s="54"/>
      <c r="AY29" s="55">
        <f t="shared" ref="AY29:AY55" si="42">$C$15*AH29*AI29*AK29*AL29</f>
        <v>0</v>
      </c>
      <c r="AZ29" s="54"/>
      <c r="BA29" s="35"/>
      <c r="BB29" s="39"/>
      <c r="BC29" s="39"/>
      <c r="BD29" s="54"/>
    </row>
    <row r="30" spans="1:60" ht="15" thickBot="1">
      <c r="A30" s="257"/>
      <c r="B30" s="18">
        <v>2</v>
      </c>
      <c r="C30" s="19">
        <v>2</v>
      </c>
      <c r="D30" s="32">
        <f t="shared" si="22"/>
        <v>36936.536999999997</v>
      </c>
      <c r="E30" s="33">
        <f t="shared" si="1"/>
        <v>0.15</v>
      </c>
      <c r="F30" s="85">
        <f t="shared" si="2"/>
        <v>0</v>
      </c>
      <c r="G30" s="33">
        <f t="shared" si="23"/>
        <v>1</v>
      </c>
      <c r="H30" s="34">
        <f t="shared" si="3"/>
        <v>0.32967995396436067</v>
      </c>
      <c r="I30" s="35">
        <f t="shared" si="24"/>
        <v>1182.2976000000001</v>
      </c>
      <c r="J30" s="33">
        <f t="shared" si="4"/>
        <v>0.4</v>
      </c>
      <c r="K30" s="33">
        <f t="shared" si="5"/>
        <v>0</v>
      </c>
      <c r="L30" s="33">
        <f t="shared" si="25"/>
        <v>1</v>
      </c>
      <c r="M30" s="36">
        <f t="shared" si="6"/>
        <v>6.7606180094051727E-2</v>
      </c>
      <c r="N30" s="35">
        <f t="shared" si="26"/>
        <v>0</v>
      </c>
      <c r="O30" s="33">
        <f t="shared" si="7"/>
        <v>0.43</v>
      </c>
      <c r="P30" s="33">
        <f t="shared" si="8"/>
        <v>0</v>
      </c>
      <c r="Q30" s="33">
        <f t="shared" si="27"/>
        <v>1</v>
      </c>
      <c r="R30" s="34">
        <f t="shared" si="9"/>
        <v>3.4394583742433538E-2</v>
      </c>
      <c r="S30" s="35">
        <f t="shared" si="28"/>
        <v>13777.0512</v>
      </c>
      <c r="T30" s="33">
        <f t="shared" si="10"/>
        <v>0.2</v>
      </c>
      <c r="U30" s="33">
        <f t="shared" si="11"/>
        <v>0</v>
      </c>
      <c r="V30" s="33">
        <f t="shared" si="29"/>
        <v>1</v>
      </c>
      <c r="W30" s="34">
        <f t="shared" si="12"/>
        <v>0.1563351834036163</v>
      </c>
      <c r="X30" s="35">
        <f t="shared" si="30"/>
        <v>2590.3811999999998</v>
      </c>
      <c r="Y30" s="33">
        <f t="shared" si="13"/>
        <v>0.43</v>
      </c>
      <c r="Z30" s="33">
        <f t="shared" si="14"/>
        <v>0</v>
      </c>
      <c r="AA30" s="33">
        <f t="shared" si="31"/>
        <v>1</v>
      </c>
      <c r="AB30" s="34">
        <f t="shared" si="15"/>
        <v>3.4394583742433538E-2</v>
      </c>
      <c r="AC30" s="35">
        <f t="shared" si="32"/>
        <v>12821.5659</v>
      </c>
      <c r="AD30" s="33">
        <f t="shared" si="16"/>
        <v>0.24</v>
      </c>
      <c r="AE30" s="33">
        <f t="shared" si="17"/>
        <v>0</v>
      </c>
      <c r="AF30" s="33">
        <f t="shared" si="33"/>
        <v>1</v>
      </c>
      <c r="AG30" s="37">
        <f t="shared" si="18"/>
        <v>6.7606180094051727E-2</v>
      </c>
      <c r="AH30" s="35">
        <f t="shared" si="34"/>
        <v>841.56600000000003</v>
      </c>
      <c r="AI30" s="33">
        <f t="shared" si="19"/>
        <v>0</v>
      </c>
      <c r="AJ30" s="38">
        <f t="shared" si="20"/>
        <v>0</v>
      </c>
      <c r="AK30" s="33">
        <f t="shared" si="35"/>
        <v>1</v>
      </c>
      <c r="AL30" s="37">
        <f t="shared" si="21"/>
        <v>6.7606180094051727E-2</v>
      </c>
      <c r="AM30" s="50">
        <f t="shared" si="36"/>
        <v>13041.819560824069</v>
      </c>
      <c r="AN30" s="51">
        <f>AM29+AM30</f>
        <v>21784.012649224162</v>
      </c>
      <c r="AO30" s="50">
        <f t="shared" si="37"/>
        <v>228.28186348736284</v>
      </c>
      <c r="AP30" s="51">
        <f>AO29+AO30</f>
        <v>441.1304621995933</v>
      </c>
      <c r="AQ30" s="55">
        <f t="shared" si="38"/>
        <v>0</v>
      </c>
      <c r="AR30" s="51">
        <f>AQ29+AQ30</f>
        <v>0</v>
      </c>
      <c r="AS30" s="55">
        <f t="shared" si="39"/>
        <v>3075.6804156893818</v>
      </c>
      <c r="AT30" s="51">
        <f>AS29+AS30</f>
        <v>5670.5237695010528</v>
      </c>
      <c r="AU30" s="55">
        <f t="shared" si="40"/>
        <v>273.53972415887387</v>
      </c>
      <c r="AV30" s="51">
        <f>AU29+AU30</f>
        <v>537.67116336828326</v>
      </c>
      <c r="AW30" s="55">
        <f t="shared" si="41"/>
        <v>1485.3777711185539</v>
      </c>
      <c r="AX30" s="51">
        <f>AW29+AW30</f>
        <v>2870.3348251351654</v>
      </c>
      <c r="AY30" s="55">
        <f t="shared" si="42"/>
        <v>0</v>
      </c>
      <c r="AZ30" s="51">
        <f>AY29+AY30</f>
        <v>0</v>
      </c>
      <c r="BA30" s="35">
        <f>SUM(AN30,AP30,AR30,AT30,AV30,AX30,AZ30)</f>
        <v>31303.672869428257</v>
      </c>
      <c r="BB30" s="39">
        <f>'RDF_Baseline Emission_Elec'!D18</f>
        <v>35773</v>
      </c>
      <c r="BC30" s="39">
        <f>BA30+BB30</f>
        <v>67076.672869428265</v>
      </c>
      <c r="BD30" s="60" t="s">
        <v>73</v>
      </c>
      <c r="BE30" s="6"/>
      <c r="BH30" s="6"/>
    </row>
    <row r="31" spans="1:60">
      <c r="A31" s="256" t="s">
        <v>74</v>
      </c>
      <c r="B31" s="18">
        <v>3</v>
      </c>
      <c r="C31" s="19">
        <v>1</v>
      </c>
      <c r="D31" s="32">
        <f t="shared" si="22"/>
        <v>36936.536999999997</v>
      </c>
      <c r="E31" s="33">
        <f t="shared" si="1"/>
        <v>0.15</v>
      </c>
      <c r="F31" s="85">
        <f t="shared" si="2"/>
        <v>0.8</v>
      </c>
      <c r="G31" s="33">
        <f t="shared" si="23"/>
        <v>0.44932896411722156</v>
      </c>
      <c r="H31" s="34">
        <f t="shared" si="3"/>
        <v>0.32967995396436067</v>
      </c>
      <c r="I31" s="35">
        <f t="shared" si="24"/>
        <v>1182.2976000000001</v>
      </c>
      <c r="J31" s="33">
        <f t="shared" si="4"/>
        <v>0.4</v>
      </c>
      <c r="K31" s="33">
        <f t="shared" si="5"/>
        <v>0.14000000000000001</v>
      </c>
      <c r="L31" s="33">
        <f t="shared" si="25"/>
        <v>0.86935823539880586</v>
      </c>
      <c r="M31" s="36">
        <f t="shared" si="6"/>
        <v>6.7606180094051727E-2</v>
      </c>
      <c r="N31" s="35">
        <f t="shared" si="26"/>
        <v>0</v>
      </c>
      <c r="O31" s="33">
        <f t="shared" si="7"/>
        <v>0.43</v>
      </c>
      <c r="P31" s="33">
        <f t="shared" si="8"/>
        <v>7.0000000000000007E-2</v>
      </c>
      <c r="Q31" s="33">
        <f t="shared" si="27"/>
        <v>0.93239381990594827</v>
      </c>
      <c r="R31" s="34">
        <f t="shared" si="9"/>
        <v>3.4394583742433538E-2</v>
      </c>
      <c r="S31" s="35">
        <f t="shared" si="28"/>
        <v>13777.0512</v>
      </c>
      <c r="T31" s="33">
        <f t="shared" si="10"/>
        <v>0.2</v>
      </c>
      <c r="U31" s="33">
        <f t="shared" si="11"/>
        <v>0.34</v>
      </c>
      <c r="V31" s="33">
        <f t="shared" si="29"/>
        <v>0.71177032276260965</v>
      </c>
      <c r="W31" s="34">
        <f t="shared" si="12"/>
        <v>0.1563351834036163</v>
      </c>
      <c r="X31" s="35">
        <f t="shared" si="30"/>
        <v>2590.3811999999998</v>
      </c>
      <c r="Y31" s="33">
        <f t="shared" si="13"/>
        <v>0.43</v>
      </c>
      <c r="Z31" s="33">
        <f t="shared" si="14"/>
        <v>7.0000000000000007E-2</v>
      </c>
      <c r="AA31" s="33">
        <f t="shared" si="31"/>
        <v>0.93239381990594827</v>
      </c>
      <c r="AB31" s="34">
        <f t="shared" si="15"/>
        <v>3.4394583742433538E-2</v>
      </c>
      <c r="AC31" s="35">
        <f t="shared" si="32"/>
        <v>12821.5659</v>
      </c>
      <c r="AD31" s="33">
        <f t="shared" si="16"/>
        <v>0.24</v>
      </c>
      <c r="AE31" s="33">
        <f t="shared" si="17"/>
        <v>0.14000000000000001</v>
      </c>
      <c r="AF31" s="33">
        <f t="shared" si="33"/>
        <v>0.86935823539880586</v>
      </c>
      <c r="AG31" s="37">
        <f t="shared" si="18"/>
        <v>6.7606180094051727E-2</v>
      </c>
      <c r="AH31" s="35">
        <f t="shared" si="34"/>
        <v>841.56600000000003</v>
      </c>
      <c r="AI31" s="33">
        <f t="shared" si="19"/>
        <v>0</v>
      </c>
      <c r="AJ31" s="38">
        <f t="shared" si="20"/>
        <v>0.14000000000000001</v>
      </c>
      <c r="AK31" s="33">
        <f t="shared" si="35"/>
        <v>0.86935823539880586</v>
      </c>
      <c r="AL31" s="37">
        <f t="shared" si="21"/>
        <v>6.7606180094051727E-2</v>
      </c>
      <c r="AM31" s="50">
        <f t="shared" si="36"/>
        <v>5860.0672734687969</v>
      </c>
      <c r="AN31" s="51"/>
      <c r="AO31" s="50">
        <f t="shared" si="37"/>
        <v>198.45871801492487</v>
      </c>
      <c r="AP31" s="51"/>
      <c r="AQ31" s="55">
        <f t="shared" si="38"/>
        <v>0</v>
      </c>
      <c r="AR31" s="51"/>
      <c r="AS31" s="55">
        <f t="shared" si="39"/>
        <v>2189.1780421898688</v>
      </c>
      <c r="AT31" s="51"/>
      <c r="AU31" s="55">
        <f t="shared" si="40"/>
        <v>255.04674830451182</v>
      </c>
      <c r="AV31" s="51"/>
      <c r="AW31" s="55">
        <f t="shared" si="41"/>
        <v>1291.3253980002373</v>
      </c>
      <c r="AX31" s="51"/>
      <c r="AY31" s="55">
        <f t="shared" si="42"/>
        <v>0</v>
      </c>
      <c r="AZ31" s="51"/>
      <c r="BA31" s="35"/>
      <c r="BB31" s="39"/>
      <c r="BC31" s="39"/>
      <c r="BD31" s="54"/>
    </row>
    <row r="32" spans="1:60">
      <c r="A32" s="258"/>
      <c r="B32" s="18">
        <v>3</v>
      </c>
      <c r="C32" s="19">
        <v>2</v>
      </c>
      <c r="D32" s="32">
        <f t="shared" si="22"/>
        <v>36936.536999999997</v>
      </c>
      <c r="E32" s="33">
        <f t="shared" si="1"/>
        <v>0.15</v>
      </c>
      <c r="F32" s="85">
        <f t="shared" si="2"/>
        <v>0.4</v>
      </c>
      <c r="G32" s="33">
        <f t="shared" si="23"/>
        <v>0.67032004603563933</v>
      </c>
      <c r="H32" s="34">
        <f t="shared" si="3"/>
        <v>0.32967995396436067</v>
      </c>
      <c r="I32" s="35">
        <f t="shared" si="24"/>
        <v>1182.2976000000001</v>
      </c>
      <c r="J32" s="33">
        <f t="shared" si="4"/>
        <v>0.4</v>
      </c>
      <c r="K32" s="33">
        <f t="shared" si="5"/>
        <v>7.0000000000000007E-2</v>
      </c>
      <c r="L32" s="33">
        <f t="shared" si="25"/>
        <v>0.93239381990594827</v>
      </c>
      <c r="M32" s="36">
        <f t="shared" si="6"/>
        <v>6.7606180094051727E-2</v>
      </c>
      <c r="N32" s="35">
        <f t="shared" si="26"/>
        <v>0</v>
      </c>
      <c r="O32" s="33">
        <f t="shared" si="7"/>
        <v>0.43</v>
      </c>
      <c r="P32" s="33">
        <f t="shared" si="8"/>
        <v>3.5000000000000003E-2</v>
      </c>
      <c r="Q32" s="33">
        <f t="shared" si="27"/>
        <v>0.96560541625756646</v>
      </c>
      <c r="R32" s="34">
        <f t="shared" si="9"/>
        <v>3.4394583742433538E-2</v>
      </c>
      <c r="S32" s="35">
        <f t="shared" si="28"/>
        <v>13777.0512</v>
      </c>
      <c r="T32" s="33">
        <f t="shared" si="10"/>
        <v>0.2</v>
      </c>
      <c r="U32" s="33">
        <f t="shared" si="11"/>
        <v>0.17</v>
      </c>
      <c r="V32" s="33">
        <f t="shared" si="29"/>
        <v>0.8436648165963837</v>
      </c>
      <c r="W32" s="34">
        <f t="shared" si="12"/>
        <v>0.1563351834036163</v>
      </c>
      <c r="X32" s="35">
        <f t="shared" si="30"/>
        <v>2590.3811999999998</v>
      </c>
      <c r="Y32" s="33">
        <f t="shared" si="13"/>
        <v>0.43</v>
      </c>
      <c r="Z32" s="33">
        <f t="shared" si="14"/>
        <v>3.5000000000000003E-2</v>
      </c>
      <c r="AA32" s="33">
        <f t="shared" si="31"/>
        <v>0.96560541625756646</v>
      </c>
      <c r="AB32" s="34">
        <f t="shared" si="15"/>
        <v>3.4394583742433538E-2</v>
      </c>
      <c r="AC32" s="35">
        <f t="shared" si="32"/>
        <v>12821.5659</v>
      </c>
      <c r="AD32" s="33">
        <f t="shared" si="16"/>
        <v>0.24</v>
      </c>
      <c r="AE32" s="33">
        <f t="shared" si="17"/>
        <v>7.0000000000000007E-2</v>
      </c>
      <c r="AF32" s="33">
        <f t="shared" si="33"/>
        <v>0.93239381990594827</v>
      </c>
      <c r="AG32" s="37">
        <f t="shared" si="18"/>
        <v>6.7606180094051727E-2</v>
      </c>
      <c r="AH32" s="35">
        <f t="shared" si="34"/>
        <v>841.56600000000003</v>
      </c>
      <c r="AI32" s="33">
        <f t="shared" si="19"/>
        <v>0</v>
      </c>
      <c r="AJ32" s="38">
        <f t="shared" si="20"/>
        <v>7.0000000000000007E-2</v>
      </c>
      <c r="AK32" s="33">
        <f t="shared" si="35"/>
        <v>0.93239381990594827</v>
      </c>
      <c r="AL32" s="37">
        <f t="shared" si="21"/>
        <v>6.7606180094051727E-2</v>
      </c>
      <c r="AM32" s="50">
        <f t="shared" si="36"/>
        <v>8742.1930884000922</v>
      </c>
      <c r="AN32" s="51"/>
      <c r="AO32" s="50">
        <f t="shared" si="37"/>
        <v>212.84859871223046</v>
      </c>
      <c r="AP32" s="51"/>
      <c r="AQ32" s="55">
        <f t="shared" si="38"/>
        <v>0</v>
      </c>
      <c r="AR32" s="51"/>
      <c r="AS32" s="55">
        <f t="shared" si="39"/>
        <v>2594.8433538116715</v>
      </c>
      <c r="AT32" s="51"/>
      <c r="AU32" s="55">
        <f t="shared" si="40"/>
        <v>264.13143920940934</v>
      </c>
      <c r="AV32" s="51"/>
      <c r="AW32" s="55">
        <f t="shared" si="41"/>
        <v>1384.9570540166117</v>
      </c>
      <c r="AX32" s="51"/>
      <c r="AY32" s="55">
        <f t="shared" si="42"/>
        <v>0</v>
      </c>
      <c r="AZ32" s="51"/>
      <c r="BA32" s="35"/>
      <c r="BB32" s="39"/>
      <c r="BC32" s="39"/>
      <c r="BD32" s="54"/>
    </row>
    <row r="33" spans="1:58" ht="15" thickBot="1">
      <c r="A33" s="257"/>
      <c r="B33" s="18">
        <v>3</v>
      </c>
      <c r="C33" s="19">
        <v>3</v>
      </c>
      <c r="D33" s="32">
        <f t="shared" si="22"/>
        <v>36936.536999999997</v>
      </c>
      <c r="E33" s="33">
        <f t="shared" si="1"/>
        <v>0.15</v>
      </c>
      <c r="F33" s="85">
        <f t="shared" si="2"/>
        <v>0</v>
      </c>
      <c r="G33" s="33">
        <f t="shared" si="23"/>
        <v>1</v>
      </c>
      <c r="H33" s="34">
        <f t="shared" si="3"/>
        <v>0.32967995396436067</v>
      </c>
      <c r="I33" s="35">
        <f t="shared" si="24"/>
        <v>1182.2976000000001</v>
      </c>
      <c r="J33" s="33">
        <f t="shared" si="4"/>
        <v>0.4</v>
      </c>
      <c r="K33" s="33">
        <f t="shared" si="5"/>
        <v>0</v>
      </c>
      <c r="L33" s="33">
        <f t="shared" si="25"/>
        <v>1</v>
      </c>
      <c r="M33" s="36">
        <f t="shared" si="6"/>
        <v>6.7606180094051727E-2</v>
      </c>
      <c r="N33" s="35">
        <f t="shared" si="26"/>
        <v>0</v>
      </c>
      <c r="O33" s="33">
        <f t="shared" si="7"/>
        <v>0.43</v>
      </c>
      <c r="P33" s="33">
        <f t="shared" si="8"/>
        <v>0</v>
      </c>
      <c r="Q33" s="33">
        <f t="shared" si="27"/>
        <v>1</v>
      </c>
      <c r="R33" s="34">
        <f t="shared" si="9"/>
        <v>3.4394583742433538E-2</v>
      </c>
      <c r="S33" s="35">
        <f t="shared" si="28"/>
        <v>13777.0512</v>
      </c>
      <c r="T33" s="33">
        <f t="shared" si="10"/>
        <v>0.2</v>
      </c>
      <c r="U33" s="33">
        <f t="shared" si="11"/>
        <v>0</v>
      </c>
      <c r="V33" s="33">
        <f t="shared" si="29"/>
        <v>1</v>
      </c>
      <c r="W33" s="34">
        <f t="shared" si="12"/>
        <v>0.1563351834036163</v>
      </c>
      <c r="X33" s="35">
        <f t="shared" si="30"/>
        <v>2590.3811999999998</v>
      </c>
      <c r="Y33" s="33">
        <f t="shared" si="13"/>
        <v>0.43</v>
      </c>
      <c r="Z33" s="33">
        <f t="shared" si="14"/>
        <v>0</v>
      </c>
      <c r="AA33" s="33">
        <f t="shared" si="31"/>
        <v>1</v>
      </c>
      <c r="AB33" s="34">
        <f t="shared" si="15"/>
        <v>3.4394583742433538E-2</v>
      </c>
      <c r="AC33" s="35">
        <f t="shared" si="32"/>
        <v>12821.5659</v>
      </c>
      <c r="AD33" s="33">
        <f t="shared" si="16"/>
        <v>0.24</v>
      </c>
      <c r="AE33" s="33">
        <f t="shared" si="17"/>
        <v>0</v>
      </c>
      <c r="AF33" s="33">
        <f t="shared" si="33"/>
        <v>1</v>
      </c>
      <c r="AG33" s="37">
        <f t="shared" si="18"/>
        <v>6.7606180094051727E-2</v>
      </c>
      <c r="AH33" s="35">
        <f t="shared" si="34"/>
        <v>841.56600000000003</v>
      </c>
      <c r="AI33" s="33">
        <f t="shared" si="19"/>
        <v>0</v>
      </c>
      <c r="AJ33" s="38">
        <f t="shared" si="20"/>
        <v>0</v>
      </c>
      <c r="AK33" s="33">
        <f t="shared" si="35"/>
        <v>1</v>
      </c>
      <c r="AL33" s="37">
        <f t="shared" si="21"/>
        <v>6.7606180094051727E-2</v>
      </c>
      <c r="AM33" s="50">
        <f t="shared" si="36"/>
        <v>13041.819560824069</v>
      </c>
      <c r="AN33" s="51">
        <f>SUM(AM31:AM33)</f>
        <v>27644.079922692959</v>
      </c>
      <c r="AO33" s="50">
        <f t="shared" si="37"/>
        <v>228.28186348736284</v>
      </c>
      <c r="AP33" s="51">
        <f>SUM(AO31:AO33)</f>
        <v>639.58918021451814</v>
      </c>
      <c r="AQ33" s="55">
        <f t="shared" si="38"/>
        <v>0</v>
      </c>
      <c r="AR33" s="51">
        <f>SUM(AQ31:AQ33)</f>
        <v>0</v>
      </c>
      <c r="AS33" s="55">
        <f t="shared" si="39"/>
        <v>3075.6804156893818</v>
      </c>
      <c r="AT33" s="51">
        <f>SUM(AS31:AS33)</f>
        <v>7859.7018116909221</v>
      </c>
      <c r="AU33" s="55">
        <f t="shared" si="40"/>
        <v>273.53972415887387</v>
      </c>
      <c r="AV33" s="51">
        <f>SUM(AU31:AU33)</f>
        <v>792.71791167279503</v>
      </c>
      <c r="AW33" s="55">
        <f t="shared" si="41"/>
        <v>1485.3777711185539</v>
      </c>
      <c r="AX33" s="51">
        <f>SUM(AW31:AW33)</f>
        <v>4161.6602231354027</v>
      </c>
      <c r="AY33" s="55">
        <f t="shared" si="42"/>
        <v>0</v>
      </c>
      <c r="AZ33" s="51">
        <f>SUM(AY31:AY33)</f>
        <v>0</v>
      </c>
      <c r="BA33" s="35">
        <f>SUM(AN33,AP33,AR33,AT33,AV33,AX33,AZ33)</f>
        <v>41097.749049406601</v>
      </c>
      <c r="BB33" s="39">
        <f>BB30</f>
        <v>35773</v>
      </c>
      <c r="BC33" s="39">
        <f>BA33+BB33</f>
        <v>76870.749049406601</v>
      </c>
      <c r="BD33" s="60" t="s">
        <v>75</v>
      </c>
      <c r="BE33" s="6"/>
      <c r="BF33" s="6"/>
    </row>
    <row r="34" spans="1:58">
      <c r="A34" s="259" t="s">
        <v>76</v>
      </c>
      <c r="B34" s="18">
        <v>4</v>
      </c>
      <c r="C34" s="19">
        <v>1</v>
      </c>
      <c r="D34" s="32">
        <f t="shared" si="22"/>
        <v>36936.536999999997</v>
      </c>
      <c r="E34" s="33">
        <f t="shared" si="1"/>
        <v>0.15</v>
      </c>
      <c r="F34" s="85">
        <f t="shared" si="2"/>
        <v>1.2000000000000002</v>
      </c>
      <c r="G34" s="33">
        <f t="shared" si="23"/>
        <v>0.30119421191220203</v>
      </c>
      <c r="H34" s="34">
        <f t="shared" si="3"/>
        <v>0.32967995396436067</v>
      </c>
      <c r="I34" s="35">
        <f t="shared" si="24"/>
        <v>1182.2976000000001</v>
      </c>
      <c r="J34" s="33">
        <f t="shared" si="4"/>
        <v>0.4</v>
      </c>
      <c r="K34" s="33">
        <f t="shared" si="5"/>
        <v>0.21000000000000002</v>
      </c>
      <c r="L34" s="33">
        <f t="shared" si="25"/>
        <v>0.81058424597018708</v>
      </c>
      <c r="M34" s="36">
        <f t="shared" si="6"/>
        <v>6.7606180094051727E-2</v>
      </c>
      <c r="N34" s="35">
        <f t="shared" si="26"/>
        <v>0</v>
      </c>
      <c r="O34" s="33">
        <f t="shared" si="7"/>
        <v>0.43</v>
      </c>
      <c r="P34" s="33">
        <f t="shared" si="8"/>
        <v>0.10500000000000001</v>
      </c>
      <c r="Q34" s="33">
        <f t="shared" si="27"/>
        <v>0.90032452258626561</v>
      </c>
      <c r="R34" s="34">
        <f t="shared" si="9"/>
        <v>3.4394583742433538E-2</v>
      </c>
      <c r="S34" s="35">
        <f t="shared" si="28"/>
        <v>13777.0512</v>
      </c>
      <c r="T34" s="33">
        <f t="shared" si="10"/>
        <v>0.2</v>
      </c>
      <c r="U34" s="33">
        <f t="shared" si="11"/>
        <v>0.51</v>
      </c>
      <c r="V34" s="33">
        <f t="shared" si="29"/>
        <v>0.6004955788122659</v>
      </c>
      <c r="W34" s="34">
        <f t="shared" si="12"/>
        <v>0.1563351834036163</v>
      </c>
      <c r="X34" s="35">
        <f t="shared" si="30"/>
        <v>2590.3811999999998</v>
      </c>
      <c r="Y34" s="33">
        <f t="shared" si="13"/>
        <v>0.43</v>
      </c>
      <c r="Z34" s="33">
        <f t="shared" si="14"/>
        <v>0.10500000000000001</v>
      </c>
      <c r="AA34" s="33">
        <f t="shared" si="31"/>
        <v>0.90032452258626561</v>
      </c>
      <c r="AB34" s="34">
        <f t="shared" si="15"/>
        <v>3.4394583742433538E-2</v>
      </c>
      <c r="AC34" s="35">
        <f t="shared" si="32"/>
        <v>12821.5659</v>
      </c>
      <c r="AD34" s="33">
        <f t="shared" si="16"/>
        <v>0.24</v>
      </c>
      <c r="AE34" s="33">
        <f t="shared" si="17"/>
        <v>0.21000000000000002</v>
      </c>
      <c r="AF34" s="33">
        <f t="shared" si="33"/>
        <v>0.81058424597018708</v>
      </c>
      <c r="AG34" s="37">
        <f t="shared" si="18"/>
        <v>6.7606180094051727E-2</v>
      </c>
      <c r="AH34" s="35">
        <f t="shared" si="34"/>
        <v>841.56600000000003</v>
      </c>
      <c r="AI34" s="33">
        <f t="shared" si="19"/>
        <v>0</v>
      </c>
      <c r="AJ34" s="38">
        <f t="shared" si="20"/>
        <v>0.21000000000000002</v>
      </c>
      <c r="AK34" s="33">
        <f t="shared" si="35"/>
        <v>0.81058424597018708</v>
      </c>
      <c r="AL34" s="37">
        <f t="shared" si="21"/>
        <v>6.7606180094051727E-2</v>
      </c>
      <c r="AM34" s="50">
        <f t="shared" si="36"/>
        <v>3928.1205645235459</v>
      </c>
      <c r="AN34" s="51"/>
      <c r="AO34" s="50">
        <f t="shared" si="37"/>
        <v>185.04168218357316</v>
      </c>
      <c r="AP34" s="51"/>
      <c r="AQ34" s="55">
        <f t="shared" si="38"/>
        <v>0</v>
      </c>
      <c r="AR34" s="51"/>
      <c r="AS34" s="55">
        <f t="shared" si="39"/>
        <v>1846.9324914609458</v>
      </c>
      <c r="AT34" s="51"/>
      <c r="AU34" s="55">
        <f t="shared" si="40"/>
        <v>246.27452156171691</v>
      </c>
      <c r="AV34" s="51"/>
      <c r="AW34" s="55">
        <f t="shared" si="41"/>
        <v>1204.0238205830103</v>
      </c>
      <c r="AX34" s="51"/>
      <c r="AY34" s="55">
        <f t="shared" si="42"/>
        <v>0</v>
      </c>
      <c r="AZ34" s="51"/>
      <c r="BA34" s="35"/>
      <c r="BB34" s="39"/>
      <c r="BC34" s="39"/>
      <c r="BD34" s="54"/>
    </row>
    <row r="35" spans="1:58">
      <c r="A35" s="260"/>
      <c r="B35" s="18">
        <v>4</v>
      </c>
      <c r="C35" s="19">
        <v>2</v>
      </c>
      <c r="D35" s="32">
        <f t="shared" si="22"/>
        <v>36936.536999999997</v>
      </c>
      <c r="E35" s="33">
        <f t="shared" si="1"/>
        <v>0.15</v>
      </c>
      <c r="F35" s="85">
        <f t="shared" si="2"/>
        <v>0.8</v>
      </c>
      <c r="G35" s="33">
        <f t="shared" si="23"/>
        <v>0.44932896411722156</v>
      </c>
      <c r="H35" s="34">
        <f t="shared" si="3"/>
        <v>0.32967995396436067</v>
      </c>
      <c r="I35" s="35">
        <f t="shared" si="24"/>
        <v>1182.2976000000001</v>
      </c>
      <c r="J35" s="33">
        <f t="shared" si="4"/>
        <v>0.4</v>
      </c>
      <c r="K35" s="33">
        <f t="shared" si="5"/>
        <v>0.14000000000000001</v>
      </c>
      <c r="L35" s="33">
        <f t="shared" si="25"/>
        <v>0.86935823539880586</v>
      </c>
      <c r="M35" s="36">
        <f t="shared" si="6"/>
        <v>6.7606180094051727E-2</v>
      </c>
      <c r="N35" s="35">
        <f t="shared" si="26"/>
        <v>0</v>
      </c>
      <c r="O35" s="33">
        <f t="shared" si="7"/>
        <v>0.43</v>
      </c>
      <c r="P35" s="33">
        <f t="shared" si="8"/>
        <v>7.0000000000000007E-2</v>
      </c>
      <c r="Q35" s="33">
        <f t="shared" si="27"/>
        <v>0.93239381990594827</v>
      </c>
      <c r="R35" s="34">
        <f t="shared" si="9"/>
        <v>3.4394583742433538E-2</v>
      </c>
      <c r="S35" s="35">
        <f t="shared" si="28"/>
        <v>13777.0512</v>
      </c>
      <c r="T35" s="33">
        <f t="shared" si="10"/>
        <v>0.2</v>
      </c>
      <c r="U35" s="33">
        <f t="shared" si="11"/>
        <v>0.34</v>
      </c>
      <c r="V35" s="33">
        <f t="shared" si="29"/>
        <v>0.71177032276260965</v>
      </c>
      <c r="W35" s="34">
        <f t="shared" si="12"/>
        <v>0.1563351834036163</v>
      </c>
      <c r="X35" s="35">
        <f t="shared" si="30"/>
        <v>2590.3811999999998</v>
      </c>
      <c r="Y35" s="33">
        <f t="shared" si="13"/>
        <v>0.43</v>
      </c>
      <c r="Z35" s="33">
        <f t="shared" si="14"/>
        <v>7.0000000000000007E-2</v>
      </c>
      <c r="AA35" s="33">
        <f t="shared" si="31"/>
        <v>0.93239381990594827</v>
      </c>
      <c r="AB35" s="34">
        <f t="shared" si="15"/>
        <v>3.4394583742433538E-2</v>
      </c>
      <c r="AC35" s="35">
        <f t="shared" si="32"/>
        <v>12821.5659</v>
      </c>
      <c r="AD35" s="33">
        <f t="shared" si="16"/>
        <v>0.24</v>
      </c>
      <c r="AE35" s="33">
        <f t="shared" si="17"/>
        <v>0.14000000000000001</v>
      </c>
      <c r="AF35" s="33">
        <f t="shared" si="33"/>
        <v>0.86935823539880586</v>
      </c>
      <c r="AG35" s="37">
        <f t="shared" si="18"/>
        <v>6.7606180094051727E-2</v>
      </c>
      <c r="AH35" s="35">
        <f t="shared" si="34"/>
        <v>841.56600000000003</v>
      </c>
      <c r="AI35" s="33">
        <f t="shared" si="19"/>
        <v>0</v>
      </c>
      <c r="AJ35" s="38">
        <f t="shared" si="20"/>
        <v>0.14000000000000001</v>
      </c>
      <c r="AK35" s="33">
        <f t="shared" si="35"/>
        <v>0.86935823539880586</v>
      </c>
      <c r="AL35" s="37">
        <f t="shared" si="21"/>
        <v>6.7606180094051727E-2</v>
      </c>
      <c r="AM35" s="50">
        <f t="shared" si="36"/>
        <v>5860.0672734687969</v>
      </c>
      <c r="AN35" s="51"/>
      <c r="AO35" s="50">
        <f t="shared" si="37"/>
        <v>198.45871801492487</v>
      </c>
      <c r="AP35" s="51"/>
      <c r="AQ35" s="55">
        <f t="shared" si="38"/>
        <v>0</v>
      </c>
      <c r="AR35" s="51"/>
      <c r="AS35" s="55">
        <f t="shared" si="39"/>
        <v>2189.1780421898688</v>
      </c>
      <c r="AT35" s="51"/>
      <c r="AU35" s="55">
        <f t="shared" si="40"/>
        <v>255.04674830451182</v>
      </c>
      <c r="AV35" s="51"/>
      <c r="AW35" s="55">
        <f t="shared" si="41"/>
        <v>1291.3253980002373</v>
      </c>
      <c r="AX35" s="51"/>
      <c r="AY35" s="55">
        <f t="shared" si="42"/>
        <v>0</v>
      </c>
      <c r="AZ35" s="51"/>
      <c r="BA35" s="35"/>
      <c r="BB35" s="39"/>
      <c r="BC35" s="39"/>
      <c r="BD35" s="54"/>
    </row>
    <row r="36" spans="1:58">
      <c r="A36" s="260"/>
      <c r="B36" s="18">
        <v>4</v>
      </c>
      <c r="C36" s="19">
        <v>3</v>
      </c>
      <c r="D36" s="32">
        <f t="shared" si="22"/>
        <v>36936.536999999997</v>
      </c>
      <c r="E36" s="33">
        <f t="shared" si="1"/>
        <v>0.15</v>
      </c>
      <c r="F36" s="85">
        <f t="shared" si="2"/>
        <v>0.4</v>
      </c>
      <c r="G36" s="33">
        <f t="shared" si="23"/>
        <v>0.67032004603563933</v>
      </c>
      <c r="H36" s="34">
        <f t="shared" si="3"/>
        <v>0.32967995396436067</v>
      </c>
      <c r="I36" s="35">
        <f t="shared" si="24"/>
        <v>1182.2976000000001</v>
      </c>
      <c r="J36" s="33">
        <f t="shared" si="4"/>
        <v>0.4</v>
      </c>
      <c r="K36" s="33">
        <f t="shared" si="5"/>
        <v>7.0000000000000007E-2</v>
      </c>
      <c r="L36" s="33">
        <f t="shared" si="25"/>
        <v>0.93239381990594827</v>
      </c>
      <c r="M36" s="36">
        <f t="shared" si="6"/>
        <v>6.7606180094051727E-2</v>
      </c>
      <c r="N36" s="35">
        <f t="shared" si="26"/>
        <v>0</v>
      </c>
      <c r="O36" s="33">
        <f t="shared" si="7"/>
        <v>0.43</v>
      </c>
      <c r="P36" s="33">
        <f t="shared" si="8"/>
        <v>3.5000000000000003E-2</v>
      </c>
      <c r="Q36" s="33">
        <f t="shared" si="27"/>
        <v>0.96560541625756646</v>
      </c>
      <c r="R36" s="34">
        <f t="shared" si="9"/>
        <v>3.4394583742433538E-2</v>
      </c>
      <c r="S36" s="35">
        <f t="shared" si="28"/>
        <v>13777.0512</v>
      </c>
      <c r="T36" s="33">
        <f t="shared" si="10"/>
        <v>0.2</v>
      </c>
      <c r="U36" s="33">
        <f t="shared" si="11"/>
        <v>0.17</v>
      </c>
      <c r="V36" s="33">
        <f t="shared" si="29"/>
        <v>0.8436648165963837</v>
      </c>
      <c r="W36" s="34">
        <f t="shared" si="12"/>
        <v>0.1563351834036163</v>
      </c>
      <c r="X36" s="35">
        <f t="shared" si="30"/>
        <v>2590.3811999999998</v>
      </c>
      <c r="Y36" s="33">
        <f t="shared" si="13"/>
        <v>0.43</v>
      </c>
      <c r="Z36" s="33">
        <f t="shared" si="14"/>
        <v>3.5000000000000003E-2</v>
      </c>
      <c r="AA36" s="33">
        <f t="shared" si="31"/>
        <v>0.96560541625756646</v>
      </c>
      <c r="AB36" s="34">
        <f t="shared" si="15"/>
        <v>3.4394583742433538E-2</v>
      </c>
      <c r="AC36" s="35">
        <f t="shared" si="32"/>
        <v>12821.5659</v>
      </c>
      <c r="AD36" s="33">
        <f t="shared" si="16"/>
        <v>0.24</v>
      </c>
      <c r="AE36" s="33">
        <f t="shared" si="17"/>
        <v>7.0000000000000007E-2</v>
      </c>
      <c r="AF36" s="33">
        <f t="shared" si="33"/>
        <v>0.93239381990594827</v>
      </c>
      <c r="AG36" s="37">
        <f t="shared" si="18"/>
        <v>6.7606180094051727E-2</v>
      </c>
      <c r="AH36" s="35">
        <f t="shared" si="34"/>
        <v>841.56600000000003</v>
      </c>
      <c r="AI36" s="33">
        <f t="shared" si="19"/>
        <v>0</v>
      </c>
      <c r="AJ36" s="38">
        <f t="shared" si="20"/>
        <v>7.0000000000000007E-2</v>
      </c>
      <c r="AK36" s="33">
        <f t="shared" si="35"/>
        <v>0.93239381990594827</v>
      </c>
      <c r="AL36" s="37">
        <f t="shared" si="21"/>
        <v>6.7606180094051727E-2</v>
      </c>
      <c r="AM36" s="50">
        <f t="shared" si="36"/>
        <v>8742.1930884000922</v>
      </c>
      <c r="AN36" s="51"/>
      <c r="AO36" s="50">
        <f t="shared" si="37"/>
        <v>212.84859871223046</v>
      </c>
      <c r="AP36" s="51"/>
      <c r="AQ36" s="55">
        <f t="shared" si="38"/>
        <v>0</v>
      </c>
      <c r="AR36" s="51"/>
      <c r="AS36" s="55">
        <f t="shared" si="39"/>
        <v>2594.8433538116715</v>
      </c>
      <c r="AT36" s="51"/>
      <c r="AU36" s="55">
        <f t="shared" si="40"/>
        <v>264.13143920940934</v>
      </c>
      <c r="AV36" s="51"/>
      <c r="AW36" s="55">
        <f t="shared" si="41"/>
        <v>1384.9570540166117</v>
      </c>
      <c r="AX36" s="51"/>
      <c r="AY36" s="55">
        <f t="shared" si="42"/>
        <v>0</v>
      </c>
      <c r="AZ36" s="51"/>
      <c r="BA36" s="35"/>
      <c r="BB36" s="39"/>
      <c r="BC36" s="39"/>
      <c r="BD36" s="54"/>
    </row>
    <row r="37" spans="1:58" ht="15" thickBot="1">
      <c r="A37" s="261"/>
      <c r="B37" s="18">
        <v>4</v>
      </c>
      <c r="C37" s="19">
        <v>4</v>
      </c>
      <c r="D37" s="32">
        <f t="shared" si="22"/>
        <v>36936.536999999997</v>
      </c>
      <c r="E37" s="33">
        <f t="shared" si="1"/>
        <v>0.15</v>
      </c>
      <c r="F37" s="85">
        <f t="shared" si="2"/>
        <v>0</v>
      </c>
      <c r="G37" s="33">
        <f t="shared" si="23"/>
        <v>1</v>
      </c>
      <c r="H37" s="34">
        <f t="shared" si="3"/>
        <v>0.32967995396436067</v>
      </c>
      <c r="I37" s="35">
        <f t="shared" si="24"/>
        <v>1182.2976000000001</v>
      </c>
      <c r="J37" s="33">
        <f t="shared" si="4"/>
        <v>0.4</v>
      </c>
      <c r="K37" s="33">
        <f t="shared" si="5"/>
        <v>0</v>
      </c>
      <c r="L37" s="33">
        <f t="shared" si="25"/>
        <v>1</v>
      </c>
      <c r="M37" s="36">
        <f t="shared" si="6"/>
        <v>6.7606180094051727E-2</v>
      </c>
      <c r="N37" s="35">
        <f t="shared" si="26"/>
        <v>0</v>
      </c>
      <c r="O37" s="33">
        <f t="shared" si="7"/>
        <v>0.43</v>
      </c>
      <c r="P37" s="33">
        <f t="shared" si="8"/>
        <v>0</v>
      </c>
      <c r="Q37" s="33">
        <f t="shared" si="27"/>
        <v>1</v>
      </c>
      <c r="R37" s="34">
        <f t="shared" si="9"/>
        <v>3.4394583742433538E-2</v>
      </c>
      <c r="S37" s="35">
        <f t="shared" si="28"/>
        <v>13777.0512</v>
      </c>
      <c r="T37" s="33">
        <f t="shared" si="10"/>
        <v>0.2</v>
      </c>
      <c r="U37" s="33">
        <f t="shared" si="11"/>
        <v>0</v>
      </c>
      <c r="V37" s="33">
        <f t="shared" si="29"/>
        <v>1</v>
      </c>
      <c r="W37" s="34">
        <f t="shared" si="12"/>
        <v>0.1563351834036163</v>
      </c>
      <c r="X37" s="35">
        <f t="shared" si="30"/>
        <v>2590.3811999999998</v>
      </c>
      <c r="Y37" s="33">
        <f t="shared" si="13"/>
        <v>0.43</v>
      </c>
      <c r="Z37" s="33">
        <f t="shared" si="14"/>
        <v>0</v>
      </c>
      <c r="AA37" s="33">
        <f t="shared" si="31"/>
        <v>1</v>
      </c>
      <c r="AB37" s="34">
        <f t="shared" si="15"/>
        <v>3.4394583742433538E-2</v>
      </c>
      <c r="AC37" s="35">
        <f t="shared" si="32"/>
        <v>12821.5659</v>
      </c>
      <c r="AD37" s="33">
        <f t="shared" si="16"/>
        <v>0.24</v>
      </c>
      <c r="AE37" s="33">
        <f t="shared" si="17"/>
        <v>0</v>
      </c>
      <c r="AF37" s="33">
        <f t="shared" si="33"/>
        <v>1</v>
      </c>
      <c r="AG37" s="37">
        <f t="shared" si="18"/>
        <v>6.7606180094051727E-2</v>
      </c>
      <c r="AH37" s="35">
        <f t="shared" si="34"/>
        <v>841.56600000000003</v>
      </c>
      <c r="AI37" s="33">
        <f t="shared" si="19"/>
        <v>0</v>
      </c>
      <c r="AJ37" s="38">
        <f t="shared" si="20"/>
        <v>0</v>
      </c>
      <c r="AK37" s="33">
        <f t="shared" si="35"/>
        <v>1</v>
      </c>
      <c r="AL37" s="37">
        <f t="shared" si="21"/>
        <v>6.7606180094051727E-2</v>
      </c>
      <c r="AM37" s="50">
        <f t="shared" si="36"/>
        <v>13041.819560824069</v>
      </c>
      <c r="AN37" s="51">
        <f>SUM(AM34:AM37)</f>
        <v>31572.200487216505</v>
      </c>
      <c r="AO37" s="50">
        <f t="shared" si="37"/>
        <v>228.28186348736284</v>
      </c>
      <c r="AP37" s="51">
        <f>SUM(AO34:AO37)</f>
        <v>824.63086239809127</v>
      </c>
      <c r="AQ37" s="55">
        <f t="shared" si="38"/>
        <v>0</v>
      </c>
      <c r="AR37" s="51">
        <f>SUM(AQ34:AQ37)</f>
        <v>0</v>
      </c>
      <c r="AS37" s="55">
        <f t="shared" si="39"/>
        <v>3075.6804156893818</v>
      </c>
      <c r="AT37" s="51">
        <f>SUM(AS34:AS37)</f>
        <v>9706.6343031518682</v>
      </c>
      <c r="AU37" s="55">
        <f t="shared" si="40"/>
        <v>273.53972415887387</v>
      </c>
      <c r="AV37" s="51">
        <f>SUM(AU34:AU37)</f>
        <v>1038.992433234512</v>
      </c>
      <c r="AW37" s="55">
        <f t="shared" si="41"/>
        <v>1485.3777711185539</v>
      </c>
      <c r="AX37" s="51">
        <f>SUM(AW34:AW37)</f>
        <v>5365.6840437184128</v>
      </c>
      <c r="AY37" s="55">
        <f t="shared" si="42"/>
        <v>0</v>
      </c>
      <c r="AZ37" s="51">
        <f>SUM(AY34:AY37)</f>
        <v>0</v>
      </c>
      <c r="BA37" s="35">
        <f>SUM(AN37,AP37,AR37,AT37,AV37,AX37,AZ37)</f>
        <v>48508.142129719388</v>
      </c>
      <c r="BB37" s="39">
        <f>BB33</f>
        <v>35773</v>
      </c>
      <c r="BC37" s="39">
        <f>BA37+BB37</f>
        <v>84281.142129719388</v>
      </c>
      <c r="BD37" s="60" t="s">
        <v>77</v>
      </c>
    </row>
    <row r="38" spans="1:58">
      <c r="A38" s="256" t="s">
        <v>78</v>
      </c>
      <c r="B38" s="18">
        <v>5</v>
      </c>
      <c r="C38" s="19">
        <v>1</v>
      </c>
      <c r="D38" s="32">
        <f t="shared" si="22"/>
        <v>36936.536999999997</v>
      </c>
      <c r="E38" s="33">
        <f t="shared" si="1"/>
        <v>0.15</v>
      </c>
      <c r="F38" s="85">
        <f t="shared" si="2"/>
        <v>1.6</v>
      </c>
      <c r="G38" s="33">
        <f t="shared" si="23"/>
        <v>0.20189651799465538</v>
      </c>
      <c r="H38" s="34">
        <f t="shared" si="3"/>
        <v>0.32967995396436067</v>
      </c>
      <c r="I38" s="35">
        <f t="shared" si="24"/>
        <v>1182.2976000000001</v>
      </c>
      <c r="J38" s="33">
        <f t="shared" si="4"/>
        <v>0.4</v>
      </c>
      <c r="K38" s="33">
        <f t="shared" si="5"/>
        <v>0.28000000000000003</v>
      </c>
      <c r="L38" s="33">
        <f t="shared" si="25"/>
        <v>0.75578374145572547</v>
      </c>
      <c r="M38" s="36">
        <f t="shared" si="6"/>
        <v>6.7606180094051727E-2</v>
      </c>
      <c r="N38" s="35">
        <f t="shared" si="26"/>
        <v>0</v>
      </c>
      <c r="O38" s="33">
        <f t="shared" si="7"/>
        <v>0.43</v>
      </c>
      <c r="P38" s="33">
        <f t="shared" si="8"/>
        <v>0.14000000000000001</v>
      </c>
      <c r="Q38" s="33">
        <f t="shared" si="27"/>
        <v>0.86935823539880586</v>
      </c>
      <c r="R38" s="34">
        <f t="shared" si="9"/>
        <v>3.4394583742433538E-2</v>
      </c>
      <c r="S38" s="35">
        <f t="shared" si="28"/>
        <v>13777.0512</v>
      </c>
      <c r="T38" s="33">
        <f t="shared" si="10"/>
        <v>0.2</v>
      </c>
      <c r="U38" s="33">
        <f t="shared" si="11"/>
        <v>0.68</v>
      </c>
      <c r="V38" s="33">
        <f t="shared" si="29"/>
        <v>0.50661699236558955</v>
      </c>
      <c r="W38" s="34">
        <f t="shared" si="12"/>
        <v>0.1563351834036163</v>
      </c>
      <c r="X38" s="35">
        <f t="shared" si="30"/>
        <v>2590.3811999999998</v>
      </c>
      <c r="Y38" s="33">
        <f t="shared" si="13"/>
        <v>0.43</v>
      </c>
      <c r="Z38" s="33">
        <f t="shared" si="14"/>
        <v>0.14000000000000001</v>
      </c>
      <c r="AA38" s="33">
        <f t="shared" si="31"/>
        <v>0.86935823539880586</v>
      </c>
      <c r="AB38" s="34">
        <f t="shared" si="15"/>
        <v>3.4394583742433538E-2</v>
      </c>
      <c r="AC38" s="35">
        <f t="shared" si="32"/>
        <v>12821.5659</v>
      </c>
      <c r="AD38" s="33">
        <f t="shared" si="16"/>
        <v>0.24</v>
      </c>
      <c r="AE38" s="33">
        <f t="shared" si="17"/>
        <v>0.28000000000000003</v>
      </c>
      <c r="AF38" s="33">
        <f t="shared" si="33"/>
        <v>0.75578374145572547</v>
      </c>
      <c r="AG38" s="37">
        <f t="shared" si="18"/>
        <v>6.7606180094051727E-2</v>
      </c>
      <c r="AH38" s="35">
        <f t="shared" si="34"/>
        <v>841.56600000000003</v>
      </c>
      <c r="AI38" s="33">
        <f t="shared" si="19"/>
        <v>0</v>
      </c>
      <c r="AJ38" s="38">
        <f t="shared" si="20"/>
        <v>0.28000000000000003</v>
      </c>
      <c r="AK38" s="33">
        <f t="shared" si="35"/>
        <v>0.75578374145572547</v>
      </c>
      <c r="AL38" s="37">
        <f t="shared" si="21"/>
        <v>6.7606180094051727E-2</v>
      </c>
      <c r="AM38" s="50">
        <f t="shared" si="36"/>
        <v>2633.0979576449654</v>
      </c>
      <c r="AN38" s="51"/>
      <c r="AO38" s="50">
        <f t="shared" si="37"/>
        <v>172.53172089296424</v>
      </c>
      <c r="AP38" s="51"/>
      <c r="AQ38" s="55">
        <f t="shared" si="38"/>
        <v>0</v>
      </c>
      <c r="AR38" s="51"/>
      <c r="AS38" s="55">
        <f t="shared" si="39"/>
        <v>1558.1919616743007</v>
      </c>
      <c r="AT38" s="51"/>
      <c r="AU38" s="55">
        <f t="shared" si="40"/>
        <v>237.80401190623471</v>
      </c>
      <c r="AV38" s="51"/>
      <c r="AW38" s="55">
        <f t="shared" si="41"/>
        <v>1122.6243693311467</v>
      </c>
      <c r="AX38" s="51"/>
      <c r="AY38" s="55">
        <f t="shared" si="42"/>
        <v>0</v>
      </c>
      <c r="AZ38" s="51"/>
      <c r="BA38" s="35"/>
      <c r="BB38" s="39"/>
      <c r="BC38" s="39"/>
      <c r="BD38" s="54"/>
    </row>
    <row r="39" spans="1:58">
      <c r="A39" s="258"/>
      <c r="B39" s="18">
        <v>5</v>
      </c>
      <c r="C39" s="19">
        <v>2</v>
      </c>
      <c r="D39" s="32">
        <f t="shared" si="22"/>
        <v>36936.536999999997</v>
      </c>
      <c r="E39" s="33">
        <f t="shared" si="1"/>
        <v>0.15</v>
      </c>
      <c r="F39" s="85">
        <f t="shared" si="2"/>
        <v>1.2000000000000002</v>
      </c>
      <c r="G39" s="33">
        <f t="shared" si="23"/>
        <v>0.30119421191220203</v>
      </c>
      <c r="H39" s="34">
        <f t="shared" si="3"/>
        <v>0.32967995396436067</v>
      </c>
      <c r="I39" s="35">
        <f t="shared" si="24"/>
        <v>1182.2976000000001</v>
      </c>
      <c r="J39" s="33">
        <f t="shared" si="4"/>
        <v>0.4</v>
      </c>
      <c r="K39" s="33">
        <f t="shared" si="5"/>
        <v>0.21000000000000002</v>
      </c>
      <c r="L39" s="33">
        <f t="shared" si="25"/>
        <v>0.81058424597018708</v>
      </c>
      <c r="M39" s="36">
        <f t="shared" si="6"/>
        <v>6.7606180094051727E-2</v>
      </c>
      <c r="N39" s="35">
        <f t="shared" si="26"/>
        <v>0</v>
      </c>
      <c r="O39" s="33">
        <f t="shared" si="7"/>
        <v>0.43</v>
      </c>
      <c r="P39" s="33">
        <f t="shared" si="8"/>
        <v>0.10500000000000001</v>
      </c>
      <c r="Q39" s="33">
        <f t="shared" si="27"/>
        <v>0.90032452258626561</v>
      </c>
      <c r="R39" s="34">
        <f t="shared" si="9"/>
        <v>3.4394583742433538E-2</v>
      </c>
      <c r="S39" s="35">
        <f t="shared" si="28"/>
        <v>13777.0512</v>
      </c>
      <c r="T39" s="33">
        <f t="shared" si="10"/>
        <v>0.2</v>
      </c>
      <c r="U39" s="33">
        <f t="shared" si="11"/>
        <v>0.51</v>
      </c>
      <c r="V39" s="33">
        <f t="shared" si="29"/>
        <v>0.6004955788122659</v>
      </c>
      <c r="W39" s="34">
        <f t="shared" si="12"/>
        <v>0.1563351834036163</v>
      </c>
      <c r="X39" s="35">
        <f t="shared" si="30"/>
        <v>2590.3811999999998</v>
      </c>
      <c r="Y39" s="33">
        <f t="shared" si="13"/>
        <v>0.43</v>
      </c>
      <c r="Z39" s="33">
        <f t="shared" si="14"/>
        <v>0.10500000000000001</v>
      </c>
      <c r="AA39" s="33">
        <f t="shared" si="31"/>
        <v>0.90032452258626561</v>
      </c>
      <c r="AB39" s="34">
        <f t="shared" si="15"/>
        <v>3.4394583742433538E-2</v>
      </c>
      <c r="AC39" s="35">
        <f t="shared" si="32"/>
        <v>12821.5659</v>
      </c>
      <c r="AD39" s="33">
        <f t="shared" si="16"/>
        <v>0.24</v>
      </c>
      <c r="AE39" s="33">
        <f t="shared" si="17"/>
        <v>0.21000000000000002</v>
      </c>
      <c r="AF39" s="33">
        <f t="shared" si="33"/>
        <v>0.81058424597018708</v>
      </c>
      <c r="AG39" s="37">
        <f t="shared" si="18"/>
        <v>6.7606180094051727E-2</v>
      </c>
      <c r="AH39" s="35">
        <f t="shared" si="34"/>
        <v>841.56600000000003</v>
      </c>
      <c r="AI39" s="33">
        <f t="shared" si="19"/>
        <v>0</v>
      </c>
      <c r="AJ39" s="38">
        <f t="shared" si="20"/>
        <v>0.21000000000000002</v>
      </c>
      <c r="AK39" s="33">
        <f t="shared" si="35"/>
        <v>0.81058424597018708</v>
      </c>
      <c r="AL39" s="37">
        <f t="shared" si="21"/>
        <v>6.7606180094051727E-2</v>
      </c>
      <c r="AM39" s="50">
        <f t="shared" si="36"/>
        <v>3928.1205645235459</v>
      </c>
      <c r="AN39" s="51"/>
      <c r="AO39" s="50">
        <f t="shared" si="37"/>
        <v>185.04168218357316</v>
      </c>
      <c r="AP39" s="51"/>
      <c r="AQ39" s="55">
        <f t="shared" si="38"/>
        <v>0</v>
      </c>
      <c r="AR39" s="51"/>
      <c r="AS39" s="55">
        <f t="shared" si="39"/>
        <v>1846.9324914609458</v>
      </c>
      <c r="AT39" s="51"/>
      <c r="AU39" s="55">
        <f t="shared" si="40"/>
        <v>246.27452156171691</v>
      </c>
      <c r="AV39" s="51"/>
      <c r="AW39" s="55">
        <f t="shared" si="41"/>
        <v>1204.0238205830103</v>
      </c>
      <c r="AX39" s="51"/>
      <c r="AY39" s="55">
        <f t="shared" si="42"/>
        <v>0</v>
      </c>
      <c r="AZ39" s="51"/>
      <c r="BA39" s="35"/>
      <c r="BB39" s="39"/>
      <c r="BC39" s="39"/>
      <c r="BD39" s="54"/>
    </row>
    <row r="40" spans="1:58">
      <c r="A40" s="258"/>
      <c r="B40" s="18">
        <v>5</v>
      </c>
      <c r="C40" s="19">
        <v>3</v>
      </c>
      <c r="D40" s="32">
        <f t="shared" si="22"/>
        <v>36936.536999999997</v>
      </c>
      <c r="E40" s="33">
        <f t="shared" si="1"/>
        <v>0.15</v>
      </c>
      <c r="F40" s="85">
        <f t="shared" si="2"/>
        <v>0.8</v>
      </c>
      <c r="G40" s="33">
        <f t="shared" si="23"/>
        <v>0.44932896411722156</v>
      </c>
      <c r="H40" s="34">
        <f t="shared" si="3"/>
        <v>0.32967995396436067</v>
      </c>
      <c r="I40" s="35">
        <f t="shared" si="24"/>
        <v>1182.2976000000001</v>
      </c>
      <c r="J40" s="33">
        <f t="shared" si="4"/>
        <v>0.4</v>
      </c>
      <c r="K40" s="33">
        <f t="shared" si="5"/>
        <v>0.14000000000000001</v>
      </c>
      <c r="L40" s="33">
        <f t="shared" si="25"/>
        <v>0.86935823539880586</v>
      </c>
      <c r="M40" s="36">
        <f t="shared" si="6"/>
        <v>6.7606180094051727E-2</v>
      </c>
      <c r="N40" s="35">
        <f t="shared" si="26"/>
        <v>0</v>
      </c>
      <c r="O40" s="33">
        <f t="shared" si="7"/>
        <v>0.43</v>
      </c>
      <c r="P40" s="33">
        <f t="shared" si="8"/>
        <v>7.0000000000000007E-2</v>
      </c>
      <c r="Q40" s="33">
        <f t="shared" si="27"/>
        <v>0.93239381990594827</v>
      </c>
      <c r="R40" s="34">
        <f t="shared" si="9"/>
        <v>3.4394583742433538E-2</v>
      </c>
      <c r="S40" s="35">
        <f t="shared" si="28"/>
        <v>13777.0512</v>
      </c>
      <c r="T40" s="33">
        <f t="shared" si="10"/>
        <v>0.2</v>
      </c>
      <c r="U40" s="33">
        <f t="shared" si="11"/>
        <v>0.34</v>
      </c>
      <c r="V40" s="33">
        <f t="shared" si="29"/>
        <v>0.71177032276260965</v>
      </c>
      <c r="W40" s="34">
        <f t="shared" si="12"/>
        <v>0.1563351834036163</v>
      </c>
      <c r="X40" s="35">
        <f t="shared" si="30"/>
        <v>2590.3811999999998</v>
      </c>
      <c r="Y40" s="33">
        <f t="shared" si="13"/>
        <v>0.43</v>
      </c>
      <c r="Z40" s="33">
        <f t="shared" si="14"/>
        <v>7.0000000000000007E-2</v>
      </c>
      <c r="AA40" s="33">
        <f t="shared" si="31"/>
        <v>0.93239381990594827</v>
      </c>
      <c r="AB40" s="34">
        <f t="shared" si="15"/>
        <v>3.4394583742433538E-2</v>
      </c>
      <c r="AC40" s="35">
        <f t="shared" si="32"/>
        <v>12821.5659</v>
      </c>
      <c r="AD40" s="33">
        <f t="shared" si="16"/>
        <v>0.24</v>
      </c>
      <c r="AE40" s="33">
        <f t="shared" si="17"/>
        <v>0.14000000000000001</v>
      </c>
      <c r="AF40" s="33">
        <f t="shared" si="33"/>
        <v>0.86935823539880586</v>
      </c>
      <c r="AG40" s="37">
        <f t="shared" si="18"/>
        <v>6.7606180094051727E-2</v>
      </c>
      <c r="AH40" s="35">
        <f t="shared" si="34"/>
        <v>841.56600000000003</v>
      </c>
      <c r="AI40" s="33">
        <f t="shared" si="19"/>
        <v>0</v>
      </c>
      <c r="AJ40" s="38">
        <f t="shared" si="20"/>
        <v>0.14000000000000001</v>
      </c>
      <c r="AK40" s="33">
        <f t="shared" si="35"/>
        <v>0.86935823539880586</v>
      </c>
      <c r="AL40" s="37">
        <f t="shared" si="21"/>
        <v>6.7606180094051727E-2</v>
      </c>
      <c r="AM40" s="50">
        <f t="shared" si="36"/>
        <v>5860.0672734687969</v>
      </c>
      <c r="AN40" s="51"/>
      <c r="AO40" s="50">
        <f t="shared" si="37"/>
        <v>198.45871801492487</v>
      </c>
      <c r="AP40" s="51"/>
      <c r="AQ40" s="55">
        <f t="shared" si="38"/>
        <v>0</v>
      </c>
      <c r="AR40" s="51"/>
      <c r="AS40" s="55">
        <f t="shared" si="39"/>
        <v>2189.1780421898688</v>
      </c>
      <c r="AT40" s="51"/>
      <c r="AU40" s="55">
        <f t="shared" si="40"/>
        <v>255.04674830451182</v>
      </c>
      <c r="AV40" s="51"/>
      <c r="AW40" s="55">
        <f t="shared" si="41"/>
        <v>1291.3253980002373</v>
      </c>
      <c r="AX40" s="51"/>
      <c r="AY40" s="55">
        <f t="shared" si="42"/>
        <v>0</v>
      </c>
      <c r="AZ40" s="51"/>
      <c r="BA40" s="35"/>
      <c r="BB40" s="39"/>
      <c r="BC40" s="39"/>
      <c r="BD40" s="54"/>
    </row>
    <row r="41" spans="1:58">
      <c r="A41" s="258"/>
      <c r="B41" s="18">
        <v>5</v>
      </c>
      <c r="C41" s="19">
        <v>4</v>
      </c>
      <c r="D41" s="32">
        <f t="shared" si="22"/>
        <v>36936.536999999997</v>
      </c>
      <c r="E41" s="33">
        <f t="shared" si="1"/>
        <v>0.15</v>
      </c>
      <c r="F41" s="85">
        <f t="shared" si="2"/>
        <v>0.4</v>
      </c>
      <c r="G41" s="33">
        <f t="shared" si="23"/>
        <v>0.67032004603563933</v>
      </c>
      <c r="H41" s="34">
        <f t="shared" si="3"/>
        <v>0.32967995396436067</v>
      </c>
      <c r="I41" s="35">
        <f t="shared" si="24"/>
        <v>1182.2976000000001</v>
      </c>
      <c r="J41" s="33">
        <f t="shared" si="4"/>
        <v>0.4</v>
      </c>
      <c r="K41" s="33">
        <f t="shared" si="5"/>
        <v>7.0000000000000007E-2</v>
      </c>
      <c r="L41" s="33">
        <f t="shared" si="25"/>
        <v>0.93239381990594827</v>
      </c>
      <c r="M41" s="36">
        <f t="shared" si="6"/>
        <v>6.7606180094051727E-2</v>
      </c>
      <c r="N41" s="35">
        <f t="shared" si="26"/>
        <v>0</v>
      </c>
      <c r="O41" s="33">
        <f t="shared" si="7"/>
        <v>0.43</v>
      </c>
      <c r="P41" s="33">
        <f t="shared" si="8"/>
        <v>3.5000000000000003E-2</v>
      </c>
      <c r="Q41" s="33">
        <f t="shared" si="27"/>
        <v>0.96560541625756646</v>
      </c>
      <c r="R41" s="34">
        <f t="shared" si="9"/>
        <v>3.4394583742433538E-2</v>
      </c>
      <c r="S41" s="35">
        <f t="shared" si="28"/>
        <v>13777.0512</v>
      </c>
      <c r="T41" s="33">
        <f t="shared" si="10"/>
        <v>0.2</v>
      </c>
      <c r="U41" s="33">
        <f t="shared" si="11"/>
        <v>0.17</v>
      </c>
      <c r="V41" s="33">
        <f t="shared" si="29"/>
        <v>0.8436648165963837</v>
      </c>
      <c r="W41" s="34">
        <f t="shared" si="12"/>
        <v>0.1563351834036163</v>
      </c>
      <c r="X41" s="35">
        <f t="shared" si="30"/>
        <v>2590.3811999999998</v>
      </c>
      <c r="Y41" s="33">
        <f t="shared" si="13"/>
        <v>0.43</v>
      </c>
      <c r="Z41" s="33">
        <f t="shared" si="14"/>
        <v>3.5000000000000003E-2</v>
      </c>
      <c r="AA41" s="33">
        <f t="shared" si="31"/>
        <v>0.96560541625756646</v>
      </c>
      <c r="AB41" s="34">
        <f t="shared" si="15"/>
        <v>3.4394583742433538E-2</v>
      </c>
      <c r="AC41" s="35">
        <f t="shared" si="32"/>
        <v>12821.5659</v>
      </c>
      <c r="AD41" s="33">
        <f t="shared" si="16"/>
        <v>0.24</v>
      </c>
      <c r="AE41" s="33">
        <f t="shared" si="17"/>
        <v>7.0000000000000007E-2</v>
      </c>
      <c r="AF41" s="33">
        <f t="shared" si="33"/>
        <v>0.93239381990594827</v>
      </c>
      <c r="AG41" s="37">
        <f t="shared" si="18"/>
        <v>6.7606180094051727E-2</v>
      </c>
      <c r="AH41" s="35">
        <f t="shared" si="34"/>
        <v>841.56600000000003</v>
      </c>
      <c r="AI41" s="33">
        <f t="shared" si="19"/>
        <v>0</v>
      </c>
      <c r="AJ41" s="38">
        <f t="shared" si="20"/>
        <v>7.0000000000000007E-2</v>
      </c>
      <c r="AK41" s="33">
        <f t="shared" si="35"/>
        <v>0.93239381990594827</v>
      </c>
      <c r="AL41" s="37">
        <f t="shared" si="21"/>
        <v>6.7606180094051727E-2</v>
      </c>
      <c r="AM41" s="50">
        <f t="shared" si="36"/>
        <v>8742.1930884000922</v>
      </c>
      <c r="AN41" s="51"/>
      <c r="AO41" s="50">
        <f t="shared" si="37"/>
        <v>212.84859871223046</v>
      </c>
      <c r="AP41" s="51"/>
      <c r="AQ41" s="55">
        <f t="shared" si="38"/>
        <v>0</v>
      </c>
      <c r="AR41" s="51"/>
      <c r="AS41" s="55">
        <f t="shared" si="39"/>
        <v>2594.8433538116715</v>
      </c>
      <c r="AT41" s="51"/>
      <c r="AU41" s="55">
        <f t="shared" si="40"/>
        <v>264.13143920940934</v>
      </c>
      <c r="AV41" s="51"/>
      <c r="AW41" s="55">
        <f t="shared" si="41"/>
        <v>1384.9570540166117</v>
      </c>
      <c r="AX41" s="51"/>
      <c r="AY41" s="55">
        <f t="shared" si="42"/>
        <v>0</v>
      </c>
      <c r="AZ41" s="51"/>
      <c r="BA41" s="35"/>
      <c r="BB41" s="39"/>
      <c r="BC41" s="39"/>
      <c r="BD41" s="54"/>
    </row>
    <row r="42" spans="1:58" ht="15" thickBot="1">
      <c r="A42" s="257"/>
      <c r="B42" s="18">
        <v>5</v>
      </c>
      <c r="C42" s="19">
        <v>5</v>
      </c>
      <c r="D42" s="32">
        <f t="shared" si="22"/>
        <v>36936.536999999997</v>
      </c>
      <c r="E42" s="33">
        <f t="shared" si="1"/>
        <v>0.15</v>
      </c>
      <c r="F42" s="85">
        <f t="shared" si="2"/>
        <v>0</v>
      </c>
      <c r="G42" s="33">
        <f t="shared" si="23"/>
        <v>1</v>
      </c>
      <c r="H42" s="34">
        <f t="shared" si="3"/>
        <v>0.32967995396436067</v>
      </c>
      <c r="I42" s="35">
        <f t="shared" si="24"/>
        <v>1182.2976000000001</v>
      </c>
      <c r="J42" s="33">
        <f t="shared" si="4"/>
        <v>0.4</v>
      </c>
      <c r="K42" s="33">
        <f t="shared" si="5"/>
        <v>0</v>
      </c>
      <c r="L42" s="33">
        <f t="shared" si="25"/>
        <v>1</v>
      </c>
      <c r="M42" s="36">
        <f t="shared" si="6"/>
        <v>6.7606180094051727E-2</v>
      </c>
      <c r="N42" s="35">
        <f t="shared" si="26"/>
        <v>0</v>
      </c>
      <c r="O42" s="33">
        <f t="shared" si="7"/>
        <v>0.43</v>
      </c>
      <c r="P42" s="33">
        <f t="shared" si="8"/>
        <v>0</v>
      </c>
      <c r="Q42" s="33">
        <f t="shared" si="27"/>
        <v>1</v>
      </c>
      <c r="R42" s="34">
        <f t="shared" si="9"/>
        <v>3.4394583742433538E-2</v>
      </c>
      <c r="S42" s="35">
        <f t="shared" si="28"/>
        <v>13777.0512</v>
      </c>
      <c r="T42" s="33">
        <f t="shared" si="10"/>
        <v>0.2</v>
      </c>
      <c r="U42" s="33">
        <f t="shared" si="11"/>
        <v>0</v>
      </c>
      <c r="V42" s="33">
        <f t="shared" si="29"/>
        <v>1</v>
      </c>
      <c r="W42" s="34">
        <f t="shared" si="12"/>
        <v>0.1563351834036163</v>
      </c>
      <c r="X42" s="35">
        <f t="shared" si="30"/>
        <v>2590.3811999999998</v>
      </c>
      <c r="Y42" s="33">
        <f t="shared" si="13"/>
        <v>0.43</v>
      </c>
      <c r="Z42" s="33">
        <f t="shared" si="14"/>
        <v>0</v>
      </c>
      <c r="AA42" s="33">
        <f t="shared" si="31"/>
        <v>1</v>
      </c>
      <c r="AB42" s="34">
        <f t="shared" si="15"/>
        <v>3.4394583742433538E-2</v>
      </c>
      <c r="AC42" s="35">
        <f t="shared" si="32"/>
        <v>12821.5659</v>
      </c>
      <c r="AD42" s="33">
        <f t="shared" si="16"/>
        <v>0.24</v>
      </c>
      <c r="AE42" s="33">
        <f t="shared" si="17"/>
        <v>0</v>
      </c>
      <c r="AF42" s="33">
        <f t="shared" si="33"/>
        <v>1</v>
      </c>
      <c r="AG42" s="37">
        <f t="shared" si="18"/>
        <v>6.7606180094051727E-2</v>
      </c>
      <c r="AH42" s="35">
        <f t="shared" si="34"/>
        <v>841.56600000000003</v>
      </c>
      <c r="AI42" s="33">
        <f t="shared" si="19"/>
        <v>0</v>
      </c>
      <c r="AJ42" s="38">
        <f t="shared" si="20"/>
        <v>0</v>
      </c>
      <c r="AK42" s="33">
        <f t="shared" si="35"/>
        <v>1</v>
      </c>
      <c r="AL42" s="37">
        <f t="shared" si="21"/>
        <v>6.7606180094051727E-2</v>
      </c>
      <c r="AM42" s="50">
        <f t="shared" si="36"/>
        <v>13041.819560824069</v>
      </c>
      <c r="AN42" s="51">
        <f>SUM(AM38:AM42)</f>
        <v>34205.298444861473</v>
      </c>
      <c r="AO42" s="50">
        <f t="shared" si="37"/>
        <v>228.28186348736284</v>
      </c>
      <c r="AP42" s="51">
        <f>SUM(AO38:AO42)</f>
        <v>997.16258329105563</v>
      </c>
      <c r="AQ42" s="55">
        <f t="shared" si="38"/>
        <v>0</v>
      </c>
      <c r="AR42" s="51">
        <f>SUM(AQ38:AQ42)</f>
        <v>0</v>
      </c>
      <c r="AS42" s="55">
        <f t="shared" si="39"/>
        <v>3075.6804156893818</v>
      </c>
      <c r="AT42" s="51">
        <f>SUM(AS38:AS42)</f>
        <v>11264.826264826168</v>
      </c>
      <c r="AU42" s="55">
        <f t="shared" si="40"/>
        <v>273.53972415887387</v>
      </c>
      <c r="AV42" s="51">
        <f>SUM(AU38:AU42)</f>
        <v>1276.7964451407468</v>
      </c>
      <c r="AW42" s="55">
        <f t="shared" si="41"/>
        <v>1485.3777711185539</v>
      </c>
      <c r="AX42" s="51">
        <f>SUM(AW38:AW42)</f>
        <v>6488.3084130495599</v>
      </c>
      <c r="AY42" s="55">
        <f t="shared" si="42"/>
        <v>0</v>
      </c>
      <c r="AZ42" s="51">
        <f>SUM(AY38:AY42)</f>
        <v>0</v>
      </c>
      <c r="BA42" s="35">
        <f>SUM(AN42,AP42,AR42,AT42,AV42,AX42,AZ42)</f>
        <v>54232.392151169006</v>
      </c>
      <c r="BB42" s="39">
        <f>BB37</f>
        <v>35773</v>
      </c>
      <c r="BC42" s="39">
        <f>BA42+BB42</f>
        <v>90005.392151169013</v>
      </c>
      <c r="BD42" s="60" t="s">
        <v>79</v>
      </c>
    </row>
    <row r="43" spans="1:58">
      <c r="A43" s="253" t="s">
        <v>80</v>
      </c>
      <c r="B43" s="18">
        <v>6</v>
      </c>
      <c r="C43" s="19">
        <v>1</v>
      </c>
      <c r="D43" s="32">
        <f t="shared" si="22"/>
        <v>36936.536999999997</v>
      </c>
      <c r="E43" s="33">
        <f t="shared" si="1"/>
        <v>0.15</v>
      </c>
      <c r="F43" s="85">
        <f t="shared" si="2"/>
        <v>2</v>
      </c>
      <c r="G43" s="33">
        <f t="shared" si="23"/>
        <v>0.1353352832366127</v>
      </c>
      <c r="H43" s="34">
        <f t="shared" si="3"/>
        <v>0.32967995396436067</v>
      </c>
      <c r="I43" s="35">
        <f t="shared" si="24"/>
        <v>1182.2976000000001</v>
      </c>
      <c r="J43" s="33">
        <f t="shared" si="4"/>
        <v>0.4</v>
      </c>
      <c r="K43" s="33">
        <f t="shared" si="5"/>
        <v>0.35000000000000003</v>
      </c>
      <c r="L43" s="33">
        <f t="shared" si="25"/>
        <v>0.70468808971871344</v>
      </c>
      <c r="M43" s="36">
        <f t="shared" si="6"/>
        <v>6.7606180094051727E-2</v>
      </c>
      <c r="N43" s="35">
        <f t="shared" si="26"/>
        <v>0</v>
      </c>
      <c r="O43" s="33">
        <f t="shared" si="7"/>
        <v>0.43</v>
      </c>
      <c r="P43" s="33">
        <f t="shared" si="8"/>
        <v>0.17500000000000002</v>
      </c>
      <c r="Q43" s="33">
        <f t="shared" si="27"/>
        <v>0.83945702076920736</v>
      </c>
      <c r="R43" s="34">
        <f t="shared" si="9"/>
        <v>3.4394583742433538E-2</v>
      </c>
      <c r="S43" s="35">
        <f t="shared" si="28"/>
        <v>13777.0512</v>
      </c>
      <c r="T43" s="33">
        <f t="shared" si="10"/>
        <v>0.2</v>
      </c>
      <c r="U43" s="33">
        <f t="shared" si="11"/>
        <v>0.85000000000000009</v>
      </c>
      <c r="V43" s="33">
        <f t="shared" si="29"/>
        <v>0.42741493194872665</v>
      </c>
      <c r="W43" s="34">
        <f t="shared" si="12"/>
        <v>0.1563351834036163</v>
      </c>
      <c r="X43" s="35">
        <f t="shared" si="30"/>
        <v>2590.3811999999998</v>
      </c>
      <c r="Y43" s="33">
        <f t="shared" si="13"/>
        <v>0.43</v>
      </c>
      <c r="Z43" s="33">
        <f t="shared" si="14"/>
        <v>0.17500000000000002</v>
      </c>
      <c r="AA43" s="33">
        <f t="shared" si="31"/>
        <v>0.83945702076920736</v>
      </c>
      <c r="AB43" s="34">
        <f t="shared" si="15"/>
        <v>3.4394583742433538E-2</v>
      </c>
      <c r="AC43" s="35">
        <f t="shared" si="32"/>
        <v>12821.5659</v>
      </c>
      <c r="AD43" s="33">
        <f t="shared" si="16"/>
        <v>0.24</v>
      </c>
      <c r="AE43" s="33">
        <f t="shared" si="17"/>
        <v>0.35000000000000003</v>
      </c>
      <c r="AF43" s="33">
        <f t="shared" si="33"/>
        <v>0.70468808971871344</v>
      </c>
      <c r="AG43" s="37">
        <f t="shared" si="18"/>
        <v>6.7606180094051727E-2</v>
      </c>
      <c r="AH43" s="35">
        <f t="shared" si="34"/>
        <v>841.56600000000003</v>
      </c>
      <c r="AI43" s="33">
        <f t="shared" si="19"/>
        <v>0</v>
      </c>
      <c r="AJ43" s="38">
        <f t="shared" si="20"/>
        <v>0.35000000000000003</v>
      </c>
      <c r="AK43" s="33">
        <f t="shared" si="35"/>
        <v>0.70468808971871344</v>
      </c>
      <c r="AL43" s="37">
        <f t="shared" si="21"/>
        <v>6.7606180094051727E-2</v>
      </c>
      <c r="AM43" s="50">
        <f t="shared" si="36"/>
        <v>1765.0183441849213</v>
      </c>
      <c r="AN43" s="51"/>
      <c r="AO43" s="50">
        <f t="shared" si="37"/>
        <v>160.86751029833783</v>
      </c>
      <c r="AP43" s="51"/>
      <c r="AQ43" s="55">
        <f t="shared" si="38"/>
        <v>0</v>
      </c>
      <c r="AR43" s="51"/>
      <c r="AS43" s="55">
        <f t="shared" si="39"/>
        <v>1314.5917355679085</v>
      </c>
      <c r="AT43" s="51"/>
      <c r="AU43" s="55">
        <f t="shared" si="40"/>
        <v>229.62484190443905</v>
      </c>
      <c r="AV43" s="51"/>
      <c r="AW43" s="55">
        <f t="shared" si="41"/>
        <v>1046.728024040174</v>
      </c>
      <c r="AX43" s="51"/>
      <c r="AY43" s="55">
        <f t="shared" si="42"/>
        <v>0</v>
      </c>
      <c r="AZ43" s="51"/>
      <c r="BA43" s="35"/>
      <c r="BB43" s="39"/>
      <c r="BC43" s="39"/>
      <c r="BD43" s="54"/>
    </row>
    <row r="44" spans="1:58">
      <c r="A44" s="254"/>
      <c r="B44" s="18">
        <v>6</v>
      </c>
      <c r="C44" s="19">
        <v>2</v>
      </c>
      <c r="D44" s="32">
        <f t="shared" si="22"/>
        <v>36936.536999999997</v>
      </c>
      <c r="E44" s="33">
        <f t="shared" si="1"/>
        <v>0.15</v>
      </c>
      <c r="F44" s="85">
        <f t="shared" si="2"/>
        <v>1.6</v>
      </c>
      <c r="G44" s="33">
        <f t="shared" si="23"/>
        <v>0.20189651799465538</v>
      </c>
      <c r="H44" s="34">
        <f t="shared" si="3"/>
        <v>0.32967995396436067</v>
      </c>
      <c r="I44" s="35">
        <f t="shared" si="24"/>
        <v>1182.2976000000001</v>
      </c>
      <c r="J44" s="33">
        <f t="shared" si="4"/>
        <v>0.4</v>
      </c>
      <c r="K44" s="33">
        <f t="shared" si="5"/>
        <v>0.28000000000000003</v>
      </c>
      <c r="L44" s="33">
        <f t="shared" si="25"/>
        <v>0.75578374145572547</v>
      </c>
      <c r="M44" s="36">
        <f t="shared" si="6"/>
        <v>6.7606180094051727E-2</v>
      </c>
      <c r="N44" s="35">
        <f t="shared" si="26"/>
        <v>0</v>
      </c>
      <c r="O44" s="33">
        <f t="shared" si="7"/>
        <v>0.43</v>
      </c>
      <c r="P44" s="33">
        <f t="shared" si="8"/>
        <v>0.14000000000000001</v>
      </c>
      <c r="Q44" s="33">
        <f t="shared" si="27"/>
        <v>0.86935823539880586</v>
      </c>
      <c r="R44" s="34">
        <f t="shared" si="9"/>
        <v>3.4394583742433538E-2</v>
      </c>
      <c r="S44" s="35">
        <f t="shared" si="28"/>
        <v>13777.0512</v>
      </c>
      <c r="T44" s="33">
        <f t="shared" si="10"/>
        <v>0.2</v>
      </c>
      <c r="U44" s="33">
        <f t="shared" si="11"/>
        <v>0.68</v>
      </c>
      <c r="V44" s="33">
        <f t="shared" si="29"/>
        <v>0.50661699236558955</v>
      </c>
      <c r="W44" s="34">
        <f t="shared" si="12"/>
        <v>0.1563351834036163</v>
      </c>
      <c r="X44" s="35">
        <f t="shared" si="30"/>
        <v>2590.3811999999998</v>
      </c>
      <c r="Y44" s="33">
        <f t="shared" si="13"/>
        <v>0.43</v>
      </c>
      <c r="Z44" s="33">
        <f t="shared" si="14"/>
        <v>0.14000000000000001</v>
      </c>
      <c r="AA44" s="33">
        <f t="shared" si="31"/>
        <v>0.86935823539880586</v>
      </c>
      <c r="AB44" s="34">
        <f t="shared" si="15"/>
        <v>3.4394583742433538E-2</v>
      </c>
      <c r="AC44" s="35">
        <f t="shared" si="32"/>
        <v>12821.5659</v>
      </c>
      <c r="AD44" s="33">
        <f t="shared" si="16"/>
        <v>0.24</v>
      </c>
      <c r="AE44" s="33">
        <f t="shared" si="17"/>
        <v>0.28000000000000003</v>
      </c>
      <c r="AF44" s="33">
        <f t="shared" si="33"/>
        <v>0.75578374145572547</v>
      </c>
      <c r="AG44" s="37">
        <f t="shared" si="18"/>
        <v>6.7606180094051727E-2</v>
      </c>
      <c r="AH44" s="35">
        <f t="shared" si="34"/>
        <v>841.56600000000003</v>
      </c>
      <c r="AI44" s="33">
        <f t="shared" si="19"/>
        <v>0</v>
      </c>
      <c r="AJ44" s="38">
        <f t="shared" si="20"/>
        <v>0.28000000000000003</v>
      </c>
      <c r="AK44" s="33">
        <f t="shared" si="35"/>
        <v>0.75578374145572547</v>
      </c>
      <c r="AL44" s="37">
        <f t="shared" si="21"/>
        <v>6.7606180094051727E-2</v>
      </c>
      <c r="AM44" s="50">
        <f t="shared" si="36"/>
        <v>2633.0979576449654</v>
      </c>
      <c r="AN44" s="51"/>
      <c r="AO44" s="50">
        <f t="shared" si="37"/>
        <v>172.53172089296424</v>
      </c>
      <c r="AP44" s="51"/>
      <c r="AQ44" s="55">
        <f t="shared" si="38"/>
        <v>0</v>
      </c>
      <c r="AR44" s="51"/>
      <c r="AS44" s="55">
        <f t="shared" si="39"/>
        <v>1558.1919616743007</v>
      </c>
      <c r="AT44" s="51"/>
      <c r="AU44" s="55">
        <f t="shared" si="40"/>
        <v>237.80401190623471</v>
      </c>
      <c r="AV44" s="51"/>
      <c r="AW44" s="55">
        <f t="shared" si="41"/>
        <v>1122.6243693311467</v>
      </c>
      <c r="AX44" s="51"/>
      <c r="AY44" s="55">
        <f t="shared" si="42"/>
        <v>0</v>
      </c>
      <c r="AZ44" s="51"/>
      <c r="BA44" s="35"/>
      <c r="BB44" s="39"/>
      <c r="BC44" s="39"/>
      <c r="BD44" s="54"/>
    </row>
    <row r="45" spans="1:58">
      <c r="A45" s="254"/>
      <c r="B45" s="18">
        <v>6</v>
      </c>
      <c r="C45" s="19">
        <v>3</v>
      </c>
      <c r="D45" s="32">
        <f t="shared" si="22"/>
        <v>36936.536999999997</v>
      </c>
      <c r="E45" s="33">
        <f t="shared" si="1"/>
        <v>0.15</v>
      </c>
      <c r="F45" s="85">
        <f t="shared" si="2"/>
        <v>1.2000000000000002</v>
      </c>
      <c r="G45" s="33">
        <f t="shared" si="23"/>
        <v>0.30119421191220203</v>
      </c>
      <c r="H45" s="34">
        <f t="shared" si="3"/>
        <v>0.32967995396436067</v>
      </c>
      <c r="I45" s="35">
        <f t="shared" si="24"/>
        <v>1182.2976000000001</v>
      </c>
      <c r="J45" s="33">
        <f t="shared" si="4"/>
        <v>0.4</v>
      </c>
      <c r="K45" s="33">
        <f t="shared" si="5"/>
        <v>0.21000000000000002</v>
      </c>
      <c r="L45" s="33">
        <f t="shared" si="25"/>
        <v>0.81058424597018708</v>
      </c>
      <c r="M45" s="36">
        <f t="shared" si="6"/>
        <v>6.7606180094051727E-2</v>
      </c>
      <c r="N45" s="35">
        <f t="shared" si="26"/>
        <v>0</v>
      </c>
      <c r="O45" s="33">
        <f t="shared" si="7"/>
        <v>0.43</v>
      </c>
      <c r="P45" s="33">
        <f t="shared" si="8"/>
        <v>0.10500000000000001</v>
      </c>
      <c r="Q45" s="33">
        <f t="shared" si="27"/>
        <v>0.90032452258626561</v>
      </c>
      <c r="R45" s="34">
        <f t="shared" si="9"/>
        <v>3.4394583742433538E-2</v>
      </c>
      <c r="S45" s="35">
        <f t="shared" si="28"/>
        <v>13777.0512</v>
      </c>
      <c r="T45" s="33">
        <f t="shared" si="10"/>
        <v>0.2</v>
      </c>
      <c r="U45" s="33">
        <f t="shared" si="11"/>
        <v>0.51</v>
      </c>
      <c r="V45" s="33">
        <f t="shared" si="29"/>
        <v>0.6004955788122659</v>
      </c>
      <c r="W45" s="34">
        <f t="shared" si="12"/>
        <v>0.1563351834036163</v>
      </c>
      <c r="X45" s="35">
        <f t="shared" si="30"/>
        <v>2590.3811999999998</v>
      </c>
      <c r="Y45" s="33">
        <f t="shared" si="13"/>
        <v>0.43</v>
      </c>
      <c r="Z45" s="33">
        <f t="shared" si="14"/>
        <v>0.10500000000000001</v>
      </c>
      <c r="AA45" s="33">
        <f t="shared" si="31"/>
        <v>0.90032452258626561</v>
      </c>
      <c r="AB45" s="34">
        <f t="shared" si="15"/>
        <v>3.4394583742433538E-2</v>
      </c>
      <c r="AC45" s="35">
        <f t="shared" si="32"/>
        <v>12821.5659</v>
      </c>
      <c r="AD45" s="33">
        <f t="shared" si="16"/>
        <v>0.24</v>
      </c>
      <c r="AE45" s="33">
        <f t="shared" si="17"/>
        <v>0.21000000000000002</v>
      </c>
      <c r="AF45" s="33">
        <f t="shared" si="33"/>
        <v>0.81058424597018708</v>
      </c>
      <c r="AG45" s="37">
        <f t="shared" si="18"/>
        <v>6.7606180094051727E-2</v>
      </c>
      <c r="AH45" s="35">
        <f t="shared" si="34"/>
        <v>841.56600000000003</v>
      </c>
      <c r="AI45" s="33">
        <f t="shared" si="19"/>
        <v>0</v>
      </c>
      <c r="AJ45" s="38">
        <f t="shared" si="20"/>
        <v>0.21000000000000002</v>
      </c>
      <c r="AK45" s="33">
        <f t="shared" si="35"/>
        <v>0.81058424597018708</v>
      </c>
      <c r="AL45" s="37">
        <f t="shared" si="21"/>
        <v>6.7606180094051727E-2</v>
      </c>
      <c r="AM45" s="50">
        <f t="shared" si="36"/>
        <v>3928.1205645235459</v>
      </c>
      <c r="AN45" s="51"/>
      <c r="AO45" s="50">
        <f t="shared" si="37"/>
        <v>185.04168218357316</v>
      </c>
      <c r="AP45" s="51"/>
      <c r="AQ45" s="55">
        <f t="shared" si="38"/>
        <v>0</v>
      </c>
      <c r="AR45" s="51"/>
      <c r="AS45" s="55">
        <f t="shared" si="39"/>
        <v>1846.9324914609458</v>
      </c>
      <c r="AT45" s="51"/>
      <c r="AU45" s="55">
        <f t="shared" si="40"/>
        <v>246.27452156171691</v>
      </c>
      <c r="AV45" s="51"/>
      <c r="AW45" s="55">
        <f t="shared" si="41"/>
        <v>1204.0238205830103</v>
      </c>
      <c r="AX45" s="51"/>
      <c r="AY45" s="55">
        <f t="shared" si="42"/>
        <v>0</v>
      </c>
      <c r="AZ45" s="51"/>
      <c r="BA45" s="35"/>
      <c r="BB45" s="39"/>
      <c r="BC45" s="39"/>
      <c r="BD45" s="54"/>
    </row>
    <row r="46" spans="1:58">
      <c r="A46" s="254"/>
      <c r="B46" s="18">
        <v>6</v>
      </c>
      <c r="C46" s="19">
        <v>4</v>
      </c>
      <c r="D46" s="32">
        <f t="shared" si="22"/>
        <v>36936.536999999997</v>
      </c>
      <c r="E46" s="33">
        <f t="shared" si="1"/>
        <v>0.15</v>
      </c>
      <c r="F46" s="85">
        <f t="shared" si="2"/>
        <v>0.8</v>
      </c>
      <c r="G46" s="33">
        <f t="shared" si="23"/>
        <v>0.44932896411722156</v>
      </c>
      <c r="H46" s="34">
        <f t="shared" si="3"/>
        <v>0.32967995396436067</v>
      </c>
      <c r="I46" s="35">
        <f t="shared" si="24"/>
        <v>1182.2976000000001</v>
      </c>
      <c r="J46" s="33">
        <f t="shared" si="4"/>
        <v>0.4</v>
      </c>
      <c r="K46" s="33">
        <f t="shared" si="5"/>
        <v>0.14000000000000001</v>
      </c>
      <c r="L46" s="33">
        <f t="shared" si="25"/>
        <v>0.86935823539880586</v>
      </c>
      <c r="M46" s="36">
        <f t="shared" si="6"/>
        <v>6.7606180094051727E-2</v>
      </c>
      <c r="N46" s="35">
        <f t="shared" si="26"/>
        <v>0</v>
      </c>
      <c r="O46" s="33">
        <f t="shared" si="7"/>
        <v>0.43</v>
      </c>
      <c r="P46" s="33">
        <f t="shared" si="8"/>
        <v>7.0000000000000007E-2</v>
      </c>
      <c r="Q46" s="33">
        <f t="shared" si="27"/>
        <v>0.93239381990594827</v>
      </c>
      <c r="R46" s="34">
        <f t="shared" si="9"/>
        <v>3.4394583742433538E-2</v>
      </c>
      <c r="S46" s="35">
        <f t="shared" si="28"/>
        <v>13777.0512</v>
      </c>
      <c r="T46" s="33">
        <f t="shared" si="10"/>
        <v>0.2</v>
      </c>
      <c r="U46" s="33">
        <f t="shared" si="11"/>
        <v>0.34</v>
      </c>
      <c r="V46" s="33">
        <f t="shared" si="29"/>
        <v>0.71177032276260965</v>
      </c>
      <c r="W46" s="34">
        <f t="shared" si="12"/>
        <v>0.1563351834036163</v>
      </c>
      <c r="X46" s="35">
        <f t="shared" si="30"/>
        <v>2590.3811999999998</v>
      </c>
      <c r="Y46" s="33">
        <f t="shared" si="13"/>
        <v>0.43</v>
      </c>
      <c r="Z46" s="33">
        <f t="shared" si="14"/>
        <v>7.0000000000000007E-2</v>
      </c>
      <c r="AA46" s="33">
        <f t="shared" si="31"/>
        <v>0.93239381990594827</v>
      </c>
      <c r="AB46" s="34">
        <f t="shared" si="15"/>
        <v>3.4394583742433538E-2</v>
      </c>
      <c r="AC46" s="35">
        <f t="shared" si="32"/>
        <v>12821.5659</v>
      </c>
      <c r="AD46" s="33">
        <f t="shared" si="16"/>
        <v>0.24</v>
      </c>
      <c r="AE46" s="33">
        <f t="shared" si="17"/>
        <v>0.14000000000000001</v>
      </c>
      <c r="AF46" s="33">
        <f t="shared" si="33"/>
        <v>0.86935823539880586</v>
      </c>
      <c r="AG46" s="37">
        <f t="shared" si="18"/>
        <v>6.7606180094051727E-2</v>
      </c>
      <c r="AH46" s="35">
        <f t="shared" si="34"/>
        <v>841.56600000000003</v>
      </c>
      <c r="AI46" s="33">
        <f t="shared" si="19"/>
        <v>0</v>
      </c>
      <c r="AJ46" s="38">
        <f t="shared" si="20"/>
        <v>0.14000000000000001</v>
      </c>
      <c r="AK46" s="33">
        <f t="shared" si="35"/>
        <v>0.86935823539880586</v>
      </c>
      <c r="AL46" s="37">
        <f t="shared" si="21"/>
        <v>6.7606180094051727E-2</v>
      </c>
      <c r="AM46" s="50">
        <f t="shared" si="36"/>
        <v>5860.0672734687969</v>
      </c>
      <c r="AN46" s="51"/>
      <c r="AO46" s="50">
        <f t="shared" si="37"/>
        <v>198.45871801492487</v>
      </c>
      <c r="AP46" s="51"/>
      <c r="AQ46" s="55">
        <f t="shared" si="38"/>
        <v>0</v>
      </c>
      <c r="AR46" s="51"/>
      <c r="AS46" s="55">
        <f t="shared" si="39"/>
        <v>2189.1780421898688</v>
      </c>
      <c r="AT46" s="51"/>
      <c r="AU46" s="55">
        <f t="shared" si="40"/>
        <v>255.04674830451182</v>
      </c>
      <c r="AV46" s="51"/>
      <c r="AW46" s="55">
        <f t="shared" si="41"/>
        <v>1291.3253980002373</v>
      </c>
      <c r="AX46" s="51"/>
      <c r="AY46" s="55">
        <f t="shared" si="42"/>
        <v>0</v>
      </c>
      <c r="AZ46" s="51"/>
      <c r="BA46" s="35"/>
      <c r="BB46" s="39"/>
      <c r="BC46" s="39"/>
      <c r="BD46" s="54"/>
    </row>
    <row r="47" spans="1:58">
      <c r="A47" s="254"/>
      <c r="B47" s="18">
        <v>6</v>
      </c>
      <c r="C47" s="19">
        <v>5</v>
      </c>
      <c r="D47" s="32">
        <f t="shared" si="22"/>
        <v>36936.536999999997</v>
      </c>
      <c r="E47" s="33">
        <f t="shared" si="1"/>
        <v>0.15</v>
      </c>
      <c r="F47" s="85">
        <f t="shared" si="2"/>
        <v>0.4</v>
      </c>
      <c r="G47" s="33">
        <f t="shared" si="23"/>
        <v>0.67032004603563933</v>
      </c>
      <c r="H47" s="34">
        <f t="shared" si="3"/>
        <v>0.32967995396436067</v>
      </c>
      <c r="I47" s="35">
        <f t="shared" si="24"/>
        <v>1182.2976000000001</v>
      </c>
      <c r="J47" s="33">
        <f t="shared" si="4"/>
        <v>0.4</v>
      </c>
      <c r="K47" s="33">
        <f t="shared" si="5"/>
        <v>7.0000000000000007E-2</v>
      </c>
      <c r="L47" s="33">
        <f t="shared" si="25"/>
        <v>0.93239381990594827</v>
      </c>
      <c r="M47" s="36">
        <f t="shared" si="6"/>
        <v>6.7606180094051727E-2</v>
      </c>
      <c r="N47" s="35">
        <f t="shared" si="26"/>
        <v>0</v>
      </c>
      <c r="O47" s="33">
        <f t="shared" si="7"/>
        <v>0.43</v>
      </c>
      <c r="P47" s="33">
        <f t="shared" si="8"/>
        <v>3.5000000000000003E-2</v>
      </c>
      <c r="Q47" s="33">
        <f t="shared" si="27"/>
        <v>0.96560541625756646</v>
      </c>
      <c r="R47" s="34">
        <f t="shared" si="9"/>
        <v>3.4394583742433538E-2</v>
      </c>
      <c r="S47" s="35">
        <f t="shared" si="28"/>
        <v>13777.0512</v>
      </c>
      <c r="T47" s="33">
        <f t="shared" si="10"/>
        <v>0.2</v>
      </c>
      <c r="U47" s="33">
        <f t="shared" si="11"/>
        <v>0.17</v>
      </c>
      <c r="V47" s="33">
        <f t="shared" si="29"/>
        <v>0.8436648165963837</v>
      </c>
      <c r="W47" s="34">
        <f t="shared" si="12"/>
        <v>0.1563351834036163</v>
      </c>
      <c r="X47" s="35">
        <f t="shared" si="30"/>
        <v>2590.3811999999998</v>
      </c>
      <c r="Y47" s="33">
        <f t="shared" si="13"/>
        <v>0.43</v>
      </c>
      <c r="Z47" s="33">
        <f t="shared" si="14"/>
        <v>3.5000000000000003E-2</v>
      </c>
      <c r="AA47" s="33">
        <f t="shared" si="31"/>
        <v>0.96560541625756646</v>
      </c>
      <c r="AB47" s="34">
        <f t="shared" si="15"/>
        <v>3.4394583742433538E-2</v>
      </c>
      <c r="AC47" s="35">
        <f t="shared" si="32"/>
        <v>12821.5659</v>
      </c>
      <c r="AD47" s="33">
        <f t="shared" si="16"/>
        <v>0.24</v>
      </c>
      <c r="AE47" s="33">
        <f t="shared" si="17"/>
        <v>7.0000000000000007E-2</v>
      </c>
      <c r="AF47" s="33">
        <f t="shared" si="33"/>
        <v>0.93239381990594827</v>
      </c>
      <c r="AG47" s="37">
        <f t="shared" si="18"/>
        <v>6.7606180094051727E-2</v>
      </c>
      <c r="AH47" s="35">
        <f t="shared" si="34"/>
        <v>841.56600000000003</v>
      </c>
      <c r="AI47" s="33">
        <f t="shared" si="19"/>
        <v>0</v>
      </c>
      <c r="AJ47" s="38">
        <f t="shared" si="20"/>
        <v>7.0000000000000007E-2</v>
      </c>
      <c r="AK47" s="33">
        <f t="shared" si="35"/>
        <v>0.93239381990594827</v>
      </c>
      <c r="AL47" s="37">
        <f t="shared" si="21"/>
        <v>6.7606180094051727E-2</v>
      </c>
      <c r="AM47" s="50">
        <f t="shared" si="36"/>
        <v>8742.1930884000922</v>
      </c>
      <c r="AN47" s="51"/>
      <c r="AO47" s="50">
        <f t="shared" si="37"/>
        <v>212.84859871223046</v>
      </c>
      <c r="AP47" s="51"/>
      <c r="AQ47" s="55">
        <f t="shared" si="38"/>
        <v>0</v>
      </c>
      <c r="AR47" s="51"/>
      <c r="AS47" s="55">
        <f t="shared" si="39"/>
        <v>2594.8433538116715</v>
      </c>
      <c r="AT47" s="51"/>
      <c r="AU47" s="55">
        <f t="shared" si="40"/>
        <v>264.13143920940934</v>
      </c>
      <c r="AV47" s="51"/>
      <c r="AW47" s="55">
        <f t="shared" si="41"/>
        <v>1384.9570540166117</v>
      </c>
      <c r="AX47" s="51"/>
      <c r="AY47" s="55">
        <f t="shared" si="42"/>
        <v>0</v>
      </c>
      <c r="AZ47" s="51"/>
      <c r="BA47" s="35"/>
      <c r="BB47" s="39"/>
      <c r="BC47" s="39"/>
      <c r="BD47" s="54"/>
    </row>
    <row r="48" spans="1:58" ht="15" thickBot="1">
      <c r="A48" s="255"/>
      <c r="B48" s="18">
        <v>6</v>
      </c>
      <c r="C48" s="19">
        <v>6</v>
      </c>
      <c r="D48" s="32">
        <f t="shared" si="22"/>
        <v>36936.536999999997</v>
      </c>
      <c r="E48" s="33">
        <f t="shared" si="1"/>
        <v>0.15</v>
      </c>
      <c r="F48" s="85">
        <f t="shared" si="2"/>
        <v>0</v>
      </c>
      <c r="G48" s="33">
        <f t="shared" si="23"/>
        <v>1</v>
      </c>
      <c r="H48" s="34">
        <f t="shared" si="3"/>
        <v>0.32967995396436067</v>
      </c>
      <c r="I48" s="35">
        <f t="shared" si="24"/>
        <v>1182.2976000000001</v>
      </c>
      <c r="J48" s="33">
        <f t="shared" si="4"/>
        <v>0.4</v>
      </c>
      <c r="K48" s="33">
        <f t="shared" si="5"/>
        <v>0</v>
      </c>
      <c r="L48" s="33">
        <f t="shared" si="25"/>
        <v>1</v>
      </c>
      <c r="M48" s="36">
        <f t="shared" si="6"/>
        <v>6.7606180094051727E-2</v>
      </c>
      <c r="N48" s="35">
        <f t="shared" si="26"/>
        <v>0</v>
      </c>
      <c r="O48" s="33">
        <f t="shared" si="7"/>
        <v>0.43</v>
      </c>
      <c r="P48" s="33">
        <f t="shared" si="8"/>
        <v>0</v>
      </c>
      <c r="Q48" s="33">
        <f t="shared" si="27"/>
        <v>1</v>
      </c>
      <c r="R48" s="34">
        <f t="shared" si="9"/>
        <v>3.4394583742433538E-2</v>
      </c>
      <c r="S48" s="35">
        <f t="shared" si="28"/>
        <v>13777.0512</v>
      </c>
      <c r="T48" s="33">
        <f t="shared" si="10"/>
        <v>0.2</v>
      </c>
      <c r="U48" s="33">
        <f t="shared" si="11"/>
        <v>0</v>
      </c>
      <c r="V48" s="33">
        <f t="shared" si="29"/>
        <v>1</v>
      </c>
      <c r="W48" s="34">
        <f t="shared" si="12"/>
        <v>0.1563351834036163</v>
      </c>
      <c r="X48" s="35">
        <f t="shared" si="30"/>
        <v>2590.3811999999998</v>
      </c>
      <c r="Y48" s="33">
        <f t="shared" si="13"/>
        <v>0.43</v>
      </c>
      <c r="Z48" s="33">
        <f t="shared" si="14"/>
        <v>0</v>
      </c>
      <c r="AA48" s="33">
        <f t="shared" si="31"/>
        <v>1</v>
      </c>
      <c r="AB48" s="34">
        <f t="shared" si="15"/>
        <v>3.4394583742433538E-2</v>
      </c>
      <c r="AC48" s="35">
        <f t="shared" si="32"/>
        <v>12821.5659</v>
      </c>
      <c r="AD48" s="33">
        <f t="shared" si="16"/>
        <v>0.24</v>
      </c>
      <c r="AE48" s="33">
        <f t="shared" si="17"/>
        <v>0</v>
      </c>
      <c r="AF48" s="33">
        <f t="shared" si="33"/>
        <v>1</v>
      </c>
      <c r="AG48" s="37">
        <f t="shared" si="18"/>
        <v>6.7606180094051727E-2</v>
      </c>
      <c r="AH48" s="35">
        <f t="shared" si="34"/>
        <v>841.56600000000003</v>
      </c>
      <c r="AI48" s="33">
        <f t="shared" si="19"/>
        <v>0</v>
      </c>
      <c r="AJ48" s="38">
        <f t="shared" si="20"/>
        <v>0</v>
      </c>
      <c r="AK48" s="33">
        <f t="shared" si="35"/>
        <v>1</v>
      </c>
      <c r="AL48" s="37">
        <f t="shared" si="21"/>
        <v>6.7606180094051727E-2</v>
      </c>
      <c r="AM48" s="50">
        <f t="shared" si="36"/>
        <v>13041.819560824069</v>
      </c>
      <c r="AN48" s="51">
        <f>SUM(AM43:AM48)</f>
        <v>35970.316789046396</v>
      </c>
      <c r="AO48" s="50">
        <f t="shared" si="37"/>
        <v>228.28186348736284</v>
      </c>
      <c r="AP48" s="51">
        <f>SUM(AO43:AO48)</f>
        <v>1158.0300935893933</v>
      </c>
      <c r="AQ48" s="55">
        <f t="shared" si="38"/>
        <v>0</v>
      </c>
      <c r="AR48" s="51">
        <f>SUM(AQ43:AQ48)</f>
        <v>0</v>
      </c>
      <c r="AS48" s="55">
        <f t="shared" si="39"/>
        <v>3075.6804156893818</v>
      </c>
      <c r="AT48" s="51">
        <f>SUM(AS43:AS48)</f>
        <v>12579.418000394076</v>
      </c>
      <c r="AU48" s="55">
        <f t="shared" si="40"/>
        <v>273.53972415887387</v>
      </c>
      <c r="AV48" s="51">
        <f>SUM(AU43:AU48)</f>
        <v>1506.4212870451859</v>
      </c>
      <c r="AW48" s="55">
        <f t="shared" si="41"/>
        <v>1485.3777711185539</v>
      </c>
      <c r="AX48" s="51">
        <f>SUM(AW43:AW48)</f>
        <v>7535.0364370897332</v>
      </c>
      <c r="AY48" s="55">
        <f t="shared" si="42"/>
        <v>0</v>
      </c>
      <c r="AZ48" s="51">
        <f>SUM(AY43:AY48)</f>
        <v>0</v>
      </c>
      <c r="BA48" s="35">
        <f>SUM(AN48,AP48,AR48,AT48,AV48,AX48,AZ48)</f>
        <v>58749.222607164789</v>
      </c>
      <c r="BB48" s="39">
        <f>BB42</f>
        <v>35773</v>
      </c>
      <c r="BC48" s="39">
        <f>BA48+BB48</f>
        <v>94522.222607164789</v>
      </c>
      <c r="BD48" s="61" t="s">
        <v>81</v>
      </c>
    </row>
    <row r="49" spans="1:58">
      <c r="A49" s="253" t="s">
        <v>82</v>
      </c>
      <c r="B49" s="18">
        <v>7</v>
      </c>
      <c r="C49" s="19">
        <v>1</v>
      </c>
      <c r="D49" s="32">
        <f t="shared" si="22"/>
        <v>36936.536999999997</v>
      </c>
      <c r="E49" s="33">
        <f t="shared" si="1"/>
        <v>0.15</v>
      </c>
      <c r="F49" s="85">
        <f t="shared" si="2"/>
        <v>2.4000000000000004</v>
      </c>
      <c r="G49" s="33">
        <f t="shared" si="23"/>
        <v>9.071795328941247E-2</v>
      </c>
      <c r="H49" s="34">
        <f t="shared" si="3"/>
        <v>0.32967995396436067</v>
      </c>
      <c r="I49" s="35">
        <f t="shared" si="24"/>
        <v>1182.2976000000001</v>
      </c>
      <c r="J49" s="33">
        <f t="shared" si="4"/>
        <v>0.4</v>
      </c>
      <c r="K49" s="33">
        <f t="shared" si="5"/>
        <v>0.42000000000000004</v>
      </c>
      <c r="L49" s="33">
        <f t="shared" si="25"/>
        <v>0.65704681981505675</v>
      </c>
      <c r="M49" s="36">
        <f t="shared" si="6"/>
        <v>6.7606180094051727E-2</v>
      </c>
      <c r="N49" s="35">
        <f t="shared" si="26"/>
        <v>0</v>
      </c>
      <c r="O49" s="33">
        <f t="shared" si="7"/>
        <v>0.43</v>
      </c>
      <c r="P49" s="33">
        <f t="shared" si="8"/>
        <v>0.21000000000000002</v>
      </c>
      <c r="Q49" s="33">
        <f t="shared" si="27"/>
        <v>0.81058424597018708</v>
      </c>
      <c r="R49" s="34">
        <f t="shared" si="9"/>
        <v>3.4394583742433538E-2</v>
      </c>
      <c r="S49" s="35">
        <f t="shared" si="28"/>
        <v>13777.0512</v>
      </c>
      <c r="T49" s="33">
        <f t="shared" si="10"/>
        <v>0.2</v>
      </c>
      <c r="U49" s="33">
        <f t="shared" si="11"/>
        <v>1.02</v>
      </c>
      <c r="V49" s="33">
        <f t="shared" si="29"/>
        <v>0.3605949401730783</v>
      </c>
      <c r="W49" s="34">
        <f t="shared" si="12"/>
        <v>0.1563351834036163</v>
      </c>
      <c r="X49" s="35">
        <f t="shared" si="30"/>
        <v>2590.3811999999998</v>
      </c>
      <c r="Y49" s="33">
        <f t="shared" si="13"/>
        <v>0.43</v>
      </c>
      <c r="Z49" s="33">
        <f t="shared" si="14"/>
        <v>0.21000000000000002</v>
      </c>
      <c r="AA49" s="33">
        <f t="shared" si="31"/>
        <v>0.81058424597018708</v>
      </c>
      <c r="AB49" s="34">
        <f t="shared" si="15"/>
        <v>3.4394583742433538E-2</v>
      </c>
      <c r="AC49" s="35">
        <f t="shared" si="32"/>
        <v>12821.5659</v>
      </c>
      <c r="AD49" s="33">
        <f t="shared" si="16"/>
        <v>0.24</v>
      </c>
      <c r="AE49" s="33">
        <f t="shared" si="17"/>
        <v>0.42000000000000004</v>
      </c>
      <c r="AF49" s="33">
        <f t="shared" si="33"/>
        <v>0.65704681981505675</v>
      </c>
      <c r="AG49" s="37">
        <f t="shared" si="18"/>
        <v>6.7606180094051727E-2</v>
      </c>
      <c r="AH49" s="35">
        <f t="shared" si="34"/>
        <v>841.56600000000003</v>
      </c>
      <c r="AI49" s="33">
        <f t="shared" si="19"/>
        <v>0</v>
      </c>
      <c r="AJ49" s="38">
        <f t="shared" si="20"/>
        <v>0.42000000000000004</v>
      </c>
      <c r="AK49" s="33">
        <f t="shared" si="35"/>
        <v>0.65704681981505675</v>
      </c>
      <c r="AL49" s="37">
        <f t="shared" si="21"/>
        <v>6.7606180094051727E-2</v>
      </c>
      <c r="AM49" s="50">
        <f t="shared" si="36"/>
        <v>1183.1271777277839</v>
      </c>
      <c r="AN49" s="51"/>
      <c r="AO49" s="50">
        <f t="shared" si="37"/>
        <v>149.99187242582667</v>
      </c>
      <c r="AP49" s="51"/>
      <c r="AQ49" s="55">
        <f t="shared" si="38"/>
        <v>0</v>
      </c>
      <c r="AR49" s="51"/>
      <c r="AS49" s="55">
        <f t="shared" si="39"/>
        <v>1109.0747954870212</v>
      </c>
      <c r="AT49" s="51"/>
      <c r="AU49" s="55">
        <f t="shared" si="40"/>
        <v>221.72699105021377</v>
      </c>
      <c r="AV49" s="51"/>
      <c r="AW49" s="55">
        <f t="shared" si="41"/>
        <v>975.96274073742302</v>
      </c>
      <c r="AX49" s="51"/>
      <c r="AY49" s="55">
        <f t="shared" si="42"/>
        <v>0</v>
      </c>
      <c r="AZ49" s="51"/>
      <c r="BA49" s="35"/>
      <c r="BB49" s="39"/>
      <c r="BC49" s="39"/>
      <c r="BD49" s="54"/>
    </row>
    <row r="50" spans="1:58">
      <c r="A50" s="254"/>
      <c r="B50" s="18">
        <v>7</v>
      </c>
      <c r="C50" s="19">
        <v>2</v>
      </c>
      <c r="D50" s="32">
        <f t="shared" si="22"/>
        <v>36936.536999999997</v>
      </c>
      <c r="E50" s="33">
        <f t="shared" si="1"/>
        <v>0.15</v>
      </c>
      <c r="F50" s="85">
        <f t="shared" si="2"/>
        <v>2</v>
      </c>
      <c r="G50" s="33">
        <f t="shared" si="23"/>
        <v>0.1353352832366127</v>
      </c>
      <c r="H50" s="34">
        <f t="shared" si="3"/>
        <v>0.32967995396436067</v>
      </c>
      <c r="I50" s="35">
        <f t="shared" si="24"/>
        <v>1182.2976000000001</v>
      </c>
      <c r="J50" s="33">
        <f t="shared" si="4"/>
        <v>0.4</v>
      </c>
      <c r="K50" s="33">
        <f t="shared" si="5"/>
        <v>0.35000000000000003</v>
      </c>
      <c r="L50" s="33">
        <f t="shared" si="25"/>
        <v>0.70468808971871344</v>
      </c>
      <c r="M50" s="36">
        <f t="shared" si="6"/>
        <v>6.7606180094051727E-2</v>
      </c>
      <c r="N50" s="35">
        <f t="shared" si="26"/>
        <v>0</v>
      </c>
      <c r="O50" s="33">
        <f t="shared" si="7"/>
        <v>0.43</v>
      </c>
      <c r="P50" s="33">
        <f t="shared" si="8"/>
        <v>0.17500000000000002</v>
      </c>
      <c r="Q50" s="33">
        <f t="shared" si="27"/>
        <v>0.83945702076920736</v>
      </c>
      <c r="R50" s="34">
        <f t="shared" si="9"/>
        <v>3.4394583742433538E-2</v>
      </c>
      <c r="S50" s="35">
        <f t="shared" si="28"/>
        <v>13777.0512</v>
      </c>
      <c r="T50" s="33">
        <f t="shared" si="10"/>
        <v>0.2</v>
      </c>
      <c r="U50" s="33">
        <f t="shared" si="11"/>
        <v>0.85000000000000009</v>
      </c>
      <c r="V50" s="33">
        <f t="shared" si="29"/>
        <v>0.42741493194872665</v>
      </c>
      <c r="W50" s="34">
        <f t="shared" si="12"/>
        <v>0.1563351834036163</v>
      </c>
      <c r="X50" s="35">
        <f t="shared" si="30"/>
        <v>2590.3811999999998</v>
      </c>
      <c r="Y50" s="33">
        <f t="shared" si="13"/>
        <v>0.43</v>
      </c>
      <c r="Z50" s="33">
        <f t="shared" si="14"/>
        <v>0.17500000000000002</v>
      </c>
      <c r="AA50" s="33">
        <f t="shared" si="31"/>
        <v>0.83945702076920736</v>
      </c>
      <c r="AB50" s="34">
        <f t="shared" si="15"/>
        <v>3.4394583742433538E-2</v>
      </c>
      <c r="AC50" s="35">
        <f t="shared" si="32"/>
        <v>12821.5659</v>
      </c>
      <c r="AD50" s="33">
        <f t="shared" si="16"/>
        <v>0.24</v>
      </c>
      <c r="AE50" s="33">
        <f t="shared" si="17"/>
        <v>0.35000000000000003</v>
      </c>
      <c r="AF50" s="33">
        <f t="shared" si="33"/>
        <v>0.70468808971871344</v>
      </c>
      <c r="AG50" s="37">
        <f t="shared" si="18"/>
        <v>6.7606180094051727E-2</v>
      </c>
      <c r="AH50" s="35">
        <f t="shared" si="34"/>
        <v>841.56600000000003</v>
      </c>
      <c r="AI50" s="33">
        <f t="shared" si="19"/>
        <v>0</v>
      </c>
      <c r="AJ50" s="38">
        <f t="shared" si="20"/>
        <v>0.35000000000000003</v>
      </c>
      <c r="AK50" s="33">
        <f t="shared" si="35"/>
        <v>0.70468808971871344</v>
      </c>
      <c r="AL50" s="37">
        <f t="shared" si="21"/>
        <v>6.7606180094051727E-2</v>
      </c>
      <c r="AM50" s="50">
        <f t="shared" si="36"/>
        <v>1765.0183441849213</v>
      </c>
      <c r="AN50" s="51"/>
      <c r="AO50" s="50">
        <f t="shared" si="37"/>
        <v>160.86751029833783</v>
      </c>
      <c r="AP50" s="51"/>
      <c r="AQ50" s="55">
        <f t="shared" si="38"/>
        <v>0</v>
      </c>
      <c r="AR50" s="51"/>
      <c r="AS50" s="55">
        <f t="shared" si="39"/>
        <v>1314.5917355679085</v>
      </c>
      <c r="AT50" s="51"/>
      <c r="AU50" s="55">
        <f t="shared" si="40"/>
        <v>229.62484190443905</v>
      </c>
      <c r="AV50" s="51"/>
      <c r="AW50" s="55">
        <f t="shared" si="41"/>
        <v>1046.728024040174</v>
      </c>
      <c r="AX50" s="51"/>
      <c r="AY50" s="55">
        <f t="shared" si="42"/>
        <v>0</v>
      </c>
      <c r="AZ50" s="51"/>
      <c r="BA50" s="35"/>
      <c r="BB50" s="39"/>
      <c r="BC50" s="39"/>
      <c r="BD50" s="54"/>
    </row>
    <row r="51" spans="1:58">
      <c r="A51" s="254"/>
      <c r="B51" s="18">
        <v>7</v>
      </c>
      <c r="C51" s="19">
        <v>3</v>
      </c>
      <c r="D51" s="32">
        <f t="shared" si="22"/>
        <v>36936.536999999997</v>
      </c>
      <c r="E51" s="33">
        <f t="shared" si="1"/>
        <v>0.15</v>
      </c>
      <c r="F51" s="85">
        <f>$N$10*(B51-C51)</f>
        <v>1.6</v>
      </c>
      <c r="G51" s="33">
        <f t="shared" si="23"/>
        <v>0.20189651799465538</v>
      </c>
      <c r="H51" s="34">
        <f t="shared" si="3"/>
        <v>0.32967995396436067</v>
      </c>
      <c r="I51" s="35">
        <f t="shared" si="24"/>
        <v>1182.2976000000001</v>
      </c>
      <c r="J51" s="33">
        <f t="shared" si="4"/>
        <v>0.4</v>
      </c>
      <c r="K51" s="33">
        <f t="shared" si="5"/>
        <v>0.28000000000000003</v>
      </c>
      <c r="L51" s="33">
        <f t="shared" si="25"/>
        <v>0.75578374145572547</v>
      </c>
      <c r="M51" s="36">
        <f t="shared" si="6"/>
        <v>6.7606180094051727E-2</v>
      </c>
      <c r="N51" s="35">
        <f t="shared" si="26"/>
        <v>0</v>
      </c>
      <c r="O51" s="33">
        <f t="shared" si="7"/>
        <v>0.43</v>
      </c>
      <c r="P51" s="33">
        <f t="shared" si="8"/>
        <v>0.14000000000000001</v>
      </c>
      <c r="Q51" s="33">
        <f t="shared" si="27"/>
        <v>0.86935823539880586</v>
      </c>
      <c r="R51" s="34">
        <f t="shared" si="9"/>
        <v>3.4394583742433538E-2</v>
      </c>
      <c r="S51" s="35">
        <f t="shared" si="28"/>
        <v>13777.0512</v>
      </c>
      <c r="T51" s="33">
        <f t="shared" si="10"/>
        <v>0.2</v>
      </c>
      <c r="U51" s="33">
        <f t="shared" si="11"/>
        <v>0.68</v>
      </c>
      <c r="V51" s="33">
        <f t="shared" si="29"/>
        <v>0.50661699236558955</v>
      </c>
      <c r="W51" s="34">
        <f t="shared" si="12"/>
        <v>0.1563351834036163</v>
      </c>
      <c r="X51" s="35">
        <f t="shared" si="30"/>
        <v>2590.3811999999998</v>
      </c>
      <c r="Y51" s="33">
        <f t="shared" si="13"/>
        <v>0.43</v>
      </c>
      <c r="Z51" s="33">
        <f t="shared" si="14"/>
        <v>0.14000000000000001</v>
      </c>
      <c r="AA51" s="33">
        <f t="shared" si="31"/>
        <v>0.86935823539880586</v>
      </c>
      <c r="AB51" s="34">
        <f t="shared" si="15"/>
        <v>3.4394583742433538E-2</v>
      </c>
      <c r="AC51" s="35">
        <f t="shared" si="32"/>
        <v>12821.5659</v>
      </c>
      <c r="AD51" s="33">
        <f t="shared" si="16"/>
        <v>0.24</v>
      </c>
      <c r="AE51" s="33">
        <f t="shared" si="17"/>
        <v>0.28000000000000003</v>
      </c>
      <c r="AF51" s="33">
        <f t="shared" si="33"/>
        <v>0.75578374145572547</v>
      </c>
      <c r="AG51" s="37">
        <f t="shared" si="18"/>
        <v>6.7606180094051727E-2</v>
      </c>
      <c r="AH51" s="35">
        <f t="shared" si="34"/>
        <v>841.56600000000003</v>
      </c>
      <c r="AI51" s="33">
        <f t="shared" si="19"/>
        <v>0</v>
      </c>
      <c r="AJ51" s="38">
        <f t="shared" si="20"/>
        <v>0.28000000000000003</v>
      </c>
      <c r="AK51" s="33">
        <f t="shared" si="35"/>
        <v>0.75578374145572547</v>
      </c>
      <c r="AL51" s="37">
        <f t="shared" si="21"/>
        <v>6.7606180094051727E-2</v>
      </c>
      <c r="AM51" s="50">
        <f t="shared" si="36"/>
        <v>2633.0979576449654</v>
      </c>
      <c r="AN51" s="51"/>
      <c r="AO51" s="50">
        <f t="shared" si="37"/>
        <v>172.53172089296424</v>
      </c>
      <c r="AP51" s="51"/>
      <c r="AQ51" s="55">
        <f t="shared" si="38"/>
        <v>0</v>
      </c>
      <c r="AR51" s="51"/>
      <c r="AS51" s="55">
        <f t="shared" si="39"/>
        <v>1558.1919616743007</v>
      </c>
      <c r="AT51" s="51"/>
      <c r="AU51" s="55">
        <f t="shared" si="40"/>
        <v>237.80401190623471</v>
      </c>
      <c r="AV51" s="51"/>
      <c r="AW51" s="55">
        <f t="shared" si="41"/>
        <v>1122.6243693311467</v>
      </c>
      <c r="AX51" s="51"/>
      <c r="AY51" s="55">
        <f t="shared" si="42"/>
        <v>0</v>
      </c>
      <c r="AZ51" s="51"/>
      <c r="BA51" s="35"/>
      <c r="BB51" s="39"/>
      <c r="BC51" s="39"/>
      <c r="BD51" s="54"/>
    </row>
    <row r="52" spans="1:58">
      <c r="A52" s="254"/>
      <c r="B52" s="18">
        <v>7</v>
      </c>
      <c r="C52" s="19">
        <v>4</v>
      </c>
      <c r="D52" s="32">
        <f t="shared" si="22"/>
        <v>36936.536999999997</v>
      </c>
      <c r="E52" s="33">
        <f t="shared" si="1"/>
        <v>0.15</v>
      </c>
      <c r="F52" s="85">
        <f t="shared" si="2"/>
        <v>1.2000000000000002</v>
      </c>
      <c r="G52" s="33">
        <f t="shared" si="23"/>
        <v>0.30119421191220203</v>
      </c>
      <c r="H52" s="34">
        <f t="shared" si="3"/>
        <v>0.32967995396436067</v>
      </c>
      <c r="I52" s="35">
        <f t="shared" si="24"/>
        <v>1182.2976000000001</v>
      </c>
      <c r="J52" s="33">
        <f t="shared" si="4"/>
        <v>0.4</v>
      </c>
      <c r="K52" s="33">
        <f t="shared" si="5"/>
        <v>0.21000000000000002</v>
      </c>
      <c r="L52" s="33">
        <f t="shared" si="25"/>
        <v>0.81058424597018708</v>
      </c>
      <c r="M52" s="36">
        <f t="shared" si="6"/>
        <v>6.7606180094051727E-2</v>
      </c>
      <c r="N52" s="35">
        <f t="shared" si="26"/>
        <v>0</v>
      </c>
      <c r="O52" s="33">
        <f t="shared" si="7"/>
        <v>0.43</v>
      </c>
      <c r="P52" s="33">
        <f t="shared" si="8"/>
        <v>0.10500000000000001</v>
      </c>
      <c r="Q52" s="33">
        <f t="shared" si="27"/>
        <v>0.90032452258626561</v>
      </c>
      <c r="R52" s="34">
        <f t="shared" si="9"/>
        <v>3.4394583742433538E-2</v>
      </c>
      <c r="S52" s="35">
        <f t="shared" si="28"/>
        <v>13777.0512</v>
      </c>
      <c r="T52" s="33">
        <f t="shared" si="10"/>
        <v>0.2</v>
      </c>
      <c r="U52" s="33">
        <f t="shared" si="11"/>
        <v>0.51</v>
      </c>
      <c r="V52" s="33">
        <f t="shared" si="29"/>
        <v>0.6004955788122659</v>
      </c>
      <c r="W52" s="34">
        <f t="shared" si="12"/>
        <v>0.1563351834036163</v>
      </c>
      <c r="X52" s="35">
        <f t="shared" si="30"/>
        <v>2590.3811999999998</v>
      </c>
      <c r="Y52" s="33">
        <f t="shared" si="13"/>
        <v>0.43</v>
      </c>
      <c r="Z52" s="33">
        <f t="shared" si="14"/>
        <v>0.10500000000000001</v>
      </c>
      <c r="AA52" s="33">
        <f t="shared" si="31"/>
        <v>0.90032452258626561</v>
      </c>
      <c r="AB52" s="34">
        <f t="shared" si="15"/>
        <v>3.4394583742433538E-2</v>
      </c>
      <c r="AC52" s="35">
        <f t="shared" si="32"/>
        <v>12821.5659</v>
      </c>
      <c r="AD52" s="33">
        <f t="shared" si="16"/>
        <v>0.24</v>
      </c>
      <c r="AE52" s="33">
        <f t="shared" si="17"/>
        <v>0.21000000000000002</v>
      </c>
      <c r="AF52" s="33">
        <f t="shared" si="33"/>
        <v>0.81058424597018708</v>
      </c>
      <c r="AG52" s="37">
        <f t="shared" si="18"/>
        <v>6.7606180094051727E-2</v>
      </c>
      <c r="AH52" s="35">
        <f t="shared" si="34"/>
        <v>841.56600000000003</v>
      </c>
      <c r="AI52" s="33">
        <f t="shared" si="19"/>
        <v>0</v>
      </c>
      <c r="AJ52" s="38">
        <f t="shared" si="20"/>
        <v>0.21000000000000002</v>
      </c>
      <c r="AK52" s="33">
        <f t="shared" si="35"/>
        <v>0.81058424597018708</v>
      </c>
      <c r="AL52" s="37">
        <f t="shared" si="21"/>
        <v>6.7606180094051727E-2</v>
      </c>
      <c r="AM52" s="50">
        <f t="shared" si="36"/>
        <v>3928.1205645235459</v>
      </c>
      <c r="AN52" s="51"/>
      <c r="AO52" s="50">
        <f t="shared" si="37"/>
        <v>185.04168218357316</v>
      </c>
      <c r="AP52" s="51"/>
      <c r="AQ52" s="55">
        <f t="shared" si="38"/>
        <v>0</v>
      </c>
      <c r="AR52" s="51"/>
      <c r="AS52" s="55">
        <f t="shared" si="39"/>
        <v>1846.9324914609458</v>
      </c>
      <c r="AT52" s="51"/>
      <c r="AU52" s="55">
        <f t="shared" si="40"/>
        <v>246.27452156171691</v>
      </c>
      <c r="AV52" s="51"/>
      <c r="AW52" s="55">
        <f t="shared" si="41"/>
        <v>1204.0238205830103</v>
      </c>
      <c r="AX52" s="51"/>
      <c r="AY52" s="55">
        <f t="shared" si="42"/>
        <v>0</v>
      </c>
      <c r="AZ52" s="51"/>
      <c r="BA52" s="35"/>
      <c r="BB52" s="39"/>
      <c r="BC52" s="39"/>
      <c r="BD52" s="54"/>
    </row>
    <row r="53" spans="1:58">
      <c r="A53" s="254"/>
      <c r="B53" s="18">
        <v>7</v>
      </c>
      <c r="C53" s="19">
        <v>5</v>
      </c>
      <c r="D53" s="32">
        <f t="shared" si="22"/>
        <v>36936.536999999997</v>
      </c>
      <c r="E53" s="33">
        <f t="shared" si="1"/>
        <v>0.15</v>
      </c>
      <c r="F53" s="85">
        <f t="shared" si="2"/>
        <v>0.8</v>
      </c>
      <c r="G53" s="33">
        <f t="shared" si="23"/>
        <v>0.44932896411722156</v>
      </c>
      <c r="H53" s="34">
        <f t="shared" si="3"/>
        <v>0.32967995396436067</v>
      </c>
      <c r="I53" s="35">
        <f t="shared" si="24"/>
        <v>1182.2976000000001</v>
      </c>
      <c r="J53" s="33">
        <f t="shared" si="4"/>
        <v>0.4</v>
      </c>
      <c r="K53" s="33">
        <f t="shared" si="5"/>
        <v>0.14000000000000001</v>
      </c>
      <c r="L53" s="33">
        <f t="shared" si="25"/>
        <v>0.86935823539880586</v>
      </c>
      <c r="M53" s="36">
        <f t="shared" si="6"/>
        <v>6.7606180094051727E-2</v>
      </c>
      <c r="N53" s="35">
        <f t="shared" si="26"/>
        <v>0</v>
      </c>
      <c r="O53" s="33">
        <f t="shared" si="7"/>
        <v>0.43</v>
      </c>
      <c r="P53" s="33">
        <f t="shared" si="8"/>
        <v>7.0000000000000007E-2</v>
      </c>
      <c r="Q53" s="33">
        <f t="shared" si="27"/>
        <v>0.93239381990594827</v>
      </c>
      <c r="R53" s="34">
        <f t="shared" si="9"/>
        <v>3.4394583742433538E-2</v>
      </c>
      <c r="S53" s="35">
        <f t="shared" si="28"/>
        <v>13777.0512</v>
      </c>
      <c r="T53" s="33">
        <f t="shared" si="10"/>
        <v>0.2</v>
      </c>
      <c r="U53" s="33">
        <f t="shared" si="11"/>
        <v>0.34</v>
      </c>
      <c r="V53" s="33">
        <f t="shared" si="29"/>
        <v>0.71177032276260965</v>
      </c>
      <c r="W53" s="34">
        <f t="shared" si="12"/>
        <v>0.1563351834036163</v>
      </c>
      <c r="X53" s="35">
        <f t="shared" si="30"/>
        <v>2590.3811999999998</v>
      </c>
      <c r="Y53" s="33">
        <f t="shared" si="13"/>
        <v>0.43</v>
      </c>
      <c r="Z53" s="33">
        <f t="shared" si="14"/>
        <v>7.0000000000000007E-2</v>
      </c>
      <c r="AA53" s="33">
        <f t="shared" si="31"/>
        <v>0.93239381990594827</v>
      </c>
      <c r="AB53" s="34">
        <f t="shared" si="15"/>
        <v>3.4394583742433538E-2</v>
      </c>
      <c r="AC53" s="35">
        <f t="shared" si="32"/>
        <v>12821.5659</v>
      </c>
      <c r="AD53" s="33">
        <f t="shared" si="16"/>
        <v>0.24</v>
      </c>
      <c r="AE53" s="33">
        <f t="shared" si="17"/>
        <v>0.14000000000000001</v>
      </c>
      <c r="AF53" s="33">
        <f t="shared" si="33"/>
        <v>0.86935823539880586</v>
      </c>
      <c r="AG53" s="37">
        <f t="shared" si="18"/>
        <v>6.7606180094051727E-2</v>
      </c>
      <c r="AH53" s="35">
        <f t="shared" si="34"/>
        <v>841.56600000000003</v>
      </c>
      <c r="AI53" s="33">
        <f t="shared" si="19"/>
        <v>0</v>
      </c>
      <c r="AJ53" s="38">
        <f t="shared" si="20"/>
        <v>0.14000000000000001</v>
      </c>
      <c r="AK53" s="33">
        <f t="shared" si="35"/>
        <v>0.86935823539880586</v>
      </c>
      <c r="AL53" s="37">
        <f t="shared" si="21"/>
        <v>6.7606180094051727E-2</v>
      </c>
      <c r="AM53" s="50">
        <f t="shared" si="36"/>
        <v>5860.0672734687969</v>
      </c>
      <c r="AN53" s="51"/>
      <c r="AO53" s="50">
        <f t="shared" si="37"/>
        <v>198.45871801492487</v>
      </c>
      <c r="AP53" s="51"/>
      <c r="AQ53" s="55">
        <f t="shared" si="38"/>
        <v>0</v>
      </c>
      <c r="AR53" s="51"/>
      <c r="AS53" s="55">
        <f t="shared" si="39"/>
        <v>2189.1780421898688</v>
      </c>
      <c r="AT53" s="51"/>
      <c r="AU53" s="55">
        <f t="shared" si="40"/>
        <v>255.04674830451182</v>
      </c>
      <c r="AV53" s="51"/>
      <c r="AW53" s="55">
        <f t="shared" si="41"/>
        <v>1291.3253980002373</v>
      </c>
      <c r="AX53" s="51"/>
      <c r="AY53" s="55">
        <f t="shared" si="42"/>
        <v>0</v>
      </c>
      <c r="AZ53" s="51"/>
      <c r="BA53" s="35"/>
      <c r="BB53" s="39"/>
      <c r="BC53" s="39"/>
      <c r="BD53" s="54"/>
    </row>
    <row r="54" spans="1:58">
      <c r="A54" s="254"/>
      <c r="B54" s="18">
        <v>7</v>
      </c>
      <c r="C54" s="19">
        <v>6</v>
      </c>
      <c r="D54" s="32">
        <f t="shared" si="22"/>
        <v>36936.536999999997</v>
      </c>
      <c r="E54" s="33">
        <f t="shared" si="1"/>
        <v>0.15</v>
      </c>
      <c r="F54" s="85">
        <f t="shared" si="2"/>
        <v>0.4</v>
      </c>
      <c r="G54" s="33">
        <f t="shared" si="23"/>
        <v>0.67032004603563933</v>
      </c>
      <c r="H54" s="34">
        <f t="shared" si="3"/>
        <v>0.32967995396436067</v>
      </c>
      <c r="I54" s="35">
        <f t="shared" si="24"/>
        <v>1182.2976000000001</v>
      </c>
      <c r="J54" s="33">
        <f t="shared" si="4"/>
        <v>0.4</v>
      </c>
      <c r="K54" s="33">
        <f t="shared" si="5"/>
        <v>7.0000000000000007E-2</v>
      </c>
      <c r="L54" s="33">
        <f t="shared" si="25"/>
        <v>0.93239381990594827</v>
      </c>
      <c r="M54" s="36">
        <f t="shared" si="6"/>
        <v>6.7606180094051727E-2</v>
      </c>
      <c r="N54" s="35">
        <f t="shared" si="26"/>
        <v>0</v>
      </c>
      <c r="O54" s="33">
        <f t="shared" si="7"/>
        <v>0.43</v>
      </c>
      <c r="P54" s="33">
        <f t="shared" si="8"/>
        <v>3.5000000000000003E-2</v>
      </c>
      <c r="Q54" s="33">
        <f t="shared" si="27"/>
        <v>0.96560541625756646</v>
      </c>
      <c r="R54" s="34">
        <f t="shared" si="9"/>
        <v>3.4394583742433538E-2</v>
      </c>
      <c r="S54" s="35">
        <f t="shared" si="28"/>
        <v>13777.0512</v>
      </c>
      <c r="T54" s="33">
        <f t="shared" si="10"/>
        <v>0.2</v>
      </c>
      <c r="U54" s="33">
        <f t="shared" si="11"/>
        <v>0.17</v>
      </c>
      <c r="V54" s="33">
        <f t="shared" si="29"/>
        <v>0.8436648165963837</v>
      </c>
      <c r="W54" s="34">
        <f t="shared" si="12"/>
        <v>0.1563351834036163</v>
      </c>
      <c r="X54" s="35">
        <f t="shared" si="30"/>
        <v>2590.3811999999998</v>
      </c>
      <c r="Y54" s="33">
        <f t="shared" si="13"/>
        <v>0.43</v>
      </c>
      <c r="Z54" s="33">
        <f t="shared" si="14"/>
        <v>3.5000000000000003E-2</v>
      </c>
      <c r="AA54" s="33">
        <f t="shared" si="31"/>
        <v>0.96560541625756646</v>
      </c>
      <c r="AB54" s="34">
        <f t="shared" si="15"/>
        <v>3.4394583742433538E-2</v>
      </c>
      <c r="AC54" s="35">
        <f t="shared" si="32"/>
        <v>12821.5659</v>
      </c>
      <c r="AD54" s="33">
        <f t="shared" si="16"/>
        <v>0.24</v>
      </c>
      <c r="AE54" s="33">
        <f t="shared" si="17"/>
        <v>7.0000000000000007E-2</v>
      </c>
      <c r="AF54" s="33">
        <f t="shared" si="33"/>
        <v>0.93239381990594827</v>
      </c>
      <c r="AG54" s="37">
        <f t="shared" si="18"/>
        <v>6.7606180094051727E-2</v>
      </c>
      <c r="AH54" s="35">
        <f t="shared" si="34"/>
        <v>841.56600000000003</v>
      </c>
      <c r="AI54" s="33">
        <f t="shared" si="19"/>
        <v>0</v>
      </c>
      <c r="AJ54" s="38">
        <f t="shared" si="20"/>
        <v>7.0000000000000007E-2</v>
      </c>
      <c r="AK54" s="33">
        <f t="shared" si="35"/>
        <v>0.93239381990594827</v>
      </c>
      <c r="AL54" s="37">
        <f t="shared" si="21"/>
        <v>6.7606180094051727E-2</v>
      </c>
      <c r="AM54" s="50">
        <f t="shared" si="36"/>
        <v>8742.1930884000922</v>
      </c>
      <c r="AN54" s="51"/>
      <c r="AO54" s="50">
        <f t="shared" si="37"/>
        <v>212.84859871223046</v>
      </c>
      <c r="AP54" s="51"/>
      <c r="AQ54" s="55">
        <f t="shared" si="38"/>
        <v>0</v>
      </c>
      <c r="AR54" s="51"/>
      <c r="AS54" s="55">
        <f t="shared" si="39"/>
        <v>2594.8433538116715</v>
      </c>
      <c r="AT54" s="51"/>
      <c r="AU54" s="55">
        <f>$C$15*X54*Y54*AA54*AB54</f>
        <v>264.13143920940934</v>
      </c>
      <c r="AV54" s="51"/>
      <c r="AW54" s="55">
        <f t="shared" si="41"/>
        <v>1384.9570540166117</v>
      </c>
      <c r="AX54" s="51"/>
      <c r="AY54" s="55">
        <f t="shared" si="42"/>
        <v>0</v>
      </c>
      <c r="AZ54" s="51"/>
      <c r="BA54" s="35"/>
      <c r="BB54" s="39"/>
      <c r="BC54" s="39"/>
      <c r="BD54" s="54"/>
    </row>
    <row r="55" spans="1:58" ht="15" thickBot="1">
      <c r="A55" s="255"/>
      <c r="B55" s="20">
        <v>7</v>
      </c>
      <c r="C55" s="21">
        <v>7</v>
      </c>
      <c r="D55" s="40">
        <f t="shared" si="22"/>
        <v>36936.536999999997</v>
      </c>
      <c r="E55" s="41">
        <f t="shared" si="1"/>
        <v>0.15</v>
      </c>
      <c r="F55" s="86">
        <f t="shared" si="2"/>
        <v>0</v>
      </c>
      <c r="G55" s="41">
        <f t="shared" si="23"/>
        <v>1</v>
      </c>
      <c r="H55" s="42">
        <f t="shared" si="3"/>
        <v>0.32967995396436067</v>
      </c>
      <c r="I55" s="43">
        <f t="shared" si="24"/>
        <v>1182.2976000000001</v>
      </c>
      <c r="J55" s="41">
        <f t="shared" si="4"/>
        <v>0.4</v>
      </c>
      <c r="K55" s="41">
        <f t="shared" si="5"/>
        <v>0</v>
      </c>
      <c r="L55" s="41">
        <f t="shared" si="25"/>
        <v>1</v>
      </c>
      <c r="M55" s="44">
        <f t="shared" si="6"/>
        <v>6.7606180094051727E-2</v>
      </c>
      <c r="N55" s="43">
        <f t="shared" si="26"/>
        <v>0</v>
      </c>
      <c r="O55" s="41">
        <f t="shared" si="7"/>
        <v>0.43</v>
      </c>
      <c r="P55" s="41">
        <f t="shared" si="8"/>
        <v>0</v>
      </c>
      <c r="Q55" s="41">
        <f t="shared" si="27"/>
        <v>1</v>
      </c>
      <c r="R55" s="42">
        <f t="shared" si="9"/>
        <v>3.4394583742433538E-2</v>
      </c>
      <c r="S55" s="43">
        <f t="shared" si="28"/>
        <v>13777.0512</v>
      </c>
      <c r="T55" s="41">
        <f t="shared" si="10"/>
        <v>0.2</v>
      </c>
      <c r="U55" s="41">
        <f t="shared" si="11"/>
        <v>0</v>
      </c>
      <c r="V55" s="41">
        <f t="shared" si="29"/>
        <v>1</v>
      </c>
      <c r="W55" s="42">
        <f t="shared" si="12"/>
        <v>0.1563351834036163</v>
      </c>
      <c r="X55" s="43">
        <f t="shared" si="30"/>
        <v>2590.3811999999998</v>
      </c>
      <c r="Y55" s="41">
        <f t="shared" si="13"/>
        <v>0.43</v>
      </c>
      <c r="Z55" s="41">
        <f t="shared" si="14"/>
        <v>0</v>
      </c>
      <c r="AA55" s="41">
        <f t="shared" si="31"/>
        <v>1</v>
      </c>
      <c r="AB55" s="42">
        <f t="shared" si="15"/>
        <v>3.4394583742433538E-2</v>
      </c>
      <c r="AC55" s="43">
        <f t="shared" si="32"/>
        <v>12821.5659</v>
      </c>
      <c r="AD55" s="41">
        <f t="shared" si="16"/>
        <v>0.24</v>
      </c>
      <c r="AE55" s="41">
        <f t="shared" si="17"/>
        <v>0</v>
      </c>
      <c r="AF55" s="41">
        <f t="shared" si="33"/>
        <v>1</v>
      </c>
      <c r="AG55" s="45">
        <f t="shared" si="18"/>
        <v>6.7606180094051727E-2</v>
      </c>
      <c r="AH55" s="43">
        <f t="shared" si="34"/>
        <v>841.56600000000003</v>
      </c>
      <c r="AI55" s="41">
        <f t="shared" si="19"/>
        <v>0</v>
      </c>
      <c r="AJ55" s="46">
        <f t="shared" si="20"/>
        <v>0</v>
      </c>
      <c r="AK55" s="41">
        <f t="shared" si="35"/>
        <v>1</v>
      </c>
      <c r="AL55" s="45">
        <f t="shared" si="21"/>
        <v>6.7606180094051727E-2</v>
      </c>
      <c r="AM55" s="52">
        <f t="shared" si="36"/>
        <v>13041.819560824069</v>
      </c>
      <c r="AN55" s="53">
        <f>SUM(AM49:AM55)</f>
        <v>37153.443966774175</v>
      </c>
      <c r="AO55" s="52">
        <f t="shared" si="37"/>
        <v>228.28186348736284</v>
      </c>
      <c r="AP55" s="53">
        <f>SUM(AO49:AO55)</f>
        <v>1308.0219660152202</v>
      </c>
      <c r="AQ55" s="56">
        <f t="shared" si="38"/>
        <v>0</v>
      </c>
      <c r="AR55" s="53">
        <f>SUM(AQ49:AQ55)</f>
        <v>0</v>
      </c>
      <c r="AS55" s="56">
        <f t="shared" si="39"/>
        <v>3075.6804156893818</v>
      </c>
      <c r="AT55" s="53">
        <f>SUM(AS49:AS55)</f>
        <v>13688.492795881099</v>
      </c>
      <c r="AU55" s="56">
        <f t="shared" si="40"/>
        <v>273.53972415887387</v>
      </c>
      <c r="AV55" s="53">
        <f>SUM(AU49:AU55)</f>
        <v>1728.1482780953995</v>
      </c>
      <c r="AW55" s="56">
        <f t="shared" si="41"/>
        <v>1485.3777711185539</v>
      </c>
      <c r="AX55" s="53">
        <f>SUM(AW49:AW55)</f>
        <v>8510.9991778271578</v>
      </c>
      <c r="AY55" s="56">
        <f t="shared" si="42"/>
        <v>0</v>
      </c>
      <c r="AZ55" s="53">
        <f>SUM(AY49:AY55)</f>
        <v>0</v>
      </c>
      <c r="BA55" s="43">
        <f>SUM(AN55,AP55,AR55,AT55,AV55,AX55,AZ55)</f>
        <v>62389.106184593053</v>
      </c>
      <c r="BB55" s="62">
        <f>BB48</f>
        <v>35773</v>
      </c>
      <c r="BC55" s="62">
        <f>BA55+BB55</f>
        <v>98162.106184593053</v>
      </c>
      <c r="BD55" s="63" t="s">
        <v>82</v>
      </c>
    </row>
    <row r="57" spans="1:58">
      <c r="AZ57" s="64" t="s">
        <v>48</v>
      </c>
      <c r="BA57" s="140">
        <f>SUM(BA28:BA55)</f>
        <v>314384.98432675935</v>
      </c>
      <c r="BB57" s="140">
        <f t="shared" ref="BB57:BC57" si="43">SUM(BB28:BB55)</f>
        <v>245641</v>
      </c>
      <c r="BC57" s="140">
        <f t="shared" si="43"/>
        <v>560025.98432675935</v>
      </c>
      <c r="BD57" s="65"/>
      <c r="BE57" s="65"/>
      <c r="BF57" s="65"/>
    </row>
    <row r="58" spans="1:58">
      <c r="AZ58" s="64" t="s">
        <v>83</v>
      </c>
      <c r="BA58" s="140">
        <f>AVERAGE(BA28:BA55)</f>
        <v>44912.140618108482</v>
      </c>
      <c r="BB58" s="140">
        <f t="shared" ref="BB58:BC58" si="44">AVERAGE(BB28:BB55)</f>
        <v>35091.571428571428</v>
      </c>
      <c r="BC58" s="140">
        <f t="shared" si="44"/>
        <v>80003.71204667991</v>
      </c>
      <c r="BD58" s="65"/>
      <c r="BE58" s="65"/>
    </row>
    <row r="60" spans="1:58">
      <c r="BA60" s="73"/>
    </row>
  </sheetData>
  <mergeCells count="26">
    <mergeCell ref="E9:F9"/>
    <mergeCell ref="E10:F10"/>
    <mergeCell ref="E11:F11"/>
    <mergeCell ref="E12:F12"/>
    <mergeCell ref="B2:H2"/>
    <mergeCell ref="B3:H3"/>
    <mergeCell ref="B5:D5"/>
    <mergeCell ref="E5:F5"/>
    <mergeCell ref="A25:BD25"/>
    <mergeCell ref="X26:AB26"/>
    <mergeCell ref="A15:B15"/>
    <mergeCell ref="A26:A27"/>
    <mergeCell ref="B26:B27"/>
    <mergeCell ref="C26:C27"/>
    <mergeCell ref="AH26:AL26"/>
    <mergeCell ref="D26:H26"/>
    <mergeCell ref="I26:M26"/>
    <mergeCell ref="N26:R26"/>
    <mergeCell ref="S26:W26"/>
    <mergeCell ref="AC26:AG26"/>
    <mergeCell ref="A49:A55"/>
    <mergeCell ref="A29:A30"/>
    <mergeCell ref="A31:A33"/>
    <mergeCell ref="A34:A37"/>
    <mergeCell ref="A38:A42"/>
    <mergeCell ref="A43:A48"/>
  </mergeCells>
  <phoneticPr fontId="34"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23"/>
  <sheetViews>
    <sheetView topLeftCell="A6" workbookViewId="0">
      <selection activeCell="B25" sqref="B25"/>
    </sheetView>
  </sheetViews>
  <sheetFormatPr defaultColWidth="8.85546875" defaultRowHeight="14.45"/>
  <cols>
    <col min="2" max="2" width="58.5703125" customWidth="1"/>
    <col min="3" max="3" width="12.7109375" customWidth="1"/>
    <col min="4" max="4" width="14.85546875" customWidth="1"/>
    <col min="5" max="5" width="45.28515625" customWidth="1"/>
  </cols>
  <sheetData>
    <row r="1" spans="2:10">
      <c r="B1" s="64"/>
    </row>
    <row r="2" spans="2:10">
      <c r="B2" s="130" t="s">
        <v>84</v>
      </c>
      <c r="C2" s="282" t="s">
        <v>85</v>
      </c>
      <c r="D2" s="282"/>
      <c r="E2" s="282"/>
    </row>
    <row r="3" spans="2:10">
      <c r="B3" s="77" t="s">
        <v>86</v>
      </c>
      <c r="C3" s="128" t="s">
        <v>87</v>
      </c>
      <c r="D3" s="128" t="s">
        <v>88</v>
      </c>
      <c r="E3" s="129" t="s">
        <v>89</v>
      </c>
    </row>
    <row r="4" spans="2:10">
      <c r="B4" s="82" t="s">
        <v>90</v>
      </c>
      <c r="C4" s="78" t="s">
        <v>14</v>
      </c>
      <c r="D4" s="83">
        <f>'RDF_Baseline emissions_CH4'!H9</f>
        <v>311</v>
      </c>
      <c r="E4" s="87"/>
    </row>
    <row r="5" spans="2:10">
      <c r="B5" s="82" t="s">
        <v>26</v>
      </c>
      <c r="C5" s="78" t="s">
        <v>91</v>
      </c>
      <c r="D5" s="83">
        <v>24</v>
      </c>
      <c r="E5" s="87"/>
    </row>
    <row r="6" spans="2:10">
      <c r="B6" s="82" t="s">
        <v>92</v>
      </c>
      <c r="C6" s="78" t="s">
        <v>93</v>
      </c>
      <c r="D6" s="84">
        <f>D4/D5</f>
        <v>12.958333333333334</v>
      </c>
      <c r="E6" s="87"/>
    </row>
    <row r="7" spans="2:10">
      <c r="B7" s="82" t="s">
        <v>94</v>
      </c>
      <c r="C7" s="78" t="s">
        <v>95</v>
      </c>
      <c r="D7" s="78">
        <v>7.5</v>
      </c>
      <c r="E7" s="87"/>
      <c r="J7" s="73"/>
    </row>
    <row r="8" spans="2:10">
      <c r="B8" s="82" t="s">
        <v>96</v>
      </c>
      <c r="C8" s="78" t="s">
        <v>16</v>
      </c>
      <c r="D8" s="167">
        <v>0.65</v>
      </c>
      <c r="E8" s="87"/>
      <c r="J8" s="73"/>
    </row>
    <row r="9" spans="2:10">
      <c r="B9" s="82" t="s">
        <v>97</v>
      </c>
      <c r="C9" s="78" t="s">
        <v>16</v>
      </c>
      <c r="D9" s="167">
        <v>0.75</v>
      </c>
      <c r="E9" s="87"/>
      <c r="J9" s="73"/>
    </row>
    <row r="10" spans="2:10">
      <c r="B10" s="82" t="s">
        <v>98</v>
      </c>
      <c r="C10" s="78" t="s">
        <v>22</v>
      </c>
      <c r="D10" s="78">
        <f>'RDF_Baseline emissions_CH4'!H10</f>
        <v>330</v>
      </c>
      <c r="E10" s="87"/>
      <c r="J10" s="73"/>
    </row>
    <row r="11" spans="2:10">
      <c r="B11" s="82" t="s">
        <v>99</v>
      </c>
      <c r="C11" s="78" t="s">
        <v>100</v>
      </c>
      <c r="D11" s="78">
        <f>D7*D8*D10*D5</f>
        <v>38610</v>
      </c>
      <c r="E11" s="88"/>
      <c r="F11" s="6"/>
    </row>
    <row r="12" spans="2:10">
      <c r="B12" s="82" t="s">
        <v>101</v>
      </c>
      <c r="C12" s="78" t="s">
        <v>100</v>
      </c>
      <c r="D12" s="78">
        <f>D7*D9*D10*D5</f>
        <v>44550</v>
      </c>
      <c r="E12" s="88"/>
    </row>
    <row r="13" spans="2:10" ht="13.9" customHeight="1">
      <c r="B13" s="82" t="s">
        <v>102</v>
      </c>
      <c r="C13" s="78" t="s">
        <v>16</v>
      </c>
      <c r="D13" s="166">
        <v>0.12</v>
      </c>
      <c r="E13" s="182" t="s">
        <v>103</v>
      </c>
    </row>
    <row r="14" spans="2:10">
      <c r="B14" s="82" t="s">
        <v>104</v>
      </c>
      <c r="C14" s="78" t="s">
        <v>100</v>
      </c>
      <c r="D14" s="5">
        <f>D11*(1-D13)</f>
        <v>33976.800000000003</v>
      </c>
      <c r="E14" s="88"/>
    </row>
    <row r="15" spans="2:10">
      <c r="B15" s="82" t="s">
        <v>105</v>
      </c>
      <c r="C15" s="78" t="s">
        <v>100</v>
      </c>
      <c r="D15" s="4">
        <f>D12*(1-D13)</f>
        <v>39204</v>
      </c>
      <c r="E15" s="88"/>
    </row>
    <row r="16" spans="2:10" ht="15">
      <c r="B16" s="82" t="s">
        <v>106</v>
      </c>
      <c r="C16" s="78" t="s">
        <v>107</v>
      </c>
      <c r="D16" s="136">
        <f>EF!I23</f>
        <v>0.91249954486924567</v>
      </c>
      <c r="E16" s="89" t="s">
        <v>108</v>
      </c>
      <c r="F16" s="176" t="s">
        <v>109</v>
      </c>
    </row>
    <row r="17" spans="2:8" ht="15">
      <c r="B17" s="160" t="s">
        <v>110</v>
      </c>
      <c r="C17" s="161" t="s">
        <v>111</v>
      </c>
      <c r="D17" s="90">
        <f>ROUNDDOWN(D14*D16,0)</f>
        <v>31003</v>
      </c>
      <c r="E17" s="88"/>
      <c r="H17" s="6"/>
    </row>
    <row r="18" spans="2:8" ht="17.45" customHeight="1">
      <c r="B18" s="160" t="s">
        <v>112</v>
      </c>
      <c r="C18" s="161" t="s">
        <v>111</v>
      </c>
      <c r="D18" s="3">
        <f>ROUNDDOWN((D15*D16),0)</f>
        <v>35773</v>
      </c>
      <c r="E18" s="88"/>
    </row>
    <row r="19" spans="2:8">
      <c r="B19" s="155"/>
      <c r="C19" s="156"/>
      <c r="E19" s="91"/>
    </row>
    <row r="20" spans="2:8" ht="11.45" customHeight="1"/>
    <row r="21" spans="2:8" ht="13.9" customHeight="1">
      <c r="B21" s="155"/>
      <c r="C21" s="156"/>
      <c r="D21" s="157"/>
      <c r="E21" s="158"/>
    </row>
    <row r="22" spans="2:8">
      <c r="B22" s="155"/>
      <c r="C22" s="156"/>
      <c r="D22" s="156"/>
      <c r="E22" s="91"/>
    </row>
    <row r="23" spans="2:8" ht="16.149999999999999" customHeight="1">
      <c r="B23" s="155"/>
      <c r="C23" s="156"/>
      <c r="D23" s="159"/>
      <c r="E23" s="91"/>
    </row>
  </sheetData>
  <mergeCells count="1">
    <mergeCell ref="C2:E2"/>
  </mergeCells>
  <hyperlinks>
    <hyperlink ref="E13" r:id="rId1" xr:uid="{0D3D1B21-72DB-48B1-AA90-B6E4773701B5}"/>
    <hyperlink ref="F16" r:id="rId2" display="https://cea.nic.in/wp-content/uploads/baseline/2024/04/CO2_DatabaseVersion_19_2022_23.xlsx" xr:uid="{F562EFC3-F404-4B1D-8593-31553D287578}"/>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16"/>
  <sheetViews>
    <sheetView tabSelected="1" zoomScaleNormal="100" workbookViewId="0">
      <selection activeCell="C28" sqref="C28"/>
    </sheetView>
  </sheetViews>
  <sheetFormatPr defaultColWidth="8.85546875" defaultRowHeight="14.45"/>
  <cols>
    <col min="2" max="2" width="18.42578125" customWidth="1"/>
    <col min="3" max="3" width="15.7109375" customWidth="1"/>
    <col min="4" max="4" width="10.42578125" customWidth="1"/>
    <col min="5" max="5" width="28.85546875" customWidth="1"/>
    <col min="6" max="6" width="11.28515625" customWidth="1"/>
    <col min="7" max="7" width="15.42578125" customWidth="1"/>
    <col min="8" max="8" width="12.140625" customWidth="1"/>
    <col min="9" max="9" width="11.28515625" bestFit="1" customWidth="1"/>
    <col min="10" max="10" width="24.85546875" customWidth="1"/>
    <col min="11" max="11" width="9.7109375" customWidth="1"/>
    <col min="12" max="12" width="11.7109375" customWidth="1"/>
    <col min="14" max="14" width="12.140625" customWidth="1"/>
  </cols>
  <sheetData>
    <row r="1" spans="1:10">
      <c r="A1" s="64"/>
    </row>
    <row r="2" spans="1:10" ht="16.899999999999999" customHeight="1">
      <c r="B2" s="300" t="s">
        <v>113</v>
      </c>
      <c r="C2" s="300"/>
      <c r="D2" s="300"/>
    </row>
    <row r="3" spans="1:10" ht="27.6">
      <c r="B3" s="94" t="s">
        <v>114</v>
      </c>
      <c r="C3" s="87" t="s">
        <v>115</v>
      </c>
      <c r="D3" s="187">
        <f>'RDF_Baseline emissions_CH4'!H9</f>
        <v>311</v>
      </c>
    </row>
    <row r="4" spans="1:10">
      <c r="B4" s="92" t="s">
        <v>26</v>
      </c>
      <c r="C4" s="88" t="s">
        <v>27</v>
      </c>
      <c r="D4" s="88">
        <f>'RDF_Baseline emissions_CH4'!H11</f>
        <v>24</v>
      </c>
    </row>
    <row r="5" spans="1:10">
      <c r="B5" s="92" t="s">
        <v>21</v>
      </c>
      <c r="C5" s="88" t="s">
        <v>22</v>
      </c>
      <c r="D5" s="88">
        <f>'RDF_Baseline emissions_CH4'!H10</f>
        <v>330</v>
      </c>
    </row>
    <row r="6" spans="1:10">
      <c r="B6" s="94" t="s">
        <v>116</v>
      </c>
      <c r="C6" s="88" t="s">
        <v>117</v>
      </c>
      <c r="D6" s="93">
        <f>D3*D5</f>
        <v>102630</v>
      </c>
    </row>
    <row r="8" spans="1:10">
      <c r="B8" s="294" t="s">
        <v>118</v>
      </c>
      <c r="C8" s="294"/>
      <c r="D8" s="295" t="s">
        <v>119</v>
      </c>
      <c r="E8" s="295"/>
      <c r="F8" s="295"/>
      <c r="G8" s="295"/>
      <c r="H8" s="295"/>
      <c r="I8" s="295"/>
      <c r="J8" s="295"/>
    </row>
    <row r="9" spans="1:10">
      <c r="A9" s="126"/>
      <c r="D9" s="71"/>
      <c r="E9" s="71"/>
      <c r="F9" s="71"/>
      <c r="G9" s="71"/>
      <c r="H9" s="71"/>
      <c r="I9" s="71"/>
      <c r="J9" s="122"/>
    </row>
    <row r="10" spans="1:10">
      <c r="A10" s="126"/>
      <c r="D10" s="71"/>
      <c r="E10" s="71"/>
      <c r="F10" s="71"/>
      <c r="G10" s="71"/>
      <c r="H10" s="71"/>
      <c r="I10" s="71"/>
      <c r="J10" s="123"/>
    </row>
    <row r="11" spans="1:10" ht="9.6" customHeight="1">
      <c r="A11" s="126"/>
      <c r="D11" s="71"/>
      <c r="E11" s="71"/>
      <c r="F11" s="71"/>
      <c r="G11" s="71"/>
      <c r="H11" s="71"/>
      <c r="I11" s="71"/>
      <c r="J11" s="124"/>
    </row>
    <row r="12" spans="1:10" ht="15.6">
      <c r="A12" s="126"/>
      <c r="B12" s="125" t="s">
        <v>120</v>
      </c>
      <c r="C12" s="299" t="s">
        <v>121</v>
      </c>
      <c r="D12" s="299"/>
      <c r="E12" s="299"/>
      <c r="F12" s="299"/>
      <c r="G12" s="299"/>
      <c r="H12" s="299"/>
      <c r="I12" s="299"/>
      <c r="J12" s="299"/>
    </row>
    <row r="13" spans="1:10" ht="15.6">
      <c r="B13" s="120" t="s">
        <v>122</v>
      </c>
      <c r="C13" s="299" t="s">
        <v>123</v>
      </c>
      <c r="D13" s="299"/>
      <c r="E13" s="299"/>
      <c r="F13" s="299"/>
      <c r="G13" s="299"/>
      <c r="H13" s="299"/>
      <c r="I13" s="299"/>
      <c r="J13" s="299"/>
    </row>
    <row r="14" spans="1:10" ht="15.6">
      <c r="B14" s="120" t="s">
        <v>124</v>
      </c>
      <c r="C14" s="299" t="s">
        <v>125</v>
      </c>
      <c r="D14" s="299"/>
      <c r="E14" s="299"/>
      <c r="F14" s="299"/>
      <c r="G14" s="299"/>
      <c r="H14" s="299"/>
      <c r="I14" s="299"/>
      <c r="J14" s="299"/>
    </row>
    <row r="15" spans="1:10" ht="15.6">
      <c r="B15" s="120" t="s">
        <v>126</v>
      </c>
      <c r="C15" s="299" t="s">
        <v>127</v>
      </c>
      <c r="D15" s="299"/>
      <c r="E15" s="299"/>
      <c r="F15" s="299"/>
      <c r="G15" s="299"/>
      <c r="H15" s="299"/>
      <c r="I15" s="299"/>
      <c r="J15" s="299"/>
    </row>
    <row r="16" spans="1:10">
      <c r="B16" s="64"/>
    </row>
    <row r="17" spans="2:17">
      <c r="B17" s="64"/>
      <c r="C17" s="64"/>
    </row>
    <row r="18" spans="2:17">
      <c r="B18" s="64"/>
      <c r="C18" s="64"/>
    </row>
    <row r="19" spans="2:17">
      <c r="B19" s="294" t="s">
        <v>128</v>
      </c>
      <c r="C19" s="294"/>
      <c r="D19" s="294"/>
      <c r="E19" s="295" t="s">
        <v>119</v>
      </c>
      <c r="F19" s="295"/>
      <c r="G19" s="295"/>
      <c r="H19" s="295"/>
      <c r="I19" s="295"/>
      <c r="J19" s="295"/>
    </row>
    <row r="21" spans="2:17" ht="20.45">
      <c r="B21" s="240" t="s">
        <v>6</v>
      </c>
      <c r="C21" s="230" t="s">
        <v>7</v>
      </c>
      <c r="D21" s="251" t="s">
        <v>129</v>
      </c>
      <c r="E21" s="252"/>
      <c r="F21" s="251" t="s">
        <v>129</v>
      </c>
      <c r="G21" s="141" t="s">
        <v>130</v>
      </c>
      <c r="H21" s="141" t="s">
        <v>131</v>
      </c>
      <c r="I21" s="141" t="s">
        <v>132</v>
      </c>
    </row>
    <row r="22" spans="2:17" ht="59.25" customHeight="1">
      <c r="B22" s="131" t="s">
        <v>15</v>
      </c>
      <c r="C22" s="66" t="s">
        <v>16</v>
      </c>
      <c r="D22" s="66" t="s">
        <v>17</v>
      </c>
      <c r="E22" s="95" t="s">
        <v>133</v>
      </c>
      <c r="F22" s="66" t="s">
        <v>134</v>
      </c>
      <c r="G22" s="95" t="s">
        <v>135</v>
      </c>
      <c r="H22" s="132" t="s">
        <v>136</v>
      </c>
      <c r="I22" s="95" t="s">
        <v>137</v>
      </c>
    </row>
    <row r="23" spans="2:17" s="71" customFormat="1" ht="15.6">
      <c r="B23" s="96" t="s">
        <v>23</v>
      </c>
      <c r="C23" s="168">
        <f>'RDF_Baseline emissions_CH4'!K10</f>
        <v>0.3599</v>
      </c>
      <c r="D23" s="97">
        <f>C23*$D$6</f>
        <v>36936.536999999997</v>
      </c>
      <c r="E23" s="99">
        <v>0.4</v>
      </c>
      <c r="F23" s="97">
        <f t="shared" ref="F23:F33" si="0">D23*E23</f>
        <v>14774.614799999999</v>
      </c>
      <c r="G23" s="137">
        <v>0.38</v>
      </c>
      <c r="H23" s="137">
        <v>0</v>
      </c>
      <c r="I23" s="97">
        <f>F23*G23*H23</f>
        <v>0</v>
      </c>
      <c r="K23" s="70"/>
      <c r="L23"/>
    </row>
    <row r="24" spans="2:17" ht="15.6">
      <c r="B24" s="92" t="s">
        <v>28</v>
      </c>
      <c r="C24" s="168">
        <f>'RDF_Baseline emissions_CH4'!K11</f>
        <v>1.1520000000000001E-2</v>
      </c>
      <c r="D24" s="93">
        <f>C24*$D$6</f>
        <v>1182.2976000000001</v>
      </c>
      <c r="E24" s="98">
        <v>0.9</v>
      </c>
      <c r="F24" s="93">
        <f t="shared" si="0"/>
        <v>1064.0678400000002</v>
      </c>
      <c r="G24" s="137">
        <v>0.46</v>
      </c>
      <c r="H24" s="137">
        <v>0.01</v>
      </c>
      <c r="I24" s="93">
        <f>F24*G24*H24</f>
        <v>4.894712064000001</v>
      </c>
      <c r="K24" s="8"/>
    </row>
    <row r="25" spans="2:17" ht="15.6">
      <c r="B25" s="92" t="s">
        <v>33</v>
      </c>
      <c r="C25" s="168">
        <f>'RDF_Baseline emissions_CH4'!K12</f>
        <v>0</v>
      </c>
      <c r="D25" s="93">
        <f t="shared" ref="D25:D33" si="1">C25*$D$6</f>
        <v>0</v>
      </c>
      <c r="E25" s="98">
        <v>0.85</v>
      </c>
      <c r="F25" s="93">
        <f t="shared" si="0"/>
        <v>0</v>
      </c>
      <c r="G25" s="137">
        <v>0.5</v>
      </c>
      <c r="H25" s="137">
        <v>0</v>
      </c>
      <c r="I25" s="93">
        <f t="shared" ref="I25:I33" si="2">F25*G25*H25</f>
        <v>0</v>
      </c>
      <c r="K25" s="8"/>
    </row>
    <row r="26" spans="2:17" ht="15.6">
      <c r="B26" s="92" t="s">
        <v>36</v>
      </c>
      <c r="C26" s="168">
        <f>'RDF_Baseline emissions_CH4'!K13</f>
        <v>0.13424</v>
      </c>
      <c r="D26" s="93">
        <f t="shared" si="1"/>
        <v>13777.0512</v>
      </c>
      <c r="E26" s="98">
        <v>0.4</v>
      </c>
      <c r="F26" s="93">
        <f t="shared" si="0"/>
        <v>5510.8204800000003</v>
      </c>
      <c r="G26" s="137">
        <v>0.49</v>
      </c>
      <c r="H26" s="137">
        <v>0</v>
      </c>
      <c r="I26" s="93">
        <f t="shared" si="2"/>
        <v>0</v>
      </c>
      <c r="K26" s="8"/>
    </row>
    <row r="27" spans="2:17" ht="15.6">
      <c r="B27" s="92" t="s">
        <v>40</v>
      </c>
      <c r="C27" s="168">
        <f>'RDF_Baseline emissions_CH4'!K14</f>
        <v>2.5239999999999999E-2</v>
      </c>
      <c r="D27" s="93">
        <f t="shared" si="1"/>
        <v>2590.3811999999998</v>
      </c>
      <c r="E27" s="98">
        <v>0.85</v>
      </c>
      <c r="F27" s="93">
        <f t="shared" si="0"/>
        <v>2201.8240199999996</v>
      </c>
      <c r="G27" s="137">
        <v>0.5</v>
      </c>
      <c r="H27" s="137">
        <v>0</v>
      </c>
      <c r="I27" s="93">
        <f t="shared" si="2"/>
        <v>0</v>
      </c>
      <c r="K27" s="8"/>
    </row>
    <row r="28" spans="2:17" s="80" customFormat="1" ht="15.6" customHeight="1">
      <c r="B28" s="116" t="s">
        <v>42</v>
      </c>
      <c r="C28" s="169">
        <f>'RDF_Baseline emissions_CH4'!K15</f>
        <v>0.11823</v>
      </c>
      <c r="D28" s="117">
        <f>C28*$D$6</f>
        <v>12133.9449</v>
      </c>
      <c r="E28" s="118">
        <v>1</v>
      </c>
      <c r="F28" s="119">
        <f t="shared" si="0"/>
        <v>12133.9449</v>
      </c>
      <c r="G28" s="138">
        <v>0.75</v>
      </c>
      <c r="H28" s="138">
        <v>1</v>
      </c>
      <c r="I28" s="119">
        <f>F28*G28*H28</f>
        <v>9100.4586749999999</v>
      </c>
      <c r="K28" s="162"/>
      <c r="L28" s="163"/>
      <c r="M28" s="163"/>
      <c r="N28" s="163"/>
      <c r="O28" s="163"/>
      <c r="P28" s="163"/>
      <c r="Q28" s="163"/>
    </row>
    <row r="29" spans="2:17" ht="15.6">
      <c r="B29" s="92" t="s">
        <v>43</v>
      </c>
      <c r="C29" s="168">
        <f>'RDF_Baseline emissions_CH4'!K16</f>
        <v>0.12493</v>
      </c>
      <c r="D29" s="93">
        <f t="shared" si="1"/>
        <v>12821.5659</v>
      </c>
      <c r="E29" s="98">
        <v>0.8</v>
      </c>
      <c r="F29" s="93">
        <f t="shared" si="0"/>
        <v>10257.25272</v>
      </c>
      <c r="G29" s="137">
        <v>0.5</v>
      </c>
      <c r="H29" s="137">
        <v>0.2</v>
      </c>
      <c r="I29" s="93">
        <f t="shared" si="2"/>
        <v>1025.7252720000001</v>
      </c>
      <c r="K29" s="8"/>
    </row>
    <row r="30" spans="2:17" ht="15.6">
      <c r="B30" s="92" t="s">
        <v>44</v>
      </c>
      <c r="C30" s="168">
        <f>'RDF_Baseline emissions_CH4'!K17</f>
        <v>8.2000000000000007E-3</v>
      </c>
      <c r="D30" s="93">
        <f t="shared" si="1"/>
        <v>841.56600000000003</v>
      </c>
      <c r="E30" s="98">
        <v>0.84</v>
      </c>
      <c r="F30" s="93">
        <f t="shared" si="0"/>
        <v>706.91543999999999</v>
      </c>
      <c r="G30" s="137">
        <v>0.67</v>
      </c>
      <c r="H30" s="137">
        <v>0.2</v>
      </c>
      <c r="I30" s="93">
        <f t="shared" si="2"/>
        <v>94.726668960000012</v>
      </c>
      <c r="K30" s="8"/>
    </row>
    <row r="31" spans="2:17" ht="15.6">
      <c r="B31" s="92" t="s">
        <v>45</v>
      </c>
      <c r="C31" s="168">
        <f>'RDF_Baseline emissions_CH4'!K18</f>
        <v>4.4000000000000002E-4</v>
      </c>
      <c r="D31" s="93">
        <f t="shared" si="1"/>
        <v>45.157200000000003</v>
      </c>
      <c r="E31" s="98">
        <v>1</v>
      </c>
      <c r="F31" s="93">
        <f t="shared" si="0"/>
        <v>45.157200000000003</v>
      </c>
      <c r="G31" s="137">
        <v>0</v>
      </c>
      <c r="H31" s="137">
        <v>0</v>
      </c>
      <c r="I31" s="93">
        <f t="shared" si="2"/>
        <v>0</v>
      </c>
      <c r="K31" s="8"/>
    </row>
    <row r="32" spans="2:17" ht="15.6">
      <c r="B32" s="92" t="s">
        <v>46</v>
      </c>
      <c r="C32" s="168">
        <f>'RDF_Baseline emissions_CH4'!K19</f>
        <v>1.2999999999999999E-3</v>
      </c>
      <c r="D32" s="93">
        <f t="shared" si="1"/>
        <v>133.41899999999998</v>
      </c>
      <c r="E32" s="98">
        <v>1</v>
      </c>
      <c r="F32" s="93">
        <f t="shared" si="0"/>
        <v>133.41899999999998</v>
      </c>
      <c r="G32" s="137">
        <v>0</v>
      </c>
      <c r="H32" s="137">
        <v>0</v>
      </c>
      <c r="I32" s="93">
        <f t="shared" si="2"/>
        <v>0</v>
      </c>
      <c r="K32" s="8"/>
    </row>
    <row r="33" spans="1:12" ht="15.6">
      <c r="B33" s="92" t="s">
        <v>47</v>
      </c>
      <c r="C33" s="168">
        <f>'RDF_Baseline emissions_CH4'!K20</f>
        <v>0.216</v>
      </c>
      <c r="D33" s="93">
        <f t="shared" si="1"/>
        <v>22168.079999999998</v>
      </c>
      <c r="E33" s="98">
        <v>0.9</v>
      </c>
      <c r="F33" s="93">
        <f t="shared" si="0"/>
        <v>19951.271999999997</v>
      </c>
      <c r="G33" s="137">
        <v>0.03</v>
      </c>
      <c r="H33" s="137">
        <v>1</v>
      </c>
      <c r="I33" s="93">
        <f t="shared" si="2"/>
        <v>598.53815999999995</v>
      </c>
      <c r="K33" s="69"/>
    </row>
    <row r="34" spans="1:12">
      <c r="B34" s="92" t="s">
        <v>48</v>
      </c>
      <c r="C34" s="170">
        <f>SUM(C23:C33)</f>
        <v>0.99999999999999989</v>
      </c>
      <c r="D34" s="100">
        <f>SUM(D23:D33)</f>
        <v>102630</v>
      </c>
      <c r="E34" s="92"/>
      <c r="F34" s="100">
        <f t="shared" ref="F34" si="3">SUM(F23:F33)</f>
        <v>66779.28839999999</v>
      </c>
      <c r="G34" s="88"/>
      <c r="H34" s="88"/>
      <c r="I34" s="100">
        <f>SUM(I23:I33)</f>
        <v>10824.343488024</v>
      </c>
    </row>
    <row r="36" spans="1:12" ht="15.6">
      <c r="C36" s="297"/>
      <c r="L36" s="8"/>
    </row>
    <row r="37" spans="1:12" ht="37.35" customHeight="1">
      <c r="C37" s="297"/>
    </row>
    <row r="39" spans="1:12" ht="15.6">
      <c r="A39" s="8"/>
      <c r="B39" s="8"/>
      <c r="C39" s="8"/>
      <c r="D39" s="8"/>
      <c r="E39" s="8"/>
      <c r="F39" s="8"/>
      <c r="G39" s="8"/>
      <c r="H39" s="8"/>
      <c r="I39" s="8"/>
    </row>
    <row r="40" spans="1:12" ht="17.45" customHeight="1">
      <c r="A40" s="8"/>
      <c r="B40" s="245" t="s">
        <v>138</v>
      </c>
      <c r="C40" s="291" t="s">
        <v>86</v>
      </c>
      <c r="D40" s="291"/>
      <c r="E40" s="291"/>
      <c r="F40" s="291"/>
      <c r="G40" s="291"/>
      <c r="H40" s="245" t="s">
        <v>87</v>
      </c>
      <c r="I40" s="245" t="s">
        <v>139</v>
      </c>
      <c r="J40" s="245" t="s">
        <v>140</v>
      </c>
    </row>
    <row r="41" spans="1:12" ht="18">
      <c r="A41" s="8"/>
      <c r="B41" s="7" t="s">
        <v>132</v>
      </c>
      <c r="C41" s="243" t="s">
        <v>141</v>
      </c>
      <c r="D41" s="243"/>
      <c r="E41" s="243"/>
      <c r="F41" s="4"/>
      <c r="G41" s="4"/>
      <c r="H41" s="4" t="s">
        <v>142</v>
      </c>
      <c r="I41" s="5">
        <f>I34</f>
        <v>10824.343488024</v>
      </c>
      <c r="J41" s="4" t="s">
        <v>143</v>
      </c>
    </row>
    <row r="42" spans="1:12" ht="18">
      <c r="A42" s="8"/>
      <c r="B42" s="7" t="s">
        <v>144</v>
      </c>
      <c r="C42" s="298" t="s">
        <v>145</v>
      </c>
      <c r="D42" s="298"/>
      <c r="E42" s="298"/>
      <c r="F42" s="298"/>
      <c r="G42" s="298"/>
      <c r="H42" s="4" t="s">
        <v>146</v>
      </c>
      <c r="I42" s="4">
        <v>1155</v>
      </c>
      <c r="J42" s="4" t="s">
        <v>147</v>
      </c>
    </row>
    <row r="43" spans="1:12" ht="15.6">
      <c r="A43" s="8"/>
      <c r="B43" s="180" t="s">
        <v>148</v>
      </c>
      <c r="C43" s="292" t="s">
        <v>149</v>
      </c>
      <c r="D43" s="292"/>
      <c r="E43" s="292"/>
      <c r="F43" s="292"/>
      <c r="G43" s="292"/>
      <c r="H43" s="4" t="s">
        <v>150</v>
      </c>
      <c r="I43" s="4">
        <v>0.88</v>
      </c>
      <c r="J43" s="184" t="s">
        <v>151</v>
      </c>
      <c r="K43" s="181" t="s">
        <v>152</v>
      </c>
    </row>
    <row r="44" spans="1:12" ht="18" customHeight="1">
      <c r="A44" s="8"/>
      <c r="B44" s="7" t="s">
        <v>144</v>
      </c>
      <c r="C44" s="298" t="s">
        <v>145</v>
      </c>
      <c r="D44" s="298"/>
      <c r="E44" s="298"/>
      <c r="F44" s="298"/>
      <c r="G44" s="298"/>
      <c r="H44" s="148" t="s">
        <v>142</v>
      </c>
      <c r="I44" s="4">
        <f>I42*0.88/1000</f>
        <v>1.0164</v>
      </c>
      <c r="J44" s="4" t="s">
        <v>143</v>
      </c>
      <c r="K44" s="8"/>
    </row>
    <row r="45" spans="1:12" ht="18">
      <c r="A45" s="8"/>
      <c r="B45" s="7" t="s">
        <v>153</v>
      </c>
      <c r="C45" s="298" t="s">
        <v>154</v>
      </c>
      <c r="D45" s="298"/>
      <c r="E45" s="298"/>
      <c r="F45" s="298"/>
      <c r="G45" s="298"/>
      <c r="H45" s="4" t="s">
        <v>155</v>
      </c>
      <c r="I45" s="4">
        <v>74800</v>
      </c>
      <c r="J45" s="4" t="s">
        <v>156</v>
      </c>
      <c r="K45" s="176" t="s">
        <v>157</v>
      </c>
    </row>
    <row r="46" spans="1:12" ht="15.6">
      <c r="A46" s="8"/>
      <c r="B46" s="180" t="s">
        <v>158</v>
      </c>
      <c r="C46" s="299" t="s">
        <v>159</v>
      </c>
      <c r="D46" s="299"/>
      <c r="E46" s="299"/>
      <c r="F46" s="299"/>
      <c r="G46" s="299"/>
      <c r="H46" s="172" t="s">
        <v>160</v>
      </c>
      <c r="I46" s="4">
        <v>43.3</v>
      </c>
      <c r="J46" s="4" t="s">
        <v>156</v>
      </c>
      <c r="K46" s="176" t="s">
        <v>157</v>
      </c>
    </row>
    <row r="47" spans="1:12" ht="18">
      <c r="A47" s="8"/>
      <c r="B47" s="7" t="s">
        <v>161</v>
      </c>
      <c r="C47" s="243" t="s">
        <v>162</v>
      </c>
      <c r="D47" s="243"/>
      <c r="E47" s="243"/>
      <c r="F47" s="4"/>
      <c r="G47" s="4"/>
      <c r="H47" s="4"/>
      <c r="I47" s="188">
        <f>(I45*I46)/1000000</f>
        <v>3.2388400000000002</v>
      </c>
      <c r="J47" s="4"/>
    </row>
    <row r="48" spans="1:12" ht="18">
      <c r="A48" s="8"/>
      <c r="B48" s="7" t="s">
        <v>163</v>
      </c>
      <c r="C48" s="289" t="s">
        <v>164</v>
      </c>
      <c r="D48" s="289"/>
      <c r="E48" s="289"/>
      <c r="F48" s="289"/>
      <c r="G48" s="289"/>
      <c r="H48" s="120" t="s">
        <v>165</v>
      </c>
      <c r="I48" s="3">
        <f>ROUNDDOWN((I41*(44/12))+(I44*I47),0)</f>
        <v>39692</v>
      </c>
      <c r="J48" s="120"/>
    </row>
    <row r="49" spans="1:11" ht="15.6">
      <c r="A49" s="8"/>
      <c r="B49" s="9"/>
      <c r="E49" s="64"/>
      <c r="H49" s="8"/>
      <c r="I49" s="140"/>
      <c r="J49" s="64"/>
    </row>
    <row r="50" spans="1:11" ht="15.6">
      <c r="A50" s="8"/>
      <c r="B50" s="9"/>
      <c r="C50" s="140"/>
      <c r="D50" s="121"/>
      <c r="E50" s="121"/>
      <c r="F50" s="8"/>
      <c r="G50" s="8"/>
      <c r="H50" s="8"/>
      <c r="I50" s="8"/>
    </row>
    <row r="51" spans="1:11" ht="15.6">
      <c r="A51" s="8"/>
      <c r="B51" s="294" t="s">
        <v>166</v>
      </c>
      <c r="C51" s="294"/>
      <c r="D51" s="294"/>
      <c r="E51" s="296" t="s">
        <v>167</v>
      </c>
      <c r="F51" s="296"/>
      <c r="G51" s="296"/>
      <c r="H51" s="296"/>
      <c r="I51" s="296"/>
      <c r="J51" s="296"/>
    </row>
    <row r="52" spans="1:11" ht="15.6">
      <c r="A52" s="8"/>
      <c r="B52" s="245" t="s">
        <v>138</v>
      </c>
      <c r="C52" s="291" t="s">
        <v>86</v>
      </c>
      <c r="D52" s="291"/>
      <c r="E52" s="291"/>
      <c r="F52" s="291"/>
      <c r="G52" s="291"/>
      <c r="H52" s="245" t="s">
        <v>87</v>
      </c>
      <c r="I52" s="245" t="s">
        <v>139</v>
      </c>
      <c r="J52" s="245" t="s">
        <v>140</v>
      </c>
    </row>
    <row r="53" spans="1:11" ht="16.149999999999999" customHeight="1">
      <c r="A53" s="8"/>
      <c r="B53" s="173" t="s">
        <v>168</v>
      </c>
      <c r="C53" s="292" t="s">
        <v>169</v>
      </c>
      <c r="D53" s="292"/>
      <c r="E53" s="292"/>
      <c r="F53" s="292"/>
      <c r="G53" s="292"/>
      <c r="H53" s="172" t="s">
        <v>170</v>
      </c>
      <c r="I53" s="4">
        <v>77358</v>
      </c>
      <c r="J53" s="4" t="s">
        <v>147</v>
      </c>
    </row>
    <row r="54" spans="1:11" ht="16.149999999999999" customHeight="1">
      <c r="A54" s="8"/>
      <c r="B54" s="173" t="s">
        <v>171</v>
      </c>
      <c r="C54" s="292" t="s">
        <v>149</v>
      </c>
      <c r="D54" s="292"/>
      <c r="E54" s="292"/>
      <c r="F54" s="292"/>
      <c r="G54" s="292"/>
      <c r="H54" s="171" t="s">
        <v>150</v>
      </c>
      <c r="I54" s="4">
        <v>0.88</v>
      </c>
      <c r="J54" s="4" t="s">
        <v>172</v>
      </c>
      <c r="K54" s="176" t="s">
        <v>152</v>
      </c>
    </row>
    <row r="55" spans="1:11" ht="16.149999999999999" customHeight="1">
      <c r="A55" s="8"/>
      <c r="B55" s="173" t="s">
        <v>168</v>
      </c>
      <c r="C55" s="292" t="s">
        <v>173</v>
      </c>
      <c r="D55" s="292"/>
      <c r="E55" s="292"/>
      <c r="F55" s="292"/>
      <c r="G55" s="292"/>
      <c r="H55" s="172" t="s">
        <v>142</v>
      </c>
      <c r="I55" s="174">
        <f>I53*I54/1000</f>
        <v>68.075039999999987</v>
      </c>
      <c r="J55" s="4" t="s">
        <v>143</v>
      </c>
    </row>
    <row r="56" spans="1:11" ht="16.149999999999999" customHeight="1">
      <c r="A56" s="8"/>
      <c r="B56" s="173" t="s">
        <v>174</v>
      </c>
      <c r="C56" s="292" t="s">
        <v>159</v>
      </c>
      <c r="D56" s="292"/>
      <c r="E56" s="292"/>
      <c r="F56" s="292"/>
      <c r="G56" s="292"/>
      <c r="H56" s="172" t="s">
        <v>160</v>
      </c>
      <c r="I56" s="4">
        <v>43.3</v>
      </c>
      <c r="J56" s="4" t="s">
        <v>175</v>
      </c>
      <c r="K56" s="176" t="s">
        <v>157</v>
      </c>
    </row>
    <row r="57" spans="1:11" ht="16.149999999999999" customHeight="1">
      <c r="A57" s="8"/>
      <c r="B57" s="173" t="s">
        <v>176</v>
      </c>
      <c r="C57" s="292" t="s">
        <v>177</v>
      </c>
      <c r="D57" s="292"/>
      <c r="E57" s="292"/>
      <c r="F57" s="292"/>
      <c r="G57" s="292"/>
      <c r="H57" s="172" t="s">
        <v>178</v>
      </c>
      <c r="I57" s="4">
        <v>74800</v>
      </c>
      <c r="J57" s="4" t="s">
        <v>175</v>
      </c>
      <c r="K57" s="176" t="s">
        <v>179</v>
      </c>
    </row>
    <row r="58" spans="1:11" ht="18.600000000000001" customHeight="1">
      <c r="A58" s="8"/>
      <c r="B58" s="175" t="s">
        <v>180</v>
      </c>
      <c r="C58" s="293" t="s">
        <v>181</v>
      </c>
      <c r="D58" s="293"/>
      <c r="E58" s="293"/>
      <c r="F58" s="293"/>
      <c r="G58" s="293"/>
      <c r="H58" s="175" t="s">
        <v>182</v>
      </c>
      <c r="I58" s="177">
        <f>ROUNDDOWN((I55*I56*I57/1000000),0)</f>
        <v>220</v>
      </c>
    </row>
    <row r="59" spans="1:11" ht="15.6">
      <c r="A59" s="8"/>
      <c r="B59" s="9"/>
      <c r="C59" s="64"/>
      <c r="D59" s="121"/>
      <c r="E59" s="121"/>
      <c r="F59" s="8"/>
      <c r="G59" s="8"/>
      <c r="H59" s="8"/>
      <c r="I59" s="8"/>
    </row>
    <row r="60" spans="1:11" ht="15.6">
      <c r="A60" s="8"/>
      <c r="B60" s="9"/>
      <c r="C60" s="64"/>
      <c r="D60" s="121"/>
      <c r="E60" s="121"/>
      <c r="F60" s="8"/>
      <c r="G60" s="8"/>
      <c r="H60" s="8"/>
      <c r="I60" s="8"/>
    </row>
    <row r="61" spans="1:11" ht="15.6">
      <c r="A61" s="8"/>
      <c r="B61" s="91"/>
      <c r="C61" s="91"/>
      <c r="D61" s="91"/>
      <c r="E61" s="8"/>
      <c r="F61" s="8"/>
      <c r="G61" s="8"/>
      <c r="H61" s="8"/>
      <c r="I61" s="8"/>
    </row>
    <row r="62" spans="1:11" ht="15.6">
      <c r="A62" s="8"/>
      <c r="B62" s="11"/>
      <c r="C62" s="10"/>
      <c r="D62" s="8"/>
      <c r="E62" s="8"/>
      <c r="F62" s="8"/>
      <c r="G62" s="8"/>
      <c r="H62" s="183"/>
      <c r="I62" s="8"/>
    </row>
    <row r="63" spans="1:11" ht="15.6">
      <c r="A63" s="8"/>
      <c r="B63" s="11"/>
      <c r="C63" s="10"/>
      <c r="D63" s="8"/>
      <c r="E63" s="8"/>
      <c r="F63" s="8"/>
      <c r="G63" s="8"/>
      <c r="H63" s="8"/>
      <c r="I63" s="8"/>
    </row>
    <row r="64" spans="1:11" ht="15.6">
      <c r="A64" s="8"/>
      <c r="B64" s="296" t="s">
        <v>183</v>
      </c>
      <c r="C64" s="296"/>
      <c r="D64" s="296"/>
      <c r="E64" s="296" t="s">
        <v>184</v>
      </c>
      <c r="F64" s="296"/>
      <c r="G64" s="296"/>
      <c r="H64" s="296"/>
      <c r="I64" s="296"/>
      <c r="J64" s="296"/>
    </row>
    <row r="65" spans="1:10" ht="15.6">
      <c r="A65" s="8"/>
      <c r="B65" s="245" t="s">
        <v>138</v>
      </c>
      <c r="C65" s="291" t="s">
        <v>86</v>
      </c>
      <c r="D65" s="291"/>
      <c r="E65" s="291"/>
      <c r="F65" s="291"/>
      <c r="G65" s="291"/>
      <c r="H65" s="245" t="s">
        <v>87</v>
      </c>
      <c r="I65" s="245" t="s">
        <v>139</v>
      </c>
      <c r="J65" s="245" t="s">
        <v>140</v>
      </c>
    </row>
    <row r="66" spans="1:10" ht="30" customHeight="1">
      <c r="A66" s="8"/>
      <c r="B66" s="242" t="s">
        <v>185</v>
      </c>
      <c r="C66" s="290" t="s">
        <v>186</v>
      </c>
      <c r="D66" s="290"/>
      <c r="E66" s="290"/>
      <c r="F66" s="290"/>
      <c r="G66" s="290"/>
      <c r="H66" s="244" t="s">
        <v>187</v>
      </c>
      <c r="I66" s="248">
        <v>0</v>
      </c>
      <c r="J66" s="290" t="s">
        <v>188</v>
      </c>
    </row>
    <row r="67" spans="1:10" ht="193.9" customHeight="1">
      <c r="A67" s="8"/>
      <c r="B67" s="242" t="s">
        <v>189</v>
      </c>
      <c r="C67" s="290" t="s">
        <v>190</v>
      </c>
      <c r="D67" s="290"/>
      <c r="E67" s="290"/>
      <c r="F67" s="290"/>
      <c r="G67" s="290"/>
      <c r="H67" s="244" t="s">
        <v>191</v>
      </c>
      <c r="I67" s="249">
        <v>600</v>
      </c>
      <c r="J67" s="290"/>
    </row>
    <row r="68" spans="1:10" ht="15.6">
      <c r="A68" s="8"/>
      <c r="B68" s="242" t="s">
        <v>192</v>
      </c>
      <c r="C68" s="283" t="s">
        <v>193</v>
      </c>
      <c r="D68" s="284"/>
      <c r="E68" s="284"/>
      <c r="F68" s="284"/>
      <c r="G68" s="285"/>
      <c r="H68" s="244" t="s">
        <v>22</v>
      </c>
      <c r="I68" s="249">
        <v>330</v>
      </c>
      <c r="J68" s="246"/>
    </row>
    <row r="69" spans="1:10" ht="31.15" customHeight="1">
      <c r="A69" s="8"/>
      <c r="B69" s="242" t="s">
        <v>194</v>
      </c>
      <c r="C69" s="290" t="s">
        <v>195</v>
      </c>
      <c r="D69" s="290"/>
      <c r="E69" s="290"/>
      <c r="F69" s="290"/>
      <c r="G69" s="290"/>
      <c r="H69" s="244" t="s">
        <v>187</v>
      </c>
      <c r="I69" s="66">
        <v>10</v>
      </c>
      <c r="J69" s="247" t="s">
        <v>196</v>
      </c>
    </row>
    <row r="70" spans="1:10" ht="17.45" customHeight="1">
      <c r="A70" s="8"/>
      <c r="B70" s="242" t="s">
        <v>197</v>
      </c>
      <c r="C70" s="290" t="s">
        <v>198</v>
      </c>
      <c r="D70" s="290"/>
      <c r="E70" s="290"/>
      <c r="F70" s="290"/>
      <c r="G70" s="290"/>
      <c r="H70" s="244" t="s">
        <v>14</v>
      </c>
      <c r="I70" s="66">
        <v>289</v>
      </c>
      <c r="J70" s="247" t="s">
        <v>196</v>
      </c>
    </row>
    <row r="71" spans="1:10" ht="30.6" customHeight="1">
      <c r="A71" s="8"/>
      <c r="B71" s="242" t="s">
        <v>199</v>
      </c>
      <c r="C71" s="290" t="s">
        <v>200</v>
      </c>
      <c r="D71" s="290"/>
      <c r="E71" s="290"/>
      <c r="F71" s="290"/>
      <c r="G71" s="290"/>
      <c r="H71" s="244" t="s">
        <v>187</v>
      </c>
      <c r="I71" s="248">
        <v>22</v>
      </c>
      <c r="J71" s="247" t="s">
        <v>196</v>
      </c>
    </row>
    <row r="72" spans="1:10" ht="17.45" customHeight="1">
      <c r="A72" s="8"/>
      <c r="B72" s="242" t="s">
        <v>201</v>
      </c>
      <c r="C72" s="290" t="s">
        <v>202</v>
      </c>
      <c r="D72" s="290"/>
      <c r="E72" s="290"/>
      <c r="F72" s="290"/>
      <c r="G72" s="290"/>
      <c r="H72" s="244" t="s">
        <v>14</v>
      </c>
      <c r="I72" s="66">
        <v>47</v>
      </c>
      <c r="J72" s="247" t="s">
        <v>196</v>
      </c>
    </row>
    <row r="73" spans="1:10" ht="16.149999999999999">
      <c r="A73" s="8"/>
      <c r="B73" s="241" t="s">
        <v>203</v>
      </c>
      <c r="C73" s="286" t="s">
        <v>204</v>
      </c>
      <c r="D73" s="287"/>
      <c r="E73" s="287"/>
      <c r="F73" s="287"/>
      <c r="G73" s="288"/>
      <c r="H73" s="4" t="s">
        <v>205</v>
      </c>
      <c r="I73" s="66">
        <v>245</v>
      </c>
      <c r="J73" s="4" t="s">
        <v>206</v>
      </c>
    </row>
    <row r="74" spans="1:10" ht="15.6">
      <c r="A74" s="8"/>
      <c r="B74" s="175" t="s">
        <v>124</v>
      </c>
      <c r="C74" s="289" t="s">
        <v>183</v>
      </c>
      <c r="D74" s="289"/>
      <c r="E74" s="289"/>
      <c r="F74" s="289"/>
      <c r="G74" s="289"/>
      <c r="H74" s="175" t="s">
        <v>182</v>
      </c>
      <c r="I74" s="250">
        <f>(I69*I70*I73*I68/1000000)+(I71*I72*I73*I68/1000000)</f>
        <v>317.25540000000001</v>
      </c>
      <c r="J74" s="148"/>
    </row>
    <row r="75" spans="1:10" ht="15.6">
      <c r="A75" s="8"/>
      <c r="B75" s="8"/>
      <c r="C75" s="8"/>
      <c r="D75" s="8"/>
      <c r="E75" s="8"/>
      <c r="F75" s="8"/>
      <c r="G75" s="8"/>
      <c r="H75" s="8"/>
      <c r="I75" s="8"/>
    </row>
    <row r="76" spans="1:10" ht="15.6">
      <c r="A76" s="8"/>
      <c r="B76" s="8"/>
      <c r="C76" s="8"/>
      <c r="D76" s="8"/>
      <c r="E76" s="8"/>
      <c r="F76" s="8"/>
      <c r="G76" s="8"/>
      <c r="H76" s="8"/>
      <c r="I76" s="8"/>
    </row>
    <row r="77" spans="1:10" ht="15.6">
      <c r="A77" s="8"/>
      <c r="B77" s="101"/>
      <c r="C77" s="112"/>
      <c r="D77" s="103"/>
      <c r="E77" s="8"/>
      <c r="F77" s="8"/>
      <c r="G77" s="8"/>
      <c r="H77" s="8"/>
      <c r="I77" s="8"/>
    </row>
    <row r="78" spans="1:10" ht="15.6">
      <c r="A78" s="8"/>
      <c r="B78" s="113"/>
      <c r="C78" s="105"/>
      <c r="D78" s="114"/>
      <c r="E78" s="8"/>
      <c r="F78" s="8"/>
      <c r="G78" s="8"/>
      <c r="H78" s="8"/>
      <c r="I78" s="8"/>
    </row>
    <row r="79" spans="1:10" ht="15.6">
      <c r="A79" s="8"/>
      <c r="B79" s="104"/>
      <c r="C79" s="105"/>
      <c r="D79" s="115"/>
      <c r="E79" s="8"/>
      <c r="F79" s="8"/>
      <c r="G79" s="8"/>
      <c r="H79" s="8"/>
      <c r="I79" s="8"/>
    </row>
    <row r="80" spans="1:10" ht="28.9">
      <c r="A80" s="8"/>
      <c r="B80" s="133" t="s">
        <v>207</v>
      </c>
      <c r="C80" s="127" t="s">
        <v>208</v>
      </c>
      <c r="D80" s="134">
        <f>I48+I58+I74</f>
        <v>40229.255400000002</v>
      </c>
      <c r="E80" s="8"/>
      <c r="F80" s="8"/>
      <c r="G80" s="8"/>
      <c r="H80" s="8"/>
      <c r="I80" s="8"/>
    </row>
    <row r="81" spans="1:9" ht="15.6">
      <c r="A81" s="8"/>
      <c r="B81" s="8"/>
      <c r="C81" s="8"/>
      <c r="D81" s="8"/>
      <c r="E81" s="8"/>
      <c r="F81" s="8"/>
      <c r="G81" s="8"/>
      <c r="H81" s="8"/>
      <c r="I81" s="8"/>
    </row>
    <row r="82" spans="1:9" ht="15.6">
      <c r="A82" s="8"/>
      <c r="B82" s="8"/>
      <c r="C82" s="8"/>
      <c r="D82" s="8"/>
      <c r="E82" s="8"/>
      <c r="F82" s="8"/>
      <c r="G82" s="8"/>
      <c r="H82" s="8"/>
      <c r="I82" s="8"/>
    </row>
    <row r="83" spans="1:9" ht="15.6">
      <c r="A83" s="9"/>
      <c r="B83" s="9"/>
      <c r="C83" s="8"/>
      <c r="D83" s="8"/>
      <c r="E83" s="8"/>
      <c r="F83" s="8"/>
      <c r="G83" s="8"/>
      <c r="H83" s="8"/>
      <c r="I83" s="8"/>
    </row>
    <row r="84" spans="1:9" ht="15.6">
      <c r="A84" s="8"/>
      <c r="B84" s="8"/>
      <c r="C84" s="8"/>
      <c r="D84" s="8"/>
      <c r="E84" s="8"/>
      <c r="F84" s="8"/>
      <c r="G84" s="8"/>
      <c r="H84" s="8"/>
      <c r="I84" s="8"/>
    </row>
    <row r="85" spans="1:9" ht="15.6">
      <c r="A85" s="8"/>
      <c r="B85" s="8"/>
      <c r="C85" s="8"/>
      <c r="D85" s="8"/>
      <c r="E85" s="8"/>
      <c r="F85" s="8"/>
      <c r="G85" s="8"/>
      <c r="H85" s="8"/>
      <c r="I85" s="8"/>
    </row>
    <row r="86" spans="1:9" ht="15.6">
      <c r="A86" s="8"/>
      <c r="B86" s="8"/>
      <c r="C86" s="8"/>
      <c r="D86" s="8"/>
      <c r="E86" s="8"/>
      <c r="F86" s="8"/>
      <c r="G86" s="8"/>
      <c r="H86" s="8"/>
      <c r="I86" s="8"/>
    </row>
    <row r="87" spans="1:9" ht="15.6">
      <c r="A87" s="8"/>
      <c r="B87" s="8"/>
      <c r="C87" s="8"/>
      <c r="D87" s="8"/>
      <c r="E87" s="8"/>
      <c r="F87" s="8"/>
      <c r="G87" s="8"/>
      <c r="H87" s="8"/>
      <c r="I87" s="8"/>
    </row>
    <row r="88" spans="1:9" ht="15.6">
      <c r="A88" s="8"/>
      <c r="B88" s="8"/>
      <c r="C88" s="8"/>
      <c r="D88" s="8"/>
      <c r="E88" s="8"/>
      <c r="F88" s="8"/>
      <c r="G88" s="8"/>
      <c r="H88" s="8"/>
      <c r="I88" s="8"/>
    </row>
    <row r="89" spans="1:9" ht="15.6">
      <c r="A89" s="8"/>
      <c r="B89" s="8"/>
      <c r="C89" s="8"/>
      <c r="D89" s="8"/>
      <c r="E89" s="8"/>
      <c r="F89" s="8"/>
      <c r="G89" s="8"/>
      <c r="H89" s="8"/>
      <c r="I89" s="8"/>
    </row>
    <row r="90" spans="1:9" ht="15.6">
      <c r="A90" s="8"/>
      <c r="B90" s="8"/>
      <c r="C90" s="8"/>
      <c r="D90" s="8"/>
      <c r="E90" s="8"/>
      <c r="F90" s="8"/>
      <c r="G90" s="8"/>
      <c r="H90" s="8"/>
      <c r="I90" s="8"/>
    </row>
    <row r="91" spans="1:9" ht="15.6">
      <c r="A91" s="8"/>
      <c r="B91" s="8"/>
      <c r="C91" s="8"/>
      <c r="D91" s="8"/>
      <c r="E91" s="8"/>
      <c r="F91" s="8"/>
      <c r="G91" s="8"/>
      <c r="H91" s="8"/>
      <c r="I91" s="8"/>
    </row>
    <row r="92" spans="1:9" ht="15.6">
      <c r="A92" s="8"/>
      <c r="B92" s="8"/>
      <c r="C92" s="8"/>
      <c r="D92" s="8"/>
      <c r="E92" s="8"/>
      <c r="F92" s="8"/>
      <c r="G92" s="8"/>
      <c r="H92" s="8"/>
      <c r="I92" s="8"/>
    </row>
    <row r="93" spans="1:9" ht="15.6">
      <c r="A93" s="8"/>
      <c r="B93" s="8"/>
      <c r="C93" s="8"/>
      <c r="D93" s="8"/>
      <c r="E93" s="8"/>
      <c r="F93" s="8"/>
      <c r="G93" s="8"/>
      <c r="H93" s="8"/>
      <c r="I93" s="8"/>
    </row>
    <row r="94" spans="1:9" ht="15.6">
      <c r="A94" s="8"/>
      <c r="B94" s="12"/>
      <c r="C94" s="13"/>
      <c r="D94" s="8"/>
      <c r="E94" s="8"/>
      <c r="F94" s="8"/>
      <c r="G94" s="8"/>
      <c r="H94" s="8"/>
      <c r="I94" s="8"/>
    </row>
    <row r="95" spans="1:9" ht="15.6">
      <c r="A95" s="8"/>
      <c r="B95" s="14"/>
      <c r="C95" s="10"/>
      <c r="D95" s="8"/>
      <c r="E95" s="8"/>
      <c r="F95" s="8"/>
      <c r="G95" s="8"/>
      <c r="H95" s="8"/>
      <c r="I95" s="8"/>
    </row>
    <row r="96" spans="1:9" ht="15.6">
      <c r="A96" s="8"/>
      <c r="B96" s="14"/>
      <c r="C96" s="10"/>
      <c r="D96" s="8"/>
      <c r="E96" s="8"/>
      <c r="F96" s="8"/>
      <c r="G96" s="8"/>
      <c r="H96" s="8"/>
      <c r="I96" s="8"/>
    </row>
    <row r="97" spans="1:9" ht="15.6">
      <c r="A97" s="8"/>
      <c r="B97" s="14"/>
      <c r="C97" s="10"/>
      <c r="D97" s="8"/>
      <c r="E97" s="8"/>
      <c r="F97" s="8"/>
      <c r="G97" s="8"/>
      <c r="H97" s="8"/>
      <c r="I97" s="8"/>
    </row>
    <row r="98" spans="1:9" ht="15.6">
      <c r="A98" s="8"/>
      <c r="B98" s="14"/>
      <c r="C98" s="10"/>
      <c r="D98" s="8"/>
      <c r="E98" s="8"/>
      <c r="F98" s="8"/>
      <c r="G98" s="8"/>
      <c r="H98" s="8"/>
      <c r="I98" s="8"/>
    </row>
    <row r="99" spans="1:9" ht="15.6">
      <c r="A99" s="8"/>
      <c r="B99" s="14"/>
      <c r="C99" s="10"/>
      <c r="D99" s="8"/>
      <c r="E99" s="8"/>
      <c r="F99" s="8"/>
      <c r="G99" s="8"/>
      <c r="H99" s="8"/>
      <c r="I99" s="8"/>
    </row>
    <row r="100" spans="1:9" ht="15.6">
      <c r="A100" s="8"/>
      <c r="B100" s="14"/>
      <c r="C100" s="10"/>
      <c r="D100" s="8"/>
      <c r="E100" s="8"/>
      <c r="F100" s="8"/>
      <c r="G100" s="8"/>
      <c r="H100" s="8"/>
      <c r="I100" s="8"/>
    </row>
    <row r="101" spans="1:9" ht="15.6">
      <c r="A101" s="8"/>
      <c r="B101" s="14"/>
      <c r="C101" s="10"/>
      <c r="D101" s="8"/>
      <c r="E101" s="8"/>
      <c r="F101" s="8"/>
      <c r="G101" s="8"/>
      <c r="H101" s="8"/>
      <c r="I101" s="8"/>
    </row>
    <row r="102" spans="1:9" ht="15.6">
      <c r="A102" s="8"/>
      <c r="B102" s="11"/>
      <c r="C102" s="10"/>
      <c r="D102" s="8"/>
      <c r="E102" s="8"/>
      <c r="F102" s="8"/>
      <c r="G102" s="8"/>
      <c r="H102" s="8"/>
      <c r="I102" s="8"/>
    </row>
    <row r="103" spans="1:9" ht="15.6">
      <c r="A103" s="8"/>
      <c r="B103" s="8"/>
      <c r="C103" s="8"/>
      <c r="D103" s="8"/>
      <c r="E103" s="8"/>
      <c r="F103" s="8"/>
      <c r="G103" s="8"/>
      <c r="H103" s="8"/>
      <c r="I103" s="8"/>
    </row>
    <row r="104" spans="1:9" ht="15.6">
      <c r="A104" s="8"/>
      <c r="B104" s="8"/>
      <c r="C104" s="8"/>
      <c r="D104" s="8"/>
      <c r="E104" s="8"/>
      <c r="F104" s="8"/>
      <c r="G104" s="8"/>
      <c r="H104" s="8"/>
      <c r="I104" s="8"/>
    </row>
    <row r="105" spans="1:9" ht="15.6">
      <c r="A105" s="8"/>
      <c r="B105" s="101"/>
      <c r="C105" s="102"/>
      <c r="D105" s="103"/>
      <c r="E105" s="8"/>
      <c r="F105" s="8"/>
      <c r="G105" s="8"/>
      <c r="H105" s="8"/>
      <c r="I105" s="8"/>
    </row>
    <row r="106" spans="1:9" ht="15.6">
      <c r="A106" s="8"/>
      <c r="B106" s="104"/>
      <c r="C106" s="105"/>
      <c r="D106" s="106"/>
      <c r="E106" s="8"/>
      <c r="F106" s="8"/>
      <c r="G106" s="8"/>
      <c r="H106" s="8"/>
      <c r="I106" s="8"/>
    </row>
    <row r="107" spans="1:9" ht="15.6">
      <c r="A107" s="8"/>
      <c r="B107" s="104"/>
      <c r="C107" s="105"/>
      <c r="D107" s="107"/>
      <c r="E107" s="8"/>
      <c r="F107" s="8"/>
      <c r="G107" s="8"/>
      <c r="H107" s="8"/>
      <c r="I107" s="8"/>
    </row>
    <row r="108" spans="1:9" ht="15.6">
      <c r="A108" s="8"/>
      <c r="B108" s="104"/>
      <c r="C108" s="105"/>
      <c r="D108" s="108"/>
      <c r="E108" s="8"/>
      <c r="F108" s="8"/>
      <c r="G108" s="8"/>
      <c r="H108" s="8"/>
      <c r="I108" s="8"/>
    </row>
    <row r="109" spans="1:9" ht="15.6">
      <c r="A109" s="8"/>
      <c r="B109" s="104"/>
      <c r="C109" s="105"/>
      <c r="D109" s="108"/>
      <c r="E109" s="8"/>
      <c r="F109" s="8"/>
      <c r="G109" s="8"/>
      <c r="H109" s="8"/>
      <c r="I109" s="8"/>
    </row>
    <row r="110" spans="1:9" ht="15.6">
      <c r="A110" s="8"/>
      <c r="B110" s="104"/>
      <c r="C110" s="105"/>
      <c r="D110" s="108"/>
      <c r="E110" s="8"/>
      <c r="F110" s="8"/>
      <c r="G110" s="8"/>
      <c r="H110" s="8"/>
      <c r="I110" s="8"/>
    </row>
    <row r="111" spans="1:9" ht="15.6">
      <c r="A111" s="8"/>
      <c r="B111" s="109"/>
      <c r="C111" s="110"/>
      <c r="D111" s="111"/>
      <c r="E111" s="8"/>
      <c r="F111" s="8"/>
      <c r="G111" s="8"/>
      <c r="H111" s="8"/>
      <c r="I111" s="8"/>
    </row>
    <row r="112" spans="1:9" ht="15.6">
      <c r="A112" s="8"/>
      <c r="B112" s="8"/>
      <c r="C112" s="8"/>
      <c r="D112" s="8"/>
      <c r="E112" s="8"/>
      <c r="F112" s="8"/>
      <c r="G112" s="8"/>
      <c r="H112" s="8"/>
      <c r="I112" s="8"/>
    </row>
    <row r="113" spans="1:9" ht="15.6">
      <c r="A113" s="8"/>
      <c r="B113" s="8"/>
      <c r="C113" s="8"/>
      <c r="D113" s="8"/>
      <c r="E113" s="8"/>
      <c r="F113" s="8"/>
      <c r="G113" s="8"/>
      <c r="H113" s="8"/>
      <c r="I113" s="8"/>
    </row>
    <row r="114" spans="1:9" ht="15.6">
      <c r="A114" s="8"/>
      <c r="B114" s="8"/>
      <c r="C114" s="8"/>
      <c r="D114" s="8"/>
      <c r="E114" s="8"/>
      <c r="F114" s="74"/>
      <c r="G114" s="8"/>
      <c r="H114" s="8"/>
      <c r="I114" s="8"/>
    </row>
    <row r="115" spans="1:9" ht="15.6">
      <c r="A115" s="8"/>
      <c r="E115" s="8"/>
      <c r="F115" s="74"/>
      <c r="G115" s="8"/>
      <c r="H115" s="8"/>
      <c r="I115" s="8"/>
    </row>
    <row r="116" spans="1:9" ht="15.6">
      <c r="A116" s="8"/>
      <c r="B116" s="8"/>
      <c r="C116" s="8"/>
      <c r="D116" s="8"/>
      <c r="E116" s="8"/>
      <c r="F116" s="74"/>
      <c r="G116" s="8"/>
      <c r="H116" s="8"/>
      <c r="I116" s="8"/>
    </row>
  </sheetData>
  <mergeCells count="39">
    <mergeCell ref="C12:J12"/>
    <mergeCell ref="C13:J13"/>
    <mergeCell ref="C14:J14"/>
    <mergeCell ref="C15:J15"/>
    <mergeCell ref="B2:D2"/>
    <mergeCell ref="B8:C8"/>
    <mergeCell ref="D8:J8"/>
    <mergeCell ref="J66:J67"/>
    <mergeCell ref="B19:D19"/>
    <mergeCell ref="E19:J19"/>
    <mergeCell ref="B64:D64"/>
    <mergeCell ref="E64:J64"/>
    <mergeCell ref="C48:G48"/>
    <mergeCell ref="C40:G40"/>
    <mergeCell ref="C53:G53"/>
    <mergeCell ref="C36:C37"/>
    <mergeCell ref="B51:D51"/>
    <mergeCell ref="E51:J51"/>
    <mergeCell ref="C42:G42"/>
    <mergeCell ref="C43:G43"/>
    <mergeCell ref="C44:G44"/>
    <mergeCell ref="C45:G45"/>
    <mergeCell ref="C46:G46"/>
    <mergeCell ref="C52:G52"/>
    <mergeCell ref="C65:G65"/>
    <mergeCell ref="C66:G66"/>
    <mergeCell ref="C67:G67"/>
    <mergeCell ref="C54:G54"/>
    <mergeCell ref="C55:G55"/>
    <mergeCell ref="C56:G56"/>
    <mergeCell ref="C57:G57"/>
    <mergeCell ref="C58:G58"/>
    <mergeCell ref="C68:G68"/>
    <mergeCell ref="C73:G73"/>
    <mergeCell ref="C74:G74"/>
    <mergeCell ref="C69:G69"/>
    <mergeCell ref="C70:G70"/>
    <mergeCell ref="C71:G71"/>
    <mergeCell ref="C72:G72"/>
  </mergeCells>
  <hyperlinks>
    <hyperlink ref="K56" r:id="rId1" xr:uid="{5732E35B-330A-425B-A124-75F116985B07}"/>
    <hyperlink ref="K54" r:id="rId2" xr:uid="{807D3BC2-FD6F-478C-9A42-58364E4A8868}"/>
    <hyperlink ref="K43" r:id="rId3" xr:uid="{97517579-9D0D-46BC-A08C-72A18A90D821}"/>
    <hyperlink ref="K45" r:id="rId4" xr:uid="{D317926E-420F-49C2-88C0-6C9ACB5BBC68}"/>
  </hyperlinks>
  <pageMargins left="0.7" right="0.7" top="0.75" bottom="0.75" header="0.3" footer="0.3"/>
  <pageSetup paperSize="9" orientation="portrait"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Q14"/>
  <sheetViews>
    <sheetView zoomScaleNormal="100" workbookViewId="0">
      <selection activeCell="B9" sqref="B9"/>
    </sheetView>
  </sheetViews>
  <sheetFormatPr defaultColWidth="8.85546875" defaultRowHeight="14.45"/>
  <cols>
    <col min="2" max="2" width="36.28515625" customWidth="1"/>
    <col min="3" max="3" width="11.42578125" customWidth="1"/>
    <col min="4" max="5" width="12" customWidth="1"/>
    <col min="6" max="6" width="12.7109375" customWidth="1"/>
    <col min="7" max="7" width="12.42578125" customWidth="1"/>
    <col min="12" max="12" width="11" bestFit="1" customWidth="1"/>
  </cols>
  <sheetData>
    <row r="1" spans="2:17" ht="15" thickBot="1">
      <c r="B1" s="301" t="s">
        <v>209</v>
      </c>
      <c r="C1" s="302"/>
      <c r="D1" s="302"/>
      <c r="E1" s="302"/>
      <c r="F1" s="303"/>
      <c r="G1" s="64"/>
    </row>
    <row r="2" spans="2:17" s="67" customFormat="1" ht="28.9">
      <c r="B2" s="178" t="s">
        <v>210</v>
      </c>
      <c r="C2" s="150" t="s">
        <v>211</v>
      </c>
      <c r="D2" s="150" t="s">
        <v>212</v>
      </c>
      <c r="E2" s="151" t="s">
        <v>213</v>
      </c>
      <c r="F2" s="152" t="s">
        <v>214</v>
      </c>
      <c r="G2" s="139"/>
    </row>
    <row r="3" spans="2:17">
      <c r="B3" s="179" t="s">
        <v>215</v>
      </c>
      <c r="C3" s="142">
        <f>'RDF_Baseline emissions_CH4'!BC28</f>
        <v>49107.699335278245</v>
      </c>
      <c r="D3" s="142">
        <f>'RDF_Project emission'!D80</f>
        <v>40229.255400000002</v>
      </c>
      <c r="E3" s="149">
        <v>0</v>
      </c>
      <c r="F3" s="143">
        <f>C3-D3</f>
        <v>8878.4439352782429</v>
      </c>
      <c r="G3" s="6"/>
      <c r="H3" s="6"/>
      <c r="J3" s="68"/>
      <c r="K3" s="68"/>
      <c r="M3" s="68"/>
      <c r="N3" s="68"/>
      <c r="O3" s="6"/>
      <c r="P3" s="68"/>
    </row>
    <row r="4" spans="2:17">
      <c r="B4" s="179" t="s">
        <v>216</v>
      </c>
      <c r="C4" s="142">
        <f>'RDF_Baseline emissions_CH4'!BC30</f>
        <v>67076.672869428265</v>
      </c>
      <c r="D4" s="142">
        <f>'RDF_Project emission'!D80</f>
        <v>40229.255400000002</v>
      </c>
      <c r="E4" s="149">
        <v>0</v>
      </c>
      <c r="F4" s="143">
        <f t="shared" ref="F4:F9" si="0">C4-D4</f>
        <v>26847.417469428263</v>
      </c>
      <c r="G4" s="6"/>
      <c r="H4" s="6"/>
      <c r="J4" s="68"/>
      <c r="K4" s="68"/>
      <c r="M4" s="68"/>
      <c r="N4" s="75"/>
      <c r="O4" s="6"/>
      <c r="P4" s="68"/>
    </row>
    <row r="5" spans="2:17">
      <c r="B5" s="179" t="s">
        <v>217</v>
      </c>
      <c r="C5" s="142">
        <f>'RDF_Baseline emissions_CH4'!BC33</f>
        <v>76870.749049406601</v>
      </c>
      <c r="D5" s="142">
        <f>'RDF_Project emission'!D80</f>
        <v>40229.255400000002</v>
      </c>
      <c r="E5" s="149">
        <v>0</v>
      </c>
      <c r="F5" s="143">
        <f t="shared" si="0"/>
        <v>36641.493649406599</v>
      </c>
      <c r="G5" s="6"/>
      <c r="H5" s="6"/>
      <c r="J5" s="68"/>
      <c r="K5" s="68"/>
      <c r="M5" s="68"/>
      <c r="N5" s="68"/>
      <c r="O5" s="6"/>
      <c r="P5" s="75"/>
    </row>
    <row r="6" spans="2:17">
      <c r="B6" s="179" t="s">
        <v>218</v>
      </c>
      <c r="C6" s="142">
        <f>'RDF_Baseline emissions_CH4'!BC37</f>
        <v>84281.142129719388</v>
      </c>
      <c r="D6" s="142">
        <f>'RDF_Project emission'!D80</f>
        <v>40229.255400000002</v>
      </c>
      <c r="E6" s="149">
        <v>0</v>
      </c>
      <c r="F6" s="143">
        <f t="shared" si="0"/>
        <v>44051.886729719386</v>
      </c>
      <c r="G6" s="6"/>
      <c r="H6" s="6"/>
      <c r="J6" s="68"/>
      <c r="K6" s="68"/>
      <c r="M6" s="68"/>
      <c r="N6" s="68"/>
      <c r="O6" s="6"/>
      <c r="P6" s="75"/>
    </row>
    <row r="7" spans="2:17">
      <c r="B7" s="179" t="s">
        <v>219</v>
      </c>
      <c r="C7" s="142">
        <f>'RDF_Baseline emissions_CH4'!BC42</f>
        <v>90005.392151169013</v>
      </c>
      <c r="D7" s="142">
        <f>'RDF_Project emission'!D80</f>
        <v>40229.255400000002</v>
      </c>
      <c r="E7" s="149">
        <v>0</v>
      </c>
      <c r="F7" s="143">
        <f t="shared" si="0"/>
        <v>49776.136751169011</v>
      </c>
      <c r="G7" s="6"/>
      <c r="H7" s="6"/>
      <c r="J7" s="68"/>
      <c r="K7" s="68"/>
      <c r="M7" s="68"/>
      <c r="N7" s="68"/>
      <c r="O7" s="6"/>
      <c r="P7" s="76"/>
    </row>
    <row r="8" spans="2:17">
      <c r="B8" s="179" t="s">
        <v>220</v>
      </c>
      <c r="C8" s="142">
        <f>'RDF_Baseline emissions_CH4'!BC48</f>
        <v>94522.222607164789</v>
      </c>
      <c r="D8" s="142">
        <f>'RDF_Project emission'!D80</f>
        <v>40229.255400000002</v>
      </c>
      <c r="E8" s="149">
        <v>0</v>
      </c>
      <c r="F8" s="143">
        <f t="shared" si="0"/>
        <v>54292.967207164787</v>
      </c>
      <c r="G8" s="6"/>
      <c r="H8" s="6"/>
      <c r="J8" s="68"/>
      <c r="K8" s="68"/>
      <c r="M8" s="68"/>
      <c r="N8" s="68"/>
      <c r="O8" s="6"/>
      <c r="P8" s="68"/>
    </row>
    <row r="9" spans="2:17">
      <c r="B9" s="179" t="s">
        <v>221</v>
      </c>
      <c r="C9" s="142">
        <f>'RDF_Baseline emissions_CH4'!BC55</f>
        <v>98162.106184593053</v>
      </c>
      <c r="D9" s="142">
        <f>'RDF_Project emission'!D80</f>
        <v>40229.255400000002</v>
      </c>
      <c r="E9" s="149">
        <v>0</v>
      </c>
      <c r="F9" s="143">
        <f t="shared" si="0"/>
        <v>57932.850784593051</v>
      </c>
      <c r="G9" s="6"/>
      <c r="J9" s="68"/>
      <c r="K9" s="68"/>
      <c r="M9" s="68"/>
      <c r="N9" s="68"/>
      <c r="O9" s="6"/>
      <c r="P9" s="68"/>
    </row>
    <row r="10" spans="2:17">
      <c r="B10" s="154" t="s">
        <v>48</v>
      </c>
      <c r="C10" s="144">
        <f>SUM(C3:C9)</f>
        <v>560025.98432675935</v>
      </c>
      <c r="D10" s="144">
        <f t="shared" ref="D10:E10" si="1">SUM(D3:D9)</f>
        <v>281604.78779999999</v>
      </c>
      <c r="E10" s="144">
        <f t="shared" si="1"/>
        <v>0</v>
      </c>
      <c r="F10" s="145">
        <f>SUM(F3:F9)</f>
        <v>278421.19652675936</v>
      </c>
      <c r="G10" s="140"/>
      <c r="H10" s="72"/>
      <c r="I10" s="72"/>
    </row>
    <row r="11" spans="2:17" ht="16.149999999999999" thickBot="1">
      <c r="B11" s="153" t="s">
        <v>222</v>
      </c>
      <c r="C11" s="146">
        <f>AVERAGE(C3:C9)</f>
        <v>80003.71204667991</v>
      </c>
      <c r="D11" s="146">
        <f>AVERAGE(D3:D9)</f>
        <v>40229.255400000002</v>
      </c>
      <c r="E11" s="146">
        <f>AVERAGE(E3:E9)</f>
        <v>0</v>
      </c>
      <c r="F11" s="147">
        <f>C11-D11</f>
        <v>39774.456646679908</v>
      </c>
      <c r="G11" s="69"/>
      <c r="N11" s="72"/>
      <c r="P11" s="68"/>
      <c r="Q11" s="73"/>
    </row>
    <row r="12" spans="2:17">
      <c r="F12" s="6"/>
      <c r="J12" s="73"/>
      <c r="N12" s="72"/>
      <c r="P12" s="73"/>
      <c r="Q12" s="73"/>
    </row>
    <row r="13" spans="2:17">
      <c r="J13" s="6"/>
      <c r="K13" s="6"/>
      <c r="L13" s="6"/>
      <c r="M13" s="6"/>
      <c r="N13" s="6"/>
      <c r="O13" s="6"/>
      <c r="P13" s="6"/>
    </row>
    <row r="14" spans="2:17">
      <c r="K14" s="73"/>
    </row>
  </sheetData>
  <mergeCells count="1">
    <mergeCell ref="B1:F1"/>
  </mergeCells>
  <phoneticPr fontId="3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6F006-1069-40BF-8A79-B95AF04D51A9}">
  <dimension ref="B1:J23"/>
  <sheetViews>
    <sheetView workbookViewId="0">
      <selection activeCell="J11" sqref="J11"/>
    </sheetView>
  </sheetViews>
  <sheetFormatPr defaultColWidth="9.28515625" defaultRowHeight="13.15"/>
  <cols>
    <col min="1" max="1" width="2" style="189" customWidth="1"/>
    <col min="2" max="2" width="33.28515625" style="189" bestFit="1" customWidth="1"/>
    <col min="3" max="3" width="12.5703125" style="189" customWidth="1"/>
    <col min="4" max="4" width="13.7109375" style="189" customWidth="1"/>
    <col min="5" max="5" width="13.28515625" style="189" customWidth="1"/>
    <col min="6" max="6" width="15.28515625" style="189" customWidth="1"/>
    <col min="7" max="7" width="13.28515625" style="189" customWidth="1"/>
    <col min="8" max="8" width="14.28515625" style="189" customWidth="1"/>
    <col min="9" max="9" width="35.7109375" style="189" bestFit="1" customWidth="1"/>
    <col min="10" max="10" width="17" style="189" customWidth="1"/>
    <col min="11" max="16384" width="9.28515625" style="189"/>
  </cols>
  <sheetData>
    <row r="1" spans="2:9" ht="13.9" thickBot="1"/>
    <row r="2" spans="2:9" ht="13.9">
      <c r="B2" s="305" t="s">
        <v>223</v>
      </c>
      <c r="C2" s="306"/>
      <c r="D2" s="306"/>
      <c r="E2" s="306"/>
      <c r="F2" s="306"/>
      <c r="G2" s="306"/>
      <c r="H2" s="306"/>
      <c r="I2" s="307"/>
    </row>
    <row r="3" spans="2:9" ht="13.9">
      <c r="B3" s="190" t="s">
        <v>224</v>
      </c>
      <c r="C3" s="191"/>
      <c r="D3" s="191"/>
      <c r="E3" s="191"/>
      <c r="F3" s="192"/>
      <c r="G3" s="192"/>
      <c r="H3" s="192"/>
      <c r="I3" s="193">
        <v>19</v>
      </c>
    </row>
    <row r="4" spans="2:9" ht="13.9">
      <c r="B4" s="190" t="s">
        <v>225</v>
      </c>
      <c r="C4" s="191"/>
      <c r="D4" s="191"/>
      <c r="E4" s="191"/>
      <c r="F4" s="192"/>
      <c r="G4" s="194"/>
      <c r="H4" s="194"/>
      <c r="I4" s="195">
        <v>45231</v>
      </c>
    </row>
    <row r="5" spans="2:9" ht="14.45" thickBot="1">
      <c r="B5" s="196" t="s">
        <v>226</v>
      </c>
      <c r="C5" s="308" t="s">
        <v>227</v>
      </c>
      <c r="D5" s="308"/>
      <c r="E5" s="308"/>
      <c r="F5" s="308"/>
      <c r="G5" s="308"/>
      <c r="H5" s="308"/>
      <c r="I5" s="309"/>
    </row>
    <row r="7" spans="2:9" ht="14.45" thickBot="1">
      <c r="B7" s="304" t="s">
        <v>228</v>
      </c>
      <c r="C7" s="304"/>
      <c r="D7" s="304"/>
      <c r="E7" s="304"/>
      <c r="F7" s="304"/>
      <c r="G7" s="304"/>
      <c r="H7" s="304"/>
    </row>
    <row r="8" spans="2:9" ht="14.45" thickTop="1">
      <c r="B8" s="310"/>
      <c r="C8" s="310"/>
      <c r="D8" s="310"/>
      <c r="E8" s="310"/>
      <c r="F8" s="197" t="s">
        <v>229</v>
      </c>
      <c r="G8" s="197" t="s">
        <v>230</v>
      </c>
      <c r="H8" s="197" t="s">
        <v>231</v>
      </c>
    </row>
    <row r="9" spans="2:9" ht="13.9">
      <c r="B9" s="311" t="s">
        <v>232</v>
      </c>
      <c r="C9" s="311"/>
      <c r="D9" s="311"/>
      <c r="E9" s="311"/>
      <c r="F9" s="198">
        <f>[2]Results!H11</f>
        <v>958218.26963667246</v>
      </c>
      <c r="G9" s="198">
        <f>[2]Results!I11</f>
        <v>1035671.7914353008</v>
      </c>
      <c r="H9" s="198">
        <f>[2]Results!J11</f>
        <v>1117845.6599999999</v>
      </c>
    </row>
    <row r="11" spans="2:9" ht="14.45" thickBot="1">
      <c r="B11" s="304" t="s">
        <v>233</v>
      </c>
      <c r="C11" s="304"/>
      <c r="D11" s="304"/>
      <c r="E11" s="304"/>
      <c r="F11" s="304"/>
      <c r="G11" s="304"/>
      <c r="H11" s="304"/>
    </row>
    <row r="12" spans="2:9" ht="14.45" thickTop="1">
      <c r="B12" s="310"/>
      <c r="C12" s="310"/>
      <c r="D12" s="310"/>
      <c r="E12" s="310"/>
      <c r="F12" s="197" t="s">
        <v>234</v>
      </c>
      <c r="G12" s="197" t="s">
        <v>229</v>
      </c>
      <c r="H12" s="197" t="s">
        <v>231</v>
      </c>
    </row>
    <row r="13" spans="2:9" ht="13.9">
      <c r="B13" s="311" t="s">
        <v>232</v>
      </c>
      <c r="C13" s="311"/>
      <c r="D13" s="311"/>
      <c r="E13" s="311"/>
      <c r="F13" s="199">
        <f>[2]Results!H37</f>
        <v>0.9401732664372231</v>
      </c>
      <c r="G13" s="199">
        <f>[2]Results!I37</f>
        <v>0.96045934642191733</v>
      </c>
      <c r="H13" s="199">
        <f>[2]Results!J37</f>
        <v>0.97099999999999997</v>
      </c>
    </row>
    <row r="15" spans="2:9" ht="14.45" thickBot="1">
      <c r="B15" s="304" t="s">
        <v>235</v>
      </c>
      <c r="C15" s="304"/>
      <c r="D15" s="304"/>
      <c r="E15" s="304"/>
      <c r="F15" s="304"/>
    </row>
    <row r="16" spans="2:9" ht="14.45" thickTop="1">
      <c r="B16" s="312"/>
      <c r="C16" s="313"/>
      <c r="D16" s="313"/>
      <c r="E16" s="314"/>
      <c r="F16" s="197" t="s">
        <v>231</v>
      </c>
    </row>
    <row r="17" spans="2:10" ht="13.9">
      <c r="B17" s="311" t="s">
        <v>232</v>
      </c>
      <c r="C17" s="311"/>
      <c r="D17" s="311"/>
      <c r="E17" s="311"/>
      <c r="F17" s="200">
        <f>[2]Results!J38</f>
        <v>0.86699999999999999</v>
      </c>
    </row>
    <row r="19" spans="2:10" ht="14.45" thickBot="1">
      <c r="B19" s="304" t="s">
        <v>236</v>
      </c>
      <c r="C19" s="304"/>
      <c r="D19" s="304"/>
      <c r="E19" s="304"/>
      <c r="F19" s="304"/>
      <c r="G19" s="304"/>
    </row>
    <row r="20" spans="2:10" ht="14.45" thickTop="1">
      <c r="B20" s="311" t="s">
        <v>232</v>
      </c>
      <c r="C20" s="311"/>
      <c r="D20" s="311"/>
      <c r="E20" s="311"/>
      <c r="F20" s="201">
        <f>(F13*F9+G13*G9+H13*H9)/SUM(F9:H9)</f>
        <v>0.95799908973849146</v>
      </c>
      <c r="G20" s="202"/>
    </row>
    <row r="22" spans="2:10" ht="14.45" thickBot="1">
      <c r="B22" s="304" t="s">
        <v>237</v>
      </c>
      <c r="C22" s="304"/>
      <c r="D22" s="304"/>
      <c r="E22" s="304"/>
      <c r="F22" s="304"/>
      <c r="G22" s="304"/>
      <c r="I22" s="203" t="s">
        <v>238</v>
      </c>
      <c r="J22" s="203"/>
    </row>
    <row r="23" spans="2:10" ht="14.45" thickTop="1">
      <c r="B23" s="311" t="s">
        <v>232</v>
      </c>
      <c r="C23" s="311"/>
      <c r="D23" s="311"/>
      <c r="E23" s="311"/>
      <c r="F23" s="204">
        <f>ROUNDDOWN(0.75*F20+0.25*F17,4)</f>
        <v>0.93520000000000003</v>
      </c>
      <c r="G23" s="205"/>
      <c r="I23" s="204">
        <f>F20*0.5+F17*0.5</f>
        <v>0.91249954486924567</v>
      </c>
      <c r="J23" s="205"/>
    </row>
  </sheetData>
  <mergeCells count="15">
    <mergeCell ref="B20:E20"/>
    <mergeCell ref="B22:G22"/>
    <mergeCell ref="B23:E23"/>
    <mergeCell ref="B12:E12"/>
    <mergeCell ref="B13:E13"/>
    <mergeCell ref="B15:F15"/>
    <mergeCell ref="B16:E16"/>
    <mergeCell ref="B17:E17"/>
    <mergeCell ref="B19:G19"/>
    <mergeCell ref="B11:H11"/>
    <mergeCell ref="B2:I2"/>
    <mergeCell ref="C5:I5"/>
    <mergeCell ref="B7:H7"/>
    <mergeCell ref="B8:E8"/>
    <mergeCell ref="B9:E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B414B-392A-47C4-B10C-C62C88D63F34}">
  <sheetPr>
    <pageSetUpPr fitToPage="1"/>
  </sheetPr>
  <dimension ref="A1:M48"/>
  <sheetViews>
    <sheetView workbookViewId="0">
      <selection activeCell="I10" sqref="I10"/>
    </sheetView>
  </sheetViews>
  <sheetFormatPr defaultColWidth="8.85546875" defaultRowHeight="14.45"/>
  <cols>
    <col min="1" max="1" width="8.85546875" style="206"/>
    <col min="2" max="2" width="15.5703125" style="206" customWidth="1"/>
    <col min="3" max="4" width="11.5703125" style="206" customWidth="1"/>
    <col min="5" max="5" width="8.5703125" style="206" customWidth="1"/>
    <col min="6" max="7" width="13.28515625" style="206" bestFit="1" customWidth="1"/>
    <col min="8" max="9" width="11.5703125" style="206" customWidth="1"/>
    <col min="10" max="10" width="12.7109375" style="206" bestFit="1" customWidth="1"/>
    <col min="11" max="16384" width="8.85546875" style="206"/>
  </cols>
  <sheetData>
    <row r="1" spans="1:13">
      <c r="A1" s="318" t="s">
        <v>223</v>
      </c>
      <c r="B1" s="318"/>
      <c r="C1" s="318"/>
      <c r="D1" s="318"/>
      <c r="E1" s="318"/>
      <c r="F1" s="318"/>
      <c r="G1" s="318"/>
      <c r="H1" s="318"/>
      <c r="I1" s="318"/>
      <c r="J1" s="318"/>
    </row>
    <row r="2" spans="1:13">
      <c r="A2" s="319" t="s">
        <v>239</v>
      </c>
      <c r="B2" s="320"/>
      <c r="C2" s="321" t="s">
        <v>240</v>
      </c>
      <c r="D2" s="322"/>
      <c r="E2" s="322"/>
      <c r="F2" s="322"/>
      <c r="G2" s="322"/>
      <c r="H2" s="322"/>
      <c r="I2" s="322"/>
      <c r="J2" s="323"/>
    </row>
    <row r="3" spans="1:13">
      <c r="A3" s="319" t="s">
        <v>225</v>
      </c>
      <c r="B3" s="320"/>
      <c r="C3" s="324">
        <v>45231</v>
      </c>
      <c r="D3" s="325"/>
      <c r="E3" s="325"/>
      <c r="F3" s="325"/>
      <c r="G3" s="325"/>
      <c r="H3" s="325"/>
      <c r="I3" s="325"/>
      <c r="J3" s="326"/>
    </row>
    <row r="4" spans="1:13">
      <c r="A4" s="315" t="s">
        <v>226</v>
      </c>
      <c r="B4" s="315"/>
      <c r="C4" s="316" t="s">
        <v>241</v>
      </c>
      <c r="D4" s="316"/>
      <c r="E4" s="316"/>
      <c r="F4" s="316"/>
      <c r="G4" s="316"/>
      <c r="H4" s="316"/>
      <c r="I4" s="316"/>
      <c r="J4" s="317"/>
    </row>
    <row r="7" spans="1:13">
      <c r="A7" s="328" t="s">
        <v>242</v>
      </c>
      <c r="B7" s="328"/>
      <c r="C7" s="328"/>
      <c r="D7" s="328"/>
      <c r="E7" s="328"/>
      <c r="F7" s="207" t="s">
        <v>243</v>
      </c>
      <c r="G7" s="207" t="s">
        <v>234</v>
      </c>
      <c r="H7" s="207" t="s">
        <v>229</v>
      </c>
      <c r="I7" s="207" t="s">
        <v>230</v>
      </c>
      <c r="J7" s="207" t="s">
        <v>231</v>
      </c>
    </row>
    <row r="8" spans="1:13">
      <c r="A8" s="329" t="s">
        <v>244</v>
      </c>
      <c r="B8" s="330"/>
      <c r="C8" s="330"/>
      <c r="D8" s="330"/>
      <c r="E8" s="331"/>
      <c r="F8" s="208">
        <v>1247574.7130910009</v>
      </c>
      <c r="G8" s="208">
        <v>1244852.6801227855</v>
      </c>
      <c r="H8" s="208">
        <v>1227903.5453740791</v>
      </c>
      <c r="I8" s="208">
        <v>1316914.3713470998</v>
      </c>
      <c r="J8" s="209">
        <v>1413853.51</v>
      </c>
    </row>
    <row r="9" spans="1:13">
      <c r="A9" s="332" t="s">
        <v>245</v>
      </c>
      <c r="B9" s="333"/>
      <c r="C9" s="333"/>
      <c r="D9" s="333"/>
      <c r="E9" s="334"/>
      <c r="F9" s="208">
        <v>1165160.0021972021</v>
      </c>
      <c r="G9" s="208">
        <v>1162971.1384100253</v>
      </c>
      <c r="H9" s="208">
        <v>1147523.1374474028</v>
      </c>
      <c r="I9" s="208">
        <v>1230099.4793707305</v>
      </c>
      <c r="J9" s="209">
        <v>1320179.6100000001</v>
      </c>
    </row>
    <row r="10" spans="1:13">
      <c r="A10" s="329" t="s">
        <v>246</v>
      </c>
      <c r="B10" s="330"/>
      <c r="C10" s="330"/>
      <c r="D10" s="330"/>
      <c r="E10" s="331"/>
      <c r="F10" s="210">
        <v>0.14521930114209958</v>
      </c>
      <c r="G10" s="210">
        <v>0.17022085475797133</v>
      </c>
      <c r="H10" s="210">
        <v>0.1649682360495387</v>
      </c>
      <c r="I10" s="210">
        <v>0.15805850762158768</v>
      </c>
      <c r="J10" s="211">
        <v>0.15329999999999999</v>
      </c>
    </row>
    <row r="11" spans="1:13">
      <c r="A11" s="329" t="s">
        <v>247</v>
      </c>
      <c r="B11" s="330"/>
      <c r="C11" s="330"/>
      <c r="D11" s="330"/>
      <c r="E11" s="331"/>
      <c r="F11" s="208">
        <v>995956.28095939721</v>
      </c>
      <c r="G11" s="208">
        <v>965009.19717101986</v>
      </c>
      <c r="H11" s="208">
        <v>958218.26963667246</v>
      </c>
      <c r="I11" s="208">
        <v>1035671.7914353008</v>
      </c>
      <c r="J11" s="209">
        <v>1117845.6599999999</v>
      </c>
    </row>
    <row r="12" spans="1:13">
      <c r="A12" s="329" t="s">
        <v>248</v>
      </c>
      <c r="B12" s="330"/>
      <c r="C12" s="330"/>
      <c r="D12" s="330"/>
      <c r="E12" s="331"/>
      <c r="F12" s="208">
        <v>233032.00043944042</v>
      </c>
      <c r="G12" s="208">
        <v>232594.22768200506</v>
      </c>
      <c r="H12" s="208">
        <v>229504.62748948057</v>
      </c>
      <c r="I12" s="208">
        <v>246019.89587414611</v>
      </c>
      <c r="J12" s="209">
        <v>264035.92</v>
      </c>
      <c r="M12" s="212"/>
    </row>
    <row r="13" spans="1:13">
      <c r="A13" s="329" t="s">
        <v>249</v>
      </c>
      <c r="B13" s="330"/>
      <c r="C13" s="330"/>
      <c r="D13" s="330"/>
      <c r="E13" s="331"/>
      <c r="F13" s="208">
        <v>233414.22464861648</v>
      </c>
      <c r="G13" s="208">
        <v>233429.09604464116</v>
      </c>
      <c r="H13" s="208">
        <v>229710.38587245735</v>
      </c>
      <c r="I13" s="208">
        <v>247323.19148360015</v>
      </c>
      <c r="J13" s="209">
        <v>264125.21999999997</v>
      </c>
    </row>
    <row r="14" spans="1:13">
      <c r="A14" s="329" t="s">
        <v>250</v>
      </c>
      <c r="B14" s="330"/>
      <c r="C14" s="330"/>
      <c r="D14" s="330"/>
      <c r="E14" s="331"/>
      <c r="F14" s="208">
        <v>126760</v>
      </c>
      <c r="G14" s="208">
        <v>138337</v>
      </c>
      <c r="H14" s="208">
        <v>147247</v>
      </c>
      <c r="I14" s="208">
        <v>170912.3</v>
      </c>
      <c r="J14" s="208">
        <v>203550</v>
      </c>
    </row>
    <row r="15" spans="1:13">
      <c r="A15" s="329" t="s">
        <v>251</v>
      </c>
      <c r="B15" s="330"/>
      <c r="C15" s="330"/>
      <c r="D15" s="330"/>
      <c r="E15" s="331"/>
      <c r="F15" s="208">
        <v>4657.1000000000004</v>
      </c>
      <c r="G15" s="208">
        <v>6310.7</v>
      </c>
      <c r="H15" s="208">
        <v>9318.2000000000007</v>
      </c>
      <c r="I15" s="208">
        <v>7596</v>
      </c>
      <c r="J15" s="208">
        <v>6732</v>
      </c>
    </row>
    <row r="16" spans="1:13">
      <c r="A16" s="335" t="s">
        <v>252</v>
      </c>
      <c r="B16" s="336"/>
      <c r="C16" s="336"/>
      <c r="D16" s="336"/>
      <c r="E16" s="337"/>
      <c r="F16" s="213"/>
      <c r="G16" s="213"/>
      <c r="H16" s="213"/>
      <c r="I16" s="213">
        <v>1491859</v>
      </c>
      <c r="J16" s="213">
        <v>1624136</v>
      </c>
    </row>
    <row r="17" spans="1:10">
      <c r="A17" s="335" t="s">
        <v>253</v>
      </c>
      <c r="B17" s="336"/>
      <c r="C17" s="336"/>
      <c r="D17" s="336"/>
      <c r="E17" s="337"/>
      <c r="F17" s="213">
        <v>1291920.0021972021</v>
      </c>
      <c r="G17" s="213">
        <v>1301308.1384100253</v>
      </c>
      <c r="H17" s="213">
        <v>1294770.1374474028</v>
      </c>
      <c r="I17" s="213">
        <v>1401011.7793707305</v>
      </c>
      <c r="J17" s="207">
        <v>1530461.61</v>
      </c>
    </row>
    <row r="19" spans="1:10">
      <c r="A19" s="327" t="s">
        <v>254</v>
      </c>
      <c r="B19" s="327"/>
      <c r="C19" s="327"/>
      <c r="D19" s="327"/>
      <c r="E19" s="327"/>
      <c r="F19" s="214"/>
      <c r="G19" s="214"/>
      <c r="H19" s="214"/>
      <c r="I19" s="214"/>
      <c r="J19" s="215">
        <v>18000</v>
      </c>
    </row>
    <row r="20" spans="1:10">
      <c r="A20" s="327" t="s">
        <v>255</v>
      </c>
      <c r="B20" s="339"/>
      <c r="C20" s="339"/>
      <c r="D20" s="339"/>
      <c r="E20" s="339"/>
      <c r="F20" s="214"/>
      <c r="G20" s="214"/>
      <c r="H20" s="214"/>
      <c r="I20" s="214"/>
      <c r="J20" s="214">
        <v>-2191.7199999999998</v>
      </c>
    </row>
    <row r="21" spans="1:10" ht="25.5" customHeight="1">
      <c r="A21" s="340" t="s">
        <v>256</v>
      </c>
      <c r="B21" s="341"/>
      <c r="C21" s="341"/>
      <c r="D21" s="341"/>
      <c r="E21" s="342"/>
      <c r="F21" s="214"/>
      <c r="G21" s="214"/>
      <c r="H21" s="214"/>
      <c r="I21" s="214"/>
      <c r="J21" s="216">
        <f>J17+J19+J20</f>
        <v>1546269.8900000001</v>
      </c>
    </row>
    <row r="23" spans="1:10" ht="29.25" customHeight="1">
      <c r="A23" s="343" t="s">
        <v>257</v>
      </c>
      <c r="B23" s="343"/>
      <c r="C23" s="343"/>
      <c r="D23" s="343"/>
      <c r="E23" s="343"/>
      <c r="F23" s="343"/>
      <c r="G23" s="343"/>
      <c r="H23" s="343"/>
      <c r="I23" s="343"/>
      <c r="J23" s="343"/>
    </row>
    <row r="25" spans="1:10" ht="31.5" customHeight="1">
      <c r="A25" s="343" t="s">
        <v>258</v>
      </c>
      <c r="B25" s="343"/>
      <c r="C25" s="343"/>
      <c r="D25" s="343"/>
      <c r="E25" s="343"/>
      <c r="F25" s="343"/>
      <c r="G25" s="343"/>
      <c r="H25" s="343"/>
      <c r="I25" s="343"/>
      <c r="J25" s="343"/>
    </row>
    <row r="28" spans="1:10">
      <c r="A28" s="328" t="s">
        <v>259</v>
      </c>
      <c r="B28" s="328"/>
      <c r="C28" s="328"/>
      <c r="D28" s="328"/>
      <c r="E28" s="328"/>
      <c r="F28" s="207" t="s">
        <v>243</v>
      </c>
      <c r="G28" s="207" t="s">
        <v>234</v>
      </c>
      <c r="H28" s="207" t="s">
        <v>229</v>
      </c>
      <c r="I28" s="207" t="s">
        <v>230</v>
      </c>
      <c r="J28" s="207" t="s">
        <v>231</v>
      </c>
    </row>
    <row r="29" spans="1:10">
      <c r="A29" s="338" t="s">
        <v>260</v>
      </c>
      <c r="B29" s="338"/>
      <c r="C29" s="338"/>
      <c r="D29" s="338"/>
      <c r="E29" s="338"/>
      <c r="F29" s="208">
        <v>960898595.78147817</v>
      </c>
      <c r="G29" s="208">
        <v>926716728.18648732</v>
      </c>
      <c r="H29" s="208">
        <v>909651894.85025156</v>
      </c>
      <c r="I29" s="208">
        <v>1002016983.0311221</v>
      </c>
      <c r="J29" s="208">
        <v>1091962868</v>
      </c>
    </row>
    <row r="30" spans="1:10">
      <c r="A30" s="338" t="s">
        <v>261</v>
      </c>
      <c r="B30" s="338"/>
      <c r="C30" s="338"/>
      <c r="D30" s="338"/>
      <c r="E30" s="338"/>
      <c r="F30" s="208">
        <v>960898595.78147817</v>
      </c>
      <c r="G30" s="208">
        <v>926716728.18648732</v>
      </c>
      <c r="H30" s="208">
        <v>909651894.85025156</v>
      </c>
      <c r="I30" s="208">
        <v>1002016983.0311221</v>
      </c>
      <c r="J30" s="208">
        <v>1091962868</v>
      </c>
    </row>
    <row r="31" spans="1:10">
      <c r="A31" s="338" t="s">
        <v>262</v>
      </c>
      <c r="B31" s="338"/>
      <c r="C31" s="338"/>
      <c r="D31" s="338"/>
      <c r="E31" s="338"/>
      <c r="F31" s="208">
        <v>205690708.30546987</v>
      </c>
      <c r="G31" s="208">
        <v>202665681.6012063</v>
      </c>
      <c r="H31" s="208">
        <v>198758357.29421163</v>
      </c>
      <c r="I31" s="208">
        <v>214841679.43955958</v>
      </c>
      <c r="J31" s="208">
        <v>228969298</v>
      </c>
    </row>
    <row r="32" spans="1:10">
      <c r="A32" s="329" t="s">
        <v>263</v>
      </c>
      <c r="B32" s="330"/>
      <c r="C32" s="330"/>
      <c r="D32" s="330"/>
      <c r="E32" s="331"/>
      <c r="F32" s="208"/>
      <c r="G32" s="208"/>
      <c r="H32" s="208"/>
      <c r="I32" s="208"/>
      <c r="J32" s="208">
        <f>16.176373 *1000000</f>
        <v>16176373.000000002</v>
      </c>
    </row>
    <row r="33" spans="1:10">
      <c r="A33" s="338" t="s">
        <v>264</v>
      </c>
      <c r="B33" s="338"/>
      <c r="C33" s="338"/>
      <c r="D33" s="338"/>
      <c r="E33" s="338"/>
      <c r="F33" s="214"/>
      <c r="G33" s="214"/>
      <c r="H33" s="214"/>
      <c r="I33" s="214"/>
      <c r="J33" s="217">
        <f>J29+J32</f>
        <v>1108139241</v>
      </c>
    </row>
    <row r="36" spans="1:10">
      <c r="A36" s="328" t="s">
        <v>265</v>
      </c>
      <c r="B36" s="328"/>
      <c r="C36" s="328"/>
      <c r="D36" s="328"/>
      <c r="E36" s="328"/>
      <c r="F36" s="218" t="s">
        <v>243</v>
      </c>
      <c r="G36" s="218" t="s">
        <v>234</v>
      </c>
      <c r="H36" s="218" t="s">
        <v>229</v>
      </c>
      <c r="I36" s="218" t="s">
        <v>230</v>
      </c>
      <c r="J36" s="218" t="s">
        <v>231</v>
      </c>
    </row>
    <row r="37" spans="1:10">
      <c r="A37" s="338" t="s">
        <v>266</v>
      </c>
      <c r="B37" s="338"/>
      <c r="C37" s="338"/>
      <c r="D37" s="338"/>
      <c r="E37" s="338"/>
      <c r="F37" s="209">
        <v>0.96030958897376284</v>
      </c>
      <c r="G37" s="209">
        <v>0.95407980652220337</v>
      </c>
      <c r="H37" s="209">
        <v>0.9401732664372231</v>
      </c>
      <c r="I37" s="219">
        <v>0.96045934642191733</v>
      </c>
      <c r="J37" s="219">
        <v>0.97099999999999997</v>
      </c>
    </row>
    <row r="38" spans="1:10">
      <c r="A38" s="338" t="s">
        <v>267</v>
      </c>
      <c r="B38" s="338"/>
      <c r="C38" s="338"/>
      <c r="D38" s="338"/>
      <c r="E38" s="338"/>
      <c r="F38" s="209">
        <v>0.8812261061429234</v>
      </c>
      <c r="G38" s="209">
        <v>0.86821088302740268</v>
      </c>
      <c r="H38" s="209">
        <v>0.86525629452631159</v>
      </c>
      <c r="I38" s="219">
        <v>0.86866774664682256</v>
      </c>
      <c r="J38" s="219">
        <v>0.86699999999999999</v>
      </c>
    </row>
    <row r="39" spans="1:10">
      <c r="A39" s="338" t="s">
        <v>268</v>
      </c>
      <c r="B39" s="338"/>
      <c r="C39" s="338"/>
      <c r="D39" s="338"/>
      <c r="E39" s="338"/>
      <c r="F39" s="209">
        <v>0.92076784755834318</v>
      </c>
      <c r="G39" s="209">
        <v>0.91114534477480302</v>
      </c>
      <c r="H39" s="209">
        <v>0.90271478048176734</v>
      </c>
      <c r="I39" s="219">
        <v>0.91456354653437</v>
      </c>
      <c r="J39" s="219">
        <v>0.91900000000000004</v>
      </c>
    </row>
    <row r="40" spans="1:10">
      <c r="A40" s="338" t="s">
        <v>269</v>
      </c>
      <c r="B40" s="338"/>
      <c r="C40" s="338"/>
      <c r="D40" s="338"/>
      <c r="E40" s="338"/>
      <c r="F40" s="209">
        <v>0.82140927724424129</v>
      </c>
      <c r="G40" s="209">
        <v>0.79255203832641741</v>
      </c>
      <c r="H40" s="209">
        <v>0.78632383628954228</v>
      </c>
      <c r="I40" s="219">
        <v>0.809582344711401</v>
      </c>
      <c r="J40" s="219">
        <v>0.82299999999999995</v>
      </c>
    </row>
    <row r="41" spans="1:10">
      <c r="A41" s="328" t="s">
        <v>270</v>
      </c>
      <c r="B41" s="328"/>
      <c r="C41" s="328"/>
      <c r="D41" s="328"/>
      <c r="E41" s="328"/>
      <c r="F41" s="207">
        <v>0.74056891479304676</v>
      </c>
      <c r="G41" s="207">
        <v>0.70909415802655007</v>
      </c>
      <c r="H41" s="207">
        <v>0.6995362396512923</v>
      </c>
      <c r="I41" s="220">
        <v>0.71135236695808535</v>
      </c>
      <c r="J41" s="220">
        <v>0.71299999999999997</v>
      </c>
    </row>
    <row r="42" spans="1:10" ht="16.5" customHeight="1">
      <c r="A42" s="344" t="s">
        <v>271</v>
      </c>
      <c r="B42" s="344"/>
      <c r="C42" s="344"/>
      <c r="D42" s="344"/>
      <c r="E42" s="344"/>
      <c r="F42" s="209"/>
      <c r="G42" s="209"/>
      <c r="H42" s="209"/>
      <c r="I42" s="219"/>
      <c r="J42" s="221">
        <v>0.71599999999999997</v>
      </c>
    </row>
    <row r="43" spans="1:10">
      <c r="A43" s="222"/>
      <c r="B43" s="222"/>
      <c r="C43" s="222"/>
      <c r="D43" s="222"/>
      <c r="E43" s="222"/>
      <c r="F43" s="223"/>
      <c r="G43" s="223"/>
      <c r="H43" s="223"/>
      <c r="I43" s="224"/>
      <c r="J43" s="225"/>
    </row>
    <row r="44" spans="1:10">
      <c r="A44" s="226" t="s">
        <v>272</v>
      </c>
      <c r="B44" s="226"/>
      <c r="C44" s="226"/>
      <c r="D44" s="226"/>
      <c r="E44" s="226"/>
      <c r="F44" s="226"/>
      <c r="G44" s="227"/>
    </row>
    <row r="45" spans="1:10">
      <c r="A45" s="226" t="s">
        <v>273</v>
      </c>
      <c r="B45" s="226"/>
      <c r="C45" s="226"/>
      <c r="D45" s="226"/>
      <c r="E45" s="226"/>
      <c r="F45" s="226"/>
      <c r="G45" s="227"/>
    </row>
    <row r="46" spans="1:10">
      <c r="A46" s="226" t="s">
        <v>274</v>
      </c>
      <c r="B46" s="226"/>
      <c r="C46" s="226"/>
      <c r="D46" s="226"/>
      <c r="E46" s="226"/>
      <c r="F46" s="226"/>
      <c r="G46" s="227"/>
    </row>
    <row r="47" spans="1:10">
      <c r="A47" s="226" t="s">
        <v>275</v>
      </c>
      <c r="B47" s="226"/>
      <c r="C47" s="226"/>
      <c r="D47" s="226"/>
      <c r="E47" s="226"/>
      <c r="F47" s="226"/>
      <c r="G47" s="227"/>
    </row>
    <row r="48" spans="1:10">
      <c r="A48" s="226" t="s">
        <v>276</v>
      </c>
      <c r="B48" s="226"/>
      <c r="C48" s="226"/>
      <c r="D48" s="226"/>
      <c r="E48" s="226"/>
      <c r="F48" s="226"/>
      <c r="G48" s="227"/>
    </row>
  </sheetData>
  <mergeCells count="36">
    <mergeCell ref="A38:E38"/>
    <mergeCell ref="A39:E39"/>
    <mergeCell ref="A40:E40"/>
    <mergeCell ref="A41:E41"/>
    <mergeCell ref="A42:E42"/>
    <mergeCell ref="A37:E37"/>
    <mergeCell ref="A20:E20"/>
    <mergeCell ref="A21:E21"/>
    <mergeCell ref="A23:J23"/>
    <mergeCell ref="A25:J25"/>
    <mergeCell ref="A28:E28"/>
    <mergeCell ref="A29:E29"/>
    <mergeCell ref="A30:E30"/>
    <mergeCell ref="A31:E31"/>
    <mergeCell ref="A32:E32"/>
    <mergeCell ref="A33:E33"/>
    <mergeCell ref="A36:E36"/>
    <mergeCell ref="A19:E19"/>
    <mergeCell ref="A7:E7"/>
    <mergeCell ref="A8:E8"/>
    <mergeCell ref="A9:E9"/>
    <mergeCell ref="A10:E10"/>
    <mergeCell ref="A11:E11"/>
    <mergeCell ref="A12:E12"/>
    <mergeCell ref="A13:E13"/>
    <mergeCell ref="A14:E14"/>
    <mergeCell ref="A15:E15"/>
    <mergeCell ref="A16:E16"/>
    <mergeCell ref="A17:E17"/>
    <mergeCell ref="A4:B4"/>
    <mergeCell ref="C4:J4"/>
    <mergeCell ref="A1:J1"/>
    <mergeCell ref="A2:B2"/>
    <mergeCell ref="C2:J2"/>
    <mergeCell ref="A3:B3"/>
    <mergeCell ref="C3:J3"/>
  </mergeCells>
  <pageMargins left="0.7" right="0.7" top="0.75" bottom="0.75" header="0.3" footer="0.3"/>
  <pageSetup paperSize="9" scale="7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ba820af-9c36-47fb-8383-9944acc4573c" xsi:nil="true"/>
    <lcf76f155ced4ddcb4097134ff3c332f xmlns="5944c9fc-9421-4c39-b608-61ce3178861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DDC1F0F2D97C04690DF7AC407C65BA5" ma:contentTypeVersion="19" ma:contentTypeDescription="Create a new document." ma:contentTypeScope="" ma:versionID="138ac169aaadc9c430b97b25b46ecc4e">
  <xsd:schema xmlns:xsd="http://www.w3.org/2001/XMLSchema" xmlns:xs="http://www.w3.org/2001/XMLSchema" xmlns:p="http://schemas.microsoft.com/office/2006/metadata/properties" xmlns:ns2="5944c9fc-9421-4c39-b608-61ce31788618" xmlns:ns3="3ba820af-9c36-47fb-8383-9944acc4573c" targetNamespace="http://schemas.microsoft.com/office/2006/metadata/properties" ma:root="true" ma:fieldsID="4cce58cbed9668fc3dbbcfb9a7470718" ns2:_="" ns3:_="">
    <xsd:import namespace="5944c9fc-9421-4c39-b608-61ce31788618"/>
    <xsd:import namespace="3ba820af-9c36-47fb-8383-9944acc457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4c9fc-9421-4c39-b608-61ce317886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97863a-9c53-4d79-aa62-b4edf9878b66"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a820af-9c36-47fb-8383-9944acc4573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4e236bb-6ba1-491a-998c-53c379aa7070}" ma:internalName="TaxCatchAll" ma:showField="CatchAllData" ma:web="3ba820af-9c36-47fb-8383-9944acc457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CD3C67-0A1E-4218-A731-6DF99CF3F182}"/>
</file>

<file path=customXml/itemProps2.xml><?xml version="1.0" encoding="utf-8"?>
<ds:datastoreItem xmlns:ds="http://schemas.openxmlformats.org/officeDocument/2006/customXml" ds:itemID="{D1A7FD4B-978B-412F-8D75-CECBBEC54AE1}"/>
</file>

<file path=customXml/itemProps3.xml><?xml version="1.0" encoding="utf-8"?>
<ds:datastoreItem xmlns:ds="http://schemas.openxmlformats.org/officeDocument/2006/customXml" ds:itemID="{5EB685BE-E9D2-47ED-A0F9-6BE46E20A18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Cai May Tan</cp:lastModifiedBy>
  <cp:revision/>
  <dcterms:created xsi:type="dcterms:W3CDTF">2006-09-16T00:00:00Z</dcterms:created>
  <dcterms:modified xsi:type="dcterms:W3CDTF">2024-11-07T21:43:18Z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0x010100CDDC1F0F2D97C04690DF7AC407C65BA5</vt:lpwstr>
  </property>
  <property fmtid="{D5CDD505-2E9C-101B-9397-08002B2CF9AE}" pid="3" name="MediaServiceImageTags">
    <vt:lpwstr/>
  </property>
</Properties>
</file>