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harikakaushik/Documents/vku/INFINITE PROJECTS/GS 5519/GS-PR /2. TL Response/"/>
    </mc:Choice>
  </mc:AlternateContent>
  <xr:revisionPtr revIDLastSave="0" documentId="13_ncr:1_{EE3E904A-3955-484F-A4A7-906329CF434B}" xr6:coauthVersionLast="47" xr6:coauthVersionMax="47" xr10:uidLastSave="{00000000-0000-0000-0000-000000000000}"/>
  <bookViews>
    <workbookView xWindow="0" yWindow="740" windowWidth="29400" windowHeight="16680" tabRatio="571" activeTab="1" xr2:uid="{10D9196E-AFB7-487C-B6D3-5C7949211B44}"/>
  </bookViews>
  <sheets>
    <sheet name="Summary" sheetId="2" r:id="rId1"/>
    <sheet name="Emission Reduction " sheetId="1" r:id="rId2"/>
    <sheet name="SDG Summary " sheetId="3" r:id="rId3"/>
    <sheet name="PLF 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7" i="1"/>
  <c r="K5" i="1"/>
  <c r="L9" i="4" l="1"/>
  <c r="L7" i="4" l="1"/>
  <c r="J29" i="1" l="1"/>
  <c r="J25" i="1"/>
  <c r="I25" i="1"/>
  <c r="K24" i="1"/>
  <c r="K25" i="1" l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4" i="1"/>
  <c r="F5" i="1"/>
  <c r="D49" i="1"/>
  <c r="C49" i="1"/>
  <c r="H5" i="1"/>
  <c r="G5" i="1"/>
  <c r="D5" i="1"/>
  <c r="C5" i="1"/>
  <c r="I5" i="1" l="1"/>
  <c r="E5" i="1" s="1"/>
  <c r="E49" i="1"/>
  <c r="J28" i="1" s="1"/>
  <c r="J30" i="1" s="1"/>
  <c r="J5" i="1" s="1"/>
  <c r="D16" i="1"/>
  <c r="C16" i="1"/>
  <c r="H16" i="1"/>
  <c r="G16" i="1"/>
  <c r="I8" i="3"/>
  <c r="I11" i="1"/>
  <c r="E11" i="1" s="1"/>
  <c r="I12" i="1"/>
  <c r="E12" i="1" s="1"/>
  <c r="I13" i="1"/>
  <c r="E13" i="1" s="1"/>
  <c r="I14" i="1"/>
  <c r="E14" i="1" s="1"/>
  <c r="I15" i="1"/>
  <c r="E15" i="1" s="1"/>
  <c r="D7" i="4" l="1"/>
  <c r="J13" i="1"/>
  <c r="J11" i="1"/>
  <c r="J12" i="1"/>
  <c r="J14" i="1"/>
  <c r="J15" i="1"/>
  <c r="D10" i="2"/>
  <c r="D13" i="2" s="1"/>
  <c r="M15" i="1" l="1"/>
  <c r="D17" i="4"/>
  <c r="E17" i="4" s="1"/>
  <c r="M14" i="1"/>
  <c r="D16" i="4"/>
  <c r="E16" i="4" s="1"/>
  <c r="M12" i="1"/>
  <c r="D14" i="4"/>
  <c r="E14" i="4" s="1"/>
  <c r="M13" i="1"/>
  <c r="D15" i="4"/>
  <c r="E15" i="4" s="1"/>
  <c r="M11" i="1"/>
  <c r="D13" i="4"/>
  <c r="E13" i="4" s="1"/>
  <c r="E7" i="4"/>
  <c r="K12" i="4"/>
  <c r="L11" i="4" s="1"/>
  <c r="I6" i="1"/>
  <c r="E6" i="1" s="1"/>
  <c r="I7" i="1"/>
  <c r="E7" i="1" s="1"/>
  <c r="I8" i="1"/>
  <c r="E8" i="1" s="1"/>
  <c r="I9" i="1"/>
  <c r="E9" i="1" s="1"/>
  <c r="I10" i="1"/>
  <c r="E10" i="1" s="1"/>
  <c r="J8" i="1" l="1"/>
  <c r="J6" i="1"/>
  <c r="J9" i="1"/>
  <c r="J10" i="1"/>
  <c r="J7" i="1"/>
  <c r="I16" i="1"/>
  <c r="D9" i="4" l="1"/>
  <c r="M10" i="1"/>
  <c r="D12" i="4"/>
  <c r="E12" i="4" s="1"/>
  <c r="M9" i="1"/>
  <c r="D11" i="4"/>
  <c r="E11" i="4" s="1"/>
  <c r="D8" i="4"/>
  <c r="M8" i="1"/>
  <c r="D10" i="4"/>
  <c r="E10" i="4" s="1"/>
  <c r="M6" i="1"/>
  <c r="M7" i="1"/>
  <c r="H6" i="3"/>
  <c r="G6" i="3"/>
  <c r="E8" i="4" l="1"/>
  <c r="F7" i="4"/>
  <c r="D18" i="4"/>
  <c r="F18" i="4" s="1"/>
  <c r="N7" i="1"/>
  <c r="E9" i="4"/>
  <c r="K13" i="4"/>
  <c r="L13" i="4" s="1"/>
  <c r="F9" i="4"/>
  <c r="H9" i="3"/>
  <c r="M5" i="1"/>
  <c r="N5" i="1" s="1"/>
  <c r="E18" i="4" l="1"/>
  <c r="G9" i="3"/>
  <c r="I6" i="3"/>
  <c r="F16" i="1"/>
  <c r="J16" i="1" l="1"/>
  <c r="D16" i="2" s="1"/>
  <c r="D18" i="2" s="1"/>
  <c r="D19" i="2" s="1"/>
  <c r="N16" i="1" l="1"/>
  <c r="D14" i="2" s="1"/>
  <c r="D15" i="2" s="1"/>
  <c r="I9" i="3"/>
</calcChain>
</file>

<file path=xl/sharedStrings.xml><?xml version="1.0" encoding="utf-8"?>
<sst xmlns="http://schemas.openxmlformats.org/spreadsheetml/2006/main" count="87" uniqueCount="73">
  <si>
    <t>Month</t>
  </si>
  <si>
    <t>Emission factor
(tCO2/MWh)</t>
  </si>
  <si>
    <t>Net Energy (kWh)</t>
  </si>
  <si>
    <t>Net Energy (MWh)</t>
  </si>
  <si>
    <t>JMR</t>
  </si>
  <si>
    <t xml:space="preserve">Export </t>
  </si>
  <si>
    <t>Import</t>
  </si>
  <si>
    <t>Invoice</t>
  </si>
  <si>
    <t>ER Comparison</t>
  </si>
  <si>
    <t>Start Date of Monitoring Period</t>
  </si>
  <si>
    <t>End Date of Monitoring Period</t>
  </si>
  <si>
    <t>Number of Days for Current Monitoring Period</t>
  </si>
  <si>
    <r>
      <t>EF</t>
    </r>
    <r>
      <rPr>
        <vertAlign val="subscript"/>
        <sz val="11"/>
        <color theme="1"/>
        <rFont val="Calibri"/>
        <family val="2"/>
        <scheme val="minor"/>
      </rPr>
      <t>grid,CM,y</t>
    </r>
  </si>
  <si>
    <t>ER Estimation for Current Monitoring Period</t>
  </si>
  <si>
    <t>Actual ER for Current Monitoring Period</t>
  </si>
  <si>
    <t>Change in Emission Reductions</t>
  </si>
  <si>
    <t>Actual generation for current MP</t>
  </si>
  <si>
    <t>S. No.</t>
  </si>
  <si>
    <t>SDG Indicator</t>
  </si>
  <si>
    <t>Values achieved</t>
  </si>
  <si>
    <t>Unit</t>
  </si>
  <si>
    <t xml:space="preserve">SDG 7:   </t>
  </si>
  <si>
    <t>Affordable and Clean Energy</t>
  </si>
  <si>
    <t>MWh</t>
  </si>
  <si>
    <t xml:space="preserve">SDG 8: </t>
  </si>
  <si>
    <t>Decent Work and Economic Growth</t>
  </si>
  <si>
    <t>Number  of employees</t>
  </si>
  <si>
    <t>Number  of Trainings</t>
  </si>
  <si>
    <t xml:space="preserve">SDG 13 </t>
  </si>
  <si>
    <t>Climate Action</t>
  </si>
  <si>
    <t>Project Title :70 MW BHADLA SOLAR POWER PLANT BY FORTUM FINNSURYA ENERGY PVT LTD (EKIESL-CDM-APRIL 16-01)</t>
  </si>
  <si>
    <t>Project Ref No. : 5519</t>
  </si>
  <si>
    <t>Change in PLF</t>
  </si>
  <si>
    <t>Total</t>
  </si>
  <si>
    <t>SDG</t>
  </si>
  <si>
    <t>Transmission Losses</t>
  </si>
  <si>
    <t>Emission Reduction 
tCO2 e</t>
  </si>
  <si>
    <t>Vintage wise break up
tCO2 e</t>
  </si>
  <si>
    <t>Actual PLF during current Monitoring Period</t>
  </si>
  <si>
    <t xml:space="preserve">Apportionig has been applied to remove the electricity generation from 01/11/2022 to 05/11/2022, since the billing cycle is from 01/11/2022 and the Monitoring period start date is from 06/11/2022. </t>
  </si>
  <si>
    <t xml:space="preserve">PLF (Yearly) </t>
  </si>
  <si>
    <t xml:space="preserve">PLF (Monthly) </t>
  </si>
  <si>
    <t>Current Monitoring Period (06/11/2022 to 30/09/2023)</t>
  </si>
  <si>
    <t>Date</t>
  </si>
  <si>
    <t>ABT Meter Export (MWh)</t>
  </si>
  <si>
    <t>ABT Meter Import (MWh)</t>
  </si>
  <si>
    <t xml:space="preserve">Daily Generation Data </t>
  </si>
  <si>
    <t xml:space="preserve">Total </t>
  </si>
  <si>
    <t xml:space="preserve">Net Energy (MWh) </t>
  </si>
  <si>
    <t xml:space="preserve">Net Energy (KWh) </t>
  </si>
  <si>
    <t xml:space="preserve">Date </t>
  </si>
  <si>
    <t xml:space="preserve">Start Date </t>
  </si>
  <si>
    <t xml:space="preserve">End Date </t>
  </si>
  <si>
    <t>Export (MWh)</t>
  </si>
  <si>
    <t>Import (MWh)</t>
  </si>
  <si>
    <t xml:space="preserve">Transmission Loss (kWh) </t>
  </si>
  <si>
    <t xml:space="preserve">Net Energy (Without Transmission Loss) (kWh) </t>
  </si>
  <si>
    <t xml:space="preserve">Generation Data (Unitary Method) </t>
  </si>
  <si>
    <t xml:space="preserve">Yearly PLF Data (Last 3 Years) </t>
  </si>
  <si>
    <t xml:space="preserve">Year </t>
  </si>
  <si>
    <t xml:space="preserve">Net Generation (MWh) </t>
  </si>
  <si>
    <t xml:space="preserve">PLF (%) </t>
  </si>
  <si>
    <t>Source</t>
  </si>
  <si>
    <t xml:space="preserve">2nd Monitoring Period </t>
  </si>
  <si>
    <t xml:space="preserve">3rd Monitoring Period </t>
  </si>
  <si>
    <t xml:space="preserve">4th Monitoring Period </t>
  </si>
  <si>
    <t xml:space="preserve">5th Monitoring Period </t>
  </si>
  <si>
    <t>6th Monitoring Period (Current MP)</t>
  </si>
  <si>
    <t>ER Sheet version 03 Dated 01/05/2024</t>
  </si>
  <si>
    <t xml:space="preserve">tCO2e </t>
  </si>
  <si>
    <t>Annual ER estimation as per Registered PDD version 03 dated 04/01/2023</t>
  </si>
  <si>
    <t>Estimated PLF as per Registered PDD version 03 dated 04/01/2023</t>
  </si>
  <si>
    <t>Vintage wise break up
Net Energy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</si>
</sst>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[$-409]d\-mmm\-yy;@"/>
    <numFmt numFmtId="166" formatCode="_(* #,##0_);_(* \(#,##0\);_(* &quot;-&quot;??_);_(@_)"/>
    <numFmt numFmtId="167" formatCode="_-* #,##0_-;\-* #,##0_-;_-* &quot;-&quot;??_-;_-@_-"/>
    <numFmt numFmtId="168" formatCode="_ * #,##0_ ;_ * \-#,##0_ ;_ * &quot;-&quot;??_ ;_ @_ "/>
    <numFmt numFmtId="169" formatCode="_ * #,##0.0000_ ;_ * \-#,##0.0000_ ;_ * &quot;-&quot;??_ ;_ @_ "/>
    <numFmt numFmtId="170" formatCode="0.000"/>
    <numFmt numFmtId="171" formatCode="_ * #,##0.0_ ;_ * \-#,##0.0_ ;_ * &quot;-&quot;??_ ;_ @_ 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omic Sans MS"/>
      <family val="4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16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sz val="10"/>
      <color theme="1"/>
      <name val="Calibri"/>
      <family val="2"/>
    </font>
    <font>
      <b/>
      <sz val="11"/>
      <color theme="1"/>
      <name val="Comic Sans MS"/>
      <family val="4"/>
    </font>
    <font>
      <b/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CE6F1"/>
        <bgColor rgb="FFDCE5F1"/>
      </patternFill>
    </fill>
    <fill>
      <patternFill patternType="solid">
        <fgColor rgb="FFFFFFCC"/>
        <bgColor rgb="FFFFFFA6"/>
      </patternFill>
    </fill>
    <fill>
      <patternFill patternType="solid">
        <fgColor rgb="FFFF0000"/>
        <bgColor rgb="FF9C0006"/>
      </patternFill>
    </fill>
    <fill>
      <patternFill patternType="solid">
        <fgColor rgb="FFDCE5F1"/>
        <bgColor rgb="FFDCE6F1"/>
      </patternFill>
    </fill>
    <fill>
      <patternFill patternType="solid">
        <fgColor indexed="26"/>
        <bgColor indexed="31"/>
      </patternFill>
    </fill>
    <fill>
      <patternFill patternType="solid">
        <fgColor indexed="44"/>
        <bgColor indexed="34"/>
      </patternFill>
    </fill>
    <fill>
      <patternFill patternType="solid">
        <fgColor indexed="45"/>
        <bgColor indexed="26"/>
      </patternFill>
    </fill>
    <fill>
      <patternFill patternType="solid">
        <fgColor indexed="55"/>
        <bgColor indexed="24"/>
      </patternFill>
    </fill>
    <fill>
      <patternFill patternType="solid">
        <fgColor indexed="34"/>
        <bgColor indexed="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2B2B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>
      <alignment vertical="center"/>
    </xf>
    <xf numFmtId="9" fontId="5" fillId="0" borderId="0">
      <alignment vertical="top"/>
      <protection locked="0"/>
    </xf>
    <xf numFmtId="0" fontId="5" fillId="6" borderId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7" borderId="39" applyProtection="0">
      <alignment vertical="center"/>
    </xf>
    <xf numFmtId="9" fontId="5" fillId="0" borderId="0">
      <alignment vertical="top"/>
      <protection locked="0"/>
    </xf>
    <xf numFmtId="9" fontId="5" fillId="0" borderId="0" applyBorder="0" applyProtection="0">
      <alignment vertical="center"/>
    </xf>
    <xf numFmtId="9" fontId="5" fillId="0" borderId="0" applyBorder="0" applyProtection="0">
      <alignment vertical="center"/>
    </xf>
    <xf numFmtId="9" fontId="5" fillId="0" borderId="0" applyBorder="0" applyProtection="0">
      <alignment vertical="center"/>
    </xf>
    <xf numFmtId="9" fontId="8" fillId="8" borderId="0"/>
    <xf numFmtId="0" fontId="5" fillId="9" borderId="0">
      <alignment vertical="top"/>
      <protection locked="0"/>
    </xf>
    <xf numFmtId="0" fontId="9" fillId="0" borderId="0"/>
    <xf numFmtId="0" fontId="11" fillId="10" borderId="0"/>
    <xf numFmtId="0" fontId="11" fillId="11" borderId="0"/>
    <xf numFmtId="0" fontId="12" fillId="12" borderId="0"/>
    <xf numFmtId="0" fontId="13" fillId="13" borderId="40"/>
    <xf numFmtId="0" fontId="14" fillId="14" borderId="0"/>
    <xf numFmtId="0" fontId="10" fillId="0" borderId="0"/>
    <xf numFmtId="0" fontId="15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5" borderId="0"/>
    <xf numFmtId="0" fontId="19" fillId="0" borderId="0" applyNumberFormat="0" applyFill="0" applyBorder="0" applyAlignment="0" applyProtection="0"/>
    <xf numFmtId="0" fontId="20" fillId="0" borderId="50" applyNumberFormat="0" applyFill="0" applyAlignment="0" applyProtection="0"/>
    <xf numFmtId="0" fontId="21" fillId="0" borderId="51" applyNumberFormat="0" applyFill="0" applyAlignment="0" applyProtection="0"/>
    <xf numFmtId="0" fontId="22" fillId="0" borderId="52" applyNumberFormat="0" applyFill="0" applyAlignment="0" applyProtection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6" fillId="20" borderId="53" applyNumberFormat="0" applyAlignment="0" applyProtection="0"/>
    <xf numFmtId="0" fontId="27" fillId="21" borderId="54" applyNumberFormat="0" applyAlignment="0" applyProtection="0"/>
    <xf numFmtId="0" fontId="28" fillId="21" borderId="53" applyNumberFormat="0" applyAlignment="0" applyProtection="0"/>
    <xf numFmtId="0" fontId="29" fillId="0" borderId="55" applyNumberFormat="0" applyFill="0" applyAlignment="0" applyProtection="0"/>
    <xf numFmtId="0" fontId="30" fillId="22" borderId="56" applyNumberFormat="0" applyAlignment="0" applyProtection="0"/>
    <xf numFmtId="0" fontId="31" fillId="0" borderId="0" applyNumberFormat="0" applyFill="0" applyBorder="0" applyAlignment="0" applyProtection="0"/>
    <xf numFmtId="0" fontId="2" fillId="23" borderId="39" applyNumberFormat="0" applyFont="0" applyAlignment="0" applyProtection="0"/>
    <xf numFmtId="0" fontId="32" fillId="0" borderId="0" applyNumberFormat="0" applyFill="0" applyBorder="0" applyAlignment="0" applyProtection="0"/>
    <xf numFmtId="0" fontId="1" fillId="0" borderId="57" applyNumberFormat="0" applyFill="0" applyAlignment="0" applyProtection="0"/>
    <xf numFmtId="0" fontId="3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3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33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33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1" borderId="0" applyNumberFormat="0" applyBorder="0" applyAlignment="0" applyProtection="0"/>
    <xf numFmtId="0" fontId="34" fillId="54" borderId="0" applyNumberFormat="0" applyBorder="0" applyAlignment="0" applyProtection="0"/>
    <xf numFmtId="0" fontId="34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6" fillId="66" borderId="61" applyNumberFormat="0" applyAlignment="0" applyProtection="0"/>
    <xf numFmtId="0" fontId="37" fillId="0" borderId="62" applyNumberFormat="0" applyFill="0" applyAlignment="0" applyProtection="0"/>
    <xf numFmtId="0" fontId="38" fillId="67" borderId="63" applyNumberFormat="0" applyAlignment="0" applyProtection="0"/>
    <xf numFmtId="0" fontId="35" fillId="62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5" borderId="0" applyNumberFormat="0" applyBorder="0" applyAlignment="0" applyProtection="0"/>
    <xf numFmtId="0" fontId="39" fillId="68" borderId="0" applyNumberFormat="0" applyBorder="0" applyAlignment="0" applyProtection="0"/>
    <xf numFmtId="0" fontId="9" fillId="69" borderId="67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64" applyNumberFormat="0" applyFill="0" applyAlignment="0" applyProtection="0"/>
    <xf numFmtId="0" fontId="44" fillId="0" borderId="65" applyNumberFormat="0" applyFill="0" applyAlignment="0" applyProtection="0"/>
    <xf numFmtId="0" fontId="45" fillId="0" borderId="66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68" applyNumberFormat="0" applyFill="0" applyAlignment="0" applyProtection="0"/>
    <xf numFmtId="0" fontId="47" fillId="49" borderId="0" applyNumberFormat="0" applyBorder="0" applyAlignment="0" applyProtection="0"/>
    <xf numFmtId="0" fontId="48" fillId="5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3" fillId="47" borderId="0" applyNumberFormat="0" applyBorder="0" applyAlignment="0" applyProtection="0"/>
    <xf numFmtId="0" fontId="49" fillId="19" borderId="0" applyNumberFormat="0" applyBorder="0" applyAlignment="0" applyProtection="0"/>
    <xf numFmtId="0" fontId="33" fillId="43" borderId="0" applyNumberFormat="0" applyBorder="0" applyAlignment="0" applyProtection="0"/>
    <xf numFmtId="0" fontId="49" fillId="19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3" borderId="0" applyNumberFormat="0" applyBorder="0" applyAlignment="0" applyProtection="0"/>
    <xf numFmtId="0" fontId="33" fillId="47" borderId="0" applyNumberFormat="0" applyBorder="0" applyAlignment="0" applyProtection="0"/>
    <xf numFmtId="0" fontId="50" fillId="0" borderId="0" applyNumberFormat="0" applyFill="0" applyBorder="0" applyAlignment="0" applyProtection="0"/>
    <xf numFmtId="0" fontId="25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33" fillId="31" borderId="0" applyNumberFormat="0" applyBorder="0" applyAlignment="0" applyProtection="0"/>
    <xf numFmtId="0" fontId="33" fillId="27" borderId="0" applyNumberFormat="0" applyBorder="0" applyAlignment="0" applyProtection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</cellStyleXfs>
  <cellXfs count="218">
    <xf numFmtId="0" fontId="0" fillId="0" borderId="0" xfId="0"/>
    <xf numFmtId="16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3" xfId="0" applyBorder="1" applyAlignment="1">
      <alignment vertical="center"/>
    </xf>
    <xf numFmtId="165" fontId="2" fillId="0" borderId="8" xfId="3" applyNumberFormat="1" applyBorder="1" applyAlignment="1">
      <alignment horizontal="right" vertical="center" wrapText="1"/>
    </xf>
    <xf numFmtId="165" fontId="2" fillId="2" borderId="16" xfId="3" applyNumberForma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168" fontId="2" fillId="0" borderId="16" xfId="1" applyNumberFormat="1" applyFont="1" applyBorder="1" applyAlignment="1">
      <alignment horizontal="right" vertical="center" wrapText="1"/>
    </xf>
    <xf numFmtId="10" fontId="2" fillId="0" borderId="20" xfId="2" applyNumberFormat="1" applyFont="1" applyBorder="1" applyAlignment="1">
      <alignment horizontal="right" vertical="center" wrapText="1"/>
    </xf>
    <xf numFmtId="10" fontId="2" fillId="0" borderId="16" xfId="2" applyNumberFormat="1" applyFont="1" applyBorder="1" applyAlignment="1">
      <alignment horizontal="right" vertical="center"/>
    </xf>
    <xf numFmtId="10" fontId="2" fillId="0" borderId="17" xfId="2" applyNumberFormat="1" applyFont="1" applyBorder="1" applyAlignment="1">
      <alignment horizontal="right" vertical="center"/>
    </xf>
    <xf numFmtId="168" fontId="0" fillId="0" borderId="18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166" fontId="4" fillId="0" borderId="16" xfId="1" applyNumberFormat="1" applyFont="1" applyFill="1" applyBorder="1" applyAlignment="1">
      <alignment horizontal="right" vertical="center" wrapText="1"/>
    </xf>
    <xf numFmtId="167" fontId="0" fillId="0" borderId="16" xfId="0" applyNumberFormat="1" applyBorder="1" applyAlignment="1">
      <alignment horizontal="right" vertical="center" wrapText="1"/>
    </xf>
    <xf numFmtId="0" fontId="0" fillId="2" borderId="0" xfId="0" applyFill="1"/>
    <xf numFmtId="168" fontId="0" fillId="2" borderId="18" xfId="1" applyNumberFormat="1" applyFont="1" applyFill="1" applyBorder="1" applyAlignment="1">
      <alignment horizontal="center" vertical="center"/>
    </xf>
    <xf numFmtId="168" fontId="0" fillId="0" borderId="22" xfId="1" applyNumberFormat="1" applyFont="1" applyFill="1" applyBorder="1" applyAlignment="1">
      <alignment horizontal="center" vertical="center"/>
    </xf>
    <xf numFmtId="168" fontId="0" fillId="2" borderId="22" xfId="1" applyNumberFormat="1" applyFont="1" applyFill="1" applyBorder="1" applyAlignment="1">
      <alignment horizontal="center" vertical="center"/>
    </xf>
    <xf numFmtId="168" fontId="0" fillId="0" borderId="25" xfId="1" applyNumberFormat="1" applyFont="1" applyFill="1" applyBorder="1" applyAlignment="1">
      <alignment horizontal="center" vertical="center"/>
    </xf>
    <xf numFmtId="168" fontId="0" fillId="2" borderId="25" xfId="1" applyNumberFormat="1" applyFont="1" applyFill="1" applyBorder="1" applyAlignment="1">
      <alignment horizontal="center" vertical="center"/>
    </xf>
    <xf numFmtId="0" fontId="0" fillId="2" borderId="18" xfId="0" applyFill="1" applyBorder="1"/>
    <xf numFmtId="0" fontId="0" fillId="0" borderId="18" xfId="0" applyBorder="1"/>
    <xf numFmtId="0" fontId="0" fillId="2" borderId="37" xfId="0" applyFill="1" applyBorder="1"/>
    <xf numFmtId="168" fontId="0" fillId="2" borderId="37" xfId="0" applyNumberFormat="1" applyFill="1" applyBorder="1"/>
    <xf numFmtId="164" fontId="0" fillId="2" borderId="37" xfId="0" applyNumberFormat="1" applyFill="1" applyBorder="1"/>
    <xf numFmtId="168" fontId="0" fillId="4" borderId="4" xfId="1" applyNumberFormat="1" applyFont="1" applyFill="1" applyBorder="1" applyAlignment="1">
      <alignment horizontal="center" vertical="center"/>
    </xf>
    <xf numFmtId="168" fontId="0" fillId="2" borderId="38" xfId="1" applyNumberFormat="1" applyFont="1" applyFill="1" applyBorder="1" applyAlignment="1">
      <alignment horizontal="center" vertical="center"/>
    </xf>
    <xf numFmtId="168" fontId="0" fillId="0" borderId="36" xfId="1" applyNumberFormat="1" applyFont="1" applyBorder="1" applyAlignment="1">
      <alignment horizontal="center" vertical="center"/>
    </xf>
    <xf numFmtId="168" fontId="0" fillId="2" borderId="41" xfId="1" applyNumberFormat="1" applyFont="1" applyFill="1" applyBorder="1" applyAlignment="1">
      <alignment horizontal="center" vertical="center"/>
    </xf>
    <xf numFmtId="168" fontId="1" fillId="2" borderId="42" xfId="1" applyNumberFormat="1" applyFont="1" applyFill="1" applyBorder="1" applyAlignment="1">
      <alignment horizontal="center" vertical="center"/>
    </xf>
    <xf numFmtId="168" fontId="1" fillId="0" borderId="2" xfId="1" applyNumberFormat="1" applyFont="1" applyBorder="1" applyAlignment="1">
      <alignment horizontal="center" vertical="center"/>
    </xf>
    <xf numFmtId="168" fontId="0" fillId="0" borderId="3" xfId="1" applyNumberFormat="1" applyFont="1" applyBorder="1" applyAlignment="1">
      <alignment horizontal="center" vertical="center"/>
    </xf>
    <xf numFmtId="168" fontId="0" fillId="0" borderId="7" xfId="1" applyNumberFormat="1" applyFont="1" applyBorder="1" applyAlignment="1">
      <alignment horizontal="center" vertical="center"/>
    </xf>
    <xf numFmtId="168" fontId="0" fillId="0" borderId="4" xfId="1" applyNumberFormat="1" applyFont="1" applyBorder="1" applyAlignment="1">
      <alignment horizontal="center" vertical="center"/>
    </xf>
    <xf numFmtId="168" fontId="0" fillId="0" borderId="9" xfId="1" applyNumberFormat="1" applyFont="1" applyBorder="1" applyAlignment="1">
      <alignment horizontal="center" vertical="center" wrapText="1"/>
    </xf>
    <xf numFmtId="168" fontId="0" fillId="0" borderId="18" xfId="1" applyNumberFormat="1" applyFont="1" applyBorder="1" applyAlignment="1">
      <alignment horizontal="center" vertical="center"/>
    </xf>
    <xf numFmtId="168" fontId="0" fillId="0" borderId="16" xfId="1" applyNumberFormat="1" applyFont="1" applyBorder="1" applyAlignment="1">
      <alignment horizontal="center" vertical="center"/>
    </xf>
    <xf numFmtId="168" fontId="0" fillId="0" borderId="14" xfId="1" applyNumberFormat="1" applyFont="1" applyBorder="1" applyAlignment="1">
      <alignment horizontal="center" vertical="center"/>
    </xf>
    <xf numFmtId="168" fontId="0" fillId="0" borderId="25" xfId="1" applyNumberFormat="1" applyFont="1" applyBorder="1" applyAlignment="1">
      <alignment horizontal="center" vertical="center"/>
    </xf>
    <xf numFmtId="168" fontId="0" fillId="0" borderId="17" xfId="1" applyNumberFormat="1" applyFont="1" applyBorder="1" applyAlignment="1">
      <alignment horizontal="center" vertical="center"/>
    </xf>
    <xf numFmtId="17" fontId="0" fillId="4" borderId="31" xfId="0" applyNumberFormat="1" applyFill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168" fontId="0" fillId="4" borderId="7" xfId="1" applyNumberFormat="1" applyFont="1" applyFill="1" applyBorder="1" applyAlignment="1">
      <alignment horizontal="center" vertical="center"/>
    </xf>
    <xf numFmtId="168" fontId="0" fillId="4" borderId="8" xfId="1" applyNumberFormat="1" applyFont="1" applyFill="1" applyBorder="1" applyAlignment="1">
      <alignment horizontal="center" vertical="center"/>
    </xf>
    <xf numFmtId="168" fontId="0" fillId="2" borderId="14" xfId="1" applyNumberFormat="1" applyFont="1" applyFill="1" applyBorder="1" applyAlignment="1">
      <alignment horizontal="center" vertical="center"/>
    </xf>
    <xf numFmtId="168" fontId="0" fillId="2" borderId="17" xfId="1" applyNumberFormat="1" applyFont="1" applyFill="1" applyBorder="1" applyAlignment="1">
      <alignment horizontal="center" vertical="center"/>
    </xf>
    <xf numFmtId="168" fontId="0" fillId="2" borderId="21" xfId="1" applyNumberFormat="1" applyFont="1" applyFill="1" applyBorder="1" applyAlignment="1">
      <alignment horizontal="center" vertical="center"/>
    </xf>
    <xf numFmtId="168" fontId="0" fillId="2" borderId="23" xfId="1" applyNumberFormat="1" applyFont="1" applyFill="1" applyBorder="1" applyAlignment="1">
      <alignment horizontal="center" vertical="center"/>
    </xf>
    <xf numFmtId="168" fontId="0" fillId="2" borderId="9" xfId="1" applyNumberFormat="1" applyFont="1" applyFill="1" applyBorder="1" applyAlignment="1">
      <alignment horizontal="center" vertical="center"/>
    </xf>
    <xf numFmtId="168" fontId="0" fillId="2" borderId="16" xfId="1" applyNumberFormat="1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 wrapText="1"/>
    </xf>
    <xf numFmtId="168" fontId="1" fillId="0" borderId="28" xfId="1" applyNumberFormat="1" applyFont="1" applyBorder="1" applyAlignment="1">
      <alignment horizontal="center" vertical="center"/>
    </xf>
    <xf numFmtId="168" fontId="0" fillId="4" borderId="31" xfId="1" applyNumberFormat="1" applyFont="1" applyFill="1" applyBorder="1" applyAlignment="1">
      <alignment horizontal="center" vertical="center"/>
    </xf>
    <xf numFmtId="168" fontId="0" fillId="0" borderId="2" xfId="1" applyNumberFormat="1" applyFont="1" applyFill="1" applyBorder="1" applyAlignment="1">
      <alignment horizontal="center" vertical="center"/>
    </xf>
    <xf numFmtId="168" fontId="0" fillId="0" borderId="10" xfId="1" applyNumberFormat="1" applyFont="1" applyFill="1" applyBorder="1" applyAlignment="1">
      <alignment horizontal="center" vertical="center"/>
    </xf>
    <xf numFmtId="168" fontId="0" fillId="0" borderId="11" xfId="1" applyNumberFormat="1" applyFont="1" applyFill="1" applyBorder="1" applyAlignment="1">
      <alignment horizontal="center" vertical="center"/>
    </xf>
    <xf numFmtId="168" fontId="0" fillId="0" borderId="13" xfId="1" applyNumberFormat="1" applyFont="1" applyFill="1" applyBorder="1" applyAlignment="1">
      <alignment horizontal="center" vertical="center"/>
    </xf>
    <xf numFmtId="168" fontId="0" fillId="4" borderId="32" xfId="1" applyNumberFormat="1" applyFont="1" applyFill="1" applyBorder="1" applyAlignment="1">
      <alignment horizontal="center" vertical="center"/>
    </xf>
    <xf numFmtId="168" fontId="0" fillId="0" borderId="28" xfId="1" applyNumberFormat="1" applyFont="1" applyFill="1" applyBorder="1" applyAlignment="1">
      <alignment horizontal="center" vertical="center"/>
    </xf>
    <xf numFmtId="168" fontId="0" fillId="0" borderId="30" xfId="1" applyNumberFormat="1" applyFont="1" applyFill="1" applyBorder="1" applyAlignment="1">
      <alignment horizontal="center" vertical="center"/>
    </xf>
    <xf numFmtId="168" fontId="0" fillId="0" borderId="24" xfId="1" applyNumberFormat="1" applyFont="1" applyFill="1" applyBorder="1" applyAlignment="1">
      <alignment horizontal="center" vertical="center"/>
    </xf>
    <xf numFmtId="168" fontId="0" fillId="0" borderId="33" xfId="1" applyNumberFormat="1" applyFont="1" applyFill="1" applyBorder="1" applyAlignment="1">
      <alignment horizontal="center" vertical="center"/>
    </xf>
    <xf numFmtId="169" fontId="0" fillId="4" borderId="31" xfId="1" applyNumberFormat="1" applyFont="1" applyFill="1" applyBorder="1" applyAlignment="1">
      <alignment horizontal="center" vertical="center"/>
    </xf>
    <xf numFmtId="169" fontId="0" fillId="0" borderId="31" xfId="1" applyNumberFormat="1" applyFont="1" applyFill="1" applyBorder="1" applyAlignment="1">
      <alignment horizontal="center" vertical="center"/>
    </xf>
    <xf numFmtId="169" fontId="0" fillId="0" borderId="10" xfId="1" applyNumberFormat="1" applyFont="1" applyFill="1" applyBorder="1" applyAlignment="1">
      <alignment horizontal="center" vertical="center"/>
    </xf>
    <xf numFmtId="169" fontId="0" fillId="0" borderId="11" xfId="1" applyNumberFormat="1" applyFont="1" applyFill="1" applyBorder="1" applyAlignment="1">
      <alignment horizontal="center" vertical="center"/>
    </xf>
    <xf numFmtId="169" fontId="0" fillId="0" borderId="2" xfId="1" applyNumberFormat="1" applyFont="1" applyFill="1" applyBorder="1" applyAlignment="1">
      <alignment horizontal="center" vertical="center"/>
    </xf>
    <xf numFmtId="168" fontId="0" fillId="0" borderId="0" xfId="1" applyNumberFormat="1" applyFont="1" applyFill="1" applyBorder="1" applyAlignment="1">
      <alignment horizontal="center" vertical="center"/>
    </xf>
    <xf numFmtId="17" fontId="0" fillId="0" borderId="0" xfId="0" applyNumberFormat="1" applyAlignment="1">
      <alignment horizontal="right" vertical="center"/>
    </xf>
    <xf numFmtId="9" fontId="0" fillId="0" borderId="0" xfId="2" applyFont="1" applyFill="1" applyBorder="1"/>
    <xf numFmtId="0" fontId="0" fillId="0" borderId="2" xfId="0" applyBorder="1"/>
    <xf numFmtId="0" fontId="0" fillId="0" borderId="0" xfId="0" applyAlignment="1">
      <alignment wrapText="1"/>
    </xf>
    <xf numFmtId="17" fontId="0" fillId="0" borderId="10" xfId="0" applyNumberForma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 wrapText="1"/>
    </xf>
    <xf numFmtId="0" fontId="17" fillId="16" borderId="18" xfId="0" applyFont="1" applyFill="1" applyBorder="1" applyAlignment="1">
      <alignment horizontal="center" vertical="center"/>
    </xf>
    <xf numFmtId="15" fontId="5" fillId="0" borderId="18" xfId="0" applyNumberFormat="1" applyFont="1" applyBorder="1" applyAlignment="1">
      <alignment horizontal="center" vertical="center"/>
    </xf>
    <xf numFmtId="170" fontId="5" fillId="0" borderId="18" xfId="0" applyNumberFormat="1" applyFont="1" applyBorder="1" applyAlignment="1">
      <alignment horizontal="center" vertical="center" wrapText="1"/>
    </xf>
    <xf numFmtId="2" fontId="0" fillId="2" borderId="0" xfId="1" applyNumberFormat="1" applyFont="1" applyFill="1"/>
    <xf numFmtId="0" fontId="1" fillId="15" borderId="18" xfId="0" applyFont="1" applyFill="1" applyBorder="1" applyAlignment="1">
      <alignment horizontal="center" vertical="center"/>
    </xf>
    <xf numFmtId="2" fontId="1" fillId="15" borderId="18" xfId="1" applyNumberFormat="1" applyFon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1" fontId="1" fillId="15" borderId="18" xfId="1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16" borderId="18" xfId="0" applyFont="1" applyFill="1" applyBorder="1" applyAlignment="1">
      <alignment vertical="center"/>
    </xf>
    <xf numFmtId="14" fontId="0" fillId="2" borderId="18" xfId="0" applyNumberFormat="1" applyFill="1" applyBorder="1" applyAlignment="1">
      <alignment horizontal="center" vertical="center"/>
    </xf>
    <xf numFmtId="14" fontId="1" fillId="15" borderId="18" xfId="0" applyNumberFormat="1" applyFont="1" applyFill="1" applyBorder="1" applyAlignment="1">
      <alignment horizontal="center" vertical="center"/>
    </xf>
    <xf numFmtId="1" fontId="18" fillId="3" borderId="37" xfId="0" applyNumberFormat="1" applyFont="1" applyFill="1" applyBorder="1" applyAlignment="1">
      <alignment horizontal="center" vertical="center"/>
    </xf>
    <xf numFmtId="1" fontId="18" fillId="3" borderId="60" xfId="0" applyNumberFormat="1" applyFont="1" applyFill="1" applyBorder="1" applyAlignment="1">
      <alignment horizontal="center" vertical="center"/>
    </xf>
    <xf numFmtId="1" fontId="0" fillId="0" borderId="10" xfId="1" applyNumberFormat="1" applyFont="1" applyBorder="1" applyAlignment="1">
      <alignment horizontal="center" vertical="center" wrapText="1"/>
    </xf>
    <xf numFmtId="1" fontId="0" fillId="0" borderId="13" xfId="1" applyNumberFormat="1" applyFont="1" applyBorder="1" applyAlignment="1">
      <alignment horizontal="center" vertical="center" wrapText="1"/>
    </xf>
    <xf numFmtId="1" fontId="0" fillId="0" borderId="11" xfId="1" applyNumberFormat="1" applyFont="1" applyBorder="1" applyAlignment="1">
      <alignment horizontal="center" vertical="center" wrapText="1"/>
    </xf>
    <xf numFmtId="10" fontId="0" fillId="0" borderId="10" xfId="2" applyNumberFormat="1" applyFont="1" applyFill="1" applyBorder="1" applyAlignment="1">
      <alignment horizontal="center" vertical="center" wrapText="1"/>
    </xf>
    <xf numFmtId="10" fontId="0" fillId="0" borderId="13" xfId="2" applyNumberFormat="1" applyFont="1" applyFill="1" applyBorder="1" applyAlignment="1">
      <alignment horizontal="center" vertical="center" wrapText="1"/>
    </xf>
    <xf numFmtId="10" fontId="0" fillId="0" borderId="11" xfId="2" applyNumberFormat="1" applyFont="1" applyFill="1" applyBorder="1" applyAlignment="1">
      <alignment horizontal="center" vertical="center" wrapText="1"/>
    </xf>
    <xf numFmtId="1" fontId="0" fillId="0" borderId="49" xfId="1" applyNumberFormat="1" applyFont="1" applyBorder="1" applyAlignment="1">
      <alignment horizontal="center" vertical="center" wrapText="1"/>
    </xf>
    <xf numFmtId="10" fontId="0" fillId="0" borderId="49" xfId="2" applyNumberFormat="1" applyFont="1" applyFill="1" applyBorder="1" applyAlignment="1">
      <alignment horizontal="center" vertical="center" wrapText="1"/>
    </xf>
    <xf numFmtId="17" fontId="0" fillId="0" borderId="49" xfId="0" applyNumberForma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15" fontId="0" fillId="0" borderId="0" xfId="0" applyNumberFormat="1" applyAlignment="1">
      <alignment wrapText="1"/>
    </xf>
    <xf numFmtId="0" fontId="1" fillId="0" borderId="3" xfId="0" applyFont="1" applyBorder="1"/>
    <xf numFmtId="1" fontId="0" fillId="0" borderId="3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0" fontId="0" fillId="0" borderId="6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 wrapText="1"/>
    </xf>
    <xf numFmtId="10" fontId="0" fillId="0" borderId="0" xfId="2" applyNumberFormat="1" applyFont="1" applyBorder="1" applyAlignment="1">
      <alignment horizontal="center" vertical="center"/>
    </xf>
    <xf numFmtId="1" fontId="0" fillId="0" borderId="10" xfId="2" applyNumberFormat="1" applyFont="1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" fontId="0" fillId="0" borderId="13" xfId="2" applyNumberFormat="1" applyFont="1" applyBorder="1" applyAlignment="1">
      <alignment horizontal="center" vertical="center" wrapText="1"/>
    </xf>
    <xf numFmtId="15" fontId="0" fillId="0" borderId="21" xfId="2" applyNumberFormat="1" applyFont="1" applyBorder="1" applyAlignment="1">
      <alignment horizontal="center" vertical="center" wrapText="1"/>
    </xf>
    <xf numFmtId="15" fontId="0" fillId="0" borderId="23" xfId="2" applyNumberFormat="1" applyFont="1" applyBorder="1" applyAlignment="1">
      <alignment horizontal="center" vertical="center" wrapText="1"/>
    </xf>
    <xf numFmtId="15" fontId="0" fillId="0" borderId="14" xfId="2" applyNumberFormat="1" applyFont="1" applyBorder="1" applyAlignment="1">
      <alignment horizontal="center" vertical="center" wrapText="1"/>
    </xf>
    <xf numFmtId="15" fontId="0" fillId="0" borderId="17" xfId="2" applyNumberFormat="1" applyFont="1" applyBorder="1" applyAlignment="1">
      <alignment horizontal="center" vertical="center" wrapText="1"/>
    </xf>
    <xf numFmtId="15" fontId="0" fillId="0" borderId="41" xfId="2" applyNumberFormat="1" applyFont="1" applyBorder="1" applyAlignment="1">
      <alignment horizontal="center" vertical="center" wrapText="1"/>
    </xf>
    <xf numFmtId="15" fontId="0" fillId="0" borderId="42" xfId="2" applyNumberFormat="1" applyFont="1" applyBorder="1" applyAlignment="1">
      <alignment horizontal="center" vertical="center" wrapText="1"/>
    </xf>
    <xf numFmtId="10" fontId="0" fillId="0" borderId="28" xfId="2" applyNumberFormat="1" applyFont="1" applyBorder="1" applyAlignment="1">
      <alignment horizontal="center" vertical="center" wrapText="1"/>
    </xf>
    <xf numFmtId="171" fontId="1" fillId="0" borderId="2" xfId="1" applyNumberFormat="1" applyFont="1" applyBorder="1" applyAlignment="1">
      <alignment horizontal="center" vertical="center"/>
    </xf>
    <xf numFmtId="171" fontId="0" fillId="0" borderId="8" xfId="1" applyNumberFormat="1" applyFont="1" applyBorder="1" applyAlignment="1">
      <alignment horizontal="center" vertical="center"/>
    </xf>
    <xf numFmtId="171" fontId="2" fillId="0" borderId="16" xfId="1" applyNumberFormat="1" applyFont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 wrapText="1"/>
    </xf>
    <xf numFmtId="0" fontId="1" fillId="3" borderId="30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1" fillId="3" borderId="24" xfId="0" applyFont="1" applyFill="1" applyBorder="1" applyAlignment="1">
      <alignment horizontal="left" wrapText="1"/>
    </xf>
    <xf numFmtId="0" fontId="1" fillId="3" borderId="27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17" fillId="16" borderId="18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/>
    </xf>
    <xf numFmtId="0" fontId="17" fillId="16" borderId="58" xfId="0" applyFont="1" applyFill="1" applyBorder="1" applyAlignment="1">
      <alignment horizontal="center" vertical="center"/>
    </xf>
    <xf numFmtId="0" fontId="17" fillId="16" borderId="60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left"/>
    </xf>
    <xf numFmtId="0" fontId="18" fillId="3" borderId="58" xfId="0" applyFont="1" applyFill="1" applyBorder="1" applyAlignment="1">
      <alignment horizontal="left"/>
    </xf>
    <xf numFmtId="0" fontId="18" fillId="3" borderId="59" xfId="0" applyFont="1" applyFill="1" applyBorder="1" applyAlignment="1">
      <alignment horizontal="left"/>
    </xf>
    <xf numFmtId="0" fontId="18" fillId="3" borderId="60" xfId="0" applyFont="1" applyFill="1" applyBorder="1" applyAlignment="1">
      <alignment horizontal="left"/>
    </xf>
    <xf numFmtId="0" fontId="18" fillId="3" borderId="18" xfId="0" applyFont="1" applyFill="1" applyBorder="1" applyAlignment="1">
      <alignment horizontal="left"/>
    </xf>
    <xf numFmtId="168" fontId="1" fillId="0" borderId="26" xfId="1" applyNumberFormat="1" applyFont="1" applyBorder="1" applyAlignment="1">
      <alignment horizontal="center" vertical="center"/>
    </xf>
    <xf numFmtId="168" fontId="1" fillId="0" borderId="43" xfId="1" applyNumberFormat="1" applyFont="1" applyBorder="1" applyAlignment="1">
      <alignment horizontal="center" vertical="center"/>
    </xf>
    <xf numFmtId="168" fontId="1" fillId="0" borderId="28" xfId="1" applyNumberFormat="1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7" fillId="16" borderId="18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top"/>
    </xf>
    <xf numFmtId="0" fontId="1" fillId="3" borderId="34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0" fontId="0" fillId="0" borderId="10" xfId="2" applyNumberFormat="1" applyFont="1" applyBorder="1" applyAlignment="1">
      <alignment horizontal="center" vertical="center" wrapText="1"/>
    </xf>
    <xf numFmtId="10" fontId="0" fillId="0" borderId="13" xfId="2" applyNumberFormat="1" applyFont="1" applyBorder="1" applyAlignment="1">
      <alignment horizontal="center" vertical="center" wrapText="1"/>
    </xf>
    <xf numFmtId="10" fontId="0" fillId="0" borderId="11" xfId="2" applyNumberFormat="1" applyFont="1" applyBorder="1" applyAlignment="1">
      <alignment horizontal="center" vertical="center" wrapText="1"/>
    </xf>
    <xf numFmtId="10" fontId="0" fillId="0" borderId="49" xfId="2" applyNumberFormat="1" applyFont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10" fontId="0" fillId="0" borderId="26" xfId="2" applyNumberFormat="1" applyFont="1" applyBorder="1" applyAlignment="1">
      <alignment horizontal="center" vertical="center" wrapText="1"/>
    </xf>
    <xf numFmtId="10" fontId="0" fillId="0" borderId="28" xfId="2" applyNumberFormat="1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1" fontId="18" fillId="3" borderId="0" xfId="0" applyNumberFormat="1" applyFont="1" applyFill="1" applyBorder="1" applyAlignment="1">
      <alignment horizontal="center" vertical="center"/>
    </xf>
    <xf numFmtId="0" fontId="1" fillId="15" borderId="58" xfId="0" applyFont="1" applyFill="1" applyBorder="1" applyAlignment="1">
      <alignment horizontal="center"/>
    </xf>
    <xf numFmtId="0" fontId="1" fillId="15" borderId="59" xfId="0" applyFont="1" applyFill="1" applyBorder="1" applyAlignment="1">
      <alignment horizontal="center"/>
    </xf>
    <xf numFmtId="0" fontId="1" fillId="15" borderId="60" xfId="0" applyFont="1" applyFill="1" applyBorder="1" applyAlignment="1">
      <alignment horizontal="center"/>
    </xf>
    <xf numFmtId="171" fontId="0" fillId="4" borderId="1" xfId="1" applyNumberFormat="1" applyFont="1" applyFill="1" applyBorder="1" applyAlignment="1">
      <alignment horizontal="center" vertical="center"/>
    </xf>
    <xf numFmtId="171" fontId="0" fillId="4" borderId="2" xfId="1" applyNumberFormat="1" applyFont="1" applyFill="1" applyBorder="1" applyAlignment="1">
      <alignment horizontal="center" vertical="center"/>
    </xf>
    <xf numFmtId="171" fontId="0" fillId="0" borderId="1" xfId="1" applyNumberFormat="1" applyFont="1" applyFill="1" applyBorder="1" applyAlignment="1">
      <alignment horizontal="center" vertical="center"/>
    </xf>
    <xf numFmtId="171" fontId="0" fillId="0" borderId="48" xfId="1" applyNumberFormat="1" applyFont="1" applyFill="1" applyBorder="1" applyAlignment="1">
      <alignment horizontal="center" vertical="center"/>
    </xf>
    <xf numFmtId="171" fontId="0" fillId="0" borderId="2" xfId="1" applyNumberFormat="1" applyFont="1" applyFill="1" applyBorder="1" applyAlignment="1">
      <alignment horizontal="center" vertical="center"/>
    </xf>
  </cellXfs>
  <cellStyles count="540">
    <cellStyle name="20% - Accent1" xfId="459" builtinId="30" customBuiltin="1"/>
    <cellStyle name="20% - Accent1 2" xfId="6" xr:uid="{BAC6F63A-1514-453F-8F41-630879CE460A}"/>
    <cellStyle name="20% - Accent2" xfId="462" builtinId="34" customBuiltin="1"/>
    <cellStyle name="20% - Accent3" xfId="465" builtinId="38" customBuiltin="1"/>
    <cellStyle name="20% - Accent4" xfId="468" builtinId="42" customBuiltin="1"/>
    <cellStyle name="20% - Accent5" xfId="471" builtinId="46" customBuiltin="1"/>
    <cellStyle name="20% - Accent6" xfId="474" builtinId="50" customBuiltin="1"/>
    <cellStyle name="20% - Colore 1" xfId="476" xr:uid="{C7046411-7977-476A-926E-8BBA8E73A3D4}"/>
    <cellStyle name="20% - Colore 2" xfId="477" xr:uid="{2EC98B08-16E7-42EB-B5C1-27802973DEE1}"/>
    <cellStyle name="20% - Colore 3" xfId="478" xr:uid="{2941EBB7-7FD9-4977-94BA-DA4E5DA67F50}"/>
    <cellStyle name="20% - Colore 4" xfId="479" xr:uid="{C4A45015-D368-452B-AF8C-7E942886FFCB}"/>
    <cellStyle name="20% - Colore 5" xfId="480" xr:uid="{BFFB7BBD-DC52-4E90-98D7-24B82DB1027A}"/>
    <cellStyle name="20% - Colore 6" xfId="481" xr:uid="{8B07E328-C472-430A-A5F6-995C61A56247}"/>
    <cellStyle name="40% - Accent1" xfId="460" builtinId="31" customBuiltin="1"/>
    <cellStyle name="40% - Accent2" xfId="463" builtinId="35" customBuiltin="1"/>
    <cellStyle name="40% - Accent3" xfId="466" builtinId="39" customBuiltin="1"/>
    <cellStyle name="40% - Accent4" xfId="469" builtinId="43" customBuiltin="1"/>
    <cellStyle name="40% - Accent5" xfId="472" builtinId="47" customBuiltin="1"/>
    <cellStyle name="40% - Accent6" xfId="475" builtinId="51" customBuiltin="1"/>
    <cellStyle name="40% - Colore 1" xfId="482" xr:uid="{567E01B7-36E2-402E-87E7-4FEB89FCA8E8}"/>
    <cellStyle name="40% - Colore 2" xfId="483" xr:uid="{8DB99702-10DC-40BE-9C48-3E0A3CC13B1D}"/>
    <cellStyle name="40% - Colore 3" xfId="484" xr:uid="{6BB9118C-19E0-44C4-9B63-1D44D2C4D084}"/>
    <cellStyle name="40% - Colore 4" xfId="485" xr:uid="{A1ECC90F-B5B9-4E75-AA24-35AF8979E797}"/>
    <cellStyle name="40% - Colore 5" xfId="486" xr:uid="{9CFF6E0E-C6ED-448B-BE72-AA249DABD357}"/>
    <cellStyle name="40% - Colore 6" xfId="487" xr:uid="{BD30F29D-12A9-4584-A0B5-5B24B6ABB336}"/>
    <cellStyle name="60% - Accent1 2" xfId="530" xr:uid="{9AF05054-9E2B-447C-9848-8437AFF81EFE}"/>
    <cellStyle name="60% - Accent1 3" xfId="522" xr:uid="{6FBAE595-8876-4942-9E04-336B5E97B394}"/>
    <cellStyle name="60% - Accent1 4" xfId="537" xr:uid="{33D11B67-945A-44C1-900A-720ACD8AE29F}"/>
    <cellStyle name="60% - Accent2 2" xfId="531" xr:uid="{6F4A879A-EC07-4AA5-B331-706BCECA63EA}"/>
    <cellStyle name="60% - Accent2 3" xfId="523" xr:uid="{18F772F7-280D-4468-B2AA-256AA1D65694}"/>
    <cellStyle name="60% - Accent2 4" xfId="536" xr:uid="{97AE4FBC-B5D7-429C-9CC1-7C263611DF87}"/>
    <cellStyle name="60% - Accent3 2" xfId="532" xr:uid="{3F6AAB26-05E9-4D55-878A-7563AB756D30}"/>
    <cellStyle name="60% - Accent3 3" xfId="524" xr:uid="{60F69C89-E165-4C44-96B2-F489724427BC}"/>
    <cellStyle name="60% - Accent3 4" xfId="539" xr:uid="{B998565F-388F-4EE7-8F72-3847F5829C36}"/>
    <cellStyle name="60% - Accent4 2" xfId="533" xr:uid="{855EE406-F7F8-4586-A91D-3DECE90B84CD}"/>
    <cellStyle name="60% - Accent4 3" xfId="525" xr:uid="{A1F0A755-E4A0-4BB8-A001-7C8F184601AB}"/>
    <cellStyle name="60% - Accent4 4" xfId="538" xr:uid="{6A7DC450-FD6A-42D4-931D-22DFCF4A595C}"/>
    <cellStyle name="60% - Accent5 2" xfId="534" xr:uid="{F74DC146-B541-46B5-9A2F-7B769294DB9F}"/>
    <cellStyle name="60% - Accent5 3" xfId="526" xr:uid="{CC64F943-259A-49F5-9D9A-A2B178846DAC}"/>
    <cellStyle name="60% - Accent5 4" xfId="520" xr:uid="{6D6680F1-ED8B-4538-96EF-4AD05D14B9BD}"/>
    <cellStyle name="60% - Accent6 2" xfId="535" xr:uid="{371135AB-D5BD-42FD-B9DD-CF35D100209D}"/>
    <cellStyle name="60% - Accent6 3" xfId="527" xr:uid="{DAAD83C7-5A09-4F02-9B87-D4C382639DCA}"/>
    <cellStyle name="60% - Accent6 4" xfId="518" xr:uid="{2F13DA61-9814-4DEA-9F65-62DF1DD4BF75}"/>
    <cellStyle name="60% - Colore 1" xfId="488" xr:uid="{0427F4DC-D503-491C-9F66-C470C7712E0F}"/>
    <cellStyle name="60% - Colore 2" xfId="489" xr:uid="{93A5823C-C8DA-46B2-8288-0B86B76C5CC4}"/>
    <cellStyle name="60% - Colore 3" xfId="490" xr:uid="{DF14D7C1-9CF5-4C26-9341-39D31A003DE6}"/>
    <cellStyle name="60% - Colore 4" xfId="491" xr:uid="{F2C185C8-7923-4378-8DA3-F9F347B8C1EE}"/>
    <cellStyle name="60% - Colore 5" xfId="492" xr:uid="{9EDD6151-A0BD-45EB-9BB4-B60465BEFCF4}"/>
    <cellStyle name="60% - Colore 6" xfId="493" xr:uid="{1E3C4271-60A7-41D8-A21D-17727ACB8DDB}"/>
    <cellStyle name="Accent1" xfId="458" builtinId="29" customBuiltin="1"/>
    <cellStyle name="Accent2" xfId="461" builtinId="33" customBuiltin="1"/>
    <cellStyle name="Accent3" xfId="464" builtinId="37" customBuiltin="1"/>
    <cellStyle name="Accent4" xfId="467" builtinId="41" customBuiltin="1"/>
    <cellStyle name="Accent5" xfId="470" builtinId="45" customBuiltin="1"/>
    <cellStyle name="Accent6" xfId="473" builtinId="49" customBuiltin="1"/>
    <cellStyle name="Bad" xfId="448" builtinId="27" customBuiltin="1"/>
    <cellStyle name="Calcolo" xfId="494" xr:uid="{478D6C3F-44BC-4C87-BDC5-FB8336A3C9F2}"/>
    <cellStyle name="Calculation" xfId="451" builtinId="22" customBuiltin="1"/>
    <cellStyle name="Cella collegata" xfId="495" xr:uid="{BD18F8C4-CDAA-4F2F-9785-F54F5D8DE8C0}"/>
    <cellStyle name="Cella da controllare" xfId="496" xr:uid="{7475D531-48B9-42FF-AA6F-FD82C1382621}"/>
    <cellStyle name="Check Cell" xfId="453" builtinId="23" customBuiltin="1"/>
    <cellStyle name="Colore 1" xfId="497" xr:uid="{8B9ABEF9-4E6C-41FA-9ECC-4B7FC435FB0B}"/>
    <cellStyle name="Colore 2" xfId="498" xr:uid="{A8E8C3CD-E0E4-4C2D-825B-A1ACA22A2959}"/>
    <cellStyle name="Colore 3" xfId="499" xr:uid="{BE9657CF-8C3F-438F-8D3C-59F53813EB01}"/>
    <cellStyle name="Colore 4" xfId="500" xr:uid="{07D79DB5-B448-4E62-AF16-30460BE1B5D4}"/>
    <cellStyle name="Colore 5" xfId="501" xr:uid="{006222D3-755F-4D8D-A9A3-3753B2773093}"/>
    <cellStyle name="Colore 6" xfId="502" xr:uid="{6D737C39-B103-42A7-B1A5-F3CAD3E17973}"/>
    <cellStyle name="Comma" xfId="1" builtinId="3"/>
    <cellStyle name="Excel Built-in 20% - Accent1" xfId="399" xr:uid="{2FDCACB4-9892-4CB6-9A4F-47DEBABD9FFD}"/>
    <cellStyle name="Excel Built-in 20% - Accent2" xfId="401" xr:uid="{5FBDFEC0-EC0E-4962-92EE-AB4F5BF4082A}"/>
    <cellStyle name="Excel Built-in 40% - Accent5" xfId="402" xr:uid="{82DAD6C5-7F71-4924-97BE-83D32C6984B1}"/>
    <cellStyle name="Excel Built-in Bad" xfId="403" xr:uid="{330B5901-9AFF-478A-89E9-9642E2321AC0}"/>
    <cellStyle name="Excel Built-in Check Cell" xfId="404" xr:uid="{54A93B64-0812-4861-9F6A-00BB2BD256D7}"/>
    <cellStyle name="Excel Built-in Good" xfId="405" xr:uid="{F1A5C513-5F4B-4D18-9E78-BBAFF370BF0B}"/>
    <cellStyle name="Excel Built-in Normal 1" xfId="406" xr:uid="{85BB8851-BE95-4497-A41D-D3E876C71B8F}"/>
    <cellStyle name="Explanatory Text" xfId="456" builtinId="53" customBuiltin="1"/>
    <cellStyle name="Good" xfId="447" builtinId="26" customBuiltin="1"/>
    <cellStyle name="Heading 1" xfId="443" builtinId="16" customBuiltin="1"/>
    <cellStyle name="Heading 2" xfId="444" builtinId="17" customBuiltin="1"/>
    <cellStyle name="Heading 3" xfId="445" builtinId="18" customBuiltin="1"/>
    <cellStyle name="Heading 4" xfId="446" builtinId="19" customBuiltin="1"/>
    <cellStyle name="Input" xfId="449" builtinId="20" customBuiltin="1"/>
    <cellStyle name="Linked Cell" xfId="452" builtinId="24" customBuiltin="1"/>
    <cellStyle name="Neutral 2" xfId="529" xr:uid="{2631009D-7428-455E-BBD4-F7A9B143BB4A}"/>
    <cellStyle name="Neutral 3" xfId="521" xr:uid="{8007AFAB-E90C-415E-9D94-D72E5809098B}"/>
    <cellStyle name="Neutral 4" xfId="519" xr:uid="{FABCAE90-F85F-44AB-B0B7-1C00DBFCC8F8}"/>
    <cellStyle name="Neutrale" xfId="503" xr:uid="{CD55D4B5-AF4E-4DFB-96C7-32E91CCA3FD6}"/>
    <cellStyle name="Normal" xfId="0" builtinId="0"/>
    <cellStyle name="Normal 10" xfId="7" xr:uid="{A6ACD173-3085-434E-82BF-FD84CA91EE38}"/>
    <cellStyle name="Normal 11" xfId="8" xr:uid="{745ADFED-96D4-4977-8612-377F005D8301}"/>
    <cellStyle name="Normal 12" xfId="9" xr:uid="{226549C6-BEF7-4CCC-BF43-1A8F0F16E25F}"/>
    <cellStyle name="Normal 13" xfId="10" xr:uid="{255B02CA-3EA0-4E79-A866-9B13E868CEAF}"/>
    <cellStyle name="Normal 14" xfId="400" xr:uid="{9151B54A-B838-44D9-B787-B0A63FB5693D}"/>
    <cellStyle name="Normal 15" xfId="4" xr:uid="{49D9019A-CEA9-45EE-8254-E8568EA937CB}"/>
    <cellStyle name="Normal 17" xfId="3" xr:uid="{3CE1474E-C684-4826-A444-7A6AE09654A8}"/>
    <cellStyle name="Normal 2" xfId="11" xr:uid="{BEC7679B-FF74-40E9-A478-C79351FB33B5}"/>
    <cellStyle name="Normal 2 2" xfId="12" xr:uid="{B1FDC2B0-EE81-4BC0-988E-9F7217D19395}"/>
    <cellStyle name="Normal 2 2 2" xfId="408" xr:uid="{0B407983-47A4-4C78-A413-15355FFFD5DD}"/>
    <cellStyle name="Normal 2 2 3" xfId="516" xr:uid="{3CC81616-A898-418A-88F8-399C21C75BDA}"/>
    <cellStyle name="Normal 2 3" xfId="13" xr:uid="{C2984F77-1508-46B4-A286-B48C2BF44C6C}"/>
    <cellStyle name="Normal 2 3 2" xfId="409" xr:uid="{852FE39F-684E-4274-B884-402BA3EEDD62}"/>
    <cellStyle name="Normal 2 4" xfId="14" xr:uid="{5AF58AAE-50EB-4AD3-98E7-2B5E31BE8B40}"/>
    <cellStyle name="Normal 2 5" xfId="407" xr:uid="{199ECE70-3974-455A-91EB-E509C20426C8}"/>
    <cellStyle name="Normal 3" xfId="15" xr:uid="{27B30460-9525-48FE-86F9-E0D6AE11653C}"/>
    <cellStyle name="Normal 3 10" xfId="16" xr:uid="{EECA1215-A3AE-49B4-9B76-91F228B87B76}"/>
    <cellStyle name="Normal 3 11" xfId="17" xr:uid="{BBAF6687-5920-405A-9971-EE5AFFD972ED}"/>
    <cellStyle name="Normal 3 12" xfId="18" xr:uid="{6967D692-E961-4F61-A0DA-14FE3175EAA7}"/>
    <cellStyle name="Normal 3 13" xfId="19" xr:uid="{D1D21D0D-F36A-49B0-9AD5-9271E6DE32D8}"/>
    <cellStyle name="Normal 3 14" xfId="20" xr:uid="{0CB31F53-835E-4A0E-B2F7-8AF7E79A4BBC}"/>
    <cellStyle name="Normal 3 15" xfId="21" xr:uid="{9909F510-7798-4922-BC25-2B3BFC3D1222}"/>
    <cellStyle name="Normal 3 16" xfId="22" xr:uid="{85E2FFAB-BB78-4443-B8DB-621037EF94A2}"/>
    <cellStyle name="Normal 3 17" xfId="23" xr:uid="{2571F0B3-9039-46C5-B35F-16D8C59ACF54}"/>
    <cellStyle name="Normal 3 18" xfId="24" xr:uid="{DFA44DB6-CF17-4E66-9864-92B8EF95E094}"/>
    <cellStyle name="Normal 3 19" xfId="410" xr:uid="{6F427A83-8FA4-429D-8515-1C12F3DC8DD0}"/>
    <cellStyle name="Normal 3 2" xfId="25" xr:uid="{F7D2134F-B591-4898-80B8-AB61B6EE3B7E}"/>
    <cellStyle name="Normal 3 2 10" xfId="26" xr:uid="{7E9B0A1C-1774-4963-9902-CB07DA6A9F2D}"/>
    <cellStyle name="Normal 3 2 11" xfId="27" xr:uid="{A8197659-C206-4EBF-BE51-8B45CD49B652}"/>
    <cellStyle name="Normal 3 2 12" xfId="28" xr:uid="{F2F3BFCB-6183-4475-96F2-9847F99D47A0}"/>
    <cellStyle name="Normal 3 2 13" xfId="29" xr:uid="{EFAA2E23-BFA0-4B9F-A92A-340340DEBF0C}"/>
    <cellStyle name="Normal 3 2 14" xfId="30" xr:uid="{5069644A-63BB-4725-8987-3879DEF7A2BC}"/>
    <cellStyle name="Normal 3 2 15" xfId="31" xr:uid="{324332B8-578B-4F92-8838-7F8FB95EB4D8}"/>
    <cellStyle name="Normal 3 2 16" xfId="32" xr:uid="{022995F3-1C8A-420C-841E-087E5B4AF17C}"/>
    <cellStyle name="Normal 3 2 17" xfId="411" xr:uid="{E4EB78EA-444C-4824-818B-0A0117BF2DE7}"/>
    <cellStyle name="Normal 3 2 18" xfId="515" xr:uid="{A943109F-2959-4906-99A2-3DB06EF4CBB1}"/>
    <cellStyle name="Normal 3 2 2" xfId="33" xr:uid="{F31574EF-A753-4354-B21A-2F48A5389B59}"/>
    <cellStyle name="Normal 3 2 2 10" xfId="34" xr:uid="{5B7F05A4-D255-4C9B-88BC-86B4125FA042}"/>
    <cellStyle name="Normal 3 2 2 11" xfId="35" xr:uid="{71CCB11B-3ED9-4DE7-870A-EF6AB53BA1FE}"/>
    <cellStyle name="Normal 3 2 2 12" xfId="36" xr:uid="{8648DB1E-B947-4AD8-B78E-480F5AC943E5}"/>
    <cellStyle name="Normal 3 2 2 13" xfId="37" xr:uid="{270434CD-DB8F-46A2-9106-B1A6F1FAC51D}"/>
    <cellStyle name="Normal 3 2 2 14" xfId="38" xr:uid="{BEA15857-F528-4941-8758-617209B256C1}"/>
    <cellStyle name="Normal 3 2 2 15" xfId="39" xr:uid="{06F36618-16E0-4F5C-A22C-4BB0CA39B3B0}"/>
    <cellStyle name="Normal 3 2 2 16" xfId="412" xr:uid="{22F7616F-3C2A-4E0E-A89E-C658F32BB317}"/>
    <cellStyle name="Normal 3 2 2 2" xfId="40" xr:uid="{7DB471D5-0ABE-4063-B0FD-F3FA47D6F6A4}"/>
    <cellStyle name="Normal 3 2 2 3" xfId="41" xr:uid="{F4557ED7-9AFC-4218-AD37-5E3E3F5D46B1}"/>
    <cellStyle name="Normal 3 2 2 4" xfId="42" xr:uid="{2674172C-8E68-4CD8-B40F-5C6F9D756A02}"/>
    <cellStyle name="Normal 3 2 2 5" xfId="43" xr:uid="{4D3B40B1-CB90-4D7F-9578-3448CB874D00}"/>
    <cellStyle name="Normal 3 2 2 6" xfId="44" xr:uid="{2CC35C2B-A594-459D-8B48-7E59D379BD58}"/>
    <cellStyle name="Normal 3 2 2 7" xfId="45" xr:uid="{7547957C-D885-445D-8BA7-33C4231D1A9A}"/>
    <cellStyle name="Normal 3 2 2 8" xfId="46" xr:uid="{7DF6E37D-4336-4DE0-9DB6-60C732979837}"/>
    <cellStyle name="Normal 3 2 2 9" xfId="47" xr:uid="{F239B404-EA78-477C-9FB9-E19B37014B4A}"/>
    <cellStyle name="Normal 3 2 3" xfId="48" xr:uid="{A80184D3-486F-4547-8C9A-97AEA2F3011C}"/>
    <cellStyle name="Normal 3 2 4" xfId="49" xr:uid="{27F032BB-E863-4BFD-A345-6DF964427931}"/>
    <cellStyle name="Normal 3 2 5" xfId="50" xr:uid="{6594BDDF-1345-4C74-869B-74D0F9037BF6}"/>
    <cellStyle name="Normal 3 2 6" xfId="51" xr:uid="{334B12EB-6631-4486-8720-33B0AA1C0070}"/>
    <cellStyle name="Normal 3 2 7" xfId="52" xr:uid="{3561FC37-CEC3-473D-99F9-360E8174D7A3}"/>
    <cellStyle name="Normal 3 2 8" xfId="53" xr:uid="{ACC90FD5-E87D-455E-A3F2-901BBFF1641B}"/>
    <cellStyle name="Normal 3 2 9" xfId="54" xr:uid="{045F01C3-9BEA-4B92-98DD-6C33F3D258CC}"/>
    <cellStyle name="Normal 3 20" xfId="517" xr:uid="{10A7E13E-B981-4705-A11B-531D2CEED918}"/>
    <cellStyle name="Normal 3 3" xfId="55" xr:uid="{4D6D8257-F4A7-469F-8BAD-0F8970B3AA4F}"/>
    <cellStyle name="Normal 3 3 10" xfId="56" xr:uid="{DAC4A4FD-862E-45D0-9FD0-8D2EA4BD7B7E}"/>
    <cellStyle name="Normal 3 3 11" xfId="57" xr:uid="{2560D26E-399F-4238-A6B2-B85DB799AF79}"/>
    <cellStyle name="Normal 3 3 12" xfId="58" xr:uid="{2F9588B5-731B-4F52-A190-75D53402C048}"/>
    <cellStyle name="Normal 3 3 13" xfId="59" xr:uid="{2EA95C41-08B3-4020-81FE-114099BACCE9}"/>
    <cellStyle name="Normal 3 3 14" xfId="60" xr:uid="{ACE1F302-2010-4B47-BA12-8279E79CFA60}"/>
    <cellStyle name="Normal 3 3 15" xfId="61" xr:uid="{2514D105-5BC9-4E17-B441-67BF211AF953}"/>
    <cellStyle name="Normal 3 3 16" xfId="413" xr:uid="{0524C62D-318C-4AAE-B3C1-FB8E398109B3}"/>
    <cellStyle name="Normal 3 3 2" xfId="62" xr:uid="{1C547A39-7D72-4A55-BE77-082024508D3D}"/>
    <cellStyle name="Normal 3 3 3" xfId="63" xr:uid="{04E4B16D-A7E9-4D57-944D-2C605858705E}"/>
    <cellStyle name="Normal 3 3 4" xfId="64" xr:uid="{8AF5C2AA-CA05-4D85-B1E2-AA765BA5D9FE}"/>
    <cellStyle name="Normal 3 3 5" xfId="65" xr:uid="{5611783A-F5CB-40CD-8DE8-AC0D45837B4E}"/>
    <cellStyle name="Normal 3 3 6" xfId="66" xr:uid="{C4E68FB1-A376-44CF-9255-F57DEDF907D6}"/>
    <cellStyle name="Normal 3 3 7" xfId="67" xr:uid="{BF601635-40C6-4D48-845B-374A57727A3D}"/>
    <cellStyle name="Normal 3 3 8" xfId="68" xr:uid="{04C62040-8FAF-4F0D-A8FD-D1A532E8CFAF}"/>
    <cellStyle name="Normal 3 3 9" xfId="69" xr:uid="{6A394261-7092-4241-A0E7-C66B01B6BF3D}"/>
    <cellStyle name="Normal 3 4" xfId="70" xr:uid="{E3104F94-9E48-4365-A2F1-46156B37DA80}"/>
    <cellStyle name="Normal 3 4 2" xfId="414" xr:uid="{CC47C8F0-7F8A-4328-8CD2-B2DAA4710F69}"/>
    <cellStyle name="Normal 3 5" xfId="71" xr:uid="{8FD8B082-356A-4575-8BFD-E9168F265B8C}"/>
    <cellStyle name="Normal 3 6" xfId="72" xr:uid="{63BA20E6-D5A0-4C87-ADBB-85E5EFC3E6F3}"/>
    <cellStyle name="Normal 3 7" xfId="73" xr:uid="{E4E22C86-0B4C-4A4D-85AF-1A2D011254ED}"/>
    <cellStyle name="Normal 3 8" xfId="74" xr:uid="{C0B8E2CD-69FF-45BB-9FD9-C39999315C1B}"/>
    <cellStyle name="Normal 3 9" xfId="75" xr:uid="{4918F757-E333-455C-8F17-827C232A6312}"/>
    <cellStyle name="Normal 4" xfId="76" xr:uid="{C7DDF815-A20C-43EC-ADF7-D514370D859E}"/>
    <cellStyle name="Normal 4 10" xfId="77" xr:uid="{E2DCF4F1-746C-4C11-99EE-A587076EAC36}"/>
    <cellStyle name="Normal 4 11" xfId="78" xr:uid="{0C550B57-4F5E-4B25-99E5-F1CCE854AF4A}"/>
    <cellStyle name="Normal 4 12" xfId="79" xr:uid="{081383E5-26F8-488F-9690-23E48621B7B3}"/>
    <cellStyle name="Normal 4 13" xfId="80" xr:uid="{96A6E237-22F4-4BB7-B3AB-54C8185D4A40}"/>
    <cellStyle name="Normal 4 14" xfId="81" xr:uid="{663F4A91-6394-4734-84A4-4E4F6CEB169F}"/>
    <cellStyle name="Normal 4 15" xfId="82" xr:uid="{7E837B18-08F8-4AB9-9040-96A76970B33B}"/>
    <cellStyle name="Normal 4 16" xfId="83" xr:uid="{E182B721-B691-4C71-B561-4E21375AB31B}"/>
    <cellStyle name="Normal 4 17" xfId="84" xr:uid="{177B8340-5442-4B00-B3D0-22B728280776}"/>
    <cellStyle name="Normal 4 18" xfId="415" xr:uid="{61954C40-D57D-4313-82A0-C9922F842714}"/>
    <cellStyle name="Normal 4 2" xfId="85" xr:uid="{BD7E8A4A-A549-4717-A929-C9AD7DA3954B}"/>
    <cellStyle name="Normal 4 2 10" xfId="86" xr:uid="{8D75BB72-49B3-4442-9604-45584889A8EE}"/>
    <cellStyle name="Normal 4 2 11" xfId="87" xr:uid="{FC2BD3CB-9E34-4829-82AD-58F01B61BC47}"/>
    <cellStyle name="Normal 4 2 12" xfId="88" xr:uid="{2AA53895-94CF-4D4E-8583-3A990F2E988A}"/>
    <cellStyle name="Normal 4 2 13" xfId="89" xr:uid="{C18640D3-65BB-44C4-B321-01C2430F1076}"/>
    <cellStyle name="Normal 4 2 14" xfId="90" xr:uid="{B7E8E888-F122-4C17-B28D-B64B9D1202F1}"/>
    <cellStyle name="Normal 4 2 15" xfId="91" xr:uid="{DEFA2D7F-644F-4BB1-86DE-0A6905C31870}"/>
    <cellStyle name="Normal 4 2 16" xfId="92" xr:uid="{EB549369-498E-4FB1-94D4-D94F8690236D}"/>
    <cellStyle name="Normal 4 2 17" xfId="416" xr:uid="{EC2BB361-63D8-4E9F-AAB0-E20B006540F5}"/>
    <cellStyle name="Normal 4 2 2" xfId="93" xr:uid="{CC6E2982-0BA2-4E57-85A9-F8E28E07FB1B}"/>
    <cellStyle name="Normal 4 2 2 10" xfId="94" xr:uid="{79D1FEBF-8498-40B8-A692-A24AA33B4952}"/>
    <cellStyle name="Normal 4 2 2 11" xfId="95" xr:uid="{F558E5A8-AE5A-4A9A-AB64-EBCB6768640B}"/>
    <cellStyle name="Normal 4 2 2 12" xfId="96" xr:uid="{986942A2-CC5D-41D4-823D-E505240663C4}"/>
    <cellStyle name="Normal 4 2 2 13" xfId="97" xr:uid="{2AD94909-AB28-4C8C-8036-FA6753138B24}"/>
    <cellStyle name="Normal 4 2 2 14" xfId="98" xr:uid="{C31E1EA0-E245-4803-8BFD-BA9E12F39183}"/>
    <cellStyle name="Normal 4 2 2 15" xfId="99" xr:uid="{426F4FD8-990A-48A4-AF41-067CDED8B905}"/>
    <cellStyle name="Normal 4 2 2 16" xfId="417" xr:uid="{61054CBB-37A3-4583-8A45-206EFF459182}"/>
    <cellStyle name="Normal 4 2 2 2" xfId="100" xr:uid="{E5CAFDD5-4F76-4DA0-9F6B-A3E3812CC39F}"/>
    <cellStyle name="Normal 4 2 2 3" xfId="101" xr:uid="{F11BCA2F-FD73-44D3-93C6-40398EE296DF}"/>
    <cellStyle name="Normal 4 2 2 4" xfId="102" xr:uid="{CD645BDC-6DF4-4CAE-9DB6-B777E0BC3033}"/>
    <cellStyle name="Normal 4 2 2 5" xfId="103" xr:uid="{2AC7B086-5CDE-44E9-BA62-3BE38314860B}"/>
    <cellStyle name="Normal 4 2 2 6" xfId="104" xr:uid="{2C175ABC-0174-4570-9366-042FAB4C177D}"/>
    <cellStyle name="Normal 4 2 2 7" xfId="105" xr:uid="{1C896030-3F1B-4751-99C7-E6469ADFF71B}"/>
    <cellStyle name="Normal 4 2 2 8" xfId="106" xr:uid="{9A47382E-3D63-4726-B68D-9658609EB436}"/>
    <cellStyle name="Normal 4 2 2 9" xfId="107" xr:uid="{5CB1232B-9C5A-4863-9A04-075821DA1296}"/>
    <cellStyle name="Normal 4 2 3" xfId="108" xr:uid="{95598025-2BB6-4AE1-B02C-31D078B22369}"/>
    <cellStyle name="Normal 4 2 4" xfId="109" xr:uid="{F4FE9933-86AF-41AC-9305-A03218A26AD9}"/>
    <cellStyle name="Normal 4 2 5" xfId="110" xr:uid="{C55837F4-C020-425F-A76F-8FA45E8D81C7}"/>
    <cellStyle name="Normal 4 2 6" xfId="111" xr:uid="{2865F95A-52E7-424B-AFAD-AD82527653B3}"/>
    <cellStyle name="Normal 4 2 7" xfId="112" xr:uid="{F7865290-8A96-4E6E-A6B0-219C9A8BFB6D}"/>
    <cellStyle name="Normal 4 2 8" xfId="113" xr:uid="{20BC030F-3E8C-4B8C-ACCD-8506848F1E61}"/>
    <cellStyle name="Normal 4 2 9" xfId="114" xr:uid="{6361FAD6-EE7D-4483-A8CA-C0B0498C025B}"/>
    <cellStyle name="Normal 4 3" xfId="115" xr:uid="{BF540953-67E0-493F-B7E4-5AB38F5A31A4}"/>
    <cellStyle name="Normal 4 3 10" xfId="116" xr:uid="{5FD1ADBB-857D-48A8-9EDE-1FAEE2D0614B}"/>
    <cellStyle name="Normal 4 3 11" xfId="117" xr:uid="{33E84AEB-0E1C-4808-B47F-4CB13FA3F5C9}"/>
    <cellStyle name="Normal 4 3 12" xfId="118" xr:uid="{0DFEC08F-86B7-4A2C-A28E-29EF5F3AAE23}"/>
    <cellStyle name="Normal 4 3 13" xfId="119" xr:uid="{71A829DF-97F9-4A54-8A83-24228D1F20D9}"/>
    <cellStyle name="Normal 4 3 14" xfId="120" xr:uid="{21944A5E-A735-454F-9D35-9743BB497010}"/>
    <cellStyle name="Normal 4 3 15" xfId="121" xr:uid="{744F6C89-20F7-42AF-8A04-AA0094CB1290}"/>
    <cellStyle name="Normal 4 3 16" xfId="418" xr:uid="{0A765884-2750-4090-9035-6E8E17B00439}"/>
    <cellStyle name="Normal 4 3 2" xfId="122" xr:uid="{60DB9E7C-F4CE-439E-B5A8-2B6980CFE760}"/>
    <cellStyle name="Normal 4 3 3" xfId="123" xr:uid="{2EA80AFB-322A-4A80-96A5-698C449AD819}"/>
    <cellStyle name="Normal 4 3 4" xfId="124" xr:uid="{513D8B17-E19A-42CD-B663-60D74A966446}"/>
    <cellStyle name="Normal 4 3 5" xfId="125" xr:uid="{34842DE0-5F92-4740-8527-A9B3F0FD767C}"/>
    <cellStyle name="Normal 4 3 6" xfId="126" xr:uid="{6AA07C1E-A866-45A0-89E3-38D2B5631617}"/>
    <cellStyle name="Normal 4 3 7" xfId="127" xr:uid="{01AAF43F-CEA4-4B52-941F-B28B3ADAA7D7}"/>
    <cellStyle name="Normal 4 3 8" xfId="128" xr:uid="{5718EB88-FC59-4BFF-B3B5-68E53A099FB3}"/>
    <cellStyle name="Normal 4 3 9" xfId="129" xr:uid="{AD18B173-BF40-4C38-BFF9-928839D137E6}"/>
    <cellStyle name="Normal 4 4" xfId="130" xr:uid="{186DA2E9-90D4-43CE-A676-240F68109774}"/>
    <cellStyle name="Normal 4 5" xfId="131" xr:uid="{8EEED7AE-4FAD-41AF-8BE9-B73CD26BA1CC}"/>
    <cellStyle name="Normal 4 6" xfId="132" xr:uid="{00D7F28B-2B5B-4911-84E7-AA7649809314}"/>
    <cellStyle name="Normal 4 7" xfId="133" xr:uid="{8DF890BF-4C05-4862-A4B4-E2C7169E123C}"/>
    <cellStyle name="Normal 4 8" xfId="134" xr:uid="{20F163E1-AECA-46A2-BA5F-5BF8B42B8691}"/>
    <cellStyle name="Normal 4 9" xfId="135" xr:uid="{D987B9D7-3016-43CA-AAAE-408F4120A3FB}"/>
    <cellStyle name="Normal 5" xfId="136" xr:uid="{7E66F349-02BD-4D58-A0C7-F58AC6DE661F}"/>
    <cellStyle name="Normal 5 10" xfId="137" xr:uid="{AF160BC4-82E1-4F93-8156-07C6397B5483}"/>
    <cellStyle name="Normal 5 11" xfId="138" xr:uid="{851A1097-00B7-47B0-B57D-FE6C9F0B0852}"/>
    <cellStyle name="Normal 5 12" xfId="139" xr:uid="{7B5BBF66-54EC-4B18-A7FC-C8F3B023DF19}"/>
    <cellStyle name="Normal 5 13" xfId="140" xr:uid="{2957F5C6-DA8C-40D6-9B29-D02C864FC56D}"/>
    <cellStyle name="Normal 5 14" xfId="141" xr:uid="{7BB9F8B9-CCC7-4769-881D-3CB3C1286EE2}"/>
    <cellStyle name="Normal 5 15" xfId="142" xr:uid="{4B239475-9422-4061-8D49-9CA5C5FADE98}"/>
    <cellStyle name="Normal 5 16" xfId="143" xr:uid="{0AF74A3A-472A-462E-A061-C7AB39B8D8F9}"/>
    <cellStyle name="Normal 5 17" xfId="144" xr:uid="{45176665-0785-4B33-BB41-0D5A0F631008}"/>
    <cellStyle name="Normal 5 18" xfId="419" xr:uid="{D4B7685F-0B2F-4141-B523-0DB8AF66CA4D}"/>
    <cellStyle name="Normal 5 2" xfId="145" xr:uid="{E5269A42-32B0-411B-A7C2-EDB12373F391}"/>
    <cellStyle name="Normal 5 2 10" xfId="146" xr:uid="{4B2430C0-A2B5-47C4-80D6-A8410F853A04}"/>
    <cellStyle name="Normal 5 2 11" xfId="147" xr:uid="{4FF73DA7-F81D-4B98-9CB9-4B2C08305AFF}"/>
    <cellStyle name="Normal 5 2 12" xfId="148" xr:uid="{A87878F5-87BC-42F3-BD15-5AE0A33279AD}"/>
    <cellStyle name="Normal 5 2 13" xfId="149" xr:uid="{2A037B95-7724-4B0E-B4C8-2D354BFFD144}"/>
    <cellStyle name="Normal 5 2 14" xfId="150" xr:uid="{1BBC47BB-F06F-4B55-80C0-6C6F84316A9F}"/>
    <cellStyle name="Normal 5 2 15" xfId="151" xr:uid="{4FBD14FB-1692-49A8-9C37-F29E559D854F}"/>
    <cellStyle name="Normal 5 2 16" xfId="152" xr:uid="{69B51422-1B77-43F5-9791-1B302C7D5F05}"/>
    <cellStyle name="Normal 5 2 17" xfId="420" xr:uid="{DBDF720F-8BBE-41A9-8F3A-A2D5FBAC7DC2}"/>
    <cellStyle name="Normal 5 2 2" xfId="153" xr:uid="{CA4A1F78-052F-48FD-9681-FB808B4F50A2}"/>
    <cellStyle name="Normal 5 2 2 10" xfId="154" xr:uid="{2370F946-23EC-4D3A-B101-698CDF4977A3}"/>
    <cellStyle name="Normal 5 2 2 11" xfId="155" xr:uid="{6C23AEFE-19E9-4895-A265-5FB983E61892}"/>
    <cellStyle name="Normal 5 2 2 12" xfId="156" xr:uid="{4CF5D9BF-D699-41BE-A705-5743EFD91DFF}"/>
    <cellStyle name="Normal 5 2 2 13" xfId="157" xr:uid="{E94D40C0-C30C-4E8B-AB4C-BEA3ADB5A2BD}"/>
    <cellStyle name="Normal 5 2 2 14" xfId="158" xr:uid="{8491AF33-3090-4F80-90EB-4B4A434F138A}"/>
    <cellStyle name="Normal 5 2 2 15" xfId="159" xr:uid="{ED1B0DCA-4366-42E3-86F2-63276C31E6CF}"/>
    <cellStyle name="Normal 5 2 2 16" xfId="421" xr:uid="{DC867663-2871-4AF8-9B2A-AA4B13AE05EC}"/>
    <cellStyle name="Normal 5 2 2 2" xfId="160" xr:uid="{A2333E5D-B5DB-4083-B457-42093A523B01}"/>
    <cellStyle name="Normal 5 2 2 3" xfId="161" xr:uid="{1CE2EE47-5284-4A59-ADE5-FABD7DE010ED}"/>
    <cellStyle name="Normal 5 2 2 4" xfId="162" xr:uid="{32B1E4FC-C8D2-425A-A592-46CA539D472F}"/>
    <cellStyle name="Normal 5 2 2 5" xfId="163" xr:uid="{FEB9EAB7-81DF-4F72-9D34-B3EA406AB93B}"/>
    <cellStyle name="Normal 5 2 2 6" xfId="164" xr:uid="{2A938516-ED0A-41EA-A94B-FA678FD6D0BB}"/>
    <cellStyle name="Normal 5 2 2 7" xfId="165" xr:uid="{3F2E4DF5-F3F1-4750-89CA-58CFF081BE9E}"/>
    <cellStyle name="Normal 5 2 2 8" xfId="166" xr:uid="{B8B66BAF-582F-4982-B44A-564621DE4395}"/>
    <cellStyle name="Normal 5 2 2 9" xfId="167" xr:uid="{6FDB0E16-2EE8-42FC-A114-BBF4B17284CE}"/>
    <cellStyle name="Normal 5 2 3" xfId="168" xr:uid="{3E5A7E72-03F2-474F-841C-1975DB2C653D}"/>
    <cellStyle name="Normal 5 2 4" xfId="169" xr:uid="{52E2F6E5-D6D6-45F1-A814-4013AE78CB20}"/>
    <cellStyle name="Normal 5 2 5" xfId="170" xr:uid="{97A0B6CA-4B30-4001-B19A-1C659092D4F1}"/>
    <cellStyle name="Normal 5 2 6" xfId="171" xr:uid="{FF5D1A9B-8EE3-462D-8012-671B78E159A0}"/>
    <cellStyle name="Normal 5 2 7" xfId="172" xr:uid="{DCD4D259-8FE5-4BCF-A882-56BE183A2CC0}"/>
    <cellStyle name="Normal 5 2 8" xfId="173" xr:uid="{040768A2-7FA0-47B0-80BF-DBCBF97ECFC1}"/>
    <cellStyle name="Normal 5 2 9" xfId="174" xr:uid="{BF276C00-4363-4444-AB5C-585F3DBFD84A}"/>
    <cellStyle name="Normal 5 3" xfId="175" xr:uid="{0850DF7B-12EF-4032-B561-9FB3B6882792}"/>
    <cellStyle name="Normal 5 3 10" xfId="176" xr:uid="{7888DA13-6763-4794-B355-3BD5DCE006F6}"/>
    <cellStyle name="Normal 5 3 11" xfId="177" xr:uid="{872B6BB1-09C9-42BB-B134-2BA9E37398E4}"/>
    <cellStyle name="Normal 5 3 12" xfId="178" xr:uid="{AAF86BCE-C6B9-4897-91E6-E8FCB04DF082}"/>
    <cellStyle name="Normal 5 3 13" xfId="179" xr:uid="{13839AEA-6B56-405D-B46A-04D486D913B8}"/>
    <cellStyle name="Normal 5 3 14" xfId="180" xr:uid="{24B63AE9-1E47-4693-B38C-1D7812C03B31}"/>
    <cellStyle name="Normal 5 3 15" xfId="181" xr:uid="{CB613DBA-6D32-4D9A-853C-FAA4E793A21C}"/>
    <cellStyle name="Normal 5 3 16" xfId="422" xr:uid="{E22C48DB-22F3-42B7-B251-CAB6BD9EC23A}"/>
    <cellStyle name="Normal 5 3 2" xfId="182" xr:uid="{0CDB42B1-0143-469E-9541-68B2BE9B3E6D}"/>
    <cellStyle name="Normal 5 3 3" xfId="183" xr:uid="{1811CE63-00F3-428A-BACB-244321DD9DC3}"/>
    <cellStyle name="Normal 5 3 4" xfId="184" xr:uid="{2E1CE0FE-1E18-4348-A733-8E5955DDBAC5}"/>
    <cellStyle name="Normal 5 3 5" xfId="185" xr:uid="{D6947D86-03C9-432E-8278-8DC7669B9B7D}"/>
    <cellStyle name="Normal 5 3 6" xfId="186" xr:uid="{A3AC8A8D-758C-43A5-8668-366248109A86}"/>
    <cellStyle name="Normal 5 3 7" xfId="187" xr:uid="{721CE0B8-6756-4F03-BBDF-234555136CD1}"/>
    <cellStyle name="Normal 5 3 8" xfId="188" xr:uid="{8789368E-C413-4954-A575-D49D18834A6E}"/>
    <cellStyle name="Normal 5 3 9" xfId="189" xr:uid="{167DE3C4-4A43-49F5-806C-B16AA52CA1C2}"/>
    <cellStyle name="Normal 5 4" xfId="190" xr:uid="{C1D15940-FC6B-410B-9DEC-819F0C2A56C4}"/>
    <cellStyle name="Normal 5 5" xfId="191" xr:uid="{100D9458-8DE1-45E5-8E88-B3AF403B71FA}"/>
    <cellStyle name="Normal 5 6" xfId="192" xr:uid="{9758C66C-1354-470E-96AE-38F795E826F7}"/>
    <cellStyle name="Normal 5 7" xfId="193" xr:uid="{E1945A60-22EE-48A6-9671-BBF5BBB2F85A}"/>
    <cellStyle name="Normal 5 8" xfId="194" xr:uid="{1CD54149-0B54-4045-82F2-44EE249E466E}"/>
    <cellStyle name="Normal 5 9" xfId="195" xr:uid="{A95E42E3-F140-46AD-A4FC-DC1BE1B417F5}"/>
    <cellStyle name="Normal 6" xfId="196" xr:uid="{C7BC5A92-0AC8-432C-9BB6-1BC06BCC2CFC}"/>
    <cellStyle name="Normal 6 10" xfId="197" xr:uid="{25DB0834-FA59-49E2-BEAC-FA9FE3025EB6}"/>
    <cellStyle name="Normal 6 11" xfId="198" xr:uid="{EF49996D-DBD4-4639-927A-45690B916316}"/>
    <cellStyle name="Normal 6 12" xfId="199" xr:uid="{B6402FE3-C157-4325-A2F5-8F26500BE504}"/>
    <cellStyle name="Normal 6 13" xfId="200" xr:uid="{5F24E5A9-68DD-4E5C-87E5-6CA12080C53A}"/>
    <cellStyle name="Normal 6 14" xfId="201" xr:uid="{6FCBEE89-EF48-4B17-ABE9-5E967BBB5ABC}"/>
    <cellStyle name="Normal 6 15" xfId="202" xr:uid="{61EECF73-F406-4BD4-8B10-AED952EA790E}"/>
    <cellStyle name="Normal 6 16" xfId="203" xr:uid="{F18C9AEC-67F1-44E2-9BA1-D01332F354DC}"/>
    <cellStyle name="Normal 6 17" xfId="204" xr:uid="{0F9C5926-75F0-42DE-AF46-DC44C8D4B4BE}"/>
    <cellStyle name="Normal 6 18" xfId="423" xr:uid="{4FD3C397-4FA3-478F-86FB-F7D20D255EAA}"/>
    <cellStyle name="Normal 6 2" xfId="205" xr:uid="{BE87F8E8-86F8-43BB-8E8C-00A1CCF786A6}"/>
    <cellStyle name="Normal 6 2 10" xfId="206" xr:uid="{4F49BAFF-F6D7-44FF-9883-83073A06B25F}"/>
    <cellStyle name="Normal 6 2 11" xfId="207" xr:uid="{0A82753A-CD9F-4FDE-9C00-60ED815FED2D}"/>
    <cellStyle name="Normal 6 2 12" xfId="208" xr:uid="{3C848069-29AB-488B-B8A3-6651CC796A4C}"/>
    <cellStyle name="Normal 6 2 13" xfId="209" xr:uid="{D604B18B-F95E-49F8-B094-97B5B936ED2D}"/>
    <cellStyle name="Normal 6 2 14" xfId="210" xr:uid="{FDD23453-657F-44C5-86B3-2CFB1EA3ECBA}"/>
    <cellStyle name="Normal 6 2 15" xfId="211" xr:uid="{AF67EBAA-8D4B-4291-9706-217BEB16B02D}"/>
    <cellStyle name="Normal 6 2 16" xfId="212" xr:uid="{A34BBEC4-AB88-4E32-9F7C-A153747725C9}"/>
    <cellStyle name="Normal 6 2 17" xfId="424" xr:uid="{CAA5DD87-149B-40DE-9162-43940A5E8225}"/>
    <cellStyle name="Normal 6 2 2" xfId="213" xr:uid="{9332A5C6-D014-4B5C-90BA-D7C025EF3575}"/>
    <cellStyle name="Normal 6 2 2 10" xfId="214" xr:uid="{045191F8-4D60-4678-9EA1-E130EBF21DE4}"/>
    <cellStyle name="Normal 6 2 2 11" xfId="215" xr:uid="{2044C7E3-3F9A-4496-8582-A091200BB38F}"/>
    <cellStyle name="Normal 6 2 2 12" xfId="216" xr:uid="{E18E425C-57C8-492E-9F23-062896095CFA}"/>
    <cellStyle name="Normal 6 2 2 13" xfId="217" xr:uid="{CB512A6F-30D7-429F-8C99-C5CA751B3896}"/>
    <cellStyle name="Normal 6 2 2 14" xfId="218" xr:uid="{0BD9E621-5C21-4BFE-AD8B-494BF32B9ECE}"/>
    <cellStyle name="Normal 6 2 2 15" xfId="219" xr:uid="{465E99E3-BC5E-4DAD-9DF3-99D7C8D01BFC}"/>
    <cellStyle name="Normal 6 2 2 16" xfId="425" xr:uid="{C867962E-B48D-44DA-99EC-4F6FF404302E}"/>
    <cellStyle name="Normal 6 2 2 2" xfId="220" xr:uid="{9211E3FD-4CA5-4423-A7A1-8B30CD41861B}"/>
    <cellStyle name="Normal 6 2 2 3" xfId="221" xr:uid="{3DD1D004-981F-402A-86A7-136E6544A545}"/>
    <cellStyle name="Normal 6 2 2 4" xfId="222" xr:uid="{6F92B319-99CE-403F-BDD9-39F33D629E08}"/>
    <cellStyle name="Normal 6 2 2 5" xfId="223" xr:uid="{CC4583F5-360D-4EE7-855E-2CFDADD791C5}"/>
    <cellStyle name="Normal 6 2 2 6" xfId="224" xr:uid="{799087B7-ADC9-494A-976A-3AFC1D6EE258}"/>
    <cellStyle name="Normal 6 2 2 7" xfId="225" xr:uid="{8B769324-2370-4F91-A3EF-2C687696FC8F}"/>
    <cellStyle name="Normal 6 2 2 8" xfId="226" xr:uid="{85C98C3B-F556-4D7A-A787-071DAB25A135}"/>
    <cellStyle name="Normal 6 2 2 9" xfId="227" xr:uid="{DDEC6747-B991-4004-A7D5-B7B12EF063C8}"/>
    <cellStyle name="Normal 6 2 3" xfId="228" xr:uid="{56E96D96-E2D0-42F8-B2B8-0A92064502C6}"/>
    <cellStyle name="Normal 6 2 4" xfId="229" xr:uid="{0E64725C-F3B9-4B62-9748-112A61D8A458}"/>
    <cellStyle name="Normal 6 2 5" xfId="230" xr:uid="{9A5496AF-F969-472E-9BD0-BF7E9FDDFEDB}"/>
    <cellStyle name="Normal 6 2 6" xfId="231" xr:uid="{70358AA4-FCC0-4877-8EDA-122E6060C658}"/>
    <cellStyle name="Normal 6 2 7" xfId="232" xr:uid="{6006FCA1-2EB4-494B-B40B-64682BE6861E}"/>
    <cellStyle name="Normal 6 2 8" xfId="233" xr:uid="{F8BD3784-E921-4FE4-BFA1-B1AC13E55D19}"/>
    <cellStyle name="Normal 6 2 9" xfId="234" xr:uid="{5BB3E46E-F7EA-4EAA-AA73-969A8BBA5973}"/>
    <cellStyle name="Normal 6 3" xfId="235" xr:uid="{1568DD26-1443-4160-AC26-3BF2320C0FCB}"/>
    <cellStyle name="Normal 6 3 10" xfId="236" xr:uid="{1B76E874-DEAB-4C6D-A0E5-47F1C6862CF4}"/>
    <cellStyle name="Normal 6 3 11" xfId="237" xr:uid="{D47CCB60-1636-409A-B1D1-DC977BA6C00A}"/>
    <cellStyle name="Normal 6 3 12" xfId="238" xr:uid="{AF95E16B-84F9-491A-A9AB-1DF8EC787FA6}"/>
    <cellStyle name="Normal 6 3 13" xfId="239" xr:uid="{C79F87F7-D735-49CA-A229-5ADCDA10F418}"/>
    <cellStyle name="Normal 6 3 14" xfId="240" xr:uid="{B345C52B-4BA4-46F2-AB75-9A2CF8512C44}"/>
    <cellStyle name="Normal 6 3 15" xfId="241" xr:uid="{6C95A5F7-5B51-4F0A-81C3-357297524291}"/>
    <cellStyle name="Normal 6 3 16" xfId="426" xr:uid="{FC45B33D-0A4B-4D30-AA33-50E119354C41}"/>
    <cellStyle name="Normal 6 3 2" xfId="242" xr:uid="{1FF55248-4B48-47D8-A73F-928F5F847888}"/>
    <cellStyle name="Normal 6 3 3" xfId="243" xr:uid="{3370822F-438D-4202-8C85-7D3C0F019F20}"/>
    <cellStyle name="Normal 6 3 4" xfId="244" xr:uid="{B471478F-AFBD-4C1C-8023-79D6F49C79C2}"/>
    <cellStyle name="Normal 6 3 5" xfId="245" xr:uid="{5638BECE-1442-4A71-B5B6-62FA5B653E4C}"/>
    <cellStyle name="Normal 6 3 6" xfId="246" xr:uid="{96553C73-F394-4F8E-BE16-AF77FB63F1D1}"/>
    <cellStyle name="Normal 6 3 7" xfId="247" xr:uid="{B1454AFC-A01F-42CB-ABB0-77C11C4B35BB}"/>
    <cellStyle name="Normal 6 3 8" xfId="248" xr:uid="{45CEF76B-9BD3-4895-90A4-E4B2E3D16737}"/>
    <cellStyle name="Normal 6 3 9" xfId="249" xr:uid="{6C497F66-6E14-48BD-957F-134FC76587EE}"/>
    <cellStyle name="Normal 6 4" xfId="250" xr:uid="{E0517A84-6C55-4E78-8E42-5157DCE2AA06}"/>
    <cellStyle name="Normal 6 5" xfId="251" xr:uid="{90DCC1DC-D1D2-4C91-8963-6FADC53D7737}"/>
    <cellStyle name="Normal 6 6" xfId="252" xr:uid="{7B46F70B-E6DA-4ACE-A974-E07408D2DE9B}"/>
    <cellStyle name="Normal 6 7" xfId="253" xr:uid="{B7838EE7-4AC9-4260-9EB3-428F41AAC757}"/>
    <cellStyle name="Normal 6 8" xfId="254" xr:uid="{CCF99604-AD96-4464-B34E-93C44573F55C}"/>
    <cellStyle name="Normal 6 9" xfId="255" xr:uid="{ED87DE3F-0F68-4B10-85E8-40F86E6DCFF8}"/>
    <cellStyle name="Normal 7" xfId="256" xr:uid="{56572F90-E2F4-4AC7-A289-776311227B87}"/>
    <cellStyle name="Normal 7 10" xfId="257" xr:uid="{5BFDD3C9-BAD3-4AC6-93FE-BF84D90C78A0}"/>
    <cellStyle name="Normal 7 11" xfId="258" xr:uid="{D7CA4810-C0B6-4BAD-928C-B9D115AE1DC8}"/>
    <cellStyle name="Normal 7 12" xfId="259" xr:uid="{318F0F66-942B-4FF3-9FAD-99596E0E81E8}"/>
    <cellStyle name="Normal 7 13" xfId="260" xr:uid="{A5F88B00-EE2F-4FBE-A9A3-63BF73D1BFCE}"/>
    <cellStyle name="Normal 7 14" xfId="261" xr:uid="{B2ECFD3B-B0AE-4249-AAAF-F68B09E7CF17}"/>
    <cellStyle name="Normal 7 15" xfId="262" xr:uid="{180C4603-EDC7-4FE0-9559-6FA3F4EE62B8}"/>
    <cellStyle name="Normal 7 16" xfId="263" xr:uid="{B52395D0-ACE9-4EF1-BB9F-87C54F7A25D9}"/>
    <cellStyle name="Normal 7 17" xfId="264" xr:uid="{4C2CA202-361D-4AD5-805B-0707A33C8C42}"/>
    <cellStyle name="Normal 7 18" xfId="265" xr:uid="{FC4931E0-805A-4895-A917-9EA073E6422C}"/>
    <cellStyle name="Normal 7 19" xfId="427" xr:uid="{1548DD3B-E668-46D5-9291-48176C8141D3}"/>
    <cellStyle name="Normal 7 2" xfId="266" xr:uid="{03F9A80B-C2EF-4516-A0F6-80F411749C5D}"/>
    <cellStyle name="Normal 7 2 10" xfId="267" xr:uid="{59621BED-A8A6-4947-96BF-35BC68061512}"/>
    <cellStyle name="Normal 7 2 11" xfId="268" xr:uid="{DAABF6B4-2516-4A40-92B5-AE12A1E32C61}"/>
    <cellStyle name="Normal 7 2 12" xfId="269" xr:uid="{5A9C1F86-FE5F-4536-A058-8499D8BEF7C8}"/>
    <cellStyle name="Normal 7 2 13" xfId="270" xr:uid="{B814C3DF-3310-4CE6-96F8-28CD4ADDC920}"/>
    <cellStyle name="Normal 7 2 14" xfId="271" xr:uid="{4E4F9DB3-1549-4B3C-B0C1-BCD6500421B0}"/>
    <cellStyle name="Normal 7 2 15" xfId="272" xr:uid="{9CDFD469-BE47-49A8-A574-CD60B30F5281}"/>
    <cellStyle name="Normal 7 2 16" xfId="273" xr:uid="{B5F344AC-0F5B-4C84-81A6-389841B162E3}"/>
    <cellStyle name="Normal 7 2 17" xfId="428" xr:uid="{251DD5A8-9BE2-475C-9C10-7227357E626F}"/>
    <cellStyle name="Normal 7 2 2" xfId="274" xr:uid="{70375544-0F1E-4A22-AAA8-CB77FEF08D90}"/>
    <cellStyle name="Normal 7 2 2 10" xfId="275" xr:uid="{EF1C19D0-E373-4425-8020-F6C08B82B8B8}"/>
    <cellStyle name="Normal 7 2 2 11" xfId="276" xr:uid="{EFEAB4CE-D795-4C4E-89C8-FF11CC3A38F7}"/>
    <cellStyle name="Normal 7 2 2 12" xfId="277" xr:uid="{ABACACE5-CA0C-4ADC-9512-3D504354DE75}"/>
    <cellStyle name="Normal 7 2 2 13" xfId="278" xr:uid="{9E50B69F-3B03-4612-A5DA-F524AA80597B}"/>
    <cellStyle name="Normal 7 2 2 14" xfId="279" xr:uid="{5E498936-1CCC-4EE6-B9A9-9B019B01F08C}"/>
    <cellStyle name="Normal 7 2 2 15" xfId="280" xr:uid="{5BF60FA7-DD8B-4FDE-A42A-BA3CDD483B55}"/>
    <cellStyle name="Normal 7 2 2 16" xfId="429" xr:uid="{3E76A6E9-2E75-424B-8A67-3C84B6EFEDD9}"/>
    <cellStyle name="Normal 7 2 2 2" xfId="281" xr:uid="{6B655016-5511-40C6-BC1F-F667B0D03D03}"/>
    <cellStyle name="Normal 7 2 2 3" xfId="282" xr:uid="{8B579548-0C41-4DD9-821A-45A23591F196}"/>
    <cellStyle name="Normal 7 2 2 4" xfId="283" xr:uid="{DA051656-7E90-4E46-ACD2-6BA783D7C9F6}"/>
    <cellStyle name="Normal 7 2 2 5" xfId="284" xr:uid="{EE15422A-06F7-4E48-9A71-577649AD35E2}"/>
    <cellStyle name="Normal 7 2 2 6" xfId="285" xr:uid="{EBE9E3AD-0020-4F89-BE01-F50725469BB4}"/>
    <cellStyle name="Normal 7 2 2 7" xfId="286" xr:uid="{97C42B20-5170-4CEF-9202-EE53EBB9B986}"/>
    <cellStyle name="Normal 7 2 2 8" xfId="287" xr:uid="{60DDEA0B-6BE0-4638-BDA2-6BC11CA05D19}"/>
    <cellStyle name="Normal 7 2 2 9" xfId="288" xr:uid="{F00104B7-0378-4130-BC02-3B021995D60A}"/>
    <cellStyle name="Normal 7 2 3" xfId="289" xr:uid="{5F678F3E-C030-4A01-B128-968991D63C4D}"/>
    <cellStyle name="Normal 7 2 4" xfId="290" xr:uid="{EAF3488B-CC55-4F10-83D0-D0A687C6FFA8}"/>
    <cellStyle name="Normal 7 2 5" xfId="291" xr:uid="{41DAFDEA-D978-4566-973D-D4ABCE82029D}"/>
    <cellStyle name="Normal 7 2 6" xfId="292" xr:uid="{925DF72D-4234-45EA-AB04-C2D43D42E051}"/>
    <cellStyle name="Normal 7 2 7" xfId="293" xr:uid="{AE79B6F4-D47E-4C05-9496-8D2B4EC86B20}"/>
    <cellStyle name="Normal 7 2 8" xfId="294" xr:uid="{8EC8CC75-3DE1-49FE-BD0D-4067CA9A2519}"/>
    <cellStyle name="Normal 7 2 9" xfId="295" xr:uid="{7E2261AA-6623-46E9-981A-37A2A0E0592E}"/>
    <cellStyle name="Normal 7 3" xfId="296" xr:uid="{89730522-DA8C-4571-8AC4-8889CE653D87}"/>
    <cellStyle name="Normal 7 3 10" xfId="297" xr:uid="{DD98437D-FC3E-42C7-9F54-F34DA65BB7EE}"/>
    <cellStyle name="Normal 7 3 11" xfId="298" xr:uid="{48857EAE-823E-4490-88E4-9DFF098AB8C8}"/>
    <cellStyle name="Normal 7 3 12" xfId="299" xr:uid="{7B6F3C6C-2852-494C-B4A5-3CAD3E4015E6}"/>
    <cellStyle name="Normal 7 3 13" xfId="300" xr:uid="{F991CA15-9F27-4717-A1A7-5A27037F3FC2}"/>
    <cellStyle name="Normal 7 3 14" xfId="301" xr:uid="{A4A18643-96E5-4C53-9A01-1E0ED9ECBF72}"/>
    <cellStyle name="Normal 7 3 15" xfId="302" xr:uid="{B1408D2E-E45F-4346-BAF2-AA55EE3D8901}"/>
    <cellStyle name="Normal 7 3 16" xfId="430" xr:uid="{EB7B2F16-301A-448D-B16B-BE014C320CFF}"/>
    <cellStyle name="Normal 7 3 2" xfId="303" xr:uid="{0DB1C95E-ACAA-43D0-B5B8-89A22596B906}"/>
    <cellStyle name="Normal 7 3 3" xfId="304" xr:uid="{3AE22C02-FA0E-4FB1-BB3D-7FC10A6B4ACA}"/>
    <cellStyle name="Normal 7 3 4" xfId="305" xr:uid="{CA813E37-4F38-4935-BA65-6CDC6C98C940}"/>
    <cellStyle name="Normal 7 3 5" xfId="306" xr:uid="{73E2D295-6220-4C9A-A09B-9EEC577A659E}"/>
    <cellStyle name="Normal 7 3 6" xfId="307" xr:uid="{25E86047-5ADF-466E-AE6E-6452049EC1DF}"/>
    <cellStyle name="Normal 7 3 7" xfId="308" xr:uid="{554E47F7-FF7E-46B0-B0FF-34535F34731B}"/>
    <cellStyle name="Normal 7 3 8" xfId="309" xr:uid="{958523DF-7B74-41FB-B72A-7931F8DEB1A7}"/>
    <cellStyle name="Normal 7 3 9" xfId="310" xr:uid="{8D9F45EA-A518-4E69-B5CE-A3F15A89E346}"/>
    <cellStyle name="Normal 7 4" xfId="311" xr:uid="{E854380E-EE5F-44EC-896C-753667AF2536}"/>
    <cellStyle name="Normal 7 4 2" xfId="431" xr:uid="{3DB41BCE-B39C-40A8-9F8F-BF6B343A007D}"/>
    <cellStyle name="Normal 7 5" xfId="312" xr:uid="{B23E7601-6B6A-4131-9DEA-EBE661F0E174}"/>
    <cellStyle name="Normal 7 6" xfId="313" xr:uid="{E8787051-588E-498A-9D4A-DE30E12B4EB6}"/>
    <cellStyle name="Normal 7 7" xfId="314" xr:uid="{F27BF316-81CA-43C3-8736-C6A3C04F68B7}"/>
    <cellStyle name="Normal 7 8" xfId="315" xr:uid="{E4D6B7CD-3F57-4E9B-A792-AD3C90BFDD0B}"/>
    <cellStyle name="Normal 7 9" xfId="316" xr:uid="{024EC098-902C-4EFC-A7C3-FFD7F4213FC9}"/>
    <cellStyle name="Normal 8" xfId="317" xr:uid="{38A8B4B8-1EEC-4069-8786-60726AAAFD11}"/>
    <cellStyle name="Normal 8 10" xfId="318" xr:uid="{E7784254-E486-4B1F-A397-129E0DD48EC2}"/>
    <cellStyle name="Normal 8 11" xfId="319" xr:uid="{C70E4D87-006D-432C-BFF1-3E91DB5E204E}"/>
    <cellStyle name="Normal 8 12" xfId="320" xr:uid="{59EE628E-A433-4F63-BE15-99A6F990C235}"/>
    <cellStyle name="Normal 8 13" xfId="321" xr:uid="{7C671F1E-3653-430F-8C59-574667F716D7}"/>
    <cellStyle name="Normal 8 14" xfId="322" xr:uid="{F1A91DDA-6074-4BB7-A88B-AB4A983555B3}"/>
    <cellStyle name="Normal 8 15" xfId="323" xr:uid="{A818F344-0D4C-4775-A67F-89C18B640911}"/>
    <cellStyle name="Normal 8 16" xfId="324" xr:uid="{4D2A2B00-156D-4688-B369-4AAB4A1F9B02}"/>
    <cellStyle name="Normal 8 17" xfId="325" xr:uid="{7350ED9F-5528-4F3E-9D89-B91F9788481A}"/>
    <cellStyle name="Normal 8 18" xfId="432" xr:uid="{D36D9B2E-7495-4DC1-AD6B-7E7AA4EEEA66}"/>
    <cellStyle name="Normal 8 2" xfId="326" xr:uid="{3D6E7752-BD2D-4E9B-99DA-D2DC8759E112}"/>
    <cellStyle name="Normal 8 2 10" xfId="327" xr:uid="{59C163BB-C79A-455B-AC93-A9A2028961A6}"/>
    <cellStyle name="Normal 8 2 11" xfId="328" xr:uid="{231BAB9B-AD22-4DA2-93D7-370CD9E0C557}"/>
    <cellStyle name="Normal 8 2 12" xfId="329" xr:uid="{C77BBA17-705A-4898-823A-FEE3EA572E03}"/>
    <cellStyle name="Normal 8 2 13" xfId="330" xr:uid="{AE692D35-951E-47AA-829C-5E8BE3503052}"/>
    <cellStyle name="Normal 8 2 14" xfId="331" xr:uid="{B86DB6D1-70A1-4076-99AB-D19532F50338}"/>
    <cellStyle name="Normal 8 2 15" xfId="332" xr:uid="{6ECA8A9E-9764-4AFE-91F8-B2EDDC9623D7}"/>
    <cellStyle name="Normal 8 2 16" xfId="333" xr:uid="{B1B8B4E2-6A7D-4C84-BE73-2246AE2A7CEF}"/>
    <cellStyle name="Normal 8 2 17" xfId="433" xr:uid="{518BFC80-2EEA-4FD3-8B62-01E9EB2FC32D}"/>
    <cellStyle name="Normal 8 2 2" xfId="334" xr:uid="{2A8F908E-487C-488A-9C00-A8268CFA6334}"/>
    <cellStyle name="Normal 8 2 2 10" xfId="335" xr:uid="{98DAE661-AD31-4269-912F-B7D161231C64}"/>
    <cellStyle name="Normal 8 2 2 11" xfId="336" xr:uid="{780FE40F-15A8-4EB3-B3FE-07ACC15FC43E}"/>
    <cellStyle name="Normal 8 2 2 12" xfId="337" xr:uid="{E1E575FB-2EC1-45E9-9DA4-669BBE058979}"/>
    <cellStyle name="Normal 8 2 2 13" xfId="338" xr:uid="{5AB93E75-533E-45AC-B9CA-35E8A410A630}"/>
    <cellStyle name="Normal 8 2 2 14" xfId="339" xr:uid="{EECA3380-9D32-41C9-A2CB-F892A052955C}"/>
    <cellStyle name="Normal 8 2 2 15" xfId="340" xr:uid="{EFB2C927-10C6-40E1-9B9A-1DABF7EBB98E}"/>
    <cellStyle name="Normal 8 2 2 16" xfId="434" xr:uid="{28AE236F-2003-460A-B9FD-EB19794A2BA9}"/>
    <cellStyle name="Normal 8 2 2 2" xfId="341" xr:uid="{590940BD-CF9F-430E-AAD9-B85F5A6E6FF9}"/>
    <cellStyle name="Normal 8 2 2 3" xfId="342" xr:uid="{CF7E08CF-4277-4327-9298-DFF8EB5EF69B}"/>
    <cellStyle name="Normal 8 2 2 4" xfId="343" xr:uid="{74C410B2-6A13-4727-A5E5-9255BBF7DE5F}"/>
    <cellStyle name="Normal 8 2 2 5" xfId="344" xr:uid="{D1F71138-D6A6-4008-B692-399FDE4A0108}"/>
    <cellStyle name="Normal 8 2 2 6" xfId="345" xr:uid="{8CD94594-07D2-43EA-836C-49932B936278}"/>
    <cellStyle name="Normal 8 2 2 7" xfId="346" xr:uid="{7FEAF73D-380C-41E3-B15E-875868EEB577}"/>
    <cellStyle name="Normal 8 2 2 8" xfId="347" xr:uid="{C49542D9-FF45-425B-B3A4-F1EE4BA60525}"/>
    <cellStyle name="Normal 8 2 2 9" xfId="348" xr:uid="{ED240828-80D7-4A4A-804E-8C8A20189FC5}"/>
    <cellStyle name="Normal 8 2 3" xfId="349" xr:uid="{910B5B09-D2B1-4D1F-B9FD-DF7BAF837AB9}"/>
    <cellStyle name="Normal 8 2 4" xfId="350" xr:uid="{0A55932B-AFCF-45E2-B4E6-7752E557CBB8}"/>
    <cellStyle name="Normal 8 2 5" xfId="351" xr:uid="{1C2A1CCA-A92A-4BDF-AE75-B33112B865FC}"/>
    <cellStyle name="Normal 8 2 6" xfId="352" xr:uid="{A5340703-5EE0-4C73-9026-56F57234DC20}"/>
    <cellStyle name="Normal 8 2 7" xfId="353" xr:uid="{5755F0E3-1D0B-400D-93C2-38963A50FD99}"/>
    <cellStyle name="Normal 8 2 8" xfId="354" xr:uid="{E2700A8D-435E-4631-B206-B86B3DAA2CF8}"/>
    <cellStyle name="Normal 8 2 9" xfId="355" xr:uid="{2C2C73AC-DBE1-4ADC-A2D5-0C1F71A0312A}"/>
    <cellStyle name="Normal 8 3" xfId="356" xr:uid="{FC97D5BC-2FF3-4CCF-9A15-76135383E0ED}"/>
    <cellStyle name="Normal 8 3 10" xfId="357" xr:uid="{91142D9C-A6BC-4BF6-A48D-DE725800C76D}"/>
    <cellStyle name="Normal 8 3 11" xfId="358" xr:uid="{C8FA4E2B-6778-4C64-B63C-8969922FF6B9}"/>
    <cellStyle name="Normal 8 3 12" xfId="359" xr:uid="{A4EC4F53-18BA-46B5-9BD8-FD0AB8342905}"/>
    <cellStyle name="Normal 8 3 13" xfId="360" xr:uid="{003F7443-B2C6-4CD3-99F6-F1C16E98EB52}"/>
    <cellStyle name="Normal 8 3 14" xfId="361" xr:uid="{EA8C6464-068A-4B41-9A0D-1FB66AE50D49}"/>
    <cellStyle name="Normal 8 3 15" xfId="362" xr:uid="{DF874AAD-4EF2-4125-B562-2E8F2AA10DA5}"/>
    <cellStyle name="Normal 8 3 16" xfId="435" xr:uid="{1D6D3703-C72C-4A10-8465-1A5974101EAC}"/>
    <cellStyle name="Normal 8 3 2" xfId="363" xr:uid="{2C80FC79-960A-44E1-9884-7C4A1A107677}"/>
    <cellStyle name="Normal 8 3 3" xfId="364" xr:uid="{DE483453-6F69-4D23-B717-28730935632F}"/>
    <cellStyle name="Normal 8 3 4" xfId="365" xr:uid="{5DFE2100-AA76-4F9B-8662-B0D9E1A9EB8D}"/>
    <cellStyle name="Normal 8 3 5" xfId="366" xr:uid="{5D0EB3C0-0B79-447B-9522-6EBD0F100BB2}"/>
    <cellStyle name="Normal 8 3 6" xfId="367" xr:uid="{8168162B-2302-4559-A0A4-BAB98AC10D97}"/>
    <cellStyle name="Normal 8 3 7" xfId="368" xr:uid="{B7500586-431A-415C-9CE6-8B9ED77B4A74}"/>
    <cellStyle name="Normal 8 3 8" xfId="369" xr:uid="{396C3018-036E-4BC6-BE08-49FE856F9B24}"/>
    <cellStyle name="Normal 8 3 9" xfId="370" xr:uid="{4D102E71-711F-480F-A631-62F26FA3E7FC}"/>
    <cellStyle name="Normal 8 4" xfId="371" xr:uid="{8C34504B-BA67-41C5-8E11-9E3DE30010AC}"/>
    <cellStyle name="Normal 8 5" xfId="372" xr:uid="{3AD80E2A-CCC3-4395-854D-BB4DB2E32BD0}"/>
    <cellStyle name="Normal 8 6" xfId="373" xr:uid="{D25D9C3B-1C02-4ADD-B285-1EECBF5DE86C}"/>
    <cellStyle name="Normal 8 7" xfId="374" xr:uid="{77A0514C-EAEA-4C17-A333-829CE7C5D516}"/>
    <cellStyle name="Normal 8 8" xfId="375" xr:uid="{6585927E-B5A5-4CD4-96B4-FB2C715F1BF2}"/>
    <cellStyle name="Normal 8 9" xfId="376" xr:uid="{A70F6206-BC73-4F97-A5B2-C27251297554}"/>
    <cellStyle name="Normal 9" xfId="377" xr:uid="{8FFCE9C3-D0E0-4C7B-A198-D1909DFD0C99}"/>
    <cellStyle name="Normal 9 10" xfId="378" xr:uid="{4360617C-4EEC-4641-A3B5-66065FB20419}"/>
    <cellStyle name="Normal 9 11" xfId="379" xr:uid="{1EEC5D6E-2533-4031-BF35-6414707CABF5}"/>
    <cellStyle name="Normal 9 12" xfId="380" xr:uid="{25BCEC7B-91CA-41DD-AE63-8D6970361B3E}"/>
    <cellStyle name="Normal 9 13" xfId="381" xr:uid="{D1CE4386-A8DC-4D03-A1BD-3822C7EAFF5E}"/>
    <cellStyle name="Normal 9 14" xfId="382" xr:uid="{D45D201F-D55D-4D98-9465-42E665FECF6B}"/>
    <cellStyle name="Normal 9 15" xfId="383" xr:uid="{9F2DDC28-35C2-4CE3-AA4A-C21D5E99F8DB}"/>
    <cellStyle name="Normal 9 16" xfId="384" xr:uid="{4DE26C2F-651E-431C-9B9B-00415AAA6339}"/>
    <cellStyle name="Normal 9 17" xfId="436" xr:uid="{1FA67597-FC76-4636-A509-BFCF71A08B97}"/>
    <cellStyle name="Normal 9 2" xfId="385" xr:uid="{5C4A9D07-E049-4945-B5CF-BD6E8B33217C}"/>
    <cellStyle name="Normal 9 2 2" xfId="437" xr:uid="{93A0DAED-B536-496A-96D9-14304AE9929E}"/>
    <cellStyle name="Normal 9 3" xfId="386" xr:uid="{486F014E-58F7-4826-B087-638C914C84F7}"/>
    <cellStyle name="Normal 9 4" xfId="387" xr:uid="{AF03B1EB-3518-49E2-A7A1-23C8576D1336}"/>
    <cellStyle name="Normal 9 5" xfId="388" xr:uid="{878D6D3F-4D8F-4502-90C6-35C8D4A8B781}"/>
    <cellStyle name="Normal 9 6" xfId="389" xr:uid="{6B10317E-2C26-485B-B199-D1BE6BD5B943}"/>
    <cellStyle name="Normal 9 7" xfId="390" xr:uid="{452F48DD-2C5F-4837-836A-C2EDEEC34402}"/>
    <cellStyle name="Normal 9 8" xfId="391" xr:uid="{0C66E0FF-1D24-4E05-997F-3155956C7980}"/>
    <cellStyle name="Normal 9 9" xfId="392" xr:uid="{181884AD-D27D-4233-8411-8721F7BDFD06}"/>
    <cellStyle name="Nota" xfId="504" xr:uid="{A9BDFA1F-0490-4E0B-887B-00C4B426FEE6}"/>
    <cellStyle name="Note" xfId="455" builtinId="10" customBuiltin="1"/>
    <cellStyle name="Note 2" xfId="393" xr:uid="{EB715215-0F72-4D5C-B4E3-81E02D9420F7}"/>
    <cellStyle name="Output" xfId="450" builtinId="21" customBuiltin="1"/>
    <cellStyle name="Per cent" xfId="2" builtinId="5"/>
    <cellStyle name="Percent 2" xfId="394" xr:uid="{6B0AB969-DC6D-4E90-B7EE-93BB93A2B5A5}"/>
    <cellStyle name="Percent 2 2" xfId="395" xr:uid="{D5A74335-A11A-45AC-A6B4-87DA40D36AB6}"/>
    <cellStyle name="Percent 2 3" xfId="438" xr:uid="{20580DF5-575C-4847-A728-ECD25C2161A8}"/>
    <cellStyle name="Percent 3" xfId="396" xr:uid="{CD3D4DA7-2DD7-4434-85BC-5239EA1767D4}"/>
    <cellStyle name="Percent 3 2" xfId="397" xr:uid="{1DADB108-67B5-40CA-AC52-99E2E68AA665}"/>
    <cellStyle name="Percent 3 2 2" xfId="440" xr:uid="{1953C399-EB86-4AD2-943C-AB6FF5CD3C33}"/>
    <cellStyle name="Percent 3 3" xfId="439" xr:uid="{957C9DE3-F7D6-46E2-BA11-F335F7A19D25}"/>
    <cellStyle name="Percent 4" xfId="5" xr:uid="{88153AA7-CF63-41B0-90CC-9EED32C9156D}"/>
    <cellStyle name="Style 1" xfId="398" xr:uid="{818DAA40-563E-4CB9-B7AC-5FADA1B5AA42}"/>
    <cellStyle name="Style 1 2" xfId="441" xr:uid="{FAA9AB2A-5A89-41FE-9D84-871A8ECE2611}"/>
    <cellStyle name="Testo avviso" xfId="505" xr:uid="{8A5312B2-05F5-4342-B02C-EDEE55535635}"/>
    <cellStyle name="Testo descrittivo" xfId="506" xr:uid="{2B45E1C5-4525-479E-9B04-65224A68D579}"/>
    <cellStyle name="Title" xfId="442" builtinId="15" customBuiltin="1"/>
    <cellStyle name="Title 2" xfId="528" xr:uid="{C9D597B9-8F8F-421C-8F66-3927554E6DEE}"/>
    <cellStyle name="Titolo" xfId="507" xr:uid="{8A528BDD-98C3-40A6-A9EE-D6D02523B455}"/>
    <cellStyle name="Titolo 1" xfId="508" xr:uid="{FD7D40FC-9DA0-4A68-B66D-5B0CCA10E4FF}"/>
    <cellStyle name="Titolo 2" xfId="509" xr:uid="{97C5DCB9-C12D-40FA-9C48-9BE8B33D879C}"/>
    <cellStyle name="Titolo 3" xfId="510" xr:uid="{140C8AE7-D3CE-4689-85EE-8C0365518B16}"/>
    <cellStyle name="Titolo 4" xfId="511" xr:uid="{1388E510-BD83-4BD5-90A0-FBAD3AFB260A}"/>
    <cellStyle name="Total" xfId="457" builtinId="25" customBuiltin="1"/>
    <cellStyle name="Totale" xfId="512" xr:uid="{08121089-3BC7-4509-BBE9-4DFC73F9BBB4}"/>
    <cellStyle name="Valore non valido" xfId="513" xr:uid="{AAEED5FC-E1A9-475C-8EBC-CDD8B50C4A06}"/>
    <cellStyle name="Valore valido" xfId="514" xr:uid="{45AC93CD-C44E-4217-9ECF-D57044E9E143}"/>
    <cellStyle name="Warning Text" xfId="454" builtinId="11" customBuiltin="1"/>
  </cellStyles>
  <dxfs count="2">
    <dxf>
      <font>
        <b/>
        <sz val="11"/>
        <color rgb="FFFFFFFF"/>
      </font>
      <fill>
        <patternFill>
          <bgColor rgb="FFFF0000"/>
        </patternFill>
      </fill>
    </dxf>
    <dxf>
      <font>
        <sz val="11"/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8AC9-9F60-4D3C-B2F2-1F642B58ED13}">
  <dimension ref="C1:G19"/>
  <sheetViews>
    <sheetView zoomScale="168" zoomScaleNormal="100" workbookViewId="0">
      <selection activeCell="D14" sqref="D14"/>
    </sheetView>
  </sheetViews>
  <sheetFormatPr baseColWidth="10" defaultColWidth="8.83203125" defaultRowHeight="15" x14ac:dyDescent="0.2"/>
  <cols>
    <col min="3" max="3" width="42.5" customWidth="1"/>
    <col min="4" max="4" width="16.5" customWidth="1"/>
    <col min="7" max="7" width="9.83203125" bestFit="1" customWidth="1"/>
  </cols>
  <sheetData>
    <row r="1" spans="3:7" ht="16" thickBot="1" x14ac:dyDescent="0.25"/>
    <row r="2" spans="3:7" x14ac:dyDescent="0.2">
      <c r="C2" s="143" t="s">
        <v>30</v>
      </c>
      <c r="D2" s="144"/>
    </row>
    <row r="3" spans="3:7" x14ac:dyDescent="0.2">
      <c r="C3" s="145" t="s">
        <v>31</v>
      </c>
      <c r="D3" s="146"/>
    </row>
    <row r="4" spans="3:7" ht="16" thickBot="1" x14ac:dyDescent="0.25">
      <c r="C4" s="147" t="s">
        <v>68</v>
      </c>
      <c r="D4" s="148"/>
    </row>
    <row r="6" spans="3:7" ht="16" thickBot="1" x14ac:dyDescent="0.25"/>
    <row r="7" spans="3:7" ht="16" thickBot="1" x14ac:dyDescent="0.25">
      <c r="C7" s="141" t="s">
        <v>8</v>
      </c>
      <c r="D7" s="142"/>
    </row>
    <row r="8" spans="3:7" ht="16" x14ac:dyDescent="0.2">
      <c r="C8" s="3" t="s">
        <v>9</v>
      </c>
      <c r="D8" s="13">
        <v>44871</v>
      </c>
    </row>
    <row r="9" spans="3:7" ht="16" x14ac:dyDescent="0.2">
      <c r="C9" s="4" t="s">
        <v>10</v>
      </c>
      <c r="D9" s="14">
        <v>45199</v>
      </c>
    </row>
    <row r="10" spans="3:7" ht="20.25" customHeight="1" x14ac:dyDescent="0.2">
      <c r="C10" s="4" t="s">
        <v>11</v>
      </c>
      <c r="D10" s="15">
        <f>D9-D8+1</f>
        <v>329</v>
      </c>
    </row>
    <row r="11" spans="3:7" ht="33.75" customHeight="1" x14ac:dyDescent="0.2">
      <c r="C11" s="4" t="s">
        <v>70</v>
      </c>
      <c r="D11" s="16">
        <v>112980</v>
      </c>
    </row>
    <row r="12" spans="3:7" ht="18" x14ac:dyDescent="0.2">
      <c r="C12" s="4" t="s">
        <v>12</v>
      </c>
      <c r="D12" s="15">
        <v>0.93049999999999999</v>
      </c>
    </row>
    <row r="13" spans="3:7" ht="16" x14ac:dyDescent="0.2">
      <c r="C13" s="4" t="s">
        <v>13</v>
      </c>
      <c r="D13" s="27">
        <f>ROUNDDOWN((D11/365)*D10,0)</f>
        <v>101836</v>
      </c>
    </row>
    <row r="14" spans="3:7" ht="16" x14ac:dyDescent="0.2">
      <c r="C14" s="4" t="s">
        <v>14</v>
      </c>
      <c r="D14" s="28">
        <f>'Emission Reduction '!N16</f>
        <v>121511</v>
      </c>
      <c r="G14" s="1"/>
    </row>
    <row r="15" spans="3:7" ht="16" x14ac:dyDescent="0.2">
      <c r="C15" s="5" t="s">
        <v>15</v>
      </c>
      <c r="D15" s="17">
        <f>(D14-D13)/D13</f>
        <v>0.19320279665344278</v>
      </c>
    </row>
    <row r="16" spans="3:7" ht="16" x14ac:dyDescent="0.2">
      <c r="C16" s="4" t="s">
        <v>16</v>
      </c>
      <c r="D16" s="140">
        <f>'Emission Reduction '!J16</f>
        <v>130587.552215</v>
      </c>
    </row>
    <row r="17" spans="3:4" ht="32" x14ac:dyDescent="0.2">
      <c r="C17" s="4" t="s">
        <v>71</v>
      </c>
      <c r="D17" s="18">
        <v>0.2</v>
      </c>
    </row>
    <row r="18" spans="3:4" ht="16" x14ac:dyDescent="0.2">
      <c r="C18" s="4" t="s">
        <v>38</v>
      </c>
      <c r="D18" s="18">
        <f>D16/(D10*70*24)</f>
        <v>0.23626348280322768</v>
      </c>
    </row>
    <row r="19" spans="3:4" ht="17" thickBot="1" x14ac:dyDescent="0.25">
      <c r="C19" s="6" t="s">
        <v>32</v>
      </c>
      <c r="D19" s="19">
        <f>(D18-D17)/D17</f>
        <v>0.18131741401613832</v>
      </c>
    </row>
  </sheetData>
  <mergeCells count="4">
    <mergeCell ref="C7:D7"/>
    <mergeCell ref="C2:D2"/>
    <mergeCell ref="C3:D3"/>
    <mergeCell ref="C4:D4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1197-4BAF-41FE-8E57-CFB1F9AF2D17}">
  <dimension ref="B1:N49"/>
  <sheetViews>
    <sheetView tabSelected="1" zoomScale="116" zoomScaleNormal="85" workbookViewId="0">
      <selection activeCell="M24" sqref="M24"/>
    </sheetView>
  </sheetViews>
  <sheetFormatPr baseColWidth="10" defaultColWidth="8.83203125" defaultRowHeight="15" x14ac:dyDescent="0.2"/>
  <cols>
    <col min="1" max="1" width="11.5" bestFit="1" customWidth="1"/>
    <col min="2" max="2" width="14.5" customWidth="1"/>
    <col min="3" max="3" width="15" style="29" customWidth="1"/>
    <col min="4" max="4" width="16.6640625" style="29" customWidth="1"/>
    <col min="5" max="5" width="14.6640625" customWidth="1"/>
    <col min="6" max="6" width="17.5" style="29" customWidth="1"/>
    <col min="7" max="7" width="15" style="29" customWidth="1"/>
    <col min="8" max="8" width="16.1640625" style="29" customWidth="1"/>
    <col min="9" max="9" width="16.6640625" style="29" customWidth="1"/>
    <col min="10" max="11" width="18.33203125" customWidth="1"/>
    <col min="12" max="12" width="15.5" customWidth="1"/>
    <col min="13" max="14" width="17.33203125" customWidth="1"/>
    <col min="15" max="15" width="16" bestFit="1" customWidth="1"/>
  </cols>
  <sheetData>
    <row r="1" spans="2:14" x14ac:dyDescent="0.2">
      <c r="C1" s="35"/>
      <c r="D1" s="35"/>
      <c r="E1" s="36"/>
      <c r="F1" s="35"/>
      <c r="G1" s="35"/>
      <c r="H1" s="35"/>
      <c r="I1" s="35"/>
    </row>
    <row r="2" spans="2:14" ht="16" thickBot="1" x14ac:dyDescent="0.25">
      <c r="C2" s="37"/>
      <c r="D2" s="37"/>
      <c r="E2" s="1"/>
      <c r="F2" s="38"/>
      <c r="G2" s="39"/>
      <c r="H2" s="37"/>
      <c r="I2" s="37"/>
    </row>
    <row r="3" spans="2:14" ht="15.75" customHeight="1" x14ac:dyDescent="0.2">
      <c r="B3" s="161" t="s">
        <v>0</v>
      </c>
      <c r="C3" s="165" t="s">
        <v>7</v>
      </c>
      <c r="D3" s="166"/>
      <c r="E3" s="166"/>
      <c r="F3" s="167"/>
      <c r="G3" s="170" t="s">
        <v>4</v>
      </c>
      <c r="H3" s="171"/>
      <c r="I3" s="172"/>
      <c r="J3" s="173" t="s">
        <v>3</v>
      </c>
      <c r="K3" s="175" t="s">
        <v>72</v>
      </c>
      <c r="L3" s="163" t="s">
        <v>1</v>
      </c>
      <c r="M3" s="168" t="s">
        <v>36</v>
      </c>
      <c r="N3" s="175" t="s">
        <v>37</v>
      </c>
    </row>
    <row r="4" spans="2:14" ht="33" thickBot="1" x14ac:dyDescent="0.25">
      <c r="B4" s="162"/>
      <c r="C4" s="68" t="s">
        <v>5</v>
      </c>
      <c r="D4" s="69" t="s">
        <v>6</v>
      </c>
      <c r="E4" s="70" t="s">
        <v>35</v>
      </c>
      <c r="F4" s="59" t="s">
        <v>2</v>
      </c>
      <c r="G4" s="24" t="s">
        <v>5</v>
      </c>
      <c r="H4" s="23" t="s">
        <v>6</v>
      </c>
      <c r="I4" s="25" t="s">
        <v>2</v>
      </c>
      <c r="J4" s="174"/>
      <c r="K4" s="176"/>
      <c r="L4" s="164"/>
      <c r="M4" s="169"/>
      <c r="N4" s="176"/>
    </row>
    <row r="5" spans="2:14" ht="14.25" customHeight="1" x14ac:dyDescent="0.2">
      <c r="B5" s="55">
        <v>44871</v>
      </c>
      <c r="C5" s="60">
        <f>11253840*25/30</f>
        <v>9378200</v>
      </c>
      <c r="D5" s="40">
        <f>62580*25/30</f>
        <v>52150</v>
      </c>
      <c r="E5" s="40">
        <f>I5-F5</f>
        <v>54209.824999999255</v>
      </c>
      <c r="F5" s="61">
        <f>11126208.21*25/30</f>
        <v>9271840.1750000007</v>
      </c>
      <c r="G5" s="60">
        <f>11253840*25/30</f>
        <v>9378200</v>
      </c>
      <c r="H5" s="40">
        <f>62580*25/30</f>
        <v>52150</v>
      </c>
      <c r="I5" s="61">
        <f>G5-H5</f>
        <v>9326050</v>
      </c>
      <c r="J5" s="72">
        <f>J30/1000</f>
        <v>9073.6141750000006</v>
      </c>
      <c r="K5" s="213">
        <f>J5+J6</f>
        <v>20416.465445000002</v>
      </c>
      <c r="L5" s="82">
        <v>0.93049999999999999</v>
      </c>
      <c r="M5" s="77">
        <f>L5*J5</f>
        <v>8442.9979898375004</v>
      </c>
      <c r="N5" s="159">
        <f>ROUNDDOWN(SUM(M5:M6),0)</f>
        <v>18997</v>
      </c>
    </row>
    <row r="6" spans="2:14" ht="16" thickBot="1" x14ac:dyDescent="0.25">
      <c r="B6" s="56">
        <v>44901</v>
      </c>
      <c r="C6" s="62">
        <v>11474640</v>
      </c>
      <c r="D6" s="34">
        <v>64920</v>
      </c>
      <c r="E6" s="33">
        <f>I6-F6</f>
        <v>66868.730000000447</v>
      </c>
      <c r="F6" s="63">
        <v>11342851.27</v>
      </c>
      <c r="G6" s="62">
        <v>11474640</v>
      </c>
      <c r="H6" s="34">
        <v>64920</v>
      </c>
      <c r="I6" s="63">
        <f t="shared" ref="I6:I15" si="0">G6-H6</f>
        <v>11409720</v>
      </c>
      <c r="J6" s="73">
        <f t="shared" ref="J6:J15" si="1">MIN(F6,I6)/1000</f>
        <v>11342.851269999999</v>
      </c>
      <c r="K6" s="214"/>
      <c r="L6" s="83">
        <v>0.93049999999999999</v>
      </c>
      <c r="M6" s="78">
        <f>L6*J6</f>
        <v>10554.523106735</v>
      </c>
      <c r="N6" s="160"/>
    </row>
    <row r="7" spans="2:14" x14ac:dyDescent="0.2">
      <c r="B7" s="57">
        <v>44932</v>
      </c>
      <c r="C7" s="64">
        <v>11250120</v>
      </c>
      <c r="D7" s="32">
        <v>66900</v>
      </c>
      <c r="E7" s="31">
        <f t="shared" ref="E7:E15" si="2">I7-F7</f>
        <v>66445.300000000745</v>
      </c>
      <c r="F7" s="65">
        <v>11116774.699999999</v>
      </c>
      <c r="G7" s="64">
        <v>11250120</v>
      </c>
      <c r="H7" s="32">
        <v>66900</v>
      </c>
      <c r="I7" s="65">
        <f t="shared" si="0"/>
        <v>11183220</v>
      </c>
      <c r="J7" s="74">
        <f t="shared" si="1"/>
        <v>11116.7747</v>
      </c>
      <c r="K7" s="215">
        <f>SUM(J7:J15)</f>
        <v>110171.08677000001</v>
      </c>
      <c r="L7" s="84">
        <v>0.93049999999999999</v>
      </c>
      <c r="M7" s="79">
        <f>L7*J7</f>
        <v>10344.15885835</v>
      </c>
      <c r="N7" s="158">
        <f>ROUNDDOWN(SUM(M7:M15),0)</f>
        <v>102514</v>
      </c>
    </row>
    <row r="8" spans="2:14" x14ac:dyDescent="0.2">
      <c r="B8" s="58">
        <v>44963</v>
      </c>
      <c r="C8" s="66">
        <v>11784180</v>
      </c>
      <c r="D8" s="30">
        <v>57060</v>
      </c>
      <c r="E8" s="20">
        <f t="shared" si="2"/>
        <v>68230.900000000373</v>
      </c>
      <c r="F8" s="67">
        <v>11658889.1</v>
      </c>
      <c r="G8" s="66">
        <v>11784180</v>
      </c>
      <c r="H8" s="30">
        <v>57060</v>
      </c>
      <c r="I8" s="67">
        <f t="shared" si="0"/>
        <v>11727120</v>
      </c>
      <c r="J8" s="75">
        <f t="shared" si="1"/>
        <v>11658.8891</v>
      </c>
      <c r="K8" s="216"/>
      <c r="L8" s="85">
        <v>0.93049999999999999</v>
      </c>
      <c r="M8" s="80">
        <f>L8*J8</f>
        <v>10848.59630755</v>
      </c>
      <c r="N8" s="159"/>
    </row>
    <row r="9" spans="2:14" x14ac:dyDescent="0.2">
      <c r="B9" s="58">
        <v>44991</v>
      </c>
      <c r="C9" s="66">
        <v>12715620</v>
      </c>
      <c r="D9" s="30">
        <v>57180</v>
      </c>
      <c r="E9" s="20">
        <f t="shared" si="2"/>
        <v>74371.88000000082</v>
      </c>
      <c r="F9" s="67">
        <v>12584068.119999999</v>
      </c>
      <c r="G9" s="66">
        <v>12715620</v>
      </c>
      <c r="H9" s="30">
        <v>57180</v>
      </c>
      <c r="I9" s="67">
        <f t="shared" si="0"/>
        <v>12658440</v>
      </c>
      <c r="J9" s="75">
        <f t="shared" si="1"/>
        <v>12584.06812</v>
      </c>
      <c r="K9" s="216"/>
      <c r="L9" s="85">
        <v>0.93049999999999999</v>
      </c>
      <c r="M9" s="80">
        <f>L9*J9</f>
        <v>11709.47538566</v>
      </c>
      <c r="N9" s="159"/>
    </row>
    <row r="10" spans="2:14" x14ac:dyDescent="0.2">
      <c r="B10" s="58">
        <v>45022</v>
      </c>
      <c r="C10" s="66">
        <v>12588600</v>
      </c>
      <c r="D10" s="30">
        <v>52680</v>
      </c>
      <c r="E10" s="20">
        <f t="shared" si="2"/>
        <v>70217.25</v>
      </c>
      <c r="F10" s="67">
        <v>12465702.75</v>
      </c>
      <c r="G10" s="66">
        <v>12588600</v>
      </c>
      <c r="H10" s="30">
        <v>52680</v>
      </c>
      <c r="I10" s="67">
        <f t="shared" si="0"/>
        <v>12535920</v>
      </c>
      <c r="J10" s="75">
        <f t="shared" si="1"/>
        <v>12465.70275</v>
      </c>
      <c r="K10" s="216"/>
      <c r="L10" s="85">
        <v>0.93049999999999999</v>
      </c>
      <c r="M10" s="80">
        <f>L10*J10</f>
        <v>11599.336408875</v>
      </c>
      <c r="N10" s="159"/>
    </row>
    <row r="11" spans="2:14" x14ac:dyDescent="0.2">
      <c r="B11" s="58">
        <v>45052</v>
      </c>
      <c r="C11" s="66">
        <v>11977380</v>
      </c>
      <c r="D11" s="30">
        <v>53220</v>
      </c>
      <c r="E11" s="20">
        <f t="shared" si="2"/>
        <v>64428.560000000522</v>
      </c>
      <c r="F11" s="67">
        <v>11859731.439999999</v>
      </c>
      <c r="G11" s="66">
        <v>11977380</v>
      </c>
      <c r="H11" s="30">
        <v>53220</v>
      </c>
      <c r="I11" s="67">
        <f t="shared" si="0"/>
        <v>11924160</v>
      </c>
      <c r="J11" s="75">
        <f t="shared" si="1"/>
        <v>11859.73144</v>
      </c>
      <c r="K11" s="216"/>
      <c r="L11" s="85">
        <v>0.93049999999999999</v>
      </c>
      <c r="M11" s="80">
        <f>L11*J11</f>
        <v>11035.48010492</v>
      </c>
      <c r="N11" s="159"/>
    </row>
    <row r="12" spans="2:14" x14ac:dyDescent="0.2">
      <c r="B12" s="58">
        <v>45083</v>
      </c>
      <c r="C12" s="66">
        <v>12568320</v>
      </c>
      <c r="D12" s="30">
        <v>53520</v>
      </c>
      <c r="E12" s="20">
        <f t="shared" si="2"/>
        <v>72779.140000000596</v>
      </c>
      <c r="F12" s="67">
        <v>12442020.859999999</v>
      </c>
      <c r="G12" s="66">
        <v>12568320</v>
      </c>
      <c r="H12" s="30">
        <v>53520</v>
      </c>
      <c r="I12" s="67">
        <f t="shared" si="0"/>
        <v>12514800</v>
      </c>
      <c r="J12" s="75">
        <f t="shared" si="1"/>
        <v>12442.020859999999</v>
      </c>
      <c r="K12" s="216"/>
      <c r="L12" s="85">
        <v>0.93049999999999999</v>
      </c>
      <c r="M12" s="80">
        <f>L12*J12</f>
        <v>11577.300410229998</v>
      </c>
      <c r="N12" s="159"/>
    </row>
    <row r="13" spans="2:14" x14ac:dyDescent="0.2">
      <c r="B13" s="58">
        <v>45113</v>
      </c>
      <c r="C13" s="66">
        <v>12204120</v>
      </c>
      <c r="D13" s="30">
        <v>55680</v>
      </c>
      <c r="E13" s="20">
        <f t="shared" si="2"/>
        <v>73082.210000000894</v>
      </c>
      <c r="F13" s="67">
        <v>12075357.789999999</v>
      </c>
      <c r="G13" s="66">
        <v>12204120</v>
      </c>
      <c r="H13" s="30">
        <v>55680</v>
      </c>
      <c r="I13" s="67">
        <f t="shared" si="0"/>
        <v>12148440</v>
      </c>
      <c r="J13" s="75">
        <f t="shared" si="1"/>
        <v>12075.357789999998</v>
      </c>
      <c r="K13" s="216"/>
      <c r="L13" s="85">
        <v>0.93049999999999999</v>
      </c>
      <c r="M13" s="80">
        <f>L13*J13</f>
        <v>11236.120423594999</v>
      </c>
      <c r="N13" s="159"/>
    </row>
    <row r="14" spans="2:14" x14ac:dyDescent="0.2">
      <c r="B14" s="58">
        <v>45144</v>
      </c>
      <c r="C14" s="66">
        <v>13562400</v>
      </c>
      <c r="D14" s="30">
        <v>56400</v>
      </c>
      <c r="E14" s="20">
        <f t="shared" si="2"/>
        <v>78535.289999999106</v>
      </c>
      <c r="F14" s="67">
        <v>13427464.710000001</v>
      </c>
      <c r="G14" s="66">
        <v>13562400</v>
      </c>
      <c r="H14" s="30">
        <v>56400</v>
      </c>
      <c r="I14" s="67">
        <f t="shared" si="0"/>
        <v>13506000</v>
      </c>
      <c r="J14" s="75">
        <f t="shared" si="1"/>
        <v>13427.46471</v>
      </c>
      <c r="K14" s="216"/>
      <c r="L14" s="85">
        <v>0.93049999999999999</v>
      </c>
      <c r="M14" s="80">
        <f>L14*J14</f>
        <v>12494.255912655</v>
      </c>
      <c r="N14" s="159"/>
    </row>
    <row r="15" spans="2:14" ht="16" thickBot="1" x14ac:dyDescent="0.25">
      <c r="B15" s="56">
        <v>45175</v>
      </c>
      <c r="C15" s="62">
        <v>12671160</v>
      </c>
      <c r="D15" s="34">
        <v>56100</v>
      </c>
      <c r="E15" s="33">
        <f t="shared" si="2"/>
        <v>73982.699999999255</v>
      </c>
      <c r="F15" s="63">
        <v>12541077.300000001</v>
      </c>
      <c r="G15" s="62">
        <v>12671160</v>
      </c>
      <c r="H15" s="34">
        <v>56100</v>
      </c>
      <c r="I15" s="63">
        <f t="shared" si="0"/>
        <v>12615060</v>
      </c>
      <c r="J15" s="76">
        <f t="shared" si="1"/>
        <v>12541.077300000001</v>
      </c>
      <c r="K15" s="217"/>
      <c r="L15" s="86">
        <v>0.93049999999999999</v>
      </c>
      <c r="M15" s="81">
        <f>L15*J15</f>
        <v>11669.47242765</v>
      </c>
      <c r="N15" s="160"/>
    </row>
    <row r="16" spans="2:14" ht="16" thickBot="1" x14ac:dyDescent="0.25">
      <c r="B16" s="21" t="s">
        <v>33</v>
      </c>
      <c r="C16" s="43">
        <f>SUM(C5:C15)</f>
        <v>132174740</v>
      </c>
      <c r="D16" s="41">
        <f>SUM(D5:D15)</f>
        <v>625810</v>
      </c>
      <c r="E16" s="42"/>
      <c r="F16" s="44">
        <f>SUM(F5:F15)</f>
        <v>130785778.21499999</v>
      </c>
      <c r="G16" s="43">
        <f>SUM(G5:G15)</f>
        <v>132174740</v>
      </c>
      <c r="H16" s="41">
        <f>SUM(H5:H15)</f>
        <v>625810</v>
      </c>
      <c r="I16" s="44">
        <f>SUM(I5:I15)</f>
        <v>131548930</v>
      </c>
      <c r="J16" s="138">
        <f>SUM(J5:J15)</f>
        <v>130587.552215</v>
      </c>
      <c r="K16" s="138">
        <f>K5+K7</f>
        <v>130587.552215</v>
      </c>
      <c r="L16" s="46"/>
      <c r="M16" s="45"/>
      <c r="N16" s="71">
        <f>ROUNDDOWN(SUM(N5:N15),0)</f>
        <v>121511</v>
      </c>
    </row>
    <row r="18" spans="2:14" ht="19.5" customHeight="1" x14ac:dyDescent="0.2">
      <c r="B18" s="178" t="s">
        <v>39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</row>
    <row r="21" spans="2:14" x14ac:dyDescent="0.2">
      <c r="B21" s="150" t="s">
        <v>46</v>
      </c>
      <c r="C21" s="150"/>
      <c r="D21" s="150"/>
      <c r="E21" s="150"/>
      <c r="G21" s="210" t="s">
        <v>57</v>
      </c>
      <c r="H21" s="211"/>
      <c r="I21" s="211"/>
      <c r="J21" s="211"/>
      <c r="K21" s="211"/>
      <c r="L21" s="212"/>
    </row>
    <row r="22" spans="2:14" x14ac:dyDescent="0.2">
      <c r="B22" s="177" t="s">
        <v>43</v>
      </c>
      <c r="C22" s="149" t="s">
        <v>44</v>
      </c>
      <c r="D22" s="149" t="s">
        <v>45</v>
      </c>
      <c r="E22" s="149" t="s">
        <v>49</v>
      </c>
      <c r="G22" s="151" t="s">
        <v>50</v>
      </c>
      <c r="H22" s="152"/>
      <c r="I22" s="149" t="s">
        <v>53</v>
      </c>
      <c r="J22" s="149" t="s">
        <v>54</v>
      </c>
      <c r="K22" s="149" t="s">
        <v>49</v>
      </c>
    </row>
    <row r="23" spans="2:14" ht="15" customHeight="1" x14ac:dyDescent="0.2">
      <c r="B23" s="177"/>
      <c r="C23" s="149"/>
      <c r="D23" s="149"/>
      <c r="E23" s="149" t="s">
        <v>48</v>
      </c>
      <c r="G23" s="105" t="s">
        <v>51</v>
      </c>
      <c r="H23" s="95" t="s">
        <v>52</v>
      </c>
      <c r="I23" s="149"/>
      <c r="J23" s="149"/>
      <c r="K23" s="149" t="s">
        <v>48</v>
      </c>
    </row>
    <row r="24" spans="2:14" x14ac:dyDescent="0.2">
      <c r="B24" s="96">
        <v>44871</v>
      </c>
      <c r="C24" s="97">
        <v>326.64</v>
      </c>
      <c r="D24" s="97">
        <v>2.0159999999995342</v>
      </c>
      <c r="E24" s="101">
        <f>(C24-D24)*1000</f>
        <v>324624.00000000047</v>
      </c>
      <c r="G24" s="106">
        <v>44866</v>
      </c>
      <c r="H24" s="106">
        <v>44895</v>
      </c>
      <c r="I24" s="103">
        <v>11253840</v>
      </c>
      <c r="J24" s="104">
        <v>62580</v>
      </c>
      <c r="K24" s="104">
        <f>I24-J24</f>
        <v>11191260</v>
      </c>
    </row>
    <row r="25" spans="2:14" x14ac:dyDescent="0.2">
      <c r="B25" s="96">
        <v>44872</v>
      </c>
      <c r="C25" s="97">
        <v>317.42399999999998</v>
      </c>
      <c r="D25" s="97">
        <v>2.0640000000004655</v>
      </c>
      <c r="E25" s="101">
        <f t="shared" ref="E25:E48" si="3">(C25-D25)*1000</f>
        <v>315359.99999999948</v>
      </c>
      <c r="G25" s="107">
        <v>44871</v>
      </c>
      <c r="H25" s="107">
        <v>44895</v>
      </c>
      <c r="I25" s="99">
        <f>I24*(H25-G25+1)/(H24-G24+1)</f>
        <v>9378200</v>
      </c>
      <c r="J25" s="99">
        <f>J24*(H25-G25+1)/(H24-G24+1)</f>
        <v>52150</v>
      </c>
      <c r="K25" s="99">
        <f>I25-J25</f>
        <v>9326050</v>
      </c>
    </row>
    <row r="26" spans="2:14" x14ac:dyDescent="0.2">
      <c r="B26" s="96">
        <v>44873</v>
      </c>
      <c r="C26" s="97">
        <v>255.45599999999999</v>
      </c>
      <c r="D26" s="97">
        <v>1.9680000000004656</v>
      </c>
      <c r="E26" s="101">
        <f t="shared" si="3"/>
        <v>253487.99999999951</v>
      </c>
      <c r="G26"/>
      <c r="H26"/>
      <c r="I26"/>
    </row>
    <row r="27" spans="2:14" x14ac:dyDescent="0.2">
      <c r="B27" s="96">
        <v>44874</v>
      </c>
      <c r="C27" s="97">
        <v>305.27999999999997</v>
      </c>
      <c r="D27" s="97">
        <v>2.16</v>
      </c>
      <c r="E27" s="101">
        <f t="shared" si="3"/>
        <v>303119.99999999994</v>
      </c>
      <c r="G27"/>
      <c r="H27"/>
      <c r="I27"/>
    </row>
    <row r="28" spans="2:14" ht="16" x14ac:dyDescent="0.2">
      <c r="B28" s="96">
        <v>44875</v>
      </c>
      <c r="C28" s="97">
        <v>365.71199999999999</v>
      </c>
      <c r="D28" s="97">
        <v>2.0159999999995342</v>
      </c>
      <c r="E28" s="101">
        <f t="shared" si="3"/>
        <v>363696.00000000047</v>
      </c>
      <c r="G28" s="153" t="s">
        <v>56</v>
      </c>
      <c r="H28" s="153"/>
      <c r="I28" s="153"/>
      <c r="J28" s="108">
        <f>MIN(K25,E49)</f>
        <v>9127824</v>
      </c>
      <c r="K28" s="209"/>
    </row>
    <row r="29" spans="2:14" ht="16" x14ac:dyDescent="0.2">
      <c r="B29" s="96">
        <v>44876</v>
      </c>
      <c r="C29" s="97">
        <v>294.91199999999998</v>
      </c>
      <c r="D29" s="97">
        <v>2.1119999999995342</v>
      </c>
      <c r="E29" s="101">
        <f t="shared" si="3"/>
        <v>292800.00000000047</v>
      </c>
      <c r="G29" s="154" t="s">
        <v>55</v>
      </c>
      <c r="H29" s="155"/>
      <c r="I29" s="156"/>
      <c r="J29" s="109">
        <f>65051.79*(H25-G25+1)/(H24-G24+1)</f>
        <v>54209.824999999997</v>
      </c>
      <c r="K29" s="209"/>
    </row>
    <row r="30" spans="2:14" ht="16" x14ac:dyDescent="0.2">
      <c r="B30" s="96">
        <v>44877</v>
      </c>
      <c r="C30" s="97">
        <v>372.96</v>
      </c>
      <c r="D30" s="97">
        <v>2.0640000000004655</v>
      </c>
      <c r="E30" s="101">
        <f t="shared" si="3"/>
        <v>370895.99999999948</v>
      </c>
      <c r="G30" s="157" t="s">
        <v>56</v>
      </c>
      <c r="H30" s="157"/>
      <c r="I30" s="157"/>
      <c r="J30" s="109">
        <f>J28-J29</f>
        <v>9073614.1750000007</v>
      </c>
      <c r="K30" s="209"/>
    </row>
    <row r="31" spans="2:14" x14ac:dyDescent="0.2">
      <c r="B31" s="96">
        <v>44878</v>
      </c>
      <c r="C31" s="97">
        <v>389.32799999999997</v>
      </c>
      <c r="D31" s="97">
        <v>2.1120000000000001</v>
      </c>
      <c r="E31" s="101">
        <f t="shared" si="3"/>
        <v>387215.99999999994</v>
      </c>
      <c r="G31"/>
      <c r="H31"/>
      <c r="I31"/>
    </row>
    <row r="32" spans="2:14" x14ac:dyDescent="0.2">
      <c r="B32" s="96">
        <v>44879</v>
      </c>
      <c r="C32" s="97">
        <v>370.36799999999999</v>
      </c>
      <c r="D32" s="97">
        <v>2.0639999999995342</v>
      </c>
      <c r="E32" s="101">
        <f t="shared" si="3"/>
        <v>368304.00000000047</v>
      </c>
      <c r="G32"/>
      <c r="H32"/>
      <c r="I32"/>
    </row>
    <row r="33" spans="2:9" x14ac:dyDescent="0.2">
      <c r="B33" s="96">
        <v>44880</v>
      </c>
      <c r="C33" s="97">
        <v>319.63200000000001</v>
      </c>
      <c r="D33" s="97">
        <v>2.0640000000004655</v>
      </c>
      <c r="E33" s="101">
        <f t="shared" si="3"/>
        <v>317567.99999999953</v>
      </c>
      <c r="I33"/>
    </row>
    <row r="34" spans="2:9" x14ac:dyDescent="0.2">
      <c r="B34" s="96">
        <v>44881</v>
      </c>
      <c r="C34" s="97">
        <v>380.01600000000002</v>
      </c>
      <c r="D34" s="97">
        <v>2.0640000000000001</v>
      </c>
      <c r="E34" s="101">
        <f t="shared" si="3"/>
        <v>377952</v>
      </c>
      <c r="I34"/>
    </row>
    <row r="35" spans="2:9" x14ac:dyDescent="0.2">
      <c r="B35" s="96">
        <v>44882</v>
      </c>
      <c r="C35" s="97">
        <v>396</v>
      </c>
      <c r="D35" s="97">
        <v>2.1119999999995342</v>
      </c>
      <c r="E35" s="101">
        <f t="shared" si="3"/>
        <v>393888.00000000047</v>
      </c>
      <c r="I35"/>
    </row>
    <row r="36" spans="2:9" x14ac:dyDescent="0.2">
      <c r="B36" s="96">
        <v>44883</v>
      </c>
      <c r="C36" s="97">
        <v>388.89600000000002</v>
      </c>
      <c r="D36" s="97">
        <v>2.1120000000009314</v>
      </c>
      <c r="E36" s="101">
        <f t="shared" si="3"/>
        <v>386783.99999999907</v>
      </c>
      <c r="I36"/>
    </row>
    <row r="37" spans="2:9" x14ac:dyDescent="0.2">
      <c r="B37" s="96">
        <v>44884</v>
      </c>
      <c r="C37" s="97">
        <v>390.52800000000002</v>
      </c>
      <c r="D37" s="97">
        <v>2.16</v>
      </c>
      <c r="E37" s="101">
        <f t="shared" si="3"/>
        <v>388368</v>
      </c>
      <c r="I37"/>
    </row>
    <row r="38" spans="2:9" x14ac:dyDescent="0.2">
      <c r="B38" s="96">
        <v>44885</v>
      </c>
      <c r="C38" s="97">
        <v>359.37599999999998</v>
      </c>
      <c r="D38" s="97">
        <v>2.0159999999995342</v>
      </c>
      <c r="E38" s="101">
        <f t="shared" si="3"/>
        <v>357360.00000000047</v>
      </c>
      <c r="I38"/>
    </row>
    <row r="39" spans="2:9" x14ac:dyDescent="0.2">
      <c r="B39" s="96">
        <v>44886</v>
      </c>
      <c r="C39" s="97">
        <v>385.24799999999999</v>
      </c>
      <c r="D39" s="97">
        <v>2.1119999999995342</v>
      </c>
      <c r="E39" s="101">
        <f t="shared" si="3"/>
        <v>383136.00000000047</v>
      </c>
      <c r="I39"/>
    </row>
    <row r="40" spans="2:9" x14ac:dyDescent="0.2">
      <c r="B40" s="96">
        <v>44887</v>
      </c>
      <c r="C40" s="97">
        <v>381.55200000000002</v>
      </c>
      <c r="D40" s="97">
        <v>2.1120000000009314</v>
      </c>
      <c r="E40" s="101">
        <f t="shared" si="3"/>
        <v>379439.99999999907</v>
      </c>
      <c r="I40"/>
    </row>
    <row r="41" spans="2:9" x14ac:dyDescent="0.2">
      <c r="B41" s="96">
        <v>44888</v>
      </c>
      <c r="C41" s="97">
        <v>406.12799999999999</v>
      </c>
      <c r="D41" s="97">
        <v>2.0159999999995342</v>
      </c>
      <c r="E41" s="101">
        <f t="shared" si="3"/>
        <v>404112.00000000047</v>
      </c>
      <c r="I41"/>
    </row>
    <row r="42" spans="2:9" x14ac:dyDescent="0.2">
      <c r="B42" s="96">
        <v>44889</v>
      </c>
      <c r="C42" s="97">
        <v>412.32</v>
      </c>
      <c r="D42" s="97">
        <v>2.3040000000004657</v>
      </c>
      <c r="E42" s="101">
        <f t="shared" si="3"/>
        <v>410015.99999999953</v>
      </c>
      <c r="I42"/>
    </row>
    <row r="43" spans="2:9" x14ac:dyDescent="0.2">
      <c r="B43" s="96">
        <v>44890</v>
      </c>
      <c r="C43" s="97">
        <v>407.18400000000003</v>
      </c>
      <c r="D43" s="97">
        <v>2.16</v>
      </c>
      <c r="E43" s="101">
        <f t="shared" si="3"/>
        <v>405024</v>
      </c>
      <c r="I43"/>
    </row>
    <row r="44" spans="2:9" x14ac:dyDescent="0.2">
      <c r="B44" s="96">
        <v>44891</v>
      </c>
      <c r="C44" s="97">
        <v>406.03199999999998</v>
      </c>
      <c r="D44" s="97">
        <v>2.0159999999995342</v>
      </c>
      <c r="E44" s="101">
        <f t="shared" si="3"/>
        <v>404016.00000000047</v>
      </c>
      <c r="I44"/>
    </row>
    <row r="45" spans="2:9" x14ac:dyDescent="0.2">
      <c r="B45" s="96">
        <v>44892</v>
      </c>
      <c r="C45" s="97">
        <v>400.416</v>
      </c>
      <c r="D45" s="97">
        <v>2.0640000000004655</v>
      </c>
      <c r="E45" s="101">
        <f t="shared" si="3"/>
        <v>398351.99999999953</v>
      </c>
      <c r="I45"/>
    </row>
    <row r="46" spans="2:9" x14ac:dyDescent="0.2">
      <c r="B46" s="96">
        <v>44893</v>
      </c>
      <c r="C46" s="97">
        <v>405.45600000000002</v>
      </c>
      <c r="D46" s="97">
        <v>2.2079999999990685</v>
      </c>
      <c r="E46" s="101">
        <f t="shared" si="3"/>
        <v>403248.00000000093</v>
      </c>
      <c r="G46" s="98"/>
      <c r="I46"/>
    </row>
    <row r="47" spans="2:9" x14ac:dyDescent="0.2">
      <c r="B47" s="96">
        <v>44894</v>
      </c>
      <c r="C47" s="97">
        <v>370.94400000000002</v>
      </c>
      <c r="D47" s="97">
        <v>1.9680000000004656</v>
      </c>
      <c r="E47" s="101">
        <f t="shared" si="3"/>
        <v>368975.99999999953</v>
      </c>
      <c r="I47"/>
    </row>
    <row r="48" spans="2:9" x14ac:dyDescent="0.2">
      <c r="B48" s="96">
        <v>44895</v>
      </c>
      <c r="C48" s="97">
        <v>372.19200000000001</v>
      </c>
      <c r="D48" s="97">
        <v>2.1119999999995342</v>
      </c>
      <c r="E48" s="101">
        <f t="shared" si="3"/>
        <v>370080.00000000052</v>
      </c>
      <c r="I48"/>
    </row>
    <row r="49" spans="2:5" x14ac:dyDescent="0.2">
      <c r="B49" s="99" t="s">
        <v>47</v>
      </c>
      <c r="C49" s="100">
        <f>SUM(C24:C48)*100</f>
        <v>918000</v>
      </c>
      <c r="D49" s="100">
        <f>SUM(D24:D48)*100</f>
        <v>5217.5999999999522</v>
      </c>
      <c r="E49" s="102">
        <f>SUM(E24:E48)</f>
        <v>9127824</v>
      </c>
    </row>
  </sheetData>
  <mergeCells count="26">
    <mergeCell ref="K3:K4"/>
    <mergeCell ref="K5:K6"/>
    <mergeCell ref="K7:K15"/>
    <mergeCell ref="G28:I28"/>
    <mergeCell ref="G29:I29"/>
    <mergeCell ref="G30:I30"/>
    <mergeCell ref="N7:N15"/>
    <mergeCell ref="B3:B4"/>
    <mergeCell ref="L3:L4"/>
    <mergeCell ref="C3:F3"/>
    <mergeCell ref="M3:M4"/>
    <mergeCell ref="G3:I3"/>
    <mergeCell ref="J3:J4"/>
    <mergeCell ref="N3:N4"/>
    <mergeCell ref="N5:N6"/>
    <mergeCell ref="B22:B23"/>
    <mergeCell ref="C22:C23"/>
    <mergeCell ref="D22:D23"/>
    <mergeCell ref="B18:N18"/>
    <mergeCell ref="E22:E23"/>
    <mergeCell ref="B21:E21"/>
    <mergeCell ref="I22:I23"/>
    <mergeCell ref="J22:J23"/>
    <mergeCell ref="K22:K23"/>
    <mergeCell ref="G22:H22"/>
    <mergeCell ref="G21:L21"/>
  </mergeCells>
  <conditionalFormatting sqref="C24:D48">
    <cfRule type="containsErrors" dxfId="1" priority="1">
      <formula>ISERROR(C24)</formula>
    </cfRule>
    <cfRule type="containsText" dxfId="0" priority="2" operator="containsText" text="ERROR">
      <formula>NOT(ISERROR(SEARCH("ERROR",C24)))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3C16-EE12-45EC-AFF7-AA27F8DF55C5}">
  <dimension ref="D3:J9"/>
  <sheetViews>
    <sheetView workbookViewId="0">
      <selection activeCell="I6" sqref="I6"/>
    </sheetView>
  </sheetViews>
  <sheetFormatPr baseColWidth="10" defaultColWidth="8.83203125" defaultRowHeight="15" x14ac:dyDescent="0.2"/>
  <cols>
    <col min="4" max="4" width="6.5" customWidth="1"/>
    <col min="5" max="5" width="9.83203125" customWidth="1"/>
    <col min="6" max="6" width="27.1640625" customWidth="1"/>
    <col min="7" max="8" width="15.1640625" customWidth="1"/>
    <col min="9" max="9" width="16.5" customWidth="1"/>
    <col min="10" max="10" width="22.33203125" customWidth="1"/>
  </cols>
  <sheetData>
    <row r="3" spans="4:10" ht="16" thickBot="1" x14ac:dyDescent="0.25"/>
    <row r="4" spans="4:10" x14ac:dyDescent="0.2">
      <c r="D4" s="173" t="s">
        <v>17</v>
      </c>
      <c r="E4" s="173" t="s">
        <v>34</v>
      </c>
      <c r="F4" s="161" t="s">
        <v>18</v>
      </c>
      <c r="G4" s="170" t="s">
        <v>19</v>
      </c>
      <c r="H4" s="179"/>
      <c r="I4" s="172"/>
      <c r="J4" s="180" t="s">
        <v>20</v>
      </c>
    </row>
    <row r="5" spans="4:10" ht="16" thickBot="1" x14ac:dyDescent="0.25">
      <c r="D5" s="174"/>
      <c r="E5" s="174"/>
      <c r="F5" s="162"/>
      <c r="G5" s="24">
        <v>2022</v>
      </c>
      <c r="H5" s="23">
        <v>2023</v>
      </c>
      <c r="I5" s="25" t="s">
        <v>33</v>
      </c>
      <c r="J5" s="181"/>
    </row>
    <row r="6" spans="4:10" ht="28.5" customHeight="1" x14ac:dyDescent="0.2">
      <c r="D6" s="26">
        <v>1</v>
      </c>
      <c r="E6" s="7" t="s">
        <v>21</v>
      </c>
      <c r="F6" s="9" t="s">
        <v>22</v>
      </c>
      <c r="G6" s="47">
        <f>SUM('Emission Reduction '!J5:J6)</f>
        <v>20416.465445000002</v>
      </c>
      <c r="H6" s="48">
        <f>SUM('Emission Reduction '!J7:J15)</f>
        <v>110171.08677000001</v>
      </c>
      <c r="I6" s="139">
        <f>SUM(G6:H6)</f>
        <v>130587.552215</v>
      </c>
      <c r="J6" s="10" t="s">
        <v>23</v>
      </c>
    </row>
    <row r="7" spans="4:10" x14ac:dyDescent="0.2">
      <c r="D7" s="182">
        <v>2</v>
      </c>
      <c r="E7" s="183" t="s">
        <v>24</v>
      </c>
      <c r="F7" s="184" t="s">
        <v>25</v>
      </c>
      <c r="G7" s="49">
        <v>1</v>
      </c>
      <c r="H7" s="50">
        <v>2</v>
      </c>
      <c r="I7" s="51">
        <v>3</v>
      </c>
      <c r="J7" s="11" t="s">
        <v>26</v>
      </c>
    </row>
    <row r="8" spans="4:10" x14ac:dyDescent="0.2">
      <c r="D8" s="182"/>
      <c r="E8" s="183"/>
      <c r="F8" s="184"/>
      <c r="G8" s="49">
        <v>6</v>
      </c>
      <c r="H8" s="50">
        <v>29</v>
      </c>
      <c r="I8" s="51">
        <f t="shared" ref="I8" si="0">SUM(G8:H8)</f>
        <v>35</v>
      </c>
      <c r="J8" s="11" t="s">
        <v>27</v>
      </c>
    </row>
    <row r="9" spans="4:10" ht="35.25" customHeight="1" thickBot="1" x14ac:dyDescent="0.25">
      <c r="D9" s="22">
        <v>3</v>
      </c>
      <c r="E9" s="2" t="s">
        <v>28</v>
      </c>
      <c r="F9" s="8" t="s">
        <v>29</v>
      </c>
      <c r="G9" s="52">
        <f>ROUNDDOWN(SUM('Emission Reduction '!M5:M6),0)</f>
        <v>18997</v>
      </c>
      <c r="H9" s="53">
        <f>ROUNDDOWN(SUM('Emission Reduction '!M7:M15),0)</f>
        <v>102514</v>
      </c>
      <c r="I9" s="54">
        <f>ROUNDDOWN(SUM(G9:H9),0)</f>
        <v>121511</v>
      </c>
      <c r="J9" s="12" t="s">
        <v>69</v>
      </c>
    </row>
  </sheetData>
  <mergeCells count="8">
    <mergeCell ref="G4:I4"/>
    <mergeCell ref="J4:J5"/>
    <mergeCell ref="D7:D8"/>
    <mergeCell ref="E7:E8"/>
    <mergeCell ref="F7:F8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ED69-645B-4D9A-BACA-1CCC22CC635C}">
  <dimension ref="C2:Q25"/>
  <sheetViews>
    <sheetView workbookViewId="0">
      <selection activeCell="J19" sqref="J19"/>
    </sheetView>
  </sheetViews>
  <sheetFormatPr baseColWidth="10" defaultColWidth="8.83203125" defaultRowHeight="15" x14ac:dyDescent="0.2"/>
  <cols>
    <col min="1" max="1" width="15.6640625" customWidth="1"/>
    <col min="3" max="3" width="10.5" bestFit="1" customWidth="1"/>
    <col min="4" max="4" width="15.6640625" customWidth="1"/>
    <col min="5" max="5" width="15.33203125" customWidth="1"/>
    <col min="6" max="7" width="13" customWidth="1"/>
    <col min="8" max="8" width="14.1640625" customWidth="1"/>
    <col min="9" max="10" width="15" customWidth="1"/>
    <col min="11" max="11" width="18.5" customWidth="1"/>
    <col min="12" max="12" width="13" customWidth="1"/>
    <col min="13" max="13" width="38.6640625" customWidth="1"/>
    <col min="14" max="17" width="13" customWidth="1"/>
  </cols>
  <sheetData>
    <row r="2" spans="3:17" ht="16" thickBot="1" x14ac:dyDescent="0.25"/>
    <row r="3" spans="3:17" ht="15" customHeight="1" x14ac:dyDescent="0.2">
      <c r="C3" s="165" t="s">
        <v>42</v>
      </c>
      <c r="D3" s="189"/>
      <c r="E3" s="189"/>
      <c r="F3" s="190"/>
      <c r="H3" s="198" t="s">
        <v>58</v>
      </c>
      <c r="I3" s="199"/>
      <c r="J3" s="199"/>
      <c r="K3" s="199"/>
      <c r="L3" s="199"/>
      <c r="M3" s="168"/>
    </row>
    <row r="4" spans="3:17" ht="16" thickBot="1" x14ac:dyDescent="0.25">
      <c r="C4" s="191"/>
      <c r="D4" s="192"/>
      <c r="E4" s="192"/>
      <c r="F4" s="193"/>
      <c r="H4" s="200"/>
      <c r="I4" s="201"/>
      <c r="J4" s="201"/>
      <c r="K4" s="201"/>
      <c r="L4" s="201"/>
      <c r="M4" s="169"/>
    </row>
    <row r="5" spans="3:17" x14ac:dyDescent="0.2">
      <c r="C5" s="163" t="s">
        <v>0</v>
      </c>
      <c r="D5" s="163" t="s">
        <v>3</v>
      </c>
      <c r="E5" s="163" t="s">
        <v>41</v>
      </c>
      <c r="F5" s="163" t="s">
        <v>40</v>
      </c>
      <c r="H5" s="196" t="s">
        <v>59</v>
      </c>
      <c r="I5" s="165" t="s">
        <v>51</v>
      </c>
      <c r="J5" s="206" t="s">
        <v>52</v>
      </c>
      <c r="K5" s="196" t="s">
        <v>60</v>
      </c>
      <c r="L5" s="175" t="s">
        <v>61</v>
      </c>
      <c r="M5" s="196" t="s">
        <v>62</v>
      </c>
    </row>
    <row r="6" spans="3:17" ht="16" thickBot="1" x14ac:dyDescent="0.25">
      <c r="C6" s="194"/>
      <c r="D6" s="194"/>
      <c r="E6" s="194"/>
      <c r="F6" s="195"/>
      <c r="H6" s="204"/>
      <c r="I6" s="205"/>
      <c r="J6" s="207"/>
      <c r="K6" s="197"/>
      <c r="L6" s="208"/>
      <c r="M6" s="197"/>
    </row>
    <row r="7" spans="3:17" x14ac:dyDescent="0.2">
      <c r="C7" s="92">
        <v>44871</v>
      </c>
      <c r="D7" s="110">
        <f>'Emission Reduction '!J5</f>
        <v>9073.6141750000006</v>
      </c>
      <c r="E7" s="113">
        <f>D7/(70*24*25)</f>
        <v>0.21603843273809525</v>
      </c>
      <c r="F7" s="185">
        <f>SUM(D7:D8)/(70*24*56)</f>
        <v>0.21701175005314627</v>
      </c>
      <c r="G7" s="126"/>
      <c r="H7" s="128">
        <v>2020</v>
      </c>
      <c r="I7" s="131">
        <v>43831</v>
      </c>
      <c r="J7" s="132">
        <v>44044</v>
      </c>
      <c r="K7" s="128">
        <v>88186.92</v>
      </c>
      <c r="L7" s="202">
        <f>SUM(K7:K8)/(70*24*366)</f>
        <v>0.2394644808743169</v>
      </c>
      <c r="M7" s="119" t="s">
        <v>63</v>
      </c>
      <c r="N7" s="126"/>
      <c r="O7" s="126"/>
      <c r="P7" s="126"/>
      <c r="Q7" s="126"/>
    </row>
    <row r="8" spans="3:17" ht="16" thickBot="1" x14ac:dyDescent="0.25">
      <c r="C8" s="93">
        <v>44896</v>
      </c>
      <c r="D8" s="111">
        <f>'Emission Reduction '!J6</f>
        <v>11342.851269999999</v>
      </c>
      <c r="E8" s="114">
        <f>D8/(70*24*31)</f>
        <v>0.21779668337173577</v>
      </c>
      <c r="F8" s="186"/>
      <c r="G8" s="126"/>
      <c r="H8" s="129">
        <v>2020</v>
      </c>
      <c r="I8" s="133">
        <v>44045</v>
      </c>
      <c r="J8" s="134">
        <v>44196</v>
      </c>
      <c r="K8" s="130">
        <v>59055</v>
      </c>
      <c r="L8" s="203"/>
      <c r="M8" s="120" t="s">
        <v>64</v>
      </c>
      <c r="N8" s="126"/>
      <c r="O8" s="126"/>
      <c r="P8" s="126"/>
      <c r="Q8" s="126"/>
    </row>
    <row r="9" spans="3:17" x14ac:dyDescent="0.2">
      <c r="C9" s="92">
        <v>44927</v>
      </c>
      <c r="D9" s="110">
        <f>'Emission Reduction '!J7</f>
        <v>11116.7747</v>
      </c>
      <c r="E9" s="113">
        <f>D9/(70*24*31)</f>
        <v>0.21345573540706606</v>
      </c>
      <c r="F9" s="185">
        <f>SUM(D9:D17)/(70*24*273)</f>
        <v>0.24021255618785978</v>
      </c>
      <c r="G9" s="126"/>
      <c r="H9" s="128">
        <v>2021</v>
      </c>
      <c r="I9" s="131">
        <v>44197</v>
      </c>
      <c r="J9" s="132">
        <v>44377</v>
      </c>
      <c r="K9" s="128">
        <v>76866.540000000008</v>
      </c>
      <c r="L9" s="202">
        <f>SUM(K9:K10)/(70*24*365)</f>
        <v>0.24074452054794521</v>
      </c>
      <c r="M9" s="119" t="s">
        <v>65</v>
      </c>
      <c r="N9" s="126"/>
      <c r="O9" s="126"/>
      <c r="P9" s="126"/>
      <c r="Q9" s="126"/>
    </row>
    <row r="10" spans="3:17" ht="16" thickBot="1" x14ac:dyDescent="0.25">
      <c r="C10" s="94">
        <v>44958</v>
      </c>
      <c r="D10" s="112">
        <f>'Emission Reduction '!J8</f>
        <v>11658.8891</v>
      </c>
      <c r="E10" s="115">
        <f>D10/(70*24*28)</f>
        <v>0.24785053358843537</v>
      </c>
      <c r="F10" s="187"/>
      <c r="G10" s="126"/>
      <c r="H10" s="129">
        <v>2021</v>
      </c>
      <c r="I10" s="133">
        <v>44378</v>
      </c>
      <c r="J10" s="134">
        <v>44561</v>
      </c>
      <c r="K10" s="130">
        <v>70758</v>
      </c>
      <c r="L10" s="203"/>
      <c r="M10" s="120" t="s">
        <v>66</v>
      </c>
      <c r="N10" s="126"/>
      <c r="O10" s="126"/>
      <c r="P10" s="126"/>
      <c r="Q10" s="126"/>
    </row>
    <row r="11" spans="3:17" x14ac:dyDescent="0.2">
      <c r="C11" s="94">
        <v>44986</v>
      </c>
      <c r="D11" s="112">
        <f>'Emission Reduction '!J9</f>
        <v>12584.06812</v>
      </c>
      <c r="E11" s="115">
        <f>D11/(70*24*31)</f>
        <v>0.2416295721966206</v>
      </c>
      <c r="F11" s="187"/>
      <c r="G11" s="126"/>
      <c r="H11" s="128">
        <v>2022</v>
      </c>
      <c r="I11" s="131">
        <v>44562</v>
      </c>
      <c r="J11" s="132">
        <v>44870</v>
      </c>
      <c r="K11" s="128">
        <v>127492.79605500001</v>
      </c>
      <c r="L11" s="202">
        <f>SUM(K11:K12)/(70*24*365)</f>
        <v>0.22271104081865625</v>
      </c>
      <c r="M11" s="119" t="s">
        <v>66</v>
      </c>
      <c r="N11" s="126"/>
      <c r="O11" s="126"/>
      <c r="P11" s="126"/>
      <c r="Q11" s="126"/>
    </row>
    <row r="12" spans="3:17" ht="16" thickBot="1" x14ac:dyDescent="0.25">
      <c r="C12" s="94">
        <v>45017</v>
      </c>
      <c r="D12" s="112">
        <f>'Emission Reduction '!J10</f>
        <v>12465.70275</v>
      </c>
      <c r="E12" s="115">
        <f>D12/(70*24*30)</f>
        <v>0.24733537202380954</v>
      </c>
      <c r="F12" s="187"/>
      <c r="G12" s="126"/>
      <c r="H12" s="130">
        <v>2022</v>
      </c>
      <c r="I12" s="133">
        <v>44871</v>
      </c>
      <c r="J12" s="134">
        <v>44926</v>
      </c>
      <c r="K12" s="130">
        <f>D7</f>
        <v>9073.6141750000006</v>
      </c>
      <c r="L12" s="203"/>
      <c r="M12" s="120" t="s">
        <v>67</v>
      </c>
      <c r="N12" s="126"/>
      <c r="O12" s="126"/>
      <c r="P12" s="126"/>
      <c r="Q12" s="126"/>
    </row>
    <row r="13" spans="3:17" ht="16" thickBot="1" x14ac:dyDescent="0.25">
      <c r="C13" s="94">
        <v>45047</v>
      </c>
      <c r="D13" s="112">
        <f>'Emission Reduction '!J11</f>
        <v>11859.73144</v>
      </c>
      <c r="E13" s="115">
        <f>D13/(70*24*31)</f>
        <v>0.22772141781874039</v>
      </c>
      <c r="F13" s="187"/>
      <c r="G13" s="126"/>
      <c r="H13" s="129">
        <v>2023</v>
      </c>
      <c r="I13" s="135">
        <v>44927</v>
      </c>
      <c r="J13" s="136">
        <v>45199</v>
      </c>
      <c r="K13" s="129">
        <f>SUM(D9:D17)</f>
        <v>110171.08677000001</v>
      </c>
      <c r="L13" s="137">
        <f>K13/(70*24*273)</f>
        <v>0.24021255618785978</v>
      </c>
      <c r="M13" s="90" t="s">
        <v>67</v>
      </c>
      <c r="N13" s="126"/>
      <c r="O13" s="126"/>
      <c r="P13" s="126"/>
      <c r="Q13" s="126"/>
    </row>
    <row r="14" spans="3:17" x14ac:dyDescent="0.2">
      <c r="C14" s="94">
        <v>45078</v>
      </c>
      <c r="D14" s="112">
        <f>'Emission Reduction '!J12</f>
        <v>12442.020859999999</v>
      </c>
      <c r="E14" s="115">
        <f>D14/(70*24*30)</f>
        <v>0.24686549325396823</v>
      </c>
      <c r="F14" s="187"/>
      <c r="G14" s="126"/>
      <c r="N14" s="126"/>
      <c r="O14" s="126"/>
      <c r="P14" s="126"/>
      <c r="Q14" s="126"/>
    </row>
    <row r="15" spans="3:17" x14ac:dyDescent="0.2">
      <c r="C15" s="94">
        <v>45108</v>
      </c>
      <c r="D15" s="112">
        <f>'Emission Reduction '!J13</f>
        <v>12075.357789999998</v>
      </c>
      <c r="E15" s="115">
        <f>D15/(70*24*31)</f>
        <v>0.23186170871735787</v>
      </c>
      <c r="F15" s="187"/>
      <c r="G15" s="126"/>
      <c r="N15" s="126"/>
      <c r="O15" s="126"/>
      <c r="P15" s="126"/>
      <c r="Q15" s="126"/>
    </row>
    <row r="16" spans="3:17" x14ac:dyDescent="0.2">
      <c r="C16" s="94">
        <v>45139</v>
      </c>
      <c r="D16" s="112">
        <f>'Emission Reduction '!J14</f>
        <v>13427.46471</v>
      </c>
      <c r="E16" s="115">
        <f>D16/(70*24*31)</f>
        <v>0.25782382315668201</v>
      </c>
      <c r="F16" s="187"/>
      <c r="G16" s="126"/>
      <c r="N16" s="126"/>
      <c r="O16" s="126"/>
      <c r="P16" s="126"/>
      <c r="Q16" s="126"/>
    </row>
    <row r="17" spans="3:17" ht="16" thickBot="1" x14ac:dyDescent="0.25">
      <c r="C17" s="118">
        <v>45170</v>
      </c>
      <c r="D17" s="116">
        <f>'Emission Reduction '!J15</f>
        <v>12541.077300000001</v>
      </c>
      <c r="E17" s="117">
        <f>D17/(70*24*30)</f>
        <v>0.24883089880952383</v>
      </c>
      <c r="F17" s="188"/>
      <c r="G17" s="126"/>
      <c r="N17" s="126"/>
      <c r="O17" s="126"/>
      <c r="P17" s="126"/>
      <c r="Q17" s="126"/>
    </row>
    <row r="18" spans="3:17" ht="16" thickBot="1" x14ac:dyDescent="0.25">
      <c r="C18" s="122" t="s">
        <v>33</v>
      </c>
      <c r="D18" s="123">
        <f>SUM(D7:D17)</f>
        <v>130587.552215</v>
      </c>
      <c r="E18" s="124">
        <f>AVERAGE(E7:E17)</f>
        <v>0.23610997009836684</v>
      </c>
      <c r="F18" s="125">
        <f>D18/(70*24*Summary!D10)</f>
        <v>0.23626348280322768</v>
      </c>
      <c r="G18" s="127"/>
      <c r="N18" s="127"/>
      <c r="O18" s="127"/>
      <c r="P18" s="127"/>
      <c r="Q18" s="127"/>
    </row>
    <row r="20" spans="3:17" x14ac:dyDescent="0.2"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3:17" x14ac:dyDescent="0.2"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</row>
    <row r="22" spans="3:17" x14ac:dyDescent="0.2">
      <c r="C22" s="121"/>
      <c r="D22" s="12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</row>
    <row r="23" spans="3:17" x14ac:dyDescent="0.2"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</row>
    <row r="25" spans="3:17" x14ac:dyDescent="0.2">
      <c r="C25" s="88"/>
      <c r="D25" s="87"/>
      <c r="E25" s="89"/>
    </row>
  </sheetData>
  <mergeCells count="17">
    <mergeCell ref="M5:M6"/>
    <mergeCell ref="H3:M4"/>
    <mergeCell ref="L7:L8"/>
    <mergeCell ref="L9:L10"/>
    <mergeCell ref="L11:L12"/>
    <mergeCell ref="H5:H6"/>
    <mergeCell ref="I5:I6"/>
    <mergeCell ref="J5:J6"/>
    <mergeCell ref="K5:K6"/>
    <mergeCell ref="L5:L6"/>
    <mergeCell ref="F7:F8"/>
    <mergeCell ref="F9:F17"/>
    <mergeCell ref="C3:F4"/>
    <mergeCell ref="C5:C6"/>
    <mergeCell ref="D5:D6"/>
    <mergeCell ref="E5:E6"/>
    <mergeCell ref="F5:F6"/>
  </mergeCells>
  <phoneticPr fontId="51" type="noConversion"/>
  <pageMargins left="0.7" right="0.7" top="0.75" bottom="0.75" header="0.3" footer="0.3"/>
  <ignoredErrors>
    <ignoredError sqref="E10 E12:E14" formula="1"/>
    <ignoredError sqref="L9 L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Emission Reduction </vt:lpstr>
      <vt:lpstr>SDG Summary </vt:lpstr>
      <vt:lpstr>PLF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 Shantanu Sahu</dc:creator>
  <cp:lastModifiedBy>Technical Reviewer</cp:lastModifiedBy>
  <dcterms:created xsi:type="dcterms:W3CDTF">2021-09-17T09:13:38Z</dcterms:created>
  <dcterms:modified xsi:type="dcterms:W3CDTF">2024-06-06T09:07:16Z</dcterms:modified>
</cp:coreProperties>
</file>