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deepalisharma/Documents/Tamil Nadu Projects/GS 7080/PRR Docs/PRR Pack to Completeness Check /"/>
    </mc:Choice>
  </mc:AlternateContent>
  <xr:revisionPtr revIDLastSave="0" documentId="13_ncr:1_{20C7355E-6D12-3A42-8C9C-931D5F9A172B}" xr6:coauthVersionLast="47" xr6:coauthVersionMax="47" xr10:uidLastSave="{00000000-0000-0000-0000-000000000000}"/>
  <bookViews>
    <workbookView xWindow="0" yWindow="720" windowWidth="29400" windowHeight="18400" xr2:uid="{00000000-000D-0000-FFFF-FFFF00000000}"/>
  </bookViews>
  <sheets>
    <sheet name="ER summary" sheetId="2" r:id="rId1"/>
    <sheet name="Generation sheet " sheetId="1" r:id="rId2"/>
    <sheet name="Actual SDG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7" i="1"/>
  <c r="G7" i="1" s="1"/>
  <c r="H7" i="1" s="1"/>
  <c r="J7" i="1" l="1"/>
  <c r="D7" i="2"/>
  <c r="F40" i="1" l="1"/>
  <c r="G40" i="1" s="1"/>
  <c r="C40" i="1"/>
  <c r="D8" i="2"/>
  <c r="D9" i="2" s="1"/>
  <c r="D13" i="2" s="1"/>
  <c r="F33" i="1"/>
  <c r="G33" i="1" s="1"/>
  <c r="H33" i="1" s="1"/>
  <c r="J33" i="1" s="1"/>
  <c r="D15" i="2" l="1"/>
  <c r="H40" i="1"/>
  <c r="J40" i="1" s="1"/>
  <c r="F30" i="1"/>
  <c r="G30" i="1" s="1"/>
  <c r="H30" i="1" s="1"/>
  <c r="J30" i="1" s="1"/>
  <c r="F29" i="1"/>
  <c r="G29" i="1"/>
  <c r="H29" i="1" s="1"/>
  <c r="J29" i="1" s="1"/>
  <c r="F28" i="1"/>
  <c r="G28" i="1" s="1"/>
  <c r="H28" i="1" s="1"/>
  <c r="J28" i="1" s="1"/>
  <c r="F27" i="1"/>
  <c r="G27" i="1" s="1"/>
  <c r="H27" i="1" s="1"/>
  <c r="J27" i="1" s="1"/>
  <c r="F26" i="1"/>
  <c r="G26" i="1"/>
  <c r="H26" i="1" s="1"/>
  <c r="J26" i="1" s="1"/>
  <c r="F25" i="1"/>
  <c r="G25" i="1" s="1"/>
  <c r="H25" i="1" s="1"/>
  <c r="J25" i="1" s="1"/>
  <c r="F24" i="1"/>
  <c r="G24" i="1" s="1"/>
  <c r="H24" i="1" s="1"/>
  <c r="J24" i="1" s="1"/>
  <c r="F23" i="1"/>
  <c r="G23" i="1" s="1"/>
  <c r="H23" i="1" s="1"/>
  <c r="J23" i="1" s="1"/>
  <c r="F22" i="1"/>
  <c r="G22" i="1" s="1"/>
  <c r="H22" i="1" s="1"/>
  <c r="J22" i="1" s="1"/>
  <c r="F21" i="1"/>
  <c r="G21" i="1" s="1"/>
  <c r="H21" i="1" s="1"/>
  <c r="J21" i="1" s="1"/>
  <c r="F20" i="1"/>
  <c r="G20" i="1" s="1"/>
  <c r="H20" i="1" s="1"/>
  <c r="J20" i="1" s="1"/>
  <c r="F19" i="1"/>
  <c r="G19" i="1" s="1"/>
  <c r="H19" i="1" s="1"/>
  <c r="G18" i="1"/>
  <c r="H18" i="1" s="1"/>
  <c r="G17" i="1"/>
  <c r="H17" i="1" s="1"/>
  <c r="J17" i="1" s="1"/>
  <c r="G16" i="1"/>
  <c r="H16" i="1" s="1"/>
  <c r="J16" i="1" s="1"/>
  <c r="G15" i="1"/>
  <c r="H15" i="1" s="1"/>
  <c r="J15" i="1" s="1"/>
  <c r="G14" i="1"/>
  <c r="H14" i="1" s="1"/>
  <c r="J14" i="1" s="1"/>
  <c r="G13" i="1"/>
  <c r="H13" i="1" s="1"/>
  <c r="J13" i="1" s="1"/>
  <c r="G12" i="1"/>
  <c r="F39" i="1"/>
  <c r="G39" i="1" s="1"/>
  <c r="H39" i="1" s="1"/>
  <c r="J39" i="1" s="1"/>
  <c r="F38" i="1"/>
  <c r="G38" i="1" s="1"/>
  <c r="H38" i="1" s="1"/>
  <c r="J38" i="1" s="1"/>
  <c r="F37" i="1"/>
  <c r="G37" i="1" s="1"/>
  <c r="H37" i="1" s="1"/>
  <c r="J37" i="1" s="1"/>
  <c r="F36" i="1"/>
  <c r="G36" i="1" s="1"/>
  <c r="H36" i="1" s="1"/>
  <c r="J36" i="1" s="1"/>
  <c r="F35" i="1"/>
  <c r="G35" i="1" s="1"/>
  <c r="H35" i="1" s="1"/>
  <c r="J35" i="1" s="1"/>
  <c r="F34" i="1"/>
  <c r="G34" i="1" s="1"/>
  <c r="H34" i="1" s="1"/>
  <c r="J34" i="1" s="1"/>
  <c r="F32" i="1"/>
  <c r="G32" i="1" s="1"/>
  <c r="H32" i="1" s="1"/>
  <c r="J32" i="1" s="1"/>
  <c r="F31" i="1"/>
  <c r="G31" i="1" s="1"/>
  <c r="H31" i="1" s="1"/>
  <c r="F11" i="1"/>
  <c r="G11" i="1" s="1"/>
  <c r="H11" i="1" s="1"/>
  <c r="J11" i="1" s="1"/>
  <c r="F10" i="1"/>
  <c r="G10" i="1" s="1"/>
  <c r="H10" i="1" s="1"/>
  <c r="J10" i="1" s="1"/>
  <c r="F9" i="1"/>
  <c r="G9" i="1" s="1"/>
  <c r="H9" i="1" s="1"/>
  <c r="J9" i="1" s="1"/>
  <c r="F8" i="1"/>
  <c r="G8" i="1" s="1"/>
  <c r="H8" i="1" s="1"/>
  <c r="J12" i="1" l="1"/>
  <c r="H12" i="1"/>
  <c r="J8" i="1"/>
  <c r="H41" i="1"/>
  <c r="H4" i="3" s="1"/>
  <c r="K31" i="1"/>
  <c r="J18" i="1"/>
  <c r="K7" i="1"/>
  <c r="K19" i="1"/>
  <c r="J31" i="1"/>
  <c r="N31" i="1"/>
  <c r="N7" i="1"/>
  <c r="J19" i="1"/>
  <c r="D22" i="2" s="1"/>
  <c r="N19" i="1"/>
  <c r="D23" i="2" l="1"/>
  <c r="L31" i="1"/>
  <c r="L41" i="1" s="1"/>
  <c r="L7" i="1"/>
  <c r="L19" i="1"/>
  <c r="K41" i="1"/>
  <c r="N41" i="1"/>
  <c r="J41" i="1"/>
  <c r="D21" i="2"/>
  <c r="D24" i="2" s="1"/>
  <c r="D14" i="2"/>
  <c r="G23" i="2"/>
  <c r="G21" i="2" l="1"/>
  <c r="H8" i="3"/>
  <c r="D10" i="2"/>
  <c r="D16" i="2" s="1"/>
  <c r="D17" i="2" s="1"/>
  <c r="G22" i="2"/>
  <c r="G24" i="2" l="1"/>
</calcChain>
</file>

<file path=xl/sharedStrings.xml><?xml version="1.0" encoding="utf-8"?>
<sst xmlns="http://schemas.openxmlformats.org/spreadsheetml/2006/main" count="64" uniqueCount="59">
  <si>
    <t xml:space="preserve">Month </t>
  </si>
  <si>
    <t>Emission Reduction</t>
  </si>
  <si>
    <t xml:space="preserve">Total </t>
  </si>
  <si>
    <t>Start Date Of MP</t>
  </si>
  <si>
    <t>End Date Of MP</t>
  </si>
  <si>
    <t>Total Days</t>
  </si>
  <si>
    <t>Actual ERs achieved in this MP</t>
  </si>
  <si>
    <t>tCO2e</t>
  </si>
  <si>
    <t>tCO2/year</t>
  </si>
  <si>
    <t>% Difference in ER</t>
  </si>
  <si>
    <t>Vintage-wise VERs</t>
  </si>
  <si>
    <t>Year</t>
  </si>
  <si>
    <r>
      <t>Baseline emissions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</si>
  <si>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Project emissions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</si>
  <si>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Leakage emissions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</si>
  <si>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r>
      <t>Net GHG emission reductions or removals (tCO</t>
    </r>
    <r>
      <rPr>
        <b/>
        <vertAlign val="sub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>e)</t>
    </r>
  </si>
  <si>
    <t>Project GS ID</t>
  </si>
  <si>
    <t>Project Title</t>
  </si>
  <si>
    <t>as per JMR</t>
  </si>
  <si>
    <t>MWh/year</t>
  </si>
  <si>
    <t>MWh</t>
  </si>
  <si>
    <t>S. No.</t>
  </si>
  <si>
    <t>SDG Indicator</t>
  </si>
  <si>
    <t>Values achieved</t>
  </si>
  <si>
    <t>Unit</t>
  </si>
  <si>
    <t xml:space="preserve">SDG 7:   </t>
  </si>
  <si>
    <t>Affordable and Clean Energy</t>
  </si>
  <si>
    <t xml:space="preserve">SDG 8: </t>
  </si>
  <si>
    <t>Decent Work and Economic Growth</t>
  </si>
  <si>
    <t>Number  of employees</t>
  </si>
  <si>
    <t>Number  of Trainings</t>
  </si>
  <si>
    <t>INR</t>
  </si>
  <si>
    <t xml:space="preserve">SDG 13 </t>
  </si>
  <si>
    <t>Climate Action</t>
  </si>
  <si>
    <t>As per invoice</t>
  </si>
  <si>
    <t>Net energy 
 (MWh)</t>
  </si>
  <si>
    <t>Export energy (kWh)</t>
  </si>
  <si>
    <t>Import energy 
(kWh)</t>
  </si>
  <si>
    <r>
      <t>tCO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e per annum</t>
    </r>
  </si>
  <si>
    <t>SDG Targets</t>
  </si>
  <si>
    <t>Net energy (KWh)</t>
  </si>
  <si>
    <t>72 MW Adani Ramnad Solar Power Project</t>
  </si>
  <si>
    <t>Net value</t>
  </si>
  <si>
    <t>Actual ERs achieved for current MP</t>
  </si>
  <si>
    <r>
      <t>72 MW</t>
    </r>
    <r>
      <rPr>
        <b/>
        <vertAlign val="subscript"/>
        <sz val="10"/>
        <color theme="1"/>
        <rFont val="Calibri"/>
        <family val="2"/>
        <scheme val="minor"/>
      </rPr>
      <t>ac</t>
    </r>
    <r>
      <rPr>
        <b/>
        <sz val="10"/>
        <color theme="1"/>
        <rFont val="Calibri"/>
        <family val="2"/>
        <scheme val="minor"/>
      </rPr>
      <t xml:space="preserve"> Ramnad Solar Power Project</t>
    </r>
  </si>
  <si>
    <t>Annual ER Estimated in the Registered PDD</t>
  </si>
  <si>
    <t>Net Generation Estimated for this monitoring period as per Registered PDD</t>
  </si>
  <si>
    <t>Annual Net Generation Estimated  As per Registered PDD</t>
  </si>
  <si>
    <t xml:space="preserve">Actual Net Generation Achieved for for current monitoring period </t>
  </si>
  <si>
    <t>Estimated ER equivalent to this MP as per Registered PDD</t>
  </si>
  <si>
    <t>PLF</t>
  </si>
  <si>
    <t>Electricity generated Vintage wise</t>
  </si>
  <si>
    <t>Emission reduction Vintage wise 
Break-up</t>
  </si>
  <si>
    <t>As per JMR</t>
  </si>
  <si>
    <t>Net energy  (Mwh)</t>
  </si>
  <si>
    <t>Version</t>
  </si>
  <si>
    <t>Date</t>
  </si>
  <si>
    <t>Note : For the Month of October-23 apportioning is done.</t>
  </si>
  <si>
    <r>
      <t>Emission factor
(tCO</t>
    </r>
    <r>
      <rPr>
        <b/>
        <vertAlign val="subscript"/>
        <sz val="11"/>
        <color theme="1"/>
        <rFont val="Franklin Gothic Book"/>
        <family val="2"/>
      </rPr>
      <t>2</t>
    </r>
    <r>
      <rPr>
        <b/>
        <sz val="11"/>
        <color theme="1"/>
        <rFont val="Franklin Gothic Book"/>
        <family val="2"/>
      </rPr>
      <t>/MWh)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</si>
</sst>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 * #,##0.00_ ;_ * \-#,##0.00_ ;_ * &quot;-&quot;??_ ;_ @_ "/>
    <numFmt numFmtId="165" formatCode="[$-409]d/mmm/yy;@"/>
    <numFmt numFmtId="166" formatCode="[$-409]dd/mmm/yy;@"/>
    <numFmt numFmtId="167" formatCode="_(* #,##0_);_(* \(#,##0\);_(* &quot;-&quot;??_);_(@_)"/>
    <numFmt numFmtId="168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Franklin Gothic Book"/>
      <family val="2"/>
    </font>
    <font>
      <b/>
      <sz val="10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Franklin Gothic Book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sz val="10"/>
      <color theme="1"/>
      <name val="Avenir Book"/>
      <family val="2"/>
    </font>
    <font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vertAlign val="subscript"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bscript"/>
      <sz val="11"/>
      <color theme="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2" fillId="2" borderId="0" xfId="2" applyFont="1" applyFill="1" applyBorder="1" applyAlignment="1">
      <alignment horizontal="right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7" fontId="2" fillId="2" borderId="1" xfId="1" applyNumberFormat="1" applyFont="1" applyFill="1" applyBorder="1" applyAlignment="1">
      <alignment horizontal="right" vertical="center"/>
    </xf>
    <xf numFmtId="1" fontId="7" fillId="2" borderId="0" xfId="0" applyNumberFormat="1" applyFont="1" applyFill="1"/>
    <xf numFmtId="9" fontId="2" fillId="2" borderId="8" xfId="2" applyFont="1" applyFill="1" applyBorder="1" applyAlignment="1">
      <alignment horizontal="right"/>
    </xf>
    <xf numFmtId="0" fontId="7" fillId="2" borderId="0" xfId="0" applyFont="1" applyFill="1" applyAlignment="1">
      <alignment vertical="center"/>
    </xf>
    <xf numFmtId="167" fontId="7" fillId="2" borderId="2" xfId="0" applyNumberFormat="1" applyFont="1" applyFill="1" applyBorder="1" applyAlignment="1">
      <alignment horizontal="center" vertical="center" wrapText="1"/>
    </xf>
    <xf numFmtId="167" fontId="7" fillId="2" borderId="14" xfId="0" applyNumberFormat="1" applyFont="1" applyFill="1" applyBorder="1" applyAlignment="1">
      <alignment horizontal="center" vertical="center" wrapText="1"/>
    </xf>
    <xf numFmtId="167" fontId="7" fillId="2" borderId="16" xfId="0" applyNumberFormat="1" applyFont="1" applyFill="1" applyBorder="1" applyAlignment="1">
      <alignment horizontal="center" vertical="center" wrapText="1"/>
    </xf>
    <xf numFmtId="167" fontId="7" fillId="2" borderId="17" xfId="0" applyNumberFormat="1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/>
    </xf>
    <xf numFmtId="0" fontId="2" fillId="3" borderId="26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167" fontId="7" fillId="2" borderId="2" xfId="0" applyNumberFormat="1" applyFont="1" applyFill="1" applyBorder="1" applyAlignment="1">
      <alignment vertical="center" wrapText="1"/>
    </xf>
    <xf numFmtId="167" fontId="7" fillId="2" borderId="16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9" fontId="8" fillId="3" borderId="9" xfId="2" applyFont="1" applyFill="1" applyBorder="1" applyAlignment="1"/>
    <xf numFmtId="0" fontId="2" fillId="3" borderId="7" xfId="0" applyFont="1" applyFill="1" applyBorder="1" applyAlignment="1">
      <alignment horizontal="left"/>
    </xf>
    <xf numFmtId="167" fontId="2" fillId="2" borderId="2" xfId="1" applyNumberFormat="1" applyFont="1" applyFill="1" applyBorder="1" applyAlignment="1">
      <alignment horizontal="right" vertical="center"/>
    </xf>
    <xf numFmtId="0" fontId="2" fillId="3" borderId="14" xfId="0" applyFont="1" applyFill="1" applyBorder="1" applyAlignment="1">
      <alignment vertical="center"/>
    </xf>
    <xf numFmtId="0" fontId="2" fillId="3" borderId="26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5" xfId="0" applyFont="1" applyFill="1" applyBorder="1" applyAlignment="1">
      <alignment horizontal="left"/>
    </xf>
    <xf numFmtId="167" fontId="2" fillId="2" borderId="3" xfId="1" applyNumberFormat="1" applyFont="1" applyFill="1" applyBorder="1" applyAlignment="1">
      <alignment horizontal="right" vertical="center"/>
    </xf>
    <xf numFmtId="0" fontId="2" fillId="3" borderId="26" xfId="0" applyFont="1" applyFill="1" applyBorder="1" applyAlignment="1">
      <alignment horizontal="left"/>
    </xf>
    <xf numFmtId="167" fontId="2" fillId="2" borderId="8" xfId="1" applyNumberFormat="1" applyFont="1" applyFill="1" applyBorder="1" applyAlignment="1">
      <alignment horizontal="right" vertical="center"/>
    </xf>
    <xf numFmtId="0" fontId="2" fillId="3" borderId="19" xfId="0" applyFont="1" applyFill="1" applyBorder="1" applyAlignment="1">
      <alignment horizontal="left" vertic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7" fontId="1" fillId="3" borderId="4" xfId="0" applyNumberFormat="1" applyFont="1" applyFill="1" applyBorder="1" applyAlignment="1">
      <alignment horizontal="left"/>
    </xf>
    <xf numFmtId="17" fontId="1" fillId="3" borderId="4" xfId="0" applyNumberFormat="1" applyFont="1" applyFill="1" applyBorder="1" applyAlignment="1">
      <alignment horizontal="left" vertical="center"/>
    </xf>
    <xf numFmtId="17" fontId="13" fillId="3" borderId="4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vertical="center"/>
    </xf>
    <xf numFmtId="167" fontId="7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/>
    </xf>
    <xf numFmtId="14" fontId="0" fillId="2" borderId="0" xfId="0" applyNumberFormat="1" applyFill="1"/>
    <xf numFmtId="0" fontId="1" fillId="3" borderId="29" xfId="0" applyFont="1" applyFill="1" applyBorder="1" applyAlignment="1">
      <alignment horizontal="center"/>
    </xf>
    <xf numFmtId="1" fontId="12" fillId="3" borderId="30" xfId="0" applyNumberFormat="1" applyFont="1" applyFill="1" applyBorder="1" applyAlignment="1">
      <alignment horizontal="center"/>
    </xf>
    <xf numFmtId="0" fontId="12" fillId="3" borderId="30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/>
    </xf>
    <xf numFmtId="1" fontId="0" fillId="2" borderId="0" xfId="0" applyNumberFormat="1" applyFill="1"/>
    <xf numFmtId="168" fontId="7" fillId="2" borderId="0" xfId="0" applyNumberFormat="1" applyFont="1" applyFill="1"/>
    <xf numFmtId="9" fontId="7" fillId="2" borderId="0" xfId="2" applyFont="1" applyFill="1"/>
    <xf numFmtId="1" fontId="12" fillId="0" borderId="33" xfId="0" applyNumberFormat="1" applyFont="1" applyBorder="1" applyAlignment="1">
      <alignment horizontal="center" vertical="center" wrapText="1"/>
    </xf>
    <xf numFmtId="1" fontId="12" fillId="3" borderId="38" xfId="0" applyNumberFormat="1" applyFont="1" applyFill="1" applyBorder="1" applyAlignment="1">
      <alignment horizontal="center"/>
    </xf>
    <xf numFmtId="9" fontId="0" fillId="3" borderId="36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2" borderId="0" xfId="0" applyFont="1" applyFill="1"/>
    <xf numFmtId="14" fontId="0" fillId="2" borderId="0" xfId="0" applyNumberFormat="1" applyFill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2" borderId="8" xfId="0" applyNumberFormat="1" applyFill="1" applyBorder="1" applyAlignment="1">
      <alignment horizontal="center"/>
    </xf>
    <xf numFmtId="1" fontId="12" fillId="2" borderId="8" xfId="0" applyNumberFormat="1" applyFont="1" applyFill="1" applyBorder="1" applyAlignment="1">
      <alignment horizontal="center"/>
    </xf>
    <xf numFmtId="2" fontId="12" fillId="3" borderId="36" xfId="0" applyNumberFormat="1" applyFont="1" applyFill="1" applyBorder="1" applyAlignment="1">
      <alignment horizontal="center"/>
    </xf>
    <xf numFmtId="17" fontId="1" fillId="3" borderId="7" xfId="0" applyNumberFormat="1" applyFont="1" applyFill="1" applyBorder="1" applyAlignment="1">
      <alignment horizontal="left"/>
    </xf>
    <xf numFmtId="1" fontId="12" fillId="2" borderId="2" xfId="0" applyNumberFormat="1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1" fontId="12" fillId="0" borderId="39" xfId="0" applyNumberFormat="1" applyFont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 wrapText="1"/>
    </xf>
    <xf numFmtId="2" fontId="12" fillId="3" borderId="30" xfId="0" applyNumberFormat="1" applyFont="1" applyFill="1" applyBorder="1" applyAlignment="1">
      <alignment horizontal="center"/>
    </xf>
    <xf numFmtId="43" fontId="2" fillId="2" borderId="8" xfId="1" applyNumberFormat="1" applyFont="1" applyFill="1" applyBorder="1" applyAlignment="1">
      <alignment horizontal="right" vertical="center"/>
    </xf>
    <xf numFmtId="4" fontId="0" fillId="0" borderId="3" xfId="0" applyNumberForma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19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/>
    </xf>
    <xf numFmtId="1" fontId="1" fillId="3" borderId="36" xfId="0" applyNumberFormat="1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9" fontId="0" fillId="2" borderId="36" xfId="2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/>
    </xf>
    <xf numFmtId="1" fontId="12" fillId="3" borderId="31" xfId="0" applyNumberFormat="1" applyFont="1" applyFill="1" applyBorder="1" applyAlignment="1">
      <alignment horizontal="center"/>
    </xf>
    <xf numFmtId="1" fontId="12" fillId="3" borderId="32" xfId="0" applyNumberFormat="1" applyFont="1" applyFill="1" applyBorder="1" applyAlignment="1">
      <alignment horizontal="center"/>
    </xf>
    <xf numFmtId="1" fontId="12" fillId="2" borderId="12" xfId="0" applyNumberFormat="1" applyFont="1" applyFill="1" applyBorder="1" applyAlignment="1">
      <alignment horizontal="center" vertical="center"/>
    </xf>
    <xf numFmtId="1" fontId="12" fillId="2" borderId="11" xfId="0" applyNumberFormat="1" applyFont="1" applyFill="1" applyBorder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" fontId="12" fillId="2" borderId="20" xfId="0" applyNumberFormat="1" applyFont="1" applyFill="1" applyBorder="1" applyAlignment="1">
      <alignment horizontal="center" vertical="center"/>
    </xf>
    <xf numFmtId="1" fontId="12" fillId="2" borderId="21" xfId="0" applyNumberFormat="1" applyFont="1" applyFill="1" applyBorder="1" applyAlignment="1">
      <alignment horizontal="center" vertical="center"/>
    </xf>
    <xf numFmtId="1" fontId="12" fillId="2" borderId="22" xfId="0" applyNumberFormat="1" applyFont="1" applyFill="1" applyBorder="1" applyAlignment="1">
      <alignment horizontal="center" vertical="center"/>
    </xf>
    <xf numFmtId="2" fontId="12" fillId="0" borderId="36" xfId="0" applyNumberFormat="1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7" fontId="1" fillId="3" borderId="36" xfId="0" applyNumberFormat="1" applyFont="1" applyFill="1" applyBorder="1" applyAlignment="1">
      <alignment horizontal="center" vertical="center" wrapText="1"/>
    </xf>
    <xf numFmtId="17" fontId="1" fillId="3" borderId="36" xfId="0" applyNumberFormat="1" applyFont="1" applyFill="1" applyBorder="1" applyAlignment="1">
      <alignment horizontal="center" vertical="center"/>
    </xf>
    <xf numFmtId="9" fontId="0" fillId="2" borderId="37" xfId="2" applyFont="1" applyFill="1" applyBorder="1" applyAlignment="1">
      <alignment horizontal="center" vertical="center"/>
    </xf>
    <xf numFmtId="2" fontId="12" fillId="0" borderId="3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8"/>
  <sheetViews>
    <sheetView tabSelected="1" zoomScale="113" zoomScaleNormal="80" workbookViewId="0">
      <selection activeCell="F28" sqref="F28"/>
    </sheetView>
  </sheetViews>
  <sheetFormatPr baseColWidth="10" defaultColWidth="9.33203125" defaultRowHeight="14" x14ac:dyDescent="0.2"/>
  <cols>
    <col min="1" max="1" width="9.33203125" style="5"/>
    <col min="2" max="2" width="2.5" style="5" customWidth="1"/>
    <col min="3" max="3" width="79.6640625" style="5" customWidth="1"/>
    <col min="4" max="4" width="30.6640625" style="6" customWidth="1"/>
    <col min="5" max="5" width="18.5" style="5" customWidth="1"/>
    <col min="6" max="6" width="15.5" style="5" bestFit="1" customWidth="1"/>
    <col min="7" max="7" width="17.6640625" style="5" customWidth="1"/>
    <col min="8" max="8" width="9" style="5" bestFit="1" customWidth="1"/>
    <col min="9" max="16384" width="9.33203125" style="5"/>
  </cols>
  <sheetData>
    <row r="2" spans="2:6" ht="15" x14ac:dyDescent="0.2">
      <c r="C2" s="75" t="s">
        <v>55</v>
      </c>
      <c r="D2" s="2">
        <v>6</v>
      </c>
    </row>
    <row r="3" spans="2:6" ht="15" x14ac:dyDescent="0.2">
      <c r="C3" s="75" t="s">
        <v>56</v>
      </c>
      <c r="D3" s="76">
        <v>45848</v>
      </c>
    </row>
    <row r="4" spans="2:6" ht="15" thickBot="1" x14ac:dyDescent="0.25">
      <c r="B4" s="4"/>
    </row>
    <row r="5" spans="2:6" ht="15" customHeight="1" x14ac:dyDescent="0.2">
      <c r="C5" s="15" t="s">
        <v>16</v>
      </c>
      <c r="D5" s="92">
        <v>7080</v>
      </c>
      <c r="E5" s="93"/>
    </row>
    <row r="6" spans="2:6" ht="26.25" customHeight="1" thickBot="1" x14ac:dyDescent="0.25">
      <c r="C6" s="30" t="s">
        <v>17</v>
      </c>
      <c r="D6" s="94" t="s">
        <v>44</v>
      </c>
      <c r="E6" s="95"/>
    </row>
    <row r="7" spans="2:6" ht="15" customHeight="1" x14ac:dyDescent="0.2">
      <c r="C7" s="15" t="s">
        <v>3</v>
      </c>
      <c r="D7" s="96">
        <f>'Generation sheet '!B7</f>
        <v>44197</v>
      </c>
      <c r="E7" s="97"/>
    </row>
    <row r="8" spans="2:6" ht="15" customHeight="1" x14ac:dyDescent="0.2">
      <c r="C8" s="17" t="s">
        <v>4</v>
      </c>
      <c r="D8" s="98">
        <f>'Generation sheet '!B40</f>
        <v>45224</v>
      </c>
      <c r="E8" s="99"/>
    </row>
    <row r="9" spans="2:6" ht="15.75" customHeight="1" thickBot="1" x14ac:dyDescent="0.25">
      <c r="C9" s="30" t="s">
        <v>5</v>
      </c>
      <c r="D9" s="100">
        <f>(D8-D7)+1</f>
        <v>1028</v>
      </c>
      <c r="E9" s="101"/>
    </row>
    <row r="10" spans="2:6" x14ac:dyDescent="0.2">
      <c r="C10" s="27" t="s">
        <v>43</v>
      </c>
      <c r="D10" s="28">
        <f>'Generation sheet '!J41</f>
        <v>321592</v>
      </c>
      <c r="E10" s="29" t="s">
        <v>7</v>
      </c>
      <c r="F10" s="70"/>
    </row>
    <row r="11" spans="2:6" ht="15" thickBot="1" x14ac:dyDescent="0.25">
      <c r="C11" s="34" t="s">
        <v>45</v>
      </c>
      <c r="D11" s="35">
        <v>110317</v>
      </c>
      <c r="E11" s="31" t="s">
        <v>8</v>
      </c>
      <c r="F11" s="8"/>
    </row>
    <row r="12" spans="2:6" x14ac:dyDescent="0.2">
      <c r="C12" s="32" t="s">
        <v>47</v>
      </c>
      <c r="D12" s="33">
        <v>117122</v>
      </c>
      <c r="E12" s="36" t="s">
        <v>19</v>
      </c>
      <c r="F12" s="8"/>
    </row>
    <row r="13" spans="2:6" x14ac:dyDescent="0.2">
      <c r="C13" s="17" t="s">
        <v>46</v>
      </c>
      <c r="D13" s="7">
        <f>(D12*D9)/365</f>
        <v>329866.89315068495</v>
      </c>
      <c r="E13" s="24" t="s">
        <v>20</v>
      </c>
      <c r="F13" s="8"/>
    </row>
    <row r="14" spans="2:6" ht="15" thickBot="1" x14ac:dyDescent="0.25">
      <c r="C14" s="34" t="s">
        <v>48</v>
      </c>
      <c r="D14" s="90">
        <f>'Generation sheet '!H41</f>
        <v>341429.96774193546</v>
      </c>
      <c r="E14" s="31" t="s">
        <v>20</v>
      </c>
      <c r="F14" s="8"/>
    </row>
    <row r="15" spans="2:6" x14ac:dyDescent="0.2">
      <c r="C15" s="16" t="s">
        <v>49</v>
      </c>
      <c r="D15" s="28">
        <f>D11*(D9/365)</f>
        <v>310701.03013698629</v>
      </c>
      <c r="E15" s="29" t="s">
        <v>7</v>
      </c>
    </row>
    <row r="16" spans="2:6" x14ac:dyDescent="0.2">
      <c r="C16" s="17" t="s">
        <v>6</v>
      </c>
      <c r="D16" s="7">
        <f>+D10</f>
        <v>321592</v>
      </c>
      <c r="E16" s="25" t="s">
        <v>7</v>
      </c>
    </row>
    <row r="17" spans="3:7" ht="15" thickBot="1" x14ac:dyDescent="0.25">
      <c r="C17" s="18" t="s">
        <v>9</v>
      </c>
      <c r="D17" s="9">
        <f>((D16-D15)/D15)</f>
        <v>3.505289267374475E-2</v>
      </c>
      <c r="E17" s="26"/>
      <c r="G17" s="3"/>
    </row>
    <row r="19" spans="3:7" x14ac:dyDescent="0.2">
      <c r="C19" s="21" t="s">
        <v>10</v>
      </c>
      <c r="D19" s="10"/>
      <c r="E19" s="10"/>
      <c r="F19" s="10"/>
      <c r="G19" s="10"/>
    </row>
    <row r="20" spans="3:7" ht="47" x14ac:dyDescent="0.2">
      <c r="C20" s="42" t="s">
        <v>11</v>
      </c>
      <c r="D20" s="42" t="s">
        <v>12</v>
      </c>
      <c r="E20" s="42" t="s">
        <v>13</v>
      </c>
      <c r="F20" s="42" t="s">
        <v>14</v>
      </c>
      <c r="G20" s="42" t="s">
        <v>15</v>
      </c>
    </row>
    <row r="21" spans="3:7" x14ac:dyDescent="0.2">
      <c r="C21" s="50">
        <v>2021</v>
      </c>
      <c r="D21" s="22">
        <f>ROUNDDOWN(SUM('Generation sheet '!J7:J18),0)</f>
        <v>113391</v>
      </c>
      <c r="E21" s="11">
        <v>0</v>
      </c>
      <c r="F21" s="11">
        <v>0</v>
      </c>
      <c r="G21" s="51">
        <f>D21-E21-F21</f>
        <v>113391</v>
      </c>
    </row>
    <row r="22" spans="3:7" x14ac:dyDescent="0.2">
      <c r="C22" s="19">
        <v>2022</v>
      </c>
      <c r="D22" s="22">
        <f>ROUNDDOWN(SUM('Generation sheet '!J19:J30),0)</f>
        <v>107898</v>
      </c>
      <c r="E22" s="11">
        <v>0</v>
      </c>
      <c r="F22" s="11">
        <v>0</v>
      </c>
      <c r="G22" s="12">
        <f t="shared" ref="G22:G23" si="0">+(D22-E22-F22)</f>
        <v>107898</v>
      </c>
    </row>
    <row r="23" spans="3:7" x14ac:dyDescent="0.2">
      <c r="C23" s="20">
        <v>2023</v>
      </c>
      <c r="D23" s="23">
        <f>ROUNDDOWN(SUM('Generation sheet '!J31:J40),0)</f>
        <v>100303</v>
      </c>
      <c r="E23" s="13">
        <v>0</v>
      </c>
      <c r="F23" s="13">
        <v>0</v>
      </c>
      <c r="G23" s="14">
        <f t="shared" si="0"/>
        <v>100303</v>
      </c>
    </row>
    <row r="24" spans="3:7" ht="15" x14ac:dyDescent="0.2">
      <c r="C24" s="42" t="s">
        <v>2</v>
      </c>
      <c r="D24" s="52">
        <f>SUM(D21:D23)</f>
        <v>321592</v>
      </c>
      <c r="E24" s="53">
        <v>0</v>
      </c>
      <c r="F24" s="54">
        <v>0</v>
      </c>
      <c r="G24" s="55">
        <f>+SUM(G21:G23)</f>
        <v>321592</v>
      </c>
    </row>
    <row r="25" spans="3:7" x14ac:dyDescent="0.2">
      <c r="G25" s="69"/>
    </row>
    <row r="27" spans="3:7" x14ac:dyDescent="0.2">
      <c r="D27" s="5"/>
    </row>
    <row r="28" spans="3:7" x14ac:dyDescent="0.2">
      <c r="D28" s="5"/>
    </row>
  </sheetData>
  <mergeCells count="5">
    <mergeCell ref="D5:E5"/>
    <mergeCell ref="D6:E6"/>
    <mergeCell ref="D7:E7"/>
    <mergeCell ref="D8:E8"/>
    <mergeCell ref="D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45"/>
  <sheetViews>
    <sheetView topLeftCell="C1" zoomScale="113" zoomScaleNormal="145" workbookViewId="0">
      <selection activeCell="J13" sqref="J13"/>
    </sheetView>
  </sheetViews>
  <sheetFormatPr baseColWidth="10" defaultColWidth="9.33203125" defaultRowHeight="15" x14ac:dyDescent="0.2"/>
  <cols>
    <col min="1" max="1" width="10.5" style="1" bestFit="1" customWidth="1"/>
    <col min="2" max="2" width="12.5" style="1" customWidth="1"/>
    <col min="3" max="3" width="21.33203125" style="1" customWidth="1"/>
    <col min="4" max="4" width="18" style="1" bestFit="1" customWidth="1"/>
    <col min="5" max="5" width="18.33203125" style="1" bestFit="1" customWidth="1"/>
    <col min="6" max="6" width="15.6640625" style="1" bestFit="1" customWidth="1"/>
    <col min="7" max="7" width="18.6640625" style="1" customWidth="1"/>
    <col min="8" max="8" width="17.5" style="1" customWidth="1"/>
    <col min="9" max="9" width="16.5" style="2" customWidth="1"/>
    <col min="10" max="10" width="16.33203125" style="1" bestFit="1" customWidth="1"/>
    <col min="11" max="11" width="16.33203125" style="1" customWidth="1"/>
    <col min="12" max="13" width="9.33203125" style="1"/>
    <col min="14" max="14" width="15.33203125" style="1" customWidth="1"/>
    <col min="15" max="15" width="9.33203125" style="1"/>
    <col min="16" max="16" width="10.5" style="1" bestFit="1" customWidth="1"/>
    <col min="17" max="16384" width="9.33203125" style="1"/>
  </cols>
  <sheetData>
    <row r="3" spans="1:14" ht="18" x14ac:dyDescent="0.2">
      <c r="B3" s="117" t="s">
        <v>41</v>
      </c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4" ht="16" thickBot="1" x14ac:dyDescent="0.25"/>
    <row r="5" spans="1:14" ht="21.75" customHeight="1" thickBot="1" x14ac:dyDescent="0.25">
      <c r="B5" s="103" t="s">
        <v>0</v>
      </c>
      <c r="C5" s="87" t="s">
        <v>34</v>
      </c>
      <c r="D5" s="103" t="s">
        <v>18</v>
      </c>
      <c r="E5" s="103"/>
      <c r="F5" s="103"/>
      <c r="G5" s="87" t="s">
        <v>53</v>
      </c>
      <c r="H5" s="105" t="s">
        <v>42</v>
      </c>
      <c r="I5" s="104" t="s">
        <v>58</v>
      </c>
      <c r="J5" s="104" t="s">
        <v>1</v>
      </c>
      <c r="K5" s="104" t="s">
        <v>51</v>
      </c>
      <c r="L5" s="118" t="s">
        <v>52</v>
      </c>
      <c r="M5" s="119"/>
      <c r="N5" s="118" t="s">
        <v>50</v>
      </c>
    </row>
    <row r="6" spans="1:14" ht="49.5" customHeight="1" thickBot="1" x14ac:dyDescent="0.25">
      <c r="A6" s="56"/>
      <c r="B6" s="103"/>
      <c r="C6" s="88" t="s">
        <v>35</v>
      </c>
      <c r="D6" s="88" t="s">
        <v>36</v>
      </c>
      <c r="E6" s="88" t="s">
        <v>37</v>
      </c>
      <c r="F6" s="88" t="s">
        <v>40</v>
      </c>
      <c r="G6" s="88" t="s">
        <v>54</v>
      </c>
      <c r="H6" s="105"/>
      <c r="I6" s="104"/>
      <c r="J6" s="104"/>
      <c r="K6" s="104"/>
      <c r="L6" s="119"/>
      <c r="M6" s="119"/>
      <c r="N6" s="119"/>
    </row>
    <row r="7" spans="1:14" ht="16" thickBot="1" x14ac:dyDescent="0.25">
      <c r="B7" s="81">
        <v>44197</v>
      </c>
      <c r="C7" s="82">
        <v>8063</v>
      </c>
      <c r="D7" s="82">
        <v>8132400</v>
      </c>
      <c r="E7" s="82">
        <v>69200</v>
      </c>
      <c r="F7" s="83">
        <f>D7-E7</f>
        <v>8063200</v>
      </c>
      <c r="G7" s="84">
        <f>F7/1000</f>
        <v>8063.2</v>
      </c>
      <c r="H7" s="84">
        <f>MIN(G7,C7)</f>
        <v>8063</v>
      </c>
      <c r="I7" s="85">
        <v>0.94189999999999996</v>
      </c>
      <c r="J7" s="86">
        <f>I7*H7</f>
        <v>7594.5396999999994</v>
      </c>
      <c r="K7" s="121">
        <f>SUM(H7:H18)</f>
        <v>120385.60000000001</v>
      </c>
      <c r="L7" s="112">
        <f>ROUNDDOWN(SUM(J7:J18),0)</f>
        <v>113391</v>
      </c>
      <c r="M7" s="113"/>
      <c r="N7" s="120">
        <f>(SUM(H7:H18))/(72*24*365)</f>
        <v>0.19087011669203452</v>
      </c>
    </row>
    <row r="8" spans="1:14" ht="16" thickBot="1" x14ac:dyDescent="0.25">
      <c r="B8" s="47">
        <v>44228</v>
      </c>
      <c r="C8" s="43">
        <v>10786</v>
      </c>
      <c r="D8" s="43">
        <v>10844400</v>
      </c>
      <c r="E8" s="43">
        <v>58000</v>
      </c>
      <c r="F8" s="46">
        <f t="shared" ref="F8:F32" si="0">D8-E8</f>
        <v>10786400</v>
      </c>
      <c r="G8" s="45">
        <f t="shared" ref="G8:G32" si="1">F8/1000</f>
        <v>10786.4</v>
      </c>
      <c r="H8" s="45">
        <f>MIN(G8, C8)</f>
        <v>10786</v>
      </c>
      <c r="I8" s="44">
        <v>0.94189999999999996</v>
      </c>
      <c r="J8" s="71">
        <f>I8*H8</f>
        <v>10159.3334</v>
      </c>
      <c r="K8" s="116"/>
      <c r="L8" s="112"/>
      <c r="M8" s="113"/>
      <c r="N8" s="106"/>
    </row>
    <row r="9" spans="1:14" ht="16" thickBot="1" x14ac:dyDescent="0.25">
      <c r="B9" s="48">
        <v>44256</v>
      </c>
      <c r="C9" s="43">
        <v>12452</v>
      </c>
      <c r="D9" s="43">
        <v>12524000</v>
      </c>
      <c r="E9" s="43">
        <v>72200</v>
      </c>
      <c r="F9" s="46">
        <f t="shared" si="0"/>
        <v>12451800</v>
      </c>
      <c r="G9" s="45">
        <f t="shared" si="1"/>
        <v>12451.8</v>
      </c>
      <c r="H9" s="45">
        <f>MIN(G9, C9)</f>
        <v>12451.8</v>
      </c>
      <c r="I9" s="44">
        <v>0.94189999999999996</v>
      </c>
      <c r="J9" s="71">
        <f>I9*H9</f>
        <v>11728.350419999999</v>
      </c>
      <c r="K9" s="116"/>
      <c r="L9" s="112"/>
      <c r="M9" s="113"/>
      <c r="N9" s="106"/>
    </row>
    <row r="10" spans="1:14" ht="16" thickBot="1" x14ac:dyDescent="0.25">
      <c r="B10" s="47">
        <v>44287</v>
      </c>
      <c r="C10" s="43">
        <v>10803</v>
      </c>
      <c r="D10" s="43">
        <v>10869800</v>
      </c>
      <c r="E10" s="43">
        <v>66800</v>
      </c>
      <c r="F10" s="46">
        <f t="shared" si="0"/>
        <v>10803000</v>
      </c>
      <c r="G10" s="45">
        <f t="shared" si="1"/>
        <v>10803</v>
      </c>
      <c r="H10" s="45">
        <f>MIN(G10,C10)</f>
        <v>10803</v>
      </c>
      <c r="I10" s="44">
        <v>0.94189999999999996</v>
      </c>
      <c r="J10" s="71">
        <f>I10*H10</f>
        <v>10175.3457</v>
      </c>
      <c r="K10" s="116"/>
      <c r="L10" s="112"/>
      <c r="M10" s="113"/>
      <c r="N10" s="106"/>
    </row>
    <row r="11" spans="1:14" ht="16" thickBot="1" x14ac:dyDescent="0.25">
      <c r="B11" s="47">
        <v>44317</v>
      </c>
      <c r="C11" s="43">
        <v>10157</v>
      </c>
      <c r="D11" s="43">
        <v>10226000</v>
      </c>
      <c r="E11" s="43">
        <v>68800</v>
      </c>
      <c r="F11" s="46">
        <f t="shared" si="0"/>
        <v>10157200</v>
      </c>
      <c r="G11" s="45">
        <f t="shared" si="1"/>
        <v>10157.200000000001</v>
      </c>
      <c r="H11" s="45">
        <f t="shared" ref="H11" si="2">MIN(G11, C11)</f>
        <v>10157</v>
      </c>
      <c r="I11" s="44">
        <v>0.94189999999999996</v>
      </c>
      <c r="J11" s="71">
        <f t="shared" ref="J11:J40" si="3">I11*H11</f>
        <v>9566.8783000000003</v>
      </c>
      <c r="K11" s="116"/>
      <c r="L11" s="112"/>
      <c r="M11" s="113"/>
      <c r="N11" s="106"/>
    </row>
    <row r="12" spans="1:14" ht="16" thickBot="1" x14ac:dyDescent="0.25">
      <c r="B12" s="47">
        <v>44348</v>
      </c>
      <c r="C12" s="43">
        <v>10286</v>
      </c>
      <c r="D12" s="43">
        <v>10348200</v>
      </c>
      <c r="E12" s="43">
        <v>62000</v>
      </c>
      <c r="F12" s="46">
        <f t="shared" ref="F12:F18" si="4">D12-E12</f>
        <v>10286200</v>
      </c>
      <c r="G12" s="45">
        <f t="shared" si="1"/>
        <v>10286.200000000001</v>
      </c>
      <c r="H12" s="45">
        <f>MIN(G12, C12)</f>
        <v>10286</v>
      </c>
      <c r="I12" s="44">
        <v>0.94189999999999996</v>
      </c>
      <c r="J12" s="71">
        <f t="shared" si="3"/>
        <v>9688.3833999999988</v>
      </c>
      <c r="K12" s="116"/>
      <c r="L12" s="112"/>
      <c r="M12" s="113"/>
      <c r="N12" s="106"/>
    </row>
    <row r="13" spans="1:14" ht="16" thickBot="1" x14ac:dyDescent="0.25">
      <c r="B13" s="47">
        <v>44378</v>
      </c>
      <c r="C13" s="43">
        <v>10248</v>
      </c>
      <c r="D13" s="43">
        <v>10315400</v>
      </c>
      <c r="E13" s="43">
        <v>67200</v>
      </c>
      <c r="F13" s="46">
        <f t="shared" si="4"/>
        <v>10248200</v>
      </c>
      <c r="G13" s="45">
        <f t="shared" si="1"/>
        <v>10248.200000000001</v>
      </c>
      <c r="H13" s="45">
        <f t="shared" ref="H13" si="5">MIN(G13,C13)</f>
        <v>10248</v>
      </c>
      <c r="I13" s="44">
        <v>0.94189999999999996</v>
      </c>
      <c r="J13" s="71">
        <f t="shared" si="3"/>
        <v>9652.5911999999989</v>
      </c>
      <c r="K13" s="116"/>
      <c r="L13" s="112"/>
      <c r="M13" s="113"/>
      <c r="N13" s="106"/>
    </row>
    <row r="14" spans="1:14" ht="16" thickBot="1" x14ac:dyDescent="0.25">
      <c r="B14" s="49">
        <v>44409</v>
      </c>
      <c r="C14" s="43">
        <v>10004</v>
      </c>
      <c r="D14" s="43">
        <v>10075600</v>
      </c>
      <c r="E14" s="43">
        <v>71000</v>
      </c>
      <c r="F14" s="46">
        <f t="shared" si="4"/>
        <v>10004600</v>
      </c>
      <c r="G14" s="45">
        <f t="shared" si="1"/>
        <v>10004.6</v>
      </c>
      <c r="H14" s="45">
        <f t="shared" ref="H14:H15" si="6">MIN(G14, C14)</f>
        <v>10004</v>
      </c>
      <c r="I14" s="44">
        <v>0.94189999999999996</v>
      </c>
      <c r="J14" s="71">
        <f t="shared" si="3"/>
        <v>9422.7675999999992</v>
      </c>
      <c r="K14" s="116"/>
      <c r="L14" s="112"/>
      <c r="M14" s="113"/>
      <c r="N14" s="106"/>
    </row>
    <row r="15" spans="1:14" ht="16" thickBot="1" x14ac:dyDescent="0.25">
      <c r="B15" s="47">
        <v>44440</v>
      </c>
      <c r="C15" s="43">
        <v>10926</v>
      </c>
      <c r="D15" s="43">
        <v>11033600</v>
      </c>
      <c r="E15" s="43">
        <v>107800</v>
      </c>
      <c r="F15" s="46">
        <f t="shared" si="4"/>
        <v>10925800</v>
      </c>
      <c r="G15" s="45">
        <f t="shared" si="1"/>
        <v>10925.8</v>
      </c>
      <c r="H15" s="45">
        <f t="shared" si="6"/>
        <v>10925.8</v>
      </c>
      <c r="I15" s="44">
        <v>0.94189999999999996</v>
      </c>
      <c r="J15" s="71">
        <f t="shared" si="3"/>
        <v>10291.011019999998</v>
      </c>
      <c r="K15" s="116"/>
      <c r="L15" s="112"/>
      <c r="M15" s="113"/>
      <c r="N15" s="106"/>
    </row>
    <row r="16" spans="1:14" ht="16" thickBot="1" x14ac:dyDescent="0.25">
      <c r="B16" s="47">
        <v>44470</v>
      </c>
      <c r="C16" s="63">
        <v>9266</v>
      </c>
      <c r="D16" s="63">
        <v>28271810</v>
      </c>
      <c r="E16" s="63">
        <v>209509</v>
      </c>
      <c r="F16" s="46">
        <f t="shared" si="4"/>
        <v>28062301</v>
      </c>
      <c r="G16" s="45">
        <f t="shared" si="1"/>
        <v>28062.300999999999</v>
      </c>
      <c r="H16" s="45">
        <f t="shared" ref="H16" si="7">MIN(G16,C16)</f>
        <v>9266</v>
      </c>
      <c r="I16" s="44">
        <v>0.94189999999999996</v>
      </c>
      <c r="J16" s="71">
        <f t="shared" si="3"/>
        <v>8727.6453999999994</v>
      </c>
      <c r="K16" s="116"/>
      <c r="L16" s="112"/>
      <c r="M16" s="113"/>
      <c r="N16" s="106"/>
    </row>
    <row r="17" spans="2:14" ht="15" customHeight="1" thickBot="1" x14ac:dyDescent="0.25">
      <c r="B17" s="47">
        <v>44501</v>
      </c>
      <c r="C17" s="63">
        <v>7017</v>
      </c>
      <c r="D17" s="64">
        <v>7097200</v>
      </c>
      <c r="E17" s="64">
        <v>79800</v>
      </c>
      <c r="F17" s="46">
        <f t="shared" si="4"/>
        <v>7017400</v>
      </c>
      <c r="G17" s="45">
        <f t="shared" si="1"/>
        <v>7017.4</v>
      </c>
      <c r="H17" s="45">
        <f t="shared" ref="H17:H40" si="8">MIN(G17, C17)</f>
        <v>7017</v>
      </c>
      <c r="I17" s="44">
        <v>0.94189999999999996</v>
      </c>
      <c r="J17" s="71">
        <f t="shared" si="3"/>
        <v>6609.3122999999996</v>
      </c>
      <c r="K17" s="116"/>
      <c r="L17" s="112"/>
      <c r="M17" s="113"/>
      <c r="N17" s="106"/>
    </row>
    <row r="18" spans="2:14" ht="16" thickBot="1" x14ac:dyDescent="0.25">
      <c r="B18" s="47">
        <v>44531</v>
      </c>
      <c r="C18" s="63">
        <v>10378</v>
      </c>
      <c r="D18" s="64">
        <v>10458000</v>
      </c>
      <c r="E18" s="64">
        <v>79200</v>
      </c>
      <c r="F18" s="46">
        <f t="shared" si="4"/>
        <v>10378800</v>
      </c>
      <c r="G18" s="45">
        <f t="shared" si="1"/>
        <v>10378.799999999999</v>
      </c>
      <c r="H18" s="45">
        <f t="shared" si="8"/>
        <v>10378</v>
      </c>
      <c r="I18" s="44">
        <v>0.94189999999999996</v>
      </c>
      <c r="J18" s="71">
        <f t="shared" si="3"/>
        <v>9775.0381999999991</v>
      </c>
      <c r="K18" s="116"/>
      <c r="L18" s="114"/>
      <c r="M18" s="115"/>
      <c r="N18" s="106"/>
    </row>
    <row r="19" spans="2:14" ht="16" thickBot="1" x14ac:dyDescent="0.25">
      <c r="B19" s="47">
        <v>44562</v>
      </c>
      <c r="C19" s="63">
        <v>10991</v>
      </c>
      <c r="D19" s="64">
        <v>33183355</v>
      </c>
      <c r="E19" s="64">
        <v>159327</v>
      </c>
      <c r="F19" s="46">
        <f t="shared" si="0"/>
        <v>33024028</v>
      </c>
      <c r="G19" s="45">
        <f t="shared" si="1"/>
        <v>33024.027999999998</v>
      </c>
      <c r="H19" s="45">
        <f t="shared" si="8"/>
        <v>10991</v>
      </c>
      <c r="I19" s="44">
        <v>0.94189999999999996</v>
      </c>
      <c r="J19" s="71">
        <f t="shared" si="3"/>
        <v>10352.4229</v>
      </c>
      <c r="K19" s="116">
        <f>SUM(H19:H30)</f>
        <v>114553.8</v>
      </c>
      <c r="L19" s="110">
        <f>ROUNDDOWN(SUM(J19:J30),0)</f>
        <v>107898</v>
      </c>
      <c r="M19" s="111"/>
      <c r="N19" s="106">
        <f>(SUM(H19:H29))/(72*24*365)</f>
        <v>0.16770325976661593</v>
      </c>
    </row>
    <row r="20" spans="2:14" ht="16" thickBot="1" x14ac:dyDescent="0.25">
      <c r="B20" s="47">
        <v>44593</v>
      </c>
      <c r="C20" s="63">
        <v>10548</v>
      </c>
      <c r="D20" s="64">
        <v>32202928</v>
      </c>
      <c r="E20" s="64">
        <v>173755</v>
      </c>
      <c r="F20" s="46">
        <f t="shared" si="0"/>
        <v>32029173</v>
      </c>
      <c r="G20" s="45">
        <f t="shared" si="1"/>
        <v>32029.172999999999</v>
      </c>
      <c r="H20" s="45">
        <f t="shared" si="8"/>
        <v>10548</v>
      </c>
      <c r="I20" s="44">
        <v>0.94189999999999996</v>
      </c>
      <c r="J20" s="71">
        <f t="shared" si="3"/>
        <v>9935.1612000000005</v>
      </c>
      <c r="K20" s="116"/>
      <c r="L20" s="112"/>
      <c r="M20" s="113"/>
      <c r="N20" s="106"/>
    </row>
    <row r="21" spans="2:14" ht="15" customHeight="1" thickBot="1" x14ac:dyDescent="0.25">
      <c r="B21" s="47">
        <v>44621</v>
      </c>
      <c r="C21" s="63">
        <v>10338</v>
      </c>
      <c r="D21" s="64">
        <v>40802209</v>
      </c>
      <c r="E21" s="64">
        <v>194454</v>
      </c>
      <c r="F21" s="46">
        <f t="shared" si="0"/>
        <v>40607755</v>
      </c>
      <c r="G21" s="45">
        <f t="shared" si="1"/>
        <v>40607.754999999997</v>
      </c>
      <c r="H21" s="45">
        <f t="shared" si="8"/>
        <v>10338</v>
      </c>
      <c r="I21" s="44">
        <v>0.94189999999999996</v>
      </c>
      <c r="J21" s="71">
        <f t="shared" si="3"/>
        <v>9737.3621999999996</v>
      </c>
      <c r="K21" s="116"/>
      <c r="L21" s="112"/>
      <c r="M21" s="113"/>
      <c r="N21" s="106"/>
    </row>
    <row r="22" spans="2:14" ht="15" customHeight="1" thickBot="1" x14ac:dyDescent="0.25">
      <c r="B22" s="47">
        <v>44652</v>
      </c>
      <c r="C22" s="63">
        <v>8474</v>
      </c>
      <c r="D22" s="63">
        <v>34758437</v>
      </c>
      <c r="E22" s="63">
        <v>197590</v>
      </c>
      <c r="F22" s="46">
        <f t="shared" si="0"/>
        <v>34560847</v>
      </c>
      <c r="G22" s="45">
        <f t="shared" si="1"/>
        <v>34560.847000000002</v>
      </c>
      <c r="H22" s="45">
        <f t="shared" si="8"/>
        <v>8474</v>
      </c>
      <c r="I22" s="44">
        <v>0.94189999999999996</v>
      </c>
      <c r="J22" s="71">
        <f t="shared" si="3"/>
        <v>7981.6605999999992</v>
      </c>
      <c r="K22" s="116"/>
      <c r="L22" s="112"/>
      <c r="M22" s="113"/>
      <c r="N22" s="106"/>
    </row>
    <row r="23" spans="2:14" customFormat="1" ht="15" customHeight="1" thickBot="1" x14ac:dyDescent="0.25">
      <c r="B23" s="47">
        <v>44682</v>
      </c>
      <c r="C23" s="63">
        <v>8595</v>
      </c>
      <c r="D23" s="63">
        <v>35538764</v>
      </c>
      <c r="E23" s="63">
        <v>203236</v>
      </c>
      <c r="F23" s="46">
        <f t="shared" si="0"/>
        <v>35335528</v>
      </c>
      <c r="G23" s="45">
        <f t="shared" si="1"/>
        <v>35335.527999999998</v>
      </c>
      <c r="H23" s="45">
        <f t="shared" si="8"/>
        <v>8595</v>
      </c>
      <c r="I23" s="44">
        <v>0.94189999999999996</v>
      </c>
      <c r="J23" s="71">
        <f t="shared" si="3"/>
        <v>8095.6304999999993</v>
      </c>
      <c r="K23" s="116"/>
      <c r="L23" s="112"/>
      <c r="M23" s="113"/>
      <c r="N23" s="106"/>
    </row>
    <row r="24" spans="2:14" ht="15" customHeight="1" thickBot="1" x14ac:dyDescent="0.25">
      <c r="B24" s="47">
        <v>44713</v>
      </c>
      <c r="C24" s="63">
        <v>9871</v>
      </c>
      <c r="D24" s="63">
        <v>32352218</v>
      </c>
      <c r="E24" s="63">
        <v>185045</v>
      </c>
      <c r="F24" s="46">
        <f t="shared" si="0"/>
        <v>32167173</v>
      </c>
      <c r="G24" s="45">
        <f t="shared" si="1"/>
        <v>32167.172999999999</v>
      </c>
      <c r="H24" s="45">
        <f t="shared" si="8"/>
        <v>9871</v>
      </c>
      <c r="I24" s="44">
        <v>0.94189999999999996</v>
      </c>
      <c r="J24" s="71">
        <f t="shared" si="3"/>
        <v>9297.4948999999997</v>
      </c>
      <c r="K24" s="116"/>
      <c r="L24" s="112"/>
      <c r="M24" s="113"/>
      <c r="N24" s="106"/>
    </row>
    <row r="25" spans="2:14" ht="15" customHeight="1" thickBot="1" x14ac:dyDescent="0.25">
      <c r="B25" s="47">
        <v>44743</v>
      </c>
      <c r="C25" s="63">
        <v>10468</v>
      </c>
      <c r="D25" s="63">
        <v>31657827</v>
      </c>
      <c r="E25" s="63">
        <v>190064</v>
      </c>
      <c r="F25" s="46">
        <f t="shared" si="0"/>
        <v>31467763</v>
      </c>
      <c r="G25" s="45">
        <f t="shared" si="1"/>
        <v>31467.762999999999</v>
      </c>
      <c r="H25" s="45">
        <f t="shared" si="8"/>
        <v>10468</v>
      </c>
      <c r="I25" s="44">
        <v>0.94189999999999996</v>
      </c>
      <c r="J25" s="71">
        <f t="shared" si="3"/>
        <v>9859.8091999999997</v>
      </c>
      <c r="K25" s="116"/>
      <c r="L25" s="112"/>
      <c r="M25" s="113"/>
      <c r="N25" s="106"/>
    </row>
    <row r="26" spans="2:14" ht="15" customHeight="1" thickBot="1" x14ac:dyDescent="0.25">
      <c r="B26" s="47">
        <v>44774</v>
      </c>
      <c r="C26" s="63">
        <v>10754</v>
      </c>
      <c r="D26" s="63">
        <v>32352846</v>
      </c>
      <c r="E26" s="63">
        <v>182537</v>
      </c>
      <c r="F26" s="46">
        <f t="shared" si="0"/>
        <v>32170309</v>
      </c>
      <c r="G26" s="45">
        <f t="shared" si="1"/>
        <v>32170.309000000001</v>
      </c>
      <c r="H26" s="45">
        <f t="shared" si="8"/>
        <v>10754</v>
      </c>
      <c r="I26" s="44">
        <v>0.94189999999999996</v>
      </c>
      <c r="J26" s="71">
        <f t="shared" si="3"/>
        <v>10129.1926</v>
      </c>
      <c r="K26" s="116"/>
      <c r="L26" s="112"/>
      <c r="M26" s="113"/>
      <c r="N26" s="106"/>
    </row>
    <row r="27" spans="2:14" ht="15" customHeight="1" thickBot="1" x14ac:dyDescent="0.25">
      <c r="B27" s="47">
        <v>44805</v>
      </c>
      <c r="C27" s="63">
        <v>11281</v>
      </c>
      <c r="D27" s="63">
        <v>33661336</v>
      </c>
      <c r="E27" s="63">
        <v>182536</v>
      </c>
      <c r="F27" s="46">
        <f t="shared" si="0"/>
        <v>33478800</v>
      </c>
      <c r="G27" s="45">
        <f t="shared" si="1"/>
        <v>33478.800000000003</v>
      </c>
      <c r="H27" s="45">
        <f t="shared" si="8"/>
        <v>11281</v>
      </c>
      <c r="I27" s="44">
        <v>0.94189999999999996</v>
      </c>
      <c r="J27" s="71">
        <f t="shared" si="3"/>
        <v>10625.573899999999</v>
      </c>
      <c r="K27" s="116"/>
      <c r="L27" s="112"/>
      <c r="M27" s="113"/>
      <c r="N27" s="106"/>
    </row>
    <row r="28" spans="2:14" ht="15" customHeight="1" thickBot="1" x14ac:dyDescent="0.25">
      <c r="B28" s="47">
        <v>44835</v>
      </c>
      <c r="C28" s="63">
        <v>7490</v>
      </c>
      <c r="D28" s="63">
        <v>7546000</v>
      </c>
      <c r="E28" s="63">
        <v>56200</v>
      </c>
      <c r="F28" s="46">
        <f t="shared" si="0"/>
        <v>7489800</v>
      </c>
      <c r="G28" s="45">
        <f t="shared" si="1"/>
        <v>7489.8</v>
      </c>
      <c r="H28" s="45">
        <f t="shared" si="8"/>
        <v>7489.8</v>
      </c>
      <c r="I28" s="44">
        <v>0.94189999999999996</v>
      </c>
      <c r="J28" s="71">
        <f t="shared" si="3"/>
        <v>7054.6426199999996</v>
      </c>
      <c r="K28" s="116"/>
      <c r="L28" s="112"/>
      <c r="M28" s="113"/>
      <c r="N28" s="106"/>
    </row>
    <row r="29" spans="2:14" ht="15" customHeight="1" thickBot="1" x14ac:dyDescent="0.25">
      <c r="B29" s="47">
        <v>44866</v>
      </c>
      <c r="C29" s="63">
        <v>7012</v>
      </c>
      <c r="D29" s="43">
        <v>7019200</v>
      </c>
      <c r="E29" s="43">
        <v>55200</v>
      </c>
      <c r="F29" s="46">
        <f t="shared" si="0"/>
        <v>6964000</v>
      </c>
      <c r="G29" s="45">
        <f t="shared" si="1"/>
        <v>6964</v>
      </c>
      <c r="H29" s="45">
        <f t="shared" si="8"/>
        <v>6964</v>
      </c>
      <c r="I29" s="44">
        <v>0.94189999999999996</v>
      </c>
      <c r="J29" s="71">
        <f t="shared" si="3"/>
        <v>6559.3915999999999</v>
      </c>
      <c r="K29" s="116"/>
      <c r="L29" s="112"/>
      <c r="M29" s="113"/>
      <c r="N29" s="106"/>
    </row>
    <row r="30" spans="2:14" ht="15" customHeight="1" thickBot="1" x14ac:dyDescent="0.25">
      <c r="B30" s="47">
        <v>44926</v>
      </c>
      <c r="C30" s="63">
        <v>8845</v>
      </c>
      <c r="D30" s="63">
        <v>8872800</v>
      </c>
      <c r="E30" s="63">
        <v>92800</v>
      </c>
      <c r="F30" s="46">
        <f t="shared" si="0"/>
        <v>8780000</v>
      </c>
      <c r="G30" s="45">
        <f t="shared" si="1"/>
        <v>8780</v>
      </c>
      <c r="H30" s="45">
        <f t="shared" si="8"/>
        <v>8780</v>
      </c>
      <c r="I30" s="44">
        <v>0.94189999999999996</v>
      </c>
      <c r="J30" s="71">
        <f t="shared" si="3"/>
        <v>8269.8819999999996</v>
      </c>
      <c r="K30" s="116"/>
      <c r="L30" s="112"/>
      <c r="M30" s="113"/>
      <c r="N30" s="106"/>
    </row>
    <row r="31" spans="2:14" ht="15" customHeight="1" thickBot="1" x14ac:dyDescent="0.25">
      <c r="B31" s="47">
        <v>44927</v>
      </c>
      <c r="C31" s="63">
        <v>11138</v>
      </c>
      <c r="D31" s="43">
        <v>11152400</v>
      </c>
      <c r="E31" s="43">
        <v>80600</v>
      </c>
      <c r="F31" s="46">
        <f t="shared" si="0"/>
        <v>11071800</v>
      </c>
      <c r="G31" s="45">
        <f t="shared" si="1"/>
        <v>11071.8</v>
      </c>
      <c r="H31" s="45">
        <f t="shared" si="8"/>
        <v>11071.8</v>
      </c>
      <c r="I31" s="44">
        <v>0.94189999999999996</v>
      </c>
      <c r="J31" s="71">
        <f t="shared" si="3"/>
        <v>10428.528419999999</v>
      </c>
      <c r="K31" s="116">
        <f>SUM(H31:H40)</f>
        <v>106490.56774193549</v>
      </c>
      <c r="L31" s="110">
        <f>ROUNDDOWN(SUM(J31:J40),0)</f>
        <v>100303</v>
      </c>
      <c r="M31" s="111"/>
      <c r="N31" s="106">
        <f>(SUM(H31:H40))/(72*24*298)</f>
        <v>0.20680028846230947</v>
      </c>
    </row>
    <row r="32" spans="2:14" ht="15" customHeight="1" thickBot="1" x14ac:dyDescent="0.25">
      <c r="B32" s="47">
        <v>44958</v>
      </c>
      <c r="C32" s="63">
        <v>11088</v>
      </c>
      <c r="D32" s="63">
        <v>11108200</v>
      </c>
      <c r="E32" s="63">
        <v>7000</v>
      </c>
      <c r="F32" s="46">
        <f t="shared" si="0"/>
        <v>11101200</v>
      </c>
      <c r="G32" s="45">
        <f t="shared" si="1"/>
        <v>11101.2</v>
      </c>
      <c r="H32" s="45">
        <f t="shared" si="8"/>
        <v>11088</v>
      </c>
      <c r="I32" s="44">
        <v>0.94189999999999996</v>
      </c>
      <c r="J32" s="71">
        <f t="shared" si="3"/>
        <v>10443.787199999999</v>
      </c>
      <c r="K32" s="116"/>
      <c r="L32" s="112"/>
      <c r="M32" s="113"/>
      <c r="N32" s="106"/>
    </row>
    <row r="33" spans="2:14" ht="15" customHeight="1" thickBot="1" x14ac:dyDescent="0.25">
      <c r="B33" s="47">
        <v>44986</v>
      </c>
      <c r="C33" s="63">
        <v>12258</v>
      </c>
      <c r="D33" s="64">
        <v>12277200</v>
      </c>
      <c r="E33" s="64">
        <v>77400</v>
      </c>
      <c r="F33" s="46">
        <f t="shared" ref="F33" si="9">D33-E33</f>
        <v>12199800</v>
      </c>
      <c r="G33" s="45">
        <f t="shared" ref="G33" si="10">F33/1000</f>
        <v>12199.8</v>
      </c>
      <c r="H33" s="45">
        <f t="shared" si="8"/>
        <v>12199.8</v>
      </c>
      <c r="I33" s="44">
        <v>0.94189999999999996</v>
      </c>
      <c r="J33" s="71">
        <f t="shared" si="3"/>
        <v>11490.991619999999</v>
      </c>
      <c r="K33" s="116"/>
      <c r="L33" s="112"/>
      <c r="M33" s="113"/>
      <c r="N33" s="106"/>
    </row>
    <row r="34" spans="2:14" ht="15" customHeight="1" thickBot="1" x14ac:dyDescent="0.25">
      <c r="B34" s="47">
        <v>45017</v>
      </c>
      <c r="C34" s="63">
        <v>11220</v>
      </c>
      <c r="D34" s="63">
        <v>11234000</v>
      </c>
      <c r="E34" s="63">
        <v>73600</v>
      </c>
      <c r="F34" s="46">
        <f t="shared" ref="F34:F39" si="11">D34-E34</f>
        <v>11160400</v>
      </c>
      <c r="G34" s="45">
        <f t="shared" ref="G34:G39" si="12">F34/1000</f>
        <v>11160.4</v>
      </c>
      <c r="H34" s="45">
        <f t="shared" si="8"/>
        <v>11160.4</v>
      </c>
      <c r="I34" s="44">
        <v>0.94189999999999996</v>
      </c>
      <c r="J34" s="71">
        <f t="shared" si="3"/>
        <v>10511.980759999999</v>
      </c>
      <c r="K34" s="116"/>
      <c r="L34" s="112"/>
      <c r="M34" s="113"/>
      <c r="N34" s="106"/>
    </row>
    <row r="35" spans="2:14" ht="15" customHeight="1" thickBot="1" x14ac:dyDescent="0.25">
      <c r="B35" s="47">
        <v>45047</v>
      </c>
      <c r="C35" s="63">
        <v>10516</v>
      </c>
      <c r="D35" s="63">
        <v>10530600</v>
      </c>
      <c r="E35" s="63">
        <v>74800</v>
      </c>
      <c r="F35" s="46">
        <f t="shared" si="11"/>
        <v>10455800</v>
      </c>
      <c r="G35" s="45">
        <f t="shared" si="12"/>
        <v>10455.799999999999</v>
      </c>
      <c r="H35" s="45">
        <f t="shared" si="8"/>
        <v>10455.799999999999</v>
      </c>
      <c r="I35" s="44">
        <v>0.94189999999999996</v>
      </c>
      <c r="J35" s="71">
        <f t="shared" si="3"/>
        <v>9848.3180199999988</v>
      </c>
      <c r="K35" s="116"/>
      <c r="L35" s="112"/>
      <c r="M35" s="113"/>
      <c r="N35" s="106"/>
    </row>
    <row r="36" spans="2:14" ht="15" customHeight="1" thickBot="1" x14ac:dyDescent="0.25">
      <c r="B36" s="47">
        <v>45078</v>
      </c>
      <c r="C36" s="63">
        <v>10476</v>
      </c>
      <c r="D36" s="63">
        <v>10495000</v>
      </c>
      <c r="E36" s="63">
        <v>70800</v>
      </c>
      <c r="F36" s="46">
        <f t="shared" si="11"/>
        <v>10424200</v>
      </c>
      <c r="G36" s="45">
        <f t="shared" si="12"/>
        <v>10424.200000000001</v>
      </c>
      <c r="H36" s="45">
        <f t="shared" si="8"/>
        <v>10424.200000000001</v>
      </c>
      <c r="I36" s="44">
        <v>0.94189999999999996</v>
      </c>
      <c r="J36" s="71">
        <f t="shared" si="3"/>
        <v>9818.5539800000006</v>
      </c>
      <c r="K36" s="116"/>
      <c r="L36" s="112"/>
      <c r="M36" s="113"/>
      <c r="N36" s="106"/>
    </row>
    <row r="37" spans="2:14" ht="15" customHeight="1" thickBot="1" x14ac:dyDescent="0.25">
      <c r="B37" s="47">
        <v>45108</v>
      </c>
      <c r="C37" s="63">
        <v>10608</v>
      </c>
      <c r="D37" s="63">
        <v>10633000</v>
      </c>
      <c r="E37" s="63">
        <v>72800</v>
      </c>
      <c r="F37" s="46">
        <f t="shared" si="11"/>
        <v>10560200</v>
      </c>
      <c r="G37" s="45">
        <f t="shared" si="12"/>
        <v>10560.2</v>
      </c>
      <c r="H37" s="45">
        <f t="shared" si="8"/>
        <v>10560.2</v>
      </c>
      <c r="I37" s="44">
        <v>0.94189999999999996</v>
      </c>
      <c r="J37" s="71">
        <f t="shared" si="3"/>
        <v>9946.6523799999995</v>
      </c>
      <c r="K37" s="116"/>
      <c r="L37" s="112"/>
      <c r="M37" s="113"/>
      <c r="N37" s="106"/>
    </row>
    <row r="38" spans="2:14" ht="15" customHeight="1" thickBot="1" x14ac:dyDescent="0.25">
      <c r="B38" s="47">
        <v>45139</v>
      </c>
      <c r="C38" s="63">
        <v>11925</v>
      </c>
      <c r="D38" s="63">
        <v>11948600</v>
      </c>
      <c r="E38" s="63">
        <v>74800</v>
      </c>
      <c r="F38" s="46">
        <f t="shared" si="11"/>
        <v>11873800</v>
      </c>
      <c r="G38" s="45">
        <f t="shared" si="12"/>
        <v>11873.8</v>
      </c>
      <c r="H38" s="45">
        <f t="shared" si="8"/>
        <v>11873.8</v>
      </c>
      <c r="I38" s="44">
        <v>0.94189999999999996</v>
      </c>
      <c r="J38" s="71">
        <f t="shared" si="3"/>
        <v>11183.932219999999</v>
      </c>
      <c r="K38" s="116"/>
      <c r="L38" s="112"/>
      <c r="M38" s="113"/>
      <c r="N38" s="106"/>
    </row>
    <row r="39" spans="2:14" ht="15" customHeight="1" thickBot="1" x14ac:dyDescent="0.25">
      <c r="B39" s="47">
        <v>45170</v>
      </c>
      <c r="C39" s="63">
        <v>10215</v>
      </c>
      <c r="D39" s="63">
        <v>10225200</v>
      </c>
      <c r="E39" s="63">
        <v>74600</v>
      </c>
      <c r="F39" s="46">
        <f t="shared" si="11"/>
        <v>10150600</v>
      </c>
      <c r="G39" s="45">
        <f t="shared" si="12"/>
        <v>10150.6</v>
      </c>
      <c r="H39" s="45">
        <f t="shared" si="8"/>
        <v>10150.6</v>
      </c>
      <c r="I39" s="44">
        <v>0.94189999999999996</v>
      </c>
      <c r="J39" s="71">
        <f t="shared" si="3"/>
        <v>9560.8501400000005</v>
      </c>
      <c r="K39" s="116"/>
      <c r="L39" s="112"/>
      <c r="M39" s="113"/>
      <c r="N39" s="106"/>
    </row>
    <row r="40" spans="2:14" ht="15" customHeight="1" thickBot="1" x14ac:dyDescent="0.25">
      <c r="B40" s="47">
        <v>45224</v>
      </c>
      <c r="C40" s="79">
        <f>(9374*25)/31</f>
        <v>7559.677419354839</v>
      </c>
      <c r="D40" s="65">
        <v>9383800</v>
      </c>
      <c r="E40" s="65">
        <v>76400</v>
      </c>
      <c r="F40" s="66">
        <f>D40-E40</f>
        <v>9307400</v>
      </c>
      <c r="G40" s="67">
        <f>((F40/1000)*25)/31</f>
        <v>7505.9677419354839</v>
      </c>
      <c r="H40" s="45">
        <f t="shared" si="8"/>
        <v>7505.9677419354839</v>
      </c>
      <c r="I40" s="44">
        <v>0.94189999999999996</v>
      </c>
      <c r="J40" s="71">
        <f t="shared" si="3"/>
        <v>7069.8710161290319</v>
      </c>
      <c r="K40" s="116"/>
      <c r="L40" s="114"/>
      <c r="M40" s="115"/>
      <c r="N40" s="106"/>
    </row>
    <row r="41" spans="2:14" ht="16" thickBot="1" x14ac:dyDescent="0.25">
      <c r="B41" s="57" t="s">
        <v>2</v>
      </c>
      <c r="C41" s="107"/>
      <c r="D41" s="107"/>
      <c r="E41" s="107"/>
      <c r="F41" s="107"/>
      <c r="G41" s="58"/>
      <c r="H41" s="89">
        <f>SUM(H7:H40)</f>
        <v>341429.96774193546</v>
      </c>
      <c r="I41" s="59"/>
      <c r="J41" s="72">
        <f>ROUNDDOWN(SUM(J7:J40),0)</f>
        <v>321592</v>
      </c>
      <c r="K41" s="80">
        <f>SUM(K7:K40)</f>
        <v>341429.96774193551</v>
      </c>
      <c r="L41" s="108">
        <f>SUM(L7:M40)</f>
        <v>321592</v>
      </c>
      <c r="M41" s="109"/>
      <c r="N41" s="73">
        <f>AVERAGE(N7:N40)</f>
        <v>0.18845788830698665</v>
      </c>
    </row>
    <row r="42" spans="2:14" x14ac:dyDescent="0.2">
      <c r="H42" s="68"/>
    </row>
    <row r="43" spans="2:14" ht="15" customHeight="1" x14ac:dyDescent="0.2">
      <c r="B43" s="102" t="s">
        <v>57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</row>
    <row r="44" spans="2:14" x14ac:dyDescent="0.2"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</row>
    <row r="45" spans="2:14" x14ac:dyDescent="0.2">
      <c r="C45" s="68"/>
    </row>
  </sheetData>
  <mergeCells count="21">
    <mergeCell ref="B3:N3"/>
    <mergeCell ref="K5:K6"/>
    <mergeCell ref="N5:N6"/>
    <mergeCell ref="N7:N18"/>
    <mergeCell ref="N19:N30"/>
    <mergeCell ref="L5:M6"/>
    <mergeCell ref="L7:M18"/>
    <mergeCell ref="L19:M30"/>
    <mergeCell ref="D5:F5"/>
    <mergeCell ref="K7:K18"/>
    <mergeCell ref="K19:K30"/>
    <mergeCell ref="B43:N44"/>
    <mergeCell ref="B5:B6"/>
    <mergeCell ref="I5:I6"/>
    <mergeCell ref="J5:J6"/>
    <mergeCell ref="H5:H6"/>
    <mergeCell ref="N31:N40"/>
    <mergeCell ref="C41:F41"/>
    <mergeCell ref="L41:M41"/>
    <mergeCell ref="L31:M40"/>
    <mergeCell ref="K31:K40"/>
  </mergeCells>
  <pageMargins left="0.7" right="0.7" top="0.75" bottom="0.75" header="0.3" footer="0.3"/>
  <pageSetup paperSize="9" orientation="portrait" r:id="rId1"/>
  <ignoredErrors>
    <ignoredError sqref="H10:H11 H13:H1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2:J17"/>
  <sheetViews>
    <sheetView zoomScale="110" zoomScaleNormal="110" workbookViewId="0">
      <selection activeCell="E13" sqref="E13"/>
    </sheetView>
  </sheetViews>
  <sheetFormatPr baseColWidth="10" defaultColWidth="9.33203125" defaultRowHeight="15" x14ac:dyDescent="0.2"/>
  <cols>
    <col min="1" max="4" width="9.33203125" style="1"/>
    <col min="5" max="5" width="6.33203125" style="1" bestFit="1" customWidth="1"/>
    <col min="6" max="6" width="16.33203125" style="1" customWidth="1"/>
    <col min="7" max="7" width="31.5" style="1" bestFit="1" customWidth="1"/>
    <col min="8" max="8" width="16.33203125" style="1" customWidth="1"/>
    <col min="9" max="9" width="9.33203125" style="1"/>
    <col min="10" max="10" width="20.6640625" style="1" customWidth="1"/>
    <col min="11" max="16384" width="9.33203125" style="1"/>
  </cols>
  <sheetData>
    <row r="2" spans="5:10" ht="16" thickBot="1" x14ac:dyDescent="0.25"/>
    <row r="3" spans="5:10" ht="17" thickBot="1" x14ac:dyDescent="0.25">
      <c r="E3" s="60" t="s">
        <v>21</v>
      </c>
      <c r="F3" s="61" t="s">
        <v>22</v>
      </c>
      <c r="G3" s="61" t="s">
        <v>39</v>
      </c>
      <c r="H3" s="62" t="s">
        <v>23</v>
      </c>
      <c r="I3" s="123" t="s">
        <v>24</v>
      </c>
      <c r="J3" s="124"/>
    </row>
    <row r="4" spans="5:10" ht="16" x14ac:dyDescent="0.25">
      <c r="E4" s="37">
        <v>1</v>
      </c>
      <c r="F4" s="39" t="s">
        <v>25</v>
      </c>
      <c r="G4" s="40" t="s">
        <v>26</v>
      </c>
      <c r="H4" s="91">
        <f>'Generation sheet '!H41</f>
        <v>341429.96774193546</v>
      </c>
      <c r="I4" s="125" t="s">
        <v>20</v>
      </c>
      <c r="J4" s="126"/>
    </row>
    <row r="5" spans="5:10" x14ac:dyDescent="0.2">
      <c r="E5" s="127">
        <v>2</v>
      </c>
      <c r="F5" s="130" t="s">
        <v>27</v>
      </c>
      <c r="G5" s="133" t="s">
        <v>28</v>
      </c>
      <c r="H5" s="74">
        <v>13</v>
      </c>
      <c r="I5" s="138" t="s">
        <v>29</v>
      </c>
      <c r="J5" s="137"/>
    </row>
    <row r="6" spans="5:10" x14ac:dyDescent="0.2">
      <c r="E6" s="128"/>
      <c r="F6" s="131"/>
      <c r="G6" s="134"/>
      <c r="H6" s="74">
        <v>13</v>
      </c>
      <c r="I6" s="138" t="s">
        <v>30</v>
      </c>
      <c r="J6" s="137"/>
    </row>
    <row r="7" spans="5:10" x14ac:dyDescent="0.2">
      <c r="E7" s="129"/>
      <c r="F7" s="132"/>
      <c r="G7" s="135"/>
      <c r="H7" s="77">
        <v>11233474</v>
      </c>
      <c r="I7" s="136" t="s">
        <v>31</v>
      </c>
      <c r="J7" s="137"/>
    </row>
    <row r="8" spans="5:10" ht="18" thickBot="1" x14ac:dyDescent="0.25">
      <c r="E8" s="38">
        <v>3</v>
      </c>
      <c r="F8" s="41" t="s">
        <v>32</v>
      </c>
      <c r="G8" s="41" t="s">
        <v>33</v>
      </c>
      <c r="H8" s="78">
        <f>'Generation sheet '!J41</f>
        <v>321592</v>
      </c>
      <c r="I8" s="139" t="s">
        <v>38</v>
      </c>
      <c r="J8" s="140"/>
    </row>
    <row r="15" spans="5:10" x14ac:dyDescent="0.2">
      <c r="G15" s="122"/>
    </row>
    <row r="16" spans="5:10" x14ac:dyDescent="0.2">
      <c r="G16" s="122"/>
    </row>
    <row r="17" spans="7:7" x14ac:dyDescent="0.2">
      <c r="G17" s="122"/>
    </row>
  </sheetData>
  <mergeCells count="10">
    <mergeCell ref="G15:G17"/>
    <mergeCell ref="I3:J3"/>
    <mergeCell ref="I4:J4"/>
    <mergeCell ref="E5:E7"/>
    <mergeCell ref="F5:F7"/>
    <mergeCell ref="G5:G7"/>
    <mergeCell ref="I7:J7"/>
    <mergeCell ref="I5:J5"/>
    <mergeCell ref="I6:J6"/>
    <mergeCell ref="I8:J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 summary</vt:lpstr>
      <vt:lpstr>Generation sheet </vt:lpstr>
      <vt:lpstr>Actual SDGs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Joshi</dc:creator>
  <cp:lastModifiedBy>Team Leader</cp:lastModifiedBy>
  <dcterms:created xsi:type="dcterms:W3CDTF">2021-05-25T04:11:56Z</dcterms:created>
  <dcterms:modified xsi:type="dcterms:W3CDTF">2025-10-16T07:53:40Z</dcterms:modified>
</cp:coreProperties>
</file>