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CCB52B3C-35E7-4CE8-BC83-24C116B6E75F}" xr6:coauthVersionLast="47" xr6:coauthVersionMax="47" xr10:uidLastSave="{00000000-0000-0000-0000-000000000000}"/>
  <bookViews>
    <workbookView xWindow="-120" yWindow="-120" windowWidth="20730" windowHeight="11160" xr2:uid="{00000000-000D-0000-FFFF-FFFF00000000}"/>
  </bookViews>
  <sheets>
    <sheet name="Project Details" sheetId="3" r:id="rId1"/>
    <sheet name="Emission Reduction Calculation" sheetId="2" r:id="rId2"/>
    <sheet name="Generation Details" sheetId="1" r:id="rId3"/>
    <sheet name="SubstationMeter Readings" sheetId="4" r:id="rId4"/>
    <sheet name="DGR Oct_2018" sheetId="6" r:id="rId5"/>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3" i="3" l="1"/>
  <c r="D3" i="1"/>
  <c r="G4" i="6"/>
  <c r="G5" i="6" s="1"/>
  <c r="G7" i="6" s="1"/>
  <c r="G8" i="6" s="1"/>
  <c r="G3" i="6"/>
  <c r="O12" i="6"/>
  <c r="O13" i="6"/>
  <c r="O14" i="6"/>
  <c r="O15" i="6"/>
  <c r="O16" i="6"/>
  <c r="O17" i="6"/>
  <c r="O43" i="6" s="1"/>
  <c r="O18" i="6"/>
  <c r="O19" i="6"/>
  <c r="O20" i="6"/>
  <c r="O21" i="6"/>
  <c r="O22" i="6"/>
  <c r="O23" i="6"/>
  <c r="O24" i="6"/>
  <c r="O25" i="6"/>
  <c r="O26" i="6"/>
  <c r="O27" i="6"/>
  <c r="O28" i="6"/>
  <c r="O29" i="6"/>
  <c r="O30" i="6"/>
  <c r="O31" i="6"/>
  <c r="O32" i="6"/>
  <c r="O33" i="6"/>
  <c r="O34" i="6"/>
  <c r="O35" i="6"/>
  <c r="O36" i="6"/>
  <c r="O37" i="6"/>
  <c r="O38" i="6"/>
  <c r="O39" i="6"/>
  <c r="O40" i="6"/>
  <c r="O41" i="6"/>
  <c r="O42" i="6"/>
  <c r="C43" i="6"/>
  <c r="D43" i="6"/>
  <c r="E43" i="6"/>
  <c r="F43" i="6"/>
  <c r="G43" i="6"/>
  <c r="H43" i="6"/>
  <c r="I43" i="6"/>
  <c r="J43" i="6"/>
  <c r="K43" i="6"/>
  <c r="L43" i="6"/>
  <c r="M43" i="6"/>
  <c r="N43" i="6"/>
  <c r="C10" i="3" l="1"/>
  <c r="E27" i="3"/>
  <c r="E28" i="3" s="1"/>
  <c r="E3" i="2"/>
  <c r="E4" i="2"/>
  <c r="E5" i="2"/>
  <c r="E6" i="2"/>
  <c r="E7" i="2"/>
  <c r="E8" i="2"/>
  <c r="E9" i="2"/>
  <c r="E10" i="2"/>
  <c r="E11" i="2"/>
  <c r="E12" i="2"/>
  <c r="E13" i="2"/>
  <c r="E14" i="2"/>
  <c r="E15" i="2"/>
  <c r="E16" i="2"/>
  <c r="E17" i="2"/>
  <c r="E18" i="2"/>
  <c r="E19" i="2"/>
  <c r="E20" i="2"/>
  <c r="E21" i="2"/>
  <c r="E22" i="2"/>
  <c r="E23" i="2"/>
  <c r="E24" i="2"/>
  <c r="E25" i="2"/>
  <c r="E26" i="2"/>
  <c r="E27" i="2"/>
  <c r="E28" i="2"/>
  <c r="E29" i="2"/>
  <c r="H30" i="1"/>
  <c r="G30" i="1"/>
  <c r="D30" i="1"/>
  <c r="H30" i="2"/>
  <c r="G30" i="2"/>
  <c r="F3" i="1"/>
  <c r="F30" i="1" s="1"/>
  <c r="F4" i="1"/>
  <c r="D4" i="2"/>
  <c r="F5" i="1"/>
  <c r="D5" i="2"/>
  <c r="F5" i="2" s="1"/>
  <c r="I5" i="2" s="1"/>
  <c r="F6" i="1"/>
  <c r="D6" i="2"/>
  <c r="F7" i="1"/>
  <c r="D7" i="2"/>
  <c r="F8" i="1"/>
  <c r="D8" i="2"/>
  <c r="F9" i="1"/>
  <c r="D9" i="2"/>
  <c r="F9" i="2" s="1"/>
  <c r="I9" i="2" s="1"/>
  <c r="F10" i="1"/>
  <c r="D10" i="2"/>
  <c r="F11" i="1"/>
  <c r="D11" i="2"/>
  <c r="F12" i="1"/>
  <c r="D12" i="2"/>
  <c r="F13" i="1"/>
  <c r="D13" i="2"/>
  <c r="F13" i="2" s="1"/>
  <c r="I13" i="2" s="1"/>
  <c r="F14" i="1"/>
  <c r="D14" i="2"/>
  <c r="F15" i="1"/>
  <c r="D15" i="2"/>
  <c r="F16" i="1"/>
  <c r="D16" i="2"/>
  <c r="F17" i="1"/>
  <c r="D17" i="2"/>
  <c r="F17" i="2" s="1"/>
  <c r="I17" i="2" s="1"/>
  <c r="F18" i="1"/>
  <c r="D18" i="2"/>
  <c r="F19" i="1"/>
  <c r="D19" i="2"/>
  <c r="F20" i="1"/>
  <c r="D20" i="2"/>
  <c r="F21" i="1"/>
  <c r="D21" i="2"/>
  <c r="F21" i="2" s="1"/>
  <c r="I21" i="2" s="1"/>
  <c r="F22" i="1"/>
  <c r="D22" i="2"/>
  <c r="F23" i="1"/>
  <c r="D23" i="2"/>
  <c r="F24" i="1"/>
  <c r="D24" i="2"/>
  <c r="F25" i="1"/>
  <c r="D25" i="2"/>
  <c r="F25" i="2" s="1"/>
  <c r="I25" i="2" s="1"/>
  <c r="F26" i="1"/>
  <c r="D26" i="2"/>
  <c r="F27" i="1"/>
  <c r="D27" i="2"/>
  <c r="F28" i="1"/>
  <c r="D28" i="2"/>
  <c r="F29" i="1"/>
  <c r="D29" i="2"/>
  <c r="F29" i="2" s="1"/>
  <c r="I29" i="2" s="1"/>
  <c r="R5" i="4"/>
  <c r="J3" i="1" s="1"/>
  <c r="R6" i="4"/>
  <c r="J4" i="1"/>
  <c r="R7" i="4"/>
  <c r="J5" i="1" s="1"/>
  <c r="R8" i="4"/>
  <c r="J6" i="1"/>
  <c r="R9" i="4"/>
  <c r="J7" i="1" s="1"/>
  <c r="R10" i="4"/>
  <c r="J8" i="1"/>
  <c r="R11" i="4"/>
  <c r="J9" i="1" s="1"/>
  <c r="R12" i="4"/>
  <c r="J10" i="1"/>
  <c r="R13" i="4"/>
  <c r="R32" i="4" s="1"/>
  <c r="R14" i="4"/>
  <c r="J12" i="1"/>
  <c r="R15" i="4"/>
  <c r="J13" i="1" s="1"/>
  <c r="R16" i="4"/>
  <c r="J14" i="1"/>
  <c r="R17" i="4"/>
  <c r="J15" i="1" s="1"/>
  <c r="R18" i="4"/>
  <c r="J16" i="1"/>
  <c r="R19" i="4"/>
  <c r="J17" i="1" s="1"/>
  <c r="R20" i="4"/>
  <c r="J18" i="1"/>
  <c r="R21" i="4"/>
  <c r="J19" i="1" s="1"/>
  <c r="R22" i="4"/>
  <c r="J20" i="1"/>
  <c r="R23" i="4"/>
  <c r="J21" i="1" s="1"/>
  <c r="R24" i="4"/>
  <c r="J22" i="1"/>
  <c r="R25" i="4"/>
  <c r="J23" i="1" s="1"/>
  <c r="R26" i="4"/>
  <c r="J24" i="1"/>
  <c r="R27" i="4"/>
  <c r="J25" i="1" s="1"/>
  <c r="R28" i="4"/>
  <c r="J26" i="1"/>
  <c r="R29" i="4"/>
  <c r="J27" i="1" s="1"/>
  <c r="R30" i="4"/>
  <c r="J28" i="1"/>
  <c r="R31" i="4"/>
  <c r="J29" i="1" s="1"/>
  <c r="Q5" i="4"/>
  <c r="I3" i="1"/>
  <c r="I30" i="1" s="1"/>
  <c r="Q6" i="4"/>
  <c r="I4" i="1" s="1"/>
  <c r="Q7" i="4"/>
  <c r="I5" i="1"/>
  <c r="Q8" i="4"/>
  <c r="I6" i="1" s="1"/>
  <c r="Q9" i="4"/>
  <c r="I7" i="1"/>
  <c r="Q10" i="4"/>
  <c r="I8" i="1" s="1"/>
  <c r="Q11" i="4"/>
  <c r="I9" i="1"/>
  <c r="Q12" i="4"/>
  <c r="I10" i="1" s="1"/>
  <c r="Q13" i="4"/>
  <c r="I11" i="1"/>
  <c r="Q14" i="4"/>
  <c r="I12" i="1" s="1"/>
  <c r="Q15" i="4"/>
  <c r="I13" i="1"/>
  <c r="Q16" i="4"/>
  <c r="I14" i="1" s="1"/>
  <c r="Q17" i="4"/>
  <c r="I15" i="1"/>
  <c r="Q18" i="4"/>
  <c r="I16" i="1" s="1"/>
  <c r="Q19" i="4"/>
  <c r="I17" i="1"/>
  <c r="Q20" i="4"/>
  <c r="I18" i="1" s="1"/>
  <c r="Q21" i="4"/>
  <c r="I19" i="1"/>
  <c r="Q22" i="4"/>
  <c r="I20" i="1" s="1"/>
  <c r="Q23" i="4"/>
  <c r="I21" i="1"/>
  <c r="Q24" i="4"/>
  <c r="I22" i="1" s="1"/>
  <c r="Q25" i="4"/>
  <c r="I23" i="1"/>
  <c r="Q26" i="4"/>
  <c r="I24" i="1" s="1"/>
  <c r="Q27" i="4"/>
  <c r="I25" i="1"/>
  <c r="Q28" i="4"/>
  <c r="I26" i="1" s="1"/>
  <c r="Q29" i="4"/>
  <c r="I27" i="1"/>
  <c r="Q30" i="4"/>
  <c r="I28" i="1" s="1"/>
  <c r="Q31" i="4"/>
  <c r="I29" i="1"/>
  <c r="C13" i="3"/>
  <c r="O5" i="4"/>
  <c r="O32" i="4" s="1"/>
  <c r="O6" i="4"/>
  <c r="O7" i="4"/>
  <c r="O8" i="4"/>
  <c r="O9" i="4"/>
  <c r="O10" i="4"/>
  <c r="O11" i="4"/>
  <c r="O12" i="4"/>
  <c r="O13" i="4"/>
  <c r="O14" i="4"/>
  <c r="O15" i="4"/>
  <c r="O16" i="4"/>
  <c r="O17" i="4"/>
  <c r="O18" i="4"/>
  <c r="O19" i="4"/>
  <c r="O20" i="4"/>
  <c r="O21" i="4"/>
  <c r="O22" i="4"/>
  <c r="O23" i="4"/>
  <c r="O24" i="4"/>
  <c r="O25" i="4"/>
  <c r="O26" i="4"/>
  <c r="O27" i="4"/>
  <c r="O28" i="4"/>
  <c r="O29" i="4"/>
  <c r="O30" i="4"/>
  <c r="O31" i="4"/>
  <c r="N32" i="4"/>
  <c r="M32"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K32" i="4"/>
  <c r="J32" i="4"/>
  <c r="I5" i="4"/>
  <c r="I32" i="4" s="1"/>
  <c r="I6" i="4"/>
  <c r="I7" i="4"/>
  <c r="I8" i="4"/>
  <c r="I9" i="4"/>
  <c r="I10" i="4"/>
  <c r="I11" i="4"/>
  <c r="I12" i="4"/>
  <c r="I13" i="4"/>
  <c r="I14" i="4"/>
  <c r="I15" i="4"/>
  <c r="I16" i="4"/>
  <c r="I17" i="4"/>
  <c r="I18" i="4"/>
  <c r="I19" i="4"/>
  <c r="I20" i="4"/>
  <c r="I21" i="4"/>
  <c r="I22" i="4"/>
  <c r="S22" i="4" s="1"/>
  <c r="I23" i="4"/>
  <c r="I24" i="4"/>
  <c r="I25" i="4"/>
  <c r="I26" i="4"/>
  <c r="S26" i="4" s="1"/>
  <c r="I27" i="4"/>
  <c r="I28" i="4"/>
  <c r="I29" i="4"/>
  <c r="I30" i="4"/>
  <c r="S30" i="4" s="1"/>
  <c r="I31" i="4"/>
  <c r="H32" i="4"/>
  <c r="G32" i="4"/>
  <c r="F5" i="4"/>
  <c r="S5" i="4" s="1"/>
  <c r="F6" i="4"/>
  <c r="F7" i="4"/>
  <c r="F8" i="4"/>
  <c r="S8" i="4" s="1"/>
  <c r="F9" i="4"/>
  <c r="S9" i="4" s="1"/>
  <c r="F10" i="4"/>
  <c r="F11" i="4"/>
  <c r="F12" i="4"/>
  <c r="S12" i="4" s="1"/>
  <c r="F13" i="4"/>
  <c r="S13" i="4" s="1"/>
  <c r="F14" i="4"/>
  <c r="F15" i="4"/>
  <c r="F16" i="4"/>
  <c r="S16" i="4" s="1"/>
  <c r="F17" i="4"/>
  <c r="S17" i="4" s="1"/>
  <c r="F18" i="4"/>
  <c r="F19" i="4"/>
  <c r="F20" i="4"/>
  <c r="S20" i="4" s="1"/>
  <c r="F21" i="4"/>
  <c r="S21" i="4" s="1"/>
  <c r="F22" i="4"/>
  <c r="F23" i="4"/>
  <c r="F24" i="4"/>
  <c r="S24" i="4" s="1"/>
  <c r="F25" i="4"/>
  <c r="S25" i="4" s="1"/>
  <c r="F26" i="4"/>
  <c r="F27" i="4"/>
  <c r="F28" i="4"/>
  <c r="S28" i="4" s="1"/>
  <c r="F29" i="4"/>
  <c r="S29" i="4" s="1"/>
  <c r="F30" i="4"/>
  <c r="F31" i="4"/>
  <c r="E32" i="4"/>
  <c r="D32" i="4"/>
  <c r="S31" i="4"/>
  <c r="S27" i="4"/>
  <c r="S23" i="4"/>
  <c r="S19" i="4"/>
  <c r="S18" i="4"/>
  <c r="S15" i="4"/>
  <c r="S14" i="4"/>
  <c r="S11" i="4"/>
  <c r="S10" i="4"/>
  <c r="S7" i="4"/>
  <c r="S6" i="4"/>
  <c r="F33" i="3" l="1"/>
  <c r="F28" i="2"/>
  <c r="I28" i="2" s="1"/>
  <c r="F26" i="2"/>
  <c r="I26" i="2" s="1"/>
  <c r="F24" i="2"/>
  <c r="I24" i="2" s="1"/>
  <c r="F22" i="2"/>
  <c r="I22" i="2" s="1"/>
  <c r="F20" i="2"/>
  <c r="I20" i="2" s="1"/>
  <c r="F18" i="2"/>
  <c r="I18" i="2" s="1"/>
  <c r="F16" i="2"/>
  <c r="I16" i="2" s="1"/>
  <c r="F14" i="2"/>
  <c r="I14" i="2" s="1"/>
  <c r="F12" i="2"/>
  <c r="I12" i="2" s="1"/>
  <c r="F10" i="2"/>
  <c r="I10" i="2" s="1"/>
  <c r="F8" i="2"/>
  <c r="I8" i="2" s="1"/>
  <c r="F6" i="2"/>
  <c r="I6" i="2" s="1"/>
  <c r="F4" i="2"/>
  <c r="I4" i="2" s="1"/>
  <c r="D3" i="2"/>
  <c r="D30" i="2" s="1"/>
  <c r="C14" i="3" s="1"/>
  <c r="E21" i="3"/>
  <c r="F21" i="3" s="1"/>
  <c r="G39" i="3" s="1"/>
  <c r="E22" i="3"/>
  <c r="F22" i="3" s="1"/>
  <c r="G40" i="3" s="1"/>
  <c r="F27" i="2"/>
  <c r="I27" i="2" s="1"/>
  <c r="F23" i="2"/>
  <c r="I23" i="2" s="1"/>
  <c r="F19" i="2"/>
  <c r="I19" i="2" s="1"/>
  <c r="F15" i="2"/>
  <c r="I15" i="2" s="1"/>
  <c r="F11" i="2"/>
  <c r="I11" i="2" s="1"/>
  <c r="F7" i="2"/>
  <c r="I7" i="2" s="1"/>
  <c r="F3" i="2"/>
  <c r="E20" i="3"/>
  <c r="E23" i="3" s="1"/>
  <c r="J11" i="1"/>
  <c r="J30" i="1" s="1"/>
  <c r="F32" i="4"/>
  <c r="S32" i="4" s="1"/>
  <c r="Q32" i="4"/>
  <c r="G33" i="3" l="1"/>
  <c r="E35" i="3"/>
  <c r="F35" i="3" s="1"/>
  <c r="I3" i="2"/>
  <c r="I30" i="2" s="1"/>
  <c r="C15" i="3" s="1"/>
  <c r="F30" i="2"/>
  <c r="G35" i="3" l="1"/>
  <c r="F40" i="3"/>
  <c r="E40" i="3" s="1"/>
  <c r="F36" i="3"/>
  <c r="C16" i="3"/>
  <c r="F20" i="3"/>
  <c r="F23" i="3" l="1"/>
  <c r="G38" i="3"/>
  <c r="E29" i="3" l="1"/>
  <c r="G36" i="3"/>
  <c r="E36" i="3" s="1"/>
  <c r="E38" i="3" s="1"/>
  <c r="F38" i="3" s="1"/>
  <c r="E39" i="3" s="1"/>
  <c r="F3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23" authorId="0" shapeId="0" xr:uid="{39F4CF57-5B8D-4FDA-AEBE-D60C84F06D2A}">
      <text>
        <r>
          <rPr>
            <b/>
            <sz val="9"/>
            <color indexed="81"/>
            <rFont val="Tahoma"/>
            <family val="2"/>
          </rPr>
          <t>Abhishek Anjan:</t>
        </r>
        <r>
          <rPr>
            <sz val="9"/>
            <color indexed="81"/>
            <rFont val="Tahoma"/>
            <family val="2"/>
          </rPr>
          <t xml:space="preserve">
Average values taken for the 3 years vintage.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 authorId="0" shapeId="0" xr:uid="{DF794DF9-AA47-4A04-B24F-B5D3FBC2083B}">
      <text>
        <r>
          <rPr>
            <b/>
            <sz val="9"/>
            <color indexed="81"/>
            <rFont val="Tahoma"/>
            <family val="2"/>
          </rPr>
          <t>Abhishek Anjan:</t>
        </r>
        <r>
          <rPr>
            <sz val="9"/>
            <color indexed="81"/>
            <rFont val="Tahoma"/>
            <family val="2"/>
          </rPr>
          <t xml:space="preserve">
The Net Electricity has been apportioned according to Daily Generation Data for the intervening period.</t>
        </r>
      </text>
    </comment>
    <comment ref="I30" authorId="0" shapeId="0" xr:uid="{00C806D3-5069-4242-A42C-0183BFE86179}">
      <text>
        <r>
          <rPr>
            <b/>
            <sz val="9"/>
            <color indexed="81"/>
            <rFont val="Tahoma"/>
            <family val="2"/>
          </rPr>
          <t>Abhishek Anjan:</t>
        </r>
        <r>
          <rPr>
            <sz val="9"/>
            <color indexed="81"/>
            <rFont val="Tahoma"/>
            <family val="2"/>
          </rPr>
          <t xml:space="preserve">
Value in MWh</t>
        </r>
      </text>
    </comment>
    <comment ref="J30" authorId="0" shapeId="0" xr:uid="{EDEB8DD1-0D82-44F0-BDE6-5C1C19C8E9BB}">
      <text>
        <r>
          <rPr>
            <b/>
            <sz val="9"/>
            <color indexed="81"/>
            <rFont val="Tahoma"/>
            <family val="2"/>
          </rPr>
          <t>Abhishek Anjan:</t>
        </r>
        <r>
          <rPr>
            <sz val="9"/>
            <color indexed="81"/>
            <rFont val="Tahoma"/>
            <family val="2"/>
          </rPr>
          <t xml:space="preserve">
Value in MWh</t>
        </r>
      </text>
    </comment>
  </commentList>
</comments>
</file>

<file path=xl/sharedStrings.xml><?xml version="1.0" encoding="utf-8"?>
<sst xmlns="http://schemas.openxmlformats.org/spreadsheetml/2006/main" count="105" uniqueCount="89">
  <si>
    <t>Month</t>
  </si>
  <si>
    <t>Quantity of electricity exported to  GUVNL facility EGy, Export (KWh)</t>
  </si>
  <si>
    <t>Quantity of electricity imported from  GUVNL facility EGy,Import (KWh)</t>
  </si>
  <si>
    <r>
      <t>Baseline emission factor in tCO2/MWh EF</t>
    </r>
    <r>
      <rPr>
        <b/>
        <vertAlign val="subscript"/>
        <sz val="11"/>
        <color indexed="8"/>
        <rFont val="Calibri"/>
        <family val="2"/>
      </rPr>
      <t>CO2, grid, y</t>
    </r>
    <r>
      <rPr>
        <b/>
        <sz val="11"/>
        <color indexed="8"/>
        <rFont val="Calibri"/>
        <family val="2"/>
      </rPr>
      <t xml:space="preserve"> </t>
    </r>
  </si>
  <si>
    <r>
      <t>Baseline Emissins                          BE</t>
    </r>
    <r>
      <rPr>
        <b/>
        <vertAlign val="subscript"/>
        <sz val="11"/>
        <color indexed="8"/>
        <rFont val="Calibri"/>
        <family val="2"/>
      </rPr>
      <t>y</t>
    </r>
    <r>
      <rPr>
        <b/>
        <sz val="11"/>
        <color indexed="8"/>
        <rFont val="Calibri"/>
        <family val="2"/>
      </rPr>
      <t xml:space="preserve"> = EG</t>
    </r>
    <r>
      <rPr>
        <b/>
        <vertAlign val="subscript"/>
        <sz val="11"/>
        <color indexed="8"/>
        <rFont val="Calibri"/>
        <family val="2"/>
      </rPr>
      <t>BL, y</t>
    </r>
    <r>
      <rPr>
        <b/>
        <sz val="11"/>
        <color indexed="8"/>
        <rFont val="Calibri"/>
        <family val="2"/>
      </rPr>
      <t xml:space="preserve"> * EF</t>
    </r>
    <r>
      <rPr>
        <b/>
        <vertAlign val="subscript"/>
        <sz val="11"/>
        <color indexed="8"/>
        <rFont val="Calibri"/>
        <family val="2"/>
      </rPr>
      <t>CO2, grid, y</t>
    </r>
  </si>
  <si>
    <t>Emisssion Reduction ERy= BEy-PEy-Ly</t>
  </si>
  <si>
    <t>Project Emissions, PEy</t>
  </si>
  <si>
    <t>Leakage, Ly</t>
  </si>
  <si>
    <t>Total</t>
  </si>
  <si>
    <t>Title of the project activity</t>
  </si>
  <si>
    <t>9.6 MW Wind Energy Project at Jamvadi &amp; Navagam &amp; Kalavad, Jamnagar, Gujarat, India of Rohit Surfactants Pvt. Ltd.</t>
  </si>
  <si>
    <t>Reference number of the project activity</t>
  </si>
  <si>
    <t>Monitoring period number and duration of this monitoring period</t>
  </si>
  <si>
    <t>No. of Days in the current Monitoring Period</t>
  </si>
  <si>
    <t>Actual CERs Obtained during the current Monitoring Period (tCO2e)</t>
  </si>
  <si>
    <t>Estimated amount of GHG emission reductions or net anthropogenic GHG removals by sinks for this monitoring period in the registered PDD (tCO2e)</t>
  </si>
  <si>
    <t>% Change in estimation values</t>
  </si>
  <si>
    <t>Quantity of net electricity supplied to the grid as a result of the implementation of the CDM project activity in year y                                            EG BL, y (taken from GETCO share certificates) (MWh)</t>
  </si>
  <si>
    <r>
      <t xml:space="preserve">Electricity generated  at the Cluster Meter(CM)                       (EG </t>
    </r>
    <r>
      <rPr>
        <b/>
        <sz val="10"/>
        <color indexed="8"/>
        <rFont val="Calibri"/>
        <family val="2"/>
      </rPr>
      <t>CM</t>
    </r>
    <r>
      <rPr>
        <b/>
        <sz val="11"/>
        <color indexed="8"/>
        <rFont val="Calibri"/>
        <family val="2"/>
      </rPr>
      <t>) (MWh)</t>
    </r>
  </si>
  <si>
    <r>
      <t>Quantity of net electricity supplied to the grid as a result of the implementation of the CDM project activity in year y, EG</t>
    </r>
    <r>
      <rPr>
        <b/>
        <sz val="10"/>
        <color indexed="8"/>
        <rFont val="Calibri"/>
        <family val="2"/>
      </rPr>
      <t>BL</t>
    </r>
    <r>
      <rPr>
        <b/>
        <sz val="11"/>
        <color indexed="8"/>
        <rFont val="Calibri"/>
        <family val="2"/>
      </rPr>
      <t>, y             with double of accuracy class error factor (whereever delay in calibration applicable)</t>
    </r>
  </si>
  <si>
    <t>Quantity of net electricity supplied to the grid as a result of the implementation of the CDM project activity in year y                                            EG BL, y (taken from GETCO share certificates) (MWh) with double of accuracy class error factor (wherever applicable)</t>
  </si>
  <si>
    <t>Note 1</t>
  </si>
  <si>
    <t>Since delay in calibration frequency has been observed as per the registered PDD, and breakup of export and import is not available for this parameter hence error factor has been applied double than that of accuracy class of meters to retain conservativeness. The accuracy class of meter is 0.2%, thus double of accuracy class i.e 0.4% error factor is applied for net electricty supplied to grid parameter as a most conservative approach.</t>
  </si>
  <si>
    <t>Note 2</t>
  </si>
  <si>
    <t>The Parameters "Electricity generated  at the Cluster Meter(CM) (EG CM) (MWh)" , "Quantity of electricity exported to  GUVNL facility EGy, Export (KWh)" and " Quantity of electricity imported from  GUVNL facility EGy,Import (KWh)" are not directly used for ER calculations and are mentioned as a part of monitoring plan. Hence though there is delay in calibration for these meters, the same is not applied or not shown in above data. The net electricity supplied to grid is considered from share certificate and same is used for ER Calculations, the error factor ( double of accuracy class) is applied for this net electricity supplied to grid parameter.</t>
  </si>
  <si>
    <t>S.NO.</t>
  </si>
  <si>
    <t>DATE</t>
  </si>
  <si>
    <t>TRANFORMER NO-01</t>
  </si>
  <si>
    <t>TRANSFORMER NO-02</t>
  </si>
  <si>
    <t>TRANSFORMER NO-03</t>
  </si>
  <si>
    <t>TRANSFORMER NO-04</t>
  </si>
  <si>
    <t>TOTAL Import_KWH</t>
  </si>
  <si>
    <t>TOTAL Export_KWH</t>
  </si>
  <si>
    <t>TOTAL NETKWh</t>
  </si>
  <si>
    <t xml:space="preserve">EXPORT KWh </t>
  </si>
  <si>
    <t>IMPORT KWh</t>
  </si>
  <si>
    <t>NET KWh</t>
  </si>
  <si>
    <t>EXPORT KWh</t>
  </si>
  <si>
    <t>TOTAL</t>
  </si>
  <si>
    <t>Quantity of net electricity supplied to the grid as a result of the implementation of the CDM project activity in year y                                            EG BL, y (taken from respective Invoices) (KWh)</t>
  </si>
  <si>
    <t>Version of ER- Sheet</t>
  </si>
  <si>
    <t>Date</t>
  </si>
  <si>
    <t>RSPLJV-01 (0927)</t>
  </si>
  <si>
    <t>RSPLJV-02 (0928)</t>
  </si>
  <si>
    <t>RSPLJV-03 (0929)</t>
  </si>
  <si>
    <t>RSPLJV-04 (0930)</t>
  </si>
  <si>
    <t>RSPLJV-05 (0931)</t>
  </si>
  <si>
    <t>RSPLJV-06 (0932)</t>
  </si>
  <si>
    <t>RSPLJV-07 (0933)</t>
  </si>
  <si>
    <t>RSPLDD-08 (01029)</t>
  </si>
  <si>
    <t>RSPLDD-09 (01030)</t>
  </si>
  <si>
    <t>RSPLDD-10 (01031)</t>
  </si>
  <si>
    <t>RSPLDD-11 (10132)</t>
  </si>
  <si>
    <t>RSPLDD-12 (01033)</t>
  </si>
  <si>
    <t>Total(KWh)</t>
  </si>
  <si>
    <t>Generation Ratio</t>
  </si>
  <si>
    <t>Date of Preliminary Review Submission</t>
  </si>
  <si>
    <t>Monitoring period No: 01</t>
  </si>
  <si>
    <t>https://registry.goldstandard.org/projects/details/2204</t>
  </si>
  <si>
    <t>Vintage wise Calculation</t>
  </si>
  <si>
    <t>Year</t>
  </si>
  <si>
    <t>SDG 7</t>
  </si>
  <si>
    <t xml:space="preserve">SDG 13 </t>
  </si>
  <si>
    <t>SDG 8 ( Employment):[Skilled+Unskilled]</t>
  </si>
  <si>
    <t xml:space="preserve">SDG 8 ( Trainings ) </t>
  </si>
  <si>
    <t>16:[11+5]</t>
  </si>
  <si>
    <t>Emission Factor</t>
  </si>
  <si>
    <t>Net Electricity Supplied for this monitoring period</t>
  </si>
  <si>
    <t>GS Serial Number Calculation</t>
  </si>
  <si>
    <t>Total credits</t>
  </si>
  <si>
    <t>Total Credits claimed in CDM</t>
  </si>
  <si>
    <t xml:space="preserve">2% SOP </t>
  </si>
  <si>
    <t>Net Issuance from CDM</t>
  </si>
  <si>
    <t>GS Credits Claimed</t>
  </si>
  <si>
    <t>Start of serial Number</t>
  </si>
  <si>
    <t>End of serial Number</t>
  </si>
  <si>
    <t>2% SOP Deduction</t>
  </si>
  <si>
    <t>CER Range after CDM SOP Deduction</t>
  </si>
  <si>
    <t>GSCER Serial Range</t>
  </si>
  <si>
    <t>Vintage Breakup</t>
  </si>
  <si>
    <t>Electricity  generated by 
each WTG (EG y,WTG) (MWh)</t>
  </si>
  <si>
    <t>21/10/2018 to 31/12/2020 (Both days Included)</t>
  </si>
  <si>
    <t>7589 (UNFCCC ID: 4470)</t>
  </si>
  <si>
    <t>Net Export from 01/10/2018 to 31/10/2018 in KWh</t>
  </si>
  <si>
    <t>Net Export from 21/10/2018 to 31/10/2018 in KWh</t>
  </si>
  <si>
    <t>Export as per GETCO Share Certificate from 01/10/2018 to 31/10/2018  in KWh</t>
  </si>
  <si>
    <t>Apportioned value of Net Export from 21/10/2018 to 31/10/2018 in KWh</t>
  </si>
  <si>
    <t>Apportioned value of Net Export from 21/10/2018 to 31/10/2018 in MWh</t>
  </si>
  <si>
    <t>Annual (365 Days) estimation of CERs as per Registered PDD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</si>
</sst>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
    <numFmt numFmtId="165" formatCode="dd\/mm\/yyyy"/>
    <numFmt numFmtId="166" formatCode="_ * #,##0_ ;_ * \-#,##0_ ;_ * &quot;-&quot;??_ ;_ @_ "/>
  </numFmts>
  <fonts count="14" x14ac:knownFonts="1">
    <font>
      <sz val="11"/>
      <color theme="1"/>
      <name val="Calibri"/>
      <family val="2"/>
      <scheme val="minor"/>
    </font>
    <font>
      <b/>
      <sz val="11"/>
      <color theme="1"/>
      <name val="Calibri"/>
      <family val="2"/>
      <scheme val="minor"/>
    </font>
    <font>
      <b/>
      <sz val="11"/>
      <color rgb="FF000000"/>
      <name val="Calibri"/>
      <family val="2"/>
      <scheme val="minor"/>
    </font>
    <font>
      <b/>
      <sz val="10"/>
      <color indexed="8"/>
      <name val="Calibri"/>
      <family val="2"/>
    </font>
    <font>
      <b/>
      <sz val="11"/>
      <color indexed="8"/>
      <name val="Calibri"/>
      <family val="2"/>
    </font>
    <font>
      <b/>
      <vertAlign val="subscript"/>
      <sz val="11"/>
      <color indexed="8"/>
      <name val="Calibri"/>
      <family val="2"/>
    </font>
    <font>
      <b/>
      <sz val="10"/>
      <color theme="1"/>
      <name val="Arial"/>
      <family val="2"/>
    </font>
    <font>
      <sz val="10"/>
      <color theme="1"/>
      <name val="Arial"/>
      <family val="2"/>
    </font>
    <font>
      <u/>
      <sz val="11"/>
      <color theme="10"/>
      <name val="Calibri"/>
      <family val="2"/>
      <scheme val="minor"/>
    </font>
    <font>
      <sz val="11"/>
      <color theme="1"/>
      <name val="Calibri"/>
      <family val="2"/>
      <scheme val="minor"/>
    </font>
    <font>
      <sz val="9"/>
      <color indexed="81"/>
      <name val="Tahoma"/>
      <family val="2"/>
    </font>
    <font>
      <b/>
      <sz val="9"/>
      <color indexed="81"/>
      <name val="Tahoma"/>
      <family val="2"/>
    </font>
    <font>
      <sz val="10"/>
      <name val="Arial"/>
      <family val="2"/>
    </font>
    <font>
      <b/>
      <sz val="10"/>
      <name val="Arial"/>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8" fillId="0" borderId="0" applyNumberFormat="0" applyFill="0" applyBorder="0" applyAlignment="0" applyProtection="0"/>
    <xf numFmtId="43" fontId="9" fillId="0" borderId="0" applyFont="0" applyFill="0" applyBorder="0" applyAlignment="0" applyProtection="0"/>
    <xf numFmtId="0" fontId="12" fillId="0" borderId="0"/>
  </cellStyleXfs>
  <cellXfs count="149">
    <xf numFmtId="0" fontId="0" fillId="0" borderId="0" xfId="0"/>
    <xf numFmtId="14" fontId="0" fillId="0" borderId="0" xfId="0" applyNumberFormat="1"/>
    <xf numFmtId="0" fontId="0" fillId="0" borderId="1" xfId="0" applyBorder="1" applyAlignment="1">
      <alignment horizontal="center"/>
    </xf>
    <xf numFmtId="0" fontId="1" fillId="0" borderId="1" xfId="0" applyFont="1" applyBorder="1" applyAlignment="1">
      <alignment horizontal="center"/>
    </xf>
    <xf numFmtId="0" fontId="7" fillId="0" borderId="5" xfId="0" applyFont="1" applyBorder="1" applyAlignment="1">
      <alignment horizontal="left" vertical="center"/>
    </xf>
    <xf numFmtId="0" fontId="8" fillId="0" borderId="5" xfId="1" applyBorder="1" applyAlignment="1">
      <alignment horizontal="left" vertical="center"/>
    </xf>
    <xf numFmtId="0" fontId="7" fillId="0" borderId="5" xfId="0" applyFont="1" applyBorder="1" applyAlignment="1">
      <alignment vertical="center"/>
    </xf>
    <xf numFmtId="0" fontId="7" fillId="2" borderId="5" xfId="0" applyFont="1" applyFill="1" applyBorder="1" applyAlignment="1">
      <alignment vertical="center"/>
    </xf>
    <xf numFmtId="0" fontId="6" fillId="0" borderId="4" xfId="0" applyFont="1" applyBorder="1" applyAlignment="1">
      <alignment vertical="center" wrapText="1"/>
    </xf>
    <xf numFmtId="0" fontId="0" fillId="0" borderId="5" xfId="0" applyBorder="1" applyAlignment="1">
      <alignment horizontal="left" vertical="center"/>
    </xf>
    <xf numFmtId="0" fontId="0" fillId="0" borderId="10" xfId="0" applyBorder="1" applyAlignment="1">
      <alignment horizontal="left" vertical="center"/>
    </xf>
    <xf numFmtId="0" fontId="1" fillId="0" borderId="4" xfId="0" applyFont="1" applyBorder="1" applyAlignment="1">
      <alignment vertical="center" wrapText="1"/>
    </xf>
    <xf numFmtId="0" fontId="1" fillId="0" borderId="6" xfId="0" applyFont="1" applyBorder="1" applyAlignment="1">
      <alignment vertical="center" wrapText="1"/>
    </xf>
    <xf numFmtId="0" fontId="6" fillId="0" borderId="4" xfId="0" applyFont="1" applyBorder="1" applyAlignment="1">
      <alignment vertical="top" wrapText="1"/>
    </xf>
    <xf numFmtId="0" fontId="1" fillId="0" borderId="11" xfId="0" applyFont="1" applyBorder="1" applyAlignment="1">
      <alignment vertical="center" wrapText="1"/>
    </xf>
    <xf numFmtId="10" fontId="0" fillId="0" borderId="12" xfId="2" applyNumberFormat="1" applyFont="1" applyFill="1" applyBorder="1" applyAlignment="1">
      <alignment horizontal="left" vertical="center"/>
    </xf>
    <xf numFmtId="2" fontId="0" fillId="0" borderId="1" xfId="0" applyNumberFormat="1" applyBorder="1" applyAlignment="1">
      <alignment horizontal="center"/>
    </xf>
    <xf numFmtId="0" fontId="0" fillId="2" borderId="1" xfId="0" applyFill="1" applyBorder="1" applyAlignment="1">
      <alignment horizontal="center"/>
    </xf>
    <xf numFmtId="0" fontId="0" fillId="2" borderId="0" xfId="0" applyFill="1"/>
    <xf numFmtId="2" fontId="0" fillId="0" borderId="0" xfId="0" applyNumberFormat="1"/>
    <xf numFmtId="2" fontId="1" fillId="0" borderId="1" xfId="0" applyNumberFormat="1" applyFont="1" applyBorder="1" applyAlignment="1">
      <alignment horizontal="center"/>
    </xf>
    <xf numFmtId="2" fontId="1" fillId="0" borderId="0" xfId="0" applyNumberFormat="1" applyFont="1" applyAlignment="1">
      <alignment horizontal="center"/>
    </xf>
    <xf numFmtId="2" fontId="1" fillId="2" borderId="0" xfId="0" applyNumberFormat="1" applyFont="1" applyFill="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 xfId="0" applyBorder="1"/>
    <xf numFmtId="0" fontId="1" fillId="3" borderId="6" xfId="0" applyFont="1" applyFill="1" applyBorder="1" applyAlignment="1">
      <alignment horizontal="center"/>
    </xf>
    <xf numFmtId="0" fontId="0" fillId="0" borderId="18" xfId="0" applyBorder="1" applyAlignment="1">
      <alignment horizontal="center"/>
    </xf>
    <xf numFmtId="0" fontId="1" fillId="3" borderId="18" xfId="0" applyFont="1" applyFill="1" applyBorder="1" applyAlignment="1">
      <alignment horizontal="center"/>
    </xf>
    <xf numFmtId="0" fontId="1" fillId="3" borderId="7" xfId="0" applyFont="1" applyFill="1" applyBorder="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vertical="center"/>
    </xf>
    <xf numFmtId="0" fontId="0" fillId="0" borderId="0" xfId="0" applyAlignment="1">
      <alignment horizontal="center"/>
    </xf>
    <xf numFmtId="164" fontId="0" fillId="0" borderId="1" xfId="0" applyNumberFormat="1" applyBorder="1" applyAlignment="1">
      <alignment horizontal="center"/>
    </xf>
    <xf numFmtId="0" fontId="6" fillId="0" borderId="8" xfId="0" applyFont="1" applyBorder="1" applyAlignment="1">
      <alignment vertical="center" wrapText="1"/>
    </xf>
    <xf numFmtId="1" fontId="7" fillId="0" borderId="5" xfId="0" applyNumberFormat="1" applyFont="1" applyBorder="1" applyAlignment="1">
      <alignment horizontal="left" vertical="center" wrapText="1"/>
    </xf>
    <xf numFmtId="1" fontId="0" fillId="0" borderId="1" xfId="0" applyNumberFormat="1" applyBorder="1" applyAlignment="1">
      <alignment horizontal="center"/>
    </xf>
    <xf numFmtId="164" fontId="0" fillId="4" borderId="1" xfId="0" applyNumberFormat="1" applyFill="1" applyBorder="1" applyAlignment="1">
      <alignment horizontal="center"/>
    </xf>
    <xf numFmtId="165" fontId="0" fillId="5" borderId="21" xfId="0" applyNumberFormat="1" applyFill="1" applyBorder="1"/>
    <xf numFmtId="0" fontId="0" fillId="0" borderId="20" xfId="0" applyBorder="1"/>
    <xf numFmtId="0" fontId="0" fillId="5" borderId="12" xfId="0" applyFill="1" applyBorder="1"/>
    <xf numFmtId="0" fontId="0" fillId="0" borderId="12" xfId="0" applyBorder="1"/>
    <xf numFmtId="164" fontId="1" fillId="0" borderId="1" xfId="0" applyNumberFormat="1" applyFont="1" applyBorder="1" applyAlignment="1">
      <alignment horizontal="center"/>
    </xf>
    <xf numFmtId="0" fontId="0" fillId="0" borderId="3" xfId="0" applyBorder="1"/>
    <xf numFmtId="0" fontId="0" fillId="0" borderId="5" xfId="0" applyBorder="1"/>
    <xf numFmtId="165" fontId="0" fillId="0" borderId="1" xfId="0" applyNumberFormat="1" applyBorder="1" applyAlignment="1">
      <alignment horizontal="center" vertical="center"/>
    </xf>
    <xf numFmtId="0" fontId="2" fillId="0" borderId="1" xfId="0" applyFont="1" applyBorder="1" applyAlignment="1">
      <alignment vertical="top" wrapText="1"/>
    </xf>
    <xf numFmtId="0" fontId="1" fillId="2" borderId="1" xfId="0" applyFont="1" applyFill="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2" fillId="0" borderId="20" xfId="0" applyFont="1" applyBorder="1" applyAlignment="1">
      <alignment vertical="top" wrapText="1"/>
    </xf>
    <xf numFmtId="164" fontId="1" fillId="0" borderId="20" xfId="0" applyNumberFormat="1" applyFont="1" applyBorder="1" applyAlignment="1">
      <alignment horizontal="center"/>
    </xf>
    <xf numFmtId="165" fontId="0" fillId="0" borderId="13" xfId="0" applyNumberFormat="1" applyBorder="1" applyAlignment="1">
      <alignment horizontal="center" vertical="center"/>
    </xf>
    <xf numFmtId="0" fontId="1" fillId="0" borderId="20" xfId="0" applyFont="1" applyBorder="1" applyAlignment="1">
      <alignment vertical="top" wrapText="1"/>
    </xf>
    <xf numFmtId="165" fontId="7" fillId="2" borderId="5" xfId="0" applyNumberFormat="1" applyFont="1" applyFill="1" applyBorder="1" applyAlignment="1">
      <alignment horizontal="left" vertical="center"/>
    </xf>
    <xf numFmtId="0" fontId="13" fillId="0" borderId="0" xfId="3" applyFont="1"/>
    <xf numFmtId="0" fontId="13" fillId="7" borderId="1" xfId="3" applyFont="1" applyFill="1" applyBorder="1" applyAlignment="1">
      <alignment horizontal="left" vertical="top"/>
    </xf>
    <xf numFmtId="0" fontId="1" fillId="7" borderId="1" xfId="0" applyFont="1" applyFill="1" applyBorder="1" applyAlignment="1">
      <alignment vertical="top"/>
    </xf>
    <xf numFmtId="0" fontId="1" fillId="7" borderId="1" xfId="0" applyFont="1" applyFill="1" applyBorder="1" applyAlignment="1">
      <alignment vertical="top" wrapText="1"/>
    </xf>
    <xf numFmtId="0" fontId="13" fillId="7" borderId="1" xfId="3" applyFont="1" applyFill="1" applyBorder="1" applyAlignment="1">
      <alignment horizontal="left"/>
    </xf>
    <xf numFmtId="2" fontId="0" fillId="7" borderId="1" xfId="0" applyNumberFormat="1" applyFill="1" applyBorder="1"/>
    <xf numFmtId="1" fontId="0" fillId="7" borderId="1" xfId="0" applyNumberFormat="1" applyFill="1" applyBorder="1"/>
    <xf numFmtId="0" fontId="0" fillId="7" borderId="1" xfId="0" applyFill="1" applyBorder="1"/>
    <xf numFmtId="0" fontId="13" fillId="7" borderId="1" xfId="3" applyFont="1" applyFill="1" applyBorder="1"/>
    <xf numFmtId="2" fontId="0" fillId="7" borderId="1" xfId="0" applyNumberFormat="1" applyFill="1" applyBorder="1" applyAlignment="1">
      <alignment vertical="top"/>
    </xf>
    <xf numFmtId="0" fontId="6" fillId="0" borderId="8" xfId="0" applyFont="1" applyBorder="1" applyAlignment="1">
      <alignment vertical="top" wrapText="1"/>
    </xf>
    <xf numFmtId="2" fontId="0" fillId="0" borderId="10" xfId="0" applyNumberFormat="1" applyBorder="1" applyAlignment="1">
      <alignment horizontal="left" vertical="center"/>
    </xf>
    <xf numFmtId="1" fontId="0" fillId="7" borderId="1" xfId="0" applyNumberFormat="1" applyFill="1" applyBorder="1" applyAlignment="1">
      <alignment vertical="top"/>
    </xf>
    <xf numFmtId="0" fontId="1" fillId="0" borderId="1" xfId="0" applyFont="1" applyBorder="1" applyAlignment="1">
      <alignment vertical="center" wrapText="1"/>
    </xf>
    <xf numFmtId="0" fontId="1" fillId="0" borderId="1" xfId="0" applyFont="1" applyBorder="1" applyAlignment="1">
      <alignment horizontal="center" vertical="center" wrapText="1"/>
    </xf>
    <xf numFmtId="166" fontId="1" fillId="0" borderId="1" xfId="0" applyNumberFormat="1" applyFont="1" applyBorder="1" applyAlignment="1">
      <alignment vertical="center" wrapText="1"/>
    </xf>
    <xf numFmtId="1" fontId="1" fillId="0" borderId="1"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1" xfId="2" applyNumberFormat="1" applyFont="1" applyBorder="1" applyAlignment="1">
      <alignment horizontal="center" vertical="center" wrapText="1"/>
    </xf>
    <xf numFmtId="166" fontId="1" fillId="0" borderId="1" xfId="2" applyNumberFormat="1" applyFont="1" applyBorder="1" applyAlignment="1">
      <alignment horizontal="center" vertical="center"/>
    </xf>
    <xf numFmtId="166" fontId="1" fillId="0" borderId="5" xfId="2" applyNumberFormat="1" applyFont="1" applyBorder="1" applyAlignment="1">
      <alignment horizontal="center" vertical="center"/>
    </xf>
    <xf numFmtId="0" fontId="0" fillId="0" borderId="4" xfId="0" applyBorder="1" applyAlignment="1">
      <alignment horizontal="center" vertical="center" wrapText="1"/>
    </xf>
    <xf numFmtId="166" fontId="0" fillId="0" borderId="1" xfId="2" applyNumberFormat="1" applyFont="1" applyBorder="1" applyAlignment="1">
      <alignment horizontal="center" vertical="center" wrapText="1"/>
    </xf>
    <xf numFmtId="166" fontId="0" fillId="0" borderId="1" xfId="2" applyNumberFormat="1" applyFont="1" applyBorder="1" applyAlignment="1">
      <alignment horizontal="center" vertical="center"/>
    </xf>
    <xf numFmtId="166" fontId="0" fillId="0" borderId="5" xfId="2" applyNumberFormat="1" applyFont="1" applyBorder="1" applyAlignment="1">
      <alignment horizontal="center" vertical="center"/>
    </xf>
    <xf numFmtId="166" fontId="1"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xf>
    <xf numFmtId="166" fontId="1" fillId="0" borderId="13" xfId="0" applyNumberFormat="1" applyFont="1" applyBorder="1"/>
    <xf numFmtId="3" fontId="1" fillId="0" borderId="10" xfId="0" applyNumberFormat="1" applyFont="1" applyBorder="1"/>
    <xf numFmtId="166" fontId="1" fillId="0" borderId="1" xfId="0" applyNumberFormat="1" applyFont="1" applyBorder="1"/>
    <xf numFmtId="166" fontId="1" fillId="0" borderId="5" xfId="0" applyNumberFormat="1" applyFont="1" applyBorder="1"/>
    <xf numFmtId="0" fontId="1" fillId="0" borderId="6" xfId="0" applyFont="1" applyBorder="1" applyAlignment="1">
      <alignment horizontal="center" vertical="center" wrapText="1"/>
    </xf>
    <xf numFmtId="166" fontId="1" fillId="0" borderId="18" xfId="0" applyNumberFormat="1" applyFont="1" applyBorder="1"/>
    <xf numFmtId="166" fontId="1" fillId="0" borderId="7" xfId="0" applyNumberFormat="1" applyFont="1" applyBorder="1"/>
    <xf numFmtId="2" fontId="1" fillId="2" borderId="1" xfId="0" applyNumberFormat="1" applyFont="1" applyFill="1" applyBorder="1" applyAlignment="1">
      <alignment horizontal="center"/>
    </xf>
    <xf numFmtId="2" fontId="1" fillId="0" borderId="20" xfId="0" applyNumberFormat="1" applyFont="1" applyBorder="1" applyAlignment="1">
      <alignment horizontal="center"/>
    </xf>
    <xf numFmtId="1" fontId="7" fillId="0" borderId="7" xfId="0" applyNumberFormat="1" applyFont="1" applyBorder="1" applyAlignment="1">
      <alignment horizontal="left" vertical="center"/>
    </xf>
    <xf numFmtId="0" fontId="1" fillId="5" borderId="19" xfId="0" applyFont="1" applyFill="1" applyBorder="1" applyAlignment="1">
      <alignment horizontal="left"/>
    </xf>
    <xf numFmtId="0" fontId="1" fillId="6" borderId="20" xfId="0" applyFont="1" applyFill="1" applyBorder="1" applyAlignment="1">
      <alignment horizontal="left" wrapText="1"/>
    </xf>
    <xf numFmtId="0" fontId="1" fillId="6" borderId="1" xfId="0" applyFont="1" applyFill="1" applyBorder="1" applyAlignment="1">
      <alignment horizontal="left" wrapText="1"/>
    </xf>
    <xf numFmtId="0" fontId="1" fillId="6" borderId="1" xfId="0" applyFont="1" applyFill="1" applyBorder="1" applyAlignment="1">
      <alignment horizontal="left"/>
    </xf>
    <xf numFmtId="165" fontId="0" fillId="5" borderId="21" xfId="0" applyNumberFormat="1" applyFill="1" applyBorder="1" applyAlignment="1">
      <alignment horizontal="right"/>
    </xf>
    <xf numFmtId="0" fontId="0" fillId="0" borderId="20" xfId="0" applyBorder="1" applyAlignment="1">
      <alignment horizontal="right"/>
    </xf>
    <xf numFmtId="0" fontId="0" fillId="0" borderId="1" xfId="0" applyBorder="1" applyAlignment="1">
      <alignment horizontal="right"/>
    </xf>
    <xf numFmtId="0" fontId="0" fillId="0" borderId="1" xfId="0" applyBorder="1" applyAlignment="1">
      <alignment horizontal="left"/>
    </xf>
    <xf numFmtId="0" fontId="0" fillId="8" borderId="20" xfId="0" applyFill="1" applyBorder="1"/>
    <xf numFmtId="0" fontId="0" fillId="8" borderId="1" xfId="0" applyFill="1" applyBorder="1"/>
    <xf numFmtId="0" fontId="0" fillId="8" borderId="1" xfId="0" applyFill="1" applyBorder="1" applyAlignment="1">
      <alignment horizontal="left"/>
    </xf>
    <xf numFmtId="0" fontId="0" fillId="8" borderId="22" xfId="0" applyFill="1" applyBorder="1"/>
    <xf numFmtId="0" fontId="0" fillId="8" borderId="13" xfId="0" applyFill="1" applyBorder="1"/>
    <xf numFmtId="164" fontId="0" fillId="0" borderId="7" xfId="0" applyNumberFormat="1" applyBorder="1"/>
    <xf numFmtId="1" fontId="0" fillId="0" borderId="5" xfId="0" applyNumberFormat="1" applyBorder="1"/>
    <xf numFmtId="164" fontId="0" fillId="9" borderId="1" xfId="0" applyNumberFormat="1" applyFill="1" applyBorder="1" applyAlignment="1">
      <alignment horizontal="center"/>
    </xf>
    <xf numFmtId="0" fontId="6" fillId="0" borderId="2" xfId="0" applyFont="1" applyBorder="1" applyAlignment="1">
      <alignment vertical="center" wrapText="1"/>
    </xf>
    <xf numFmtId="0" fontId="6" fillId="0" borderId="4"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 fillId="0" borderId="11" xfId="0" applyFont="1" applyBorder="1" applyAlignment="1">
      <alignment horizontal="center" vertical="top"/>
    </xf>
    <xf numFmtId="0" fontId="1" fillId="0" borderId="31" xfId="0" applyFont="1" applyBorder="1" applyAlignment="1">
      <alignment horizontal="center" vertical="top"/>
    </xf>
    <xf numFmtId="0" fontId="1" fillId="0" borderId="11" xfId="0" applyFont="1" applyBorder="1" applyAlignment="1">
      <alignment horizontal="center"/>
    </xf>
    <xf numFmtId="0" fontId="1" fillId="0" borderId="31" xfId="0" applyFont="1" applyBorder="1" applyAlignment="1">
      <alignment horizontal="center"/>
    </xf>
    <xf numFmtId="0" fontId="0" fillId="0" borderId="1" xfId="0" applyBorder="1" applyAlignment="1">
      <alignment horizontal="center" wrapText="1"/>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11" xfId="0" applyFont="1" applyBorder="1" applyAlignment="1">
      <alignment horizontal="center" vertical="top" wrapText="1"/>
    </xf>
    <xf numFmtId="0" fontId="1" fillId="0" borderId="31" xfId="0" applyFont="1" applyBorder="1" applyAlignment="1">
      <alignment horizontal="center" vertical="top" wrapText="1"/>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0" fillId="0" borderId="23" xfId="0" applyBorder="1" applyAlignment="1">
      <alignment horizontal="left"/>
    </xf>
    <xf numFmtId="0" fontId="0" fillId="0" borderId="20"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30" xfId="0" applyBorder="1" applyAlignment="1">
      <alignment horizontal="left"/>
    </xf>
  </cellXfs>
  <cellStyles count="4">
    <cellStyle name="Comma" xfId="2" builtinId="3"/>
    <cellStyle name="Hyperlink" xfId="1" builtinId="8"/>
    <cellStyle name="Normal" xfId="0" builtinId="0"/>
    <cellStyle name="Normal 2" xfId="3" xr:uid="{19CA3565-7C17-4EE3-9D1F-69FD078776A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registry.goldstandard.org/projects/details/2204"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0"/>
  <sheetViews>
    <sheetView tabSelected="1" topLeftCell="A25" workbookViewId="0">
      <selection activeCell="G15" sqref="G15"/>
    </sheetView>
  </sheetViews>
  <sheetFormatPr defaultRowHeight="15" x14ac:dyDescent="0.25"/>
  <cols>
    <col min="1" max="1" width="3.28515625" customWidth="1"/>
    <col min="2" max="2" width="35.85546875" customWidth="1"/>
    <col min="3" max="3" width="63" customWidth="1"/>
    <col min="5" max="5" width="15.85546875" customWidth="1"/>
    <col min="6" max="6" width="13.140625" customWidth="1"/>
    <col min="7" max="7" width="21.28515625" customWidth="1"/>
    <col min="8" max="8" width="11.7109375" customWidth="1"/>
  </cols>
  <sheetData>
    <row r="1" spans="2:7" ht="15.75" thickBot="1" x14ac:dyDescent="0.3"/>
    <row r="2" spans="2:7" ht="15" customHeight="1" x14ac:dyDescent="0.25">
      <c r="B2" s="116" t="s">
        <v>9</v>
      </c>
      <c r="C2" s="118" t="s">
        <v>10</v>
      </c>
    </row>
    <row r="3" spans="2:7" x14ac:dyDescent="0.25">
      <c r="B3" s="117"/>
      <c r="C3" s="119"/>
    </row>
    <row r="4" spans="2:7" x14ac:dyDescent="0.25">
      <c r="B4" s="38" t="s">
        <v>40</v>
      </c>
      <c r="C4" s="39">
        <v>3</v>
      </c>
    </row>
    <row r="5" spans="2:7" x14ac:dyDescent="0.25">
      <c r="B5" s="120" t="s">
        <v>11</v>
      </c>
      <c r="C5" s="4" t="s">
        <v>82</v>
      </c>
    </row>
    <row r="6" spans="2:7" x14ac:dyDescent="0.25">
      <c r="B6" s="121"/>
      <c r="C6" s="5" t="s">
        <v>58</v>
      </c>
    </row>
    <row r="7" spans="2:7" ht="25.5" x14ac:dyDescent="0.25">
      <c r="B7" s="8" t="s">
        <v>56</v>
      </c>
      <c r="C7" s="58">
        <v>43837</v>
      </c>
    </row>
    <row r="8" spans="2:7" x14ac:dyDescent="0.25">
      <c r="B8" s="117" t="s">
        <v>12</v>
      </c>
      <c r="C8" s="6" t="s">
        <v>57</v>
      </c>
      <c r="F8" s="1"/>
      <c r="G8" s="1"/>
    </row>
    <row r="9" spans="2:7" x14ac:dyDescent="0.25">
      <c r="B9" s="117"/>
      <c r="C9" s="7" t="s">
        <v>81</v>
      </c>
    </row>
    <row r="10" spans="2:7" ht="30" x14ac:dyDescent="0.25">
      <c r="B10" s="11" t="s">
        <v>13</v>
      </c>
      <c r="C10" s="9">
        <f>'Emission Reduction Calculation'!C29-'Emission Reduction Calculation'!B3+1</f>
        <v>803</v>
      </c>
    </row>
    <row r="11" spans="2:7" ht="31.5" customHeight="1" x14ac:dyDescent="0.25">
      <c r="B11" s="11" t="s">
        <v>88</v>
      </c>
      <c r="C11" s="10">
        <v>16491</v>
      </c>
    </row>
    <row r="12" spans="2:7" ht="31.5" customHeight="1" x14ac:dyDescent="0.25">
      <c r="B12" s="11" t="s">
        <v>66</v>
      </c>
      <c r="C12" s="10">
        <v>0.92249999999999999</v>
      </c>
    </row>
    <row r="13" spans="2:7" ht="51" x14ac:dyDescent="0.25">
      <c r="B13" s="13" t="s">
        <v>15</v>
      </c>
      <c r="C13" s="10">
        <f>ROUNDDOWN((C11*C10/365),0)</f>
        <v>36280</v>
      </c>
    </row>
    <row r="14" spans="2:7" ht="25.5" x14ac:dyDescent="0.25">
      <c r="B14" s="69" t="s">
        <v>67</v>
      </c>
      <c r="C14" s="70">
        <f>'Emission Reduction Calculation'!D30</f>
        <v>30303.882657381218</v>
      </c>
    </row>
    <row r="15" spans="2:7" ht="30.75" thickBot="1" x14ac:dyDescent="0.3">
      <c r="B15" s="12" t="s">
        <v>14</v>
      </c>
      <c r="C15" s="99">
        <f>'Emission Reduction Calculation'!I30</f>
        <v>27955</v>
      </c>
    </row>
    <row r="16" spans="2:7" ht="15.75" thickBot="1" x14ac:dyDescent="0.3">
      <c r="B16" s="14" t="s">
        <v>16</v>
      </c>
      <c r="C16" s="15">
        <f>-(C15-C13)/C13</f>
        <v>0.22946527012127893</v>
      </c>
    </row>
    <row r="18" spans="4:8" x14ac:dyDescent="0.25">
      <c r="D18" s="59" t="s">
        <v>59</v>
      </c>
    </row>
    <row r="19" spans="4:8" ht="45" x14ac:dyDescent="0.25">
      <c r="D19" s="60" t="s">
        <v>60</v>
      </c>
      <c r="E19" s="61" t="s">
        <v>61</v>
      </c>
      <c r="F19" s="61" t="s">
        <v>62</v>
      </c>
      <c r="G19" s="62" t="s">
        <v>63</v>
      </c>
      <c r="H19" s="62" t="s">
        <v>64</v>
      </c>
    </row>
    <row r="20" spans="4:8" x14ac:dyDescent="0.25">
      <c r="D20" s="63">
        <v>2018</v>
      </c>
      <c r="E20" s="68">
        <f>SUM('Emission Reduction Calculation'!D3:D5)</f>
        <v>2498.872409381217</v>
      </c>
      <c r="F20" s="71">
        <f>C15-F21-F22</f>
        <v>2304.8780462200011</v>
      </c>
      <c r="G20" s="64" t="s">
        <v>65</v>
      </c>
      <c r="H20" s="66">
        <v>1</v>
      </c>
    </row>
    <row r="21" spans="4:8" x14ac:dyDescent="0.25">
      <c r="D21" s="63">
        <v>2019</v>
      </c>
      <c r="E21" s="68">
        <f>SUM('Emission Reduction Calculation'!D6:D17)</f>
        <v>15751.598072000001</v>
      </c>
      <c r="F21" s="71">
        <f>E21*C12</f>
        <v>14530.84922142</v>
      </c>
      <c r="G21" s="64" t="s">
        <v>65</v>
      </c>
      <c r="H21" s="66">
        <v>2</v>
      </c>
    </row>
    <row r="22" spans="4:8" x14ac:dyDescent="0.25">
      <c r="D22" s="63">
        <v>2020</v>
      </c>
      <c r="E22" s="64">
        <f>SUM('Emission Reduction Calculation'!D18:D29)</f>
        <v>12053.412176</v>
      </c>
      <c r="F22" s="65">
        <f>E22*C12</f>
        <v>11119.272732359999</v>
      </c>
      <c r="G22" s="64" t="s">
        <v>65</v>
      </c>
      <c r="H22" s="66">
        <v>2</v>
      </c>
    </row>
    <row r="23" spans="4:8" x14ac:dyDescent="0.25">
      <c r="D23" s="67" t="s">
        <v>8</v>
      </c>
      <c r="E23" s="64">
        <f>SUM(E20:E22)</f>
        <v>30303.882657381218</v>
      </c>
      <c r="F23" s="65">
        <f>SUM(F20:F22)</f>
        <v>27955</v>
      </c>
      <c r="G23" s="66" t="s">
        <v>65</v>
      </c>
      <c r="H23" s="66">
        <f>SUM(H20:H22)</f>
        <v>5</v>
      </c>
    </row>
    <row r="25" spans="4:8" ht="60" x14ac:dyDescent="0.25">
      <c r="D25" s="72" t="s">
        <v>68</v>
      </c>
      <c r="E25" s="73" t="s">
        <v>69</v>
      </c>
    </row>
    <row r="26" spans="4:8" ht="60" x14ac:dyDescent="0.25">
      <c r="D26" s="72" t="s">
        <v>70</v>
      </c>
      <c r="E26" s="74">
        <v>57340</v>
      </c>
    </row>
    <row r="27" spans="4:8" x14ac:dyDescent="0.25">
      <c r="D27" s="72" t="s">
        <v>71</v>
      </c>
      <c r="E27" s="75">
        <f>ROUNDUP(E26*2%,)</f>
        <v>1147</v>
      </c>
    </row>
    <row r="28" spans="4:8" ht="60" x14ac:dyDescent="0.25">
      <c r="D28" s="72" t="s">
        <v>72</v>
      </c>
      <c r="E28" s="75">
        <f>E26-E27</f>
        <v>56193</v>
      </c>
    </row>
    <row r="29" spans="4:8" ht="45" x14ac:dyDescent="0.25">
      <c r="D29" s="72" t="s">
        <v>73</v>
      </c>
      <c r="E29" s="75">
        <f>F23</f>
        <v>27955</v>
      </c>
    </row>
    <row r="31" spans="4:8" ht="15.75" thickBot="1" x14ac:dyDescent="0.3"/>
    <row r="32" spans="4:8" ht="30" x14ac:dyDescent="0.25">
      <c r="D32" s="76"/>
      <c r="E32" s="77" t="s">
        <v>74</v>
      </c>
      <c r="F32" s="77" t="s">
        <v>75</v>
      </c>
      <c r="G32" s="78" t="s">
        <v>69</v>
      </c>
    </row>
    <row r="33" spans="4:7" ht="45" x14ac:dyDescent="0.25">
      <c r="D33" s="79" t="s">
        <v>76</v>
      </c>
      <c r="E33" s="80">
        <v>297844979</v>
      </c>
      <c r="F33" s="81">
        <f>E33+E27-1</f>
        <v>297846125</v>
      </c>
      <c r="G33" s="82">
        <f>F33-E33+1</f>
        <v>1147</v>
      </c>
    </row>
    <row r="34" spans="4:7" x14ac:dyDescent="0.25">
      <c r="D34" s="83"/>
      <c r="E34" s="84"/>
      <c r="F34" s="85"/>
      <c r="G34" s="86"/>
    </row>
    <row r="35" spans="4:7" ht="105" x14ac:dyDescent="0.25">
      <c r="D35" s="79" t="s">
        <v>77</v>
      </c>
      <c r="E35" s="80">
        <f>F33+1</f>
        <v>297846126</v>
      </c>
      <c r="F35" s="81">
        <f>E35+E28-1</f>
        <v>297902318</v>
      </c>
      <c r="G35" s="82">
        <f>F35-E35+1</f>
        <v>56193</v>
      </c>
    </row>
    <row r="36" spans="4:7" ht="45" x14ac:dyDescent="0.25">
      <c r="D36" s="79" t="s">
        <v>78</v>
      </c>
      <c r="E36" s="87">
        <f>F36-G36+1</f>
        <v>297874364</v>
      </c>
      <c r="F36" s="87">
        <f>F35</f>
        <v>297902318</v>
      </c>
      <c r="G36" s="82">
        <f>F23</f>
        <v>27955</v>
      </c>
    </row>
    <row r="37" spans="4:7" ht="30" x14ac:dyDescent="0.25">
      <c r="D37" s="79" t="s">
        <v>79</v>
      </c>
      <c r="E37" s="80"/>
      <c r="F37" s="81"/>
      <c r="G37" s="88"/>
    </row>
    <row r="38" spans="4:7" x14ac:dyDescent="0.25">
      <c r="D38" s="89">
        <v>2018</v>
      </c>
      <c r="E38" s="90">
        <f>E36</f>
        <v>297874364</v>
      </c>
      <c r="F38" s="90">
        <f>E38+G38-1</f>
        <v>297876667.87804621</v>
      </c>
      <c r="G38" s="91">
        <f>F20</f>
        <v>2304.8780462200011</v>
      </c>
    </row>
    <row r="39" spans="4:7" x14ac:dyDescent="0.25">
      <c r="D39" s="79">
        <v>2019</v>
      </c>
      <c r="E39" s="92">
        <f>F38+1</f>
        <v>297876668.87804621</v>
      </c>
      <c r="F39" s="92">
        <f>E39+G39-1</f>
        <v>297891198.72726762</v>
      </c>
      <c r="G39" s="93">
        <f>F21</f>
        <v>14530.84922142</v>
      </c>
    </row>
    <row r="40" spans="4:7" ht="15.75" thickBot="1" x14ac:dyDescent="0.3">
      <c r="D40" s="94">
        <v>2020</v>
      </c>
      <c r="E40" s="95">
        <f>F40-G40+1</f>
        <v>297891199.72726762</v>
      </c>
      <c r="F40" s="95">
        <f>F35</f>
        <v>297902318</v>
      </c>
      <c r="G40" s="96">
        <f>F22</f>
        <v>11119.272732359999</v>
      </c>
    </row>
  </sheetData>
  <mergeCells count="4">
    <mergeCell ref="B2:B3"/>
    <mergeCell ref="C2:C3"/>
    <mergeCell ref="B8:B9"/>
    <mergeCell ref="B5:B6"/>
  </mergeCells>
  <hyperlinks>
    <hyperlink ref="C6" r:id="rId1" xr:uid="{00000000-0004-0000-0000-000000000000}"/>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0"/>
  <sheetViews>
    <sheetView zoomScaleNormal="100" workbookViewId="0">
      <selection activeCell="E5" sqref="E5"/>
    </sheetView>
  </sheetViews>
  <sheetFormatPr defaultRowHeight="15" x14ac:dyDescent="0.25"/>
  <cols>
    <col min="1" max="1" width="4" customWidth="1"/>
    <col min="2" max="2" width="14" customWidth="1"/>
    <col min="3" max="3" width="13.85546875" customWidth="1"/>
    <col min="4" max="4" width="31.7109375" customWidth="1"/>
    <col min="5" max="5" width="18.28515625" customWidth="1"/>
    <col min="6" max="6" width="21.5703125" customWidth="1"/>
    <col min="7" max="7" width="19.85546875" customWidth="1"/>
    <col min="8" max="8" width="11.85546875" customWidth="1"/>
    <col min="9" max="9" width="18.140625" customWidth="1"/>
  </cols>
  <sheetData>
    <row r="1" spans="2:9" ht="15.75" thickBot="1" x14ac:dyDescent="0.3"/>
    <row r="2" spans="2:9" ht="117.75" customHeight="1" thickBot="1" x14ac:dyDescent="0.3">
      <c r="B2" s="122" t="s">
        <v>0</v>
      </c>
      <c r="C2" s="123"/>
      <c r="D2" s="57" t="s">
        <v>19</v>
      </c>
      <c r="E2" s="50" t="s">
        <v>3</v>
      </c>
      <c r="F2" s="50" t="s">
        <v>4</v>
      </c>
      <c r="G2" s="50" t="s">
        <v>6</v>
      </c>
      <c r="H2" s="52" t="s">
        <v>7</v>
      </c>
      <c r="I2" s="50" t="s">
        <v>5</v>
      </c>
    </row>
    <row r="3" spans="2:9" x14ac:dyDescent="0.25">
      <c r="B3" s="49">
        <v>43394</v>
      </c>
      <c r="C3" s="49">
        <v>43404</v>
      </c>
      <c r="D3" s="37">
        <f>'Generation Details'!F3</f>
        <v>203.8494093812171</v>
      </c>
      <c r="E3" s="2">
        <f>'Project Details'!$C$12</f>
        <v>0.92249999999999999</v>
      </c>
      <c r="F3" s="16">
        <f t="shared" ref="F3:F29" si="0">D3*E3</f>
        <v>188.05108015417278</v>
      </c>
      <c r="G3" s="16">
        <v>0</v>
      </c>
      <c r="H3" s="16">
        <v>0</v>
      </c>
      <c r="I3" s="16">
        <f t="shared" ref="I3:I29" si="1">F3-G3-H3</f>
        <v>188.05108015417278</v>
      </c>
    </row>
    <row r="4" spans="2:9" x14ac:dyDescent="0.25">
      <c r="B4" s="49">
        <v>43405</v>
      </c>
      <c r="C4" s="49">
        <v>43434</v>
      </c>
      <c r="D4" s="37">
        <f>'Generation Details'!F4</f>
        <v>1145.095</v>
      </c>
      <c r="E4" s="2">
        <f>'Project Details'!$C$12</f>
        <v>0.92249999999999999</v>
      </c>
      <c r="F4" s="16">
        <f t="shared" si="0"/>
        <v>1056.3501375000001</v>
      </c>
      <c r="G4" s="16">
        <v>0</v>
      </c>
      <c r="H4" s="16">
        <v>0</v>
      </c>
      <c r="I4" s="16">
        <f t="shared" si="1"/>
        <v>1056.3501375000001</v>
      </c>
    </row>
    <row r="5" spans="2:9" x14ac:dyDescent="0.25">
      <c r="B5" s="49">
        <v>43435</v>
      </c>
      <c r="C5" s="49">
        <v>43465</v>
      </c>
      <c r="D5" s="37">
        <f>'Generation Details'!F5</f>
        <v>1149.9280000000001</v>
      </c>
      <c r="E5" s="2">
        <f>'Project Details'!$C$12</f>
        <v>0.92249999999999999</v>
      </c>
      <c r="F5" s="16">
        <f t="shared" si="0"/>
        <v>1060.8085800000001</v>
      </c>
      <c r="G5" s="16">
        <v>0</v>
      </c>
      <c r="H5" s="16">
        <v>0</v>
      </c>
      <c r="I5" s="16">
        <f t="shared" si="1"/>
        <v>1060.8085800000001</v>
      </c>
    </row>
    <row r="6" spans="2:9" x14ac:dyDescent="0.25">
      <c r="B6" s="49">
        <v>43466</v>
      </c>
      <c r="C6" s="49">
        <v>43496</v>
      </c>
      <c r="D6" s="37">
        <f>'Generation Details'!F6</f>
        <v>1305.4169999999999</v>
      </c>
      <c r="E6" s="2">
        <f>'Project Details'!$C$12</f>
        <v>0.92249999999999999</v>
      </c>
      <c r="F6" s="16">
        <f t="shared" si="0"/>
        <v>1204.2471825</v>
      </c>
      <c r="G6" s="16">
        <v>0</v>
      </c>
      <c r="H6" s="16">
        <v>0</v>
      </c>
      <c r="I6" s="16">
        <f t="shared" si="1"/>
        <v>1204.2471825</v>
      </c>
    </row>
    <row r="7" spans="2:9" x14ac:dyDescent="0.25">
      <c r="B7" s="49">
        <v>43497</v>
      </c>
      <c r="C7" s="49">
        <v>43524</v>
      </c>
      <c r="D7" s="37">
        <f>'Generation Details'!F7</f>
        <v>1169.32</v>
      </c>
      <c r="E7" s="2">
        <f>'Project Details'!$C$12</f>
        <v>0.92249999999999999</v>
      </c>
      <c r="F7" s="16">
        <f t="shared" si="0"/>
        <v>1078.6976999999999</v>
      </c>
      <c r="G7" s="16">
        <v>0</v>
      </c>
      <c r="H7" s="16">
        <v>0</v>
      </c>
      <c r="I7" s="16">
        <f t="shared" si="1"/>
        <v>1078.6976999999999</v>
      </c>
    </row>
    <row r="8" spans="2:9" x14ac:dyDescent="0.25">
      <c r="B8" s="49">
        <v>43525</v>
      </c>
      <c r="C8" s="49">
        <v>43555</v>
      </c>
      <c r="D8" s="37">
        <f>'Generation Details'!F8</f>
        <v>1218.55</v>
      </c>
      <c r="E8" s="2">
        <f>'Project Details'!$C$12</f>
        <v>0.92249999999999999</v>
      </c>
      <c r="F8" s="16">
        <f t="shared" si="0"/>
        <v>1124.1123749999999</v>
      </c>
      <c r="G8" s="16">
        <v>0</v>
      </c>
      <c r="H8" s="16">
        <v>0</v>
      </c>
      <c r="I8" s="16">
        <f t="shared" si="1"/>
        <v>1124.1123749999999</v>
      </c>
    </row>
    <row r="9" spans="2:9" x14ac:dyDescent="0.25">
      <c r="B9" s="49">
        <v>43556</v>
      </c>
      <c r="C9" s="49">
        <v>43585</v>
      </c>
      <c r="D9" s="37">
        <f>'Generation Details'!F9</f>
        <v>1468.0740000000001</v>
      </c>
      <c r="E9" s="2">
        <f>'Project Details'!$C$12</f>
        <v>0.92249999999999999</v>
      </c>
      <c r="F9" s="16">
        <f t="shared" si="0"/>
        <v>1354.2982650000001</v>
      </c>
      <c r="G9" s="16">
        <v>0</v>
      </c>
      <c r="H9" s="16">
        <v>0</v>
      </c>
      <c r="I9" s="16">
        <f t="shared" si="1"/>
        <v>1354.2982650000001</v>
      </c>
    </row>
    <row r="10" spans="2:9" x14ac:dyDescent="0.25">
      <c r="B10" s="49">
        <v>43586</v>
      </c>
      <c r="C10" s="49">
        <v>43616</v>
      </c>
      <c r="D10" s="37">
        <f>'Generation Details'!F10</f>
        <v>1487</v>
      </c>
      <c r="E10" s="2">
        <f>'Project Details'!$C$12</f>
        <v>0.92249999999999999</v>
      </c>
      <c r="F10" s="16">
        <f t="shared" si="0"/>
        <v>1371.7574999999999</v>
      </c>
      <c r="G10" s="16">
        <v>0</v>
      </c>
      <c r="H10" s="16">
        <v>0</v>
      </c>
      <c r="I10" s="16">
        <f t="shared" si="1"/>
        <v>1371.7574999999999</v>
      </c>
    </row>
    <row r="11" spans="2:9" x14ac:dyDescent="0.25">
      <c r="B11" s="49">
        <v>43617</v>
      </c>
      <c r="C11" s="49">
        <v>43646</v>
      </c>
      <c r="D11" s="37">
        <f>'Generation Details'!F11</f>
        <v>1681.4790719999999</v>
      </c>
      <c r="E11" s="2">
        <f>'Project Details'!$C$12</f>
        <v>0.92249999999999999</v>
      </c>
      <c r="F11" s="16">
        <f t="shared" si="0"/>
        <v>1551.1644439199999</v>
      </c>
      <c r="G11" s="16">
        <v>0</v>
      </c>
      <c r="H11" s="16">
        <v>0</v>
      </c>
      <c r="I11" s="16">
        <f t="shared" si="1"/>
        <v>1551.1644439199999</v>
      </c>
    </row>
    <row r="12" spans="2:9" x14ac:dyDescent="0.25">
      <c r="B12" s="49">
        <v>43647</v>
      </c>
      <c r="C12" s="49">
        <v>43677</v>
      </c>
      <c r="D12" s="37">
        <f>'Generation Details'!F12</f>
        <v>2434.462</v>
      </c>
      <c r="E12" s="2">
        <f>'Project Details'!$C$12</f>
        <v>0.92249999999999999</v>
      </c>
      <c r="F12" s="16">
        <f t="shared" si="0"/>
        <v>2245.7911949999998</v>
      </c>
      <c r="G12" s="16">
        <v>0</v>
      </c>
      <c r="H12" s="16">
        <v>0</v>
      </c>
      <c r="I12" s="16">
        <f t="shared" si="1"/>
        <v>2245.7911949999998</v>
      </c>
    </row>
    <row r="13" spans="2:9" x14ac:dyDescent="0.25">
      <c r="B13" s="49">
        <v>43678</v>
      </c>
      <c r="C13" s="49">
        <v>43708</v>
      </c>
      <c r="D13" s="37">
        <f>'Generation Details'!F13</f>
        <v>1488.82</v>
      </c>
      <c r="E13" s="2">
        <f>'Project Details'!$C$12</f>
        <v>0.92249999999999999</v>
      </c>
      <c r="F13" s="16">
        <f t="shared" si="0"/>
        <v>1373.4364499999999</v>
      </c>
      <c r="G13" s="16">
        <v>0</v>
      </c>
      <c r="H13" s="16">
        <v>0</v>
      </c>
      <c r="I13" s="16">
        <f t="shared" si="1"/>
        <v>1373.4364499999999</v>
      </c>
    </row>
    <row r="14" spans="2:9" x14ac:dyDescent="0.25">
      <c r="B14" s="49">
        <v>43709</v>
      </c>
      <c r="C14" s="49">
        <v>43738</v>
      </c>
      <c r="D14" s="37">
        <f>'Generation Details'!F14</f>
        <v>578.26499999999999</v>
      </c>
      <c r="E14" s="2">
        <f>'Project Details'!$C$12</f>
        <v>0.92249999999999999</v>
      </c>
      <c r="F14" s="16">
        <f t="shared" si="0"/>
        <v>533.44946249999998</v>
      </c>
      <c r="G14" s="16">
        <v>0</v>
      </c>
      <c r="H14" s="16">
        <v>0</v>
      </c>
      <c r="I14" s="16">
        <f t="shared" si="1"/>
        <v>533.44946249999998</v>
      </c>
    </row>
    <row r="15" spans="2:9" x14ac:dyDescent="0.25">
      <c r="B15" s="49">
        <v>43739</v>
      </c>
      <c r="C15" s="49">
        <v>43769</v>
      </c>
      <c r="D15" s="37">
        <f>'Generation Details'!F15</f>
        <v>720.80399999999997</v>
      </c>
      <c r="E15" s="2">
        <f>'Project Details'!$C$12</f>
        <v>0.92249999999999999</v>
      </c>
      <c r="F15" s="16">
        <f t="shared" si="0"/>
        <v>664.94168999999999</v>
      </c>
      <c r="G15" s="16">
        <v>0</v>
      </c>
      <c r="H15" s="16">
        <v>0</v>
      </c>
      <c r="I15" s="16">
        <f t="shared" si="1"/>
        <v>664.94168999999999</v>
      </c>
    </row>
    <row r="16" spans="2:9" x14ac:dyDescent="0.25">
      <c r="B16" s="49">
        <v>43770</v>
      </c>
      <c r="C16" s="49">
        <v>43799</v>
      </c>
      <c r="D16" s="37">
        <f>'Generation Details'!F16</f>
        <v>703.83199999999999</v>
      </c>
      <c r="E16" s="2">
        <f>'Project Details'!$C$12</f>
        <v>0.92249999999999999</v>
      </c>
      <c r="F16" s="16">
        <f t="shared" si="0"/>
        <v>649.28502000000003</v>
      </c>
      <c r="G16" s="16">
        <v>0</v>
      </c>
      <c r="H16" s="16">
        <v>0</v>
      </c>
      <c r="I16" s="16">
        <f t="shared" si="1"/>
        <v>649.28502000000003</v>
      </c>
    </row>
    <row r="17" spans="2:9" x14ac:dyDescent="0.25">
      <c r="B17" s="49">
        <v>43800</v>
      </c>
      <c r="C17" s="49">
        <v>43830</v>
      </c>
      <c r="D17" s="37">
        <f>'Generation Details'!F17</f>
        <v>1495.575</v>
      </c>
      <c r="E17" s="2">
        <f>'Project Details'!$C$12</f>
        <v>0.92249999999999999</v>
      </c>
      <c r="F17" s="16">
        <f t="shared" si="0"/>
        <v>1379.6679375000001</v>
      </c>
      <c r="G17" s="16">
        <v>0</v>
      </c>
      <c r="H17" s="16">
        <v>0</v>
      </c>
      <c r="I17" s="16">
        <f t="shared" si="1"/>
        <v>1379.6679375000001</v>
      </c>
    </row>
    <row r="18" spans="2:9" x14ac:dyDescent="0.25">
      <c r="B18" s="49">
        <v>43831</v>
      </c>
      <c r="C18" s="49">
        <v>43861</v>
      </c>
      <c r="D18" s="37">
        <f>'Generation Details'!F18</f>
        <v>1013.259</v>
      </c>
      <c r="E18" s="2">
        <f>'Project Details'!$C$12</f>
        <v>0.92249999999999999</v>
      </c>
      <c r="F18" s="16">
        <f t="shared" si="0"/>
        <v>934.7314275</v>
      </c>
      <c r="G18" s="16">
        <v>0</v>
      </c>
      <c r="H18" s="16">
        <v>0</v>
      </c>
      <c r="I18" s="16">
        <f t="shared" si="1"/>
        <v>934.7314275</v>
      </c>
    </row>
    <row r="19" spans="2:9" x14ac:dyDescent="0.25">
      <c r="B19" s="49">
        <v>43862</v>
      </c>
      <c r="C19" s="49">
        <v>43890</v>
      </c>
      <c r="D19" s="37">
        <f>'Generation Details'!F19</f>
        <v>982.61800000000005</v>
      </c>
      <c r="E19" s="2">
        <f>'Project Details'!$C$12</f>
        <v>0.92249999999999999</v>
      </c>
      <c r="F19" s="16">
        <f t="shared" si="0"/>
        <v>906.46510499999999</v>
      </c>
      <c r="G19" s="16">
        <v>0</v>
      </c>
      <c r="H19" s="16">
        <v>0</v>
      </c>
      <c r="I19" s="16">
        <f t="shared" si="1"/>
        <v>906.46510499999999</v>
      </c>
    </row>
    <row r="20" spans="2:9" x14ac:dyDescent="0.25">
      <c r="B20" s="49">
        <v>43891</v>
      </c>
      <c r="C20" s="49">
        <v>43921</v>
      </c>
      <c r="D20" s="37">
        <f>'Generation Details'!F20</f>
        <v>1052.1199999999999</v>
      </c>
      <c r="E20" s="2">
        <f>'Project Details'!$C$12</f>
        <v>0.92249999999999999</v>
      </c>
      <c r="F20" s="16">
        <f t="shared" si="0"/>
        <v>970.58069999999987</v>
      </c>
      <c r="G20" s="16">
        <v>0</v>
      </c>
      <c r="H20" s="16">
        <v>0</v>
      </c>
      <c r="I20" s="16">
        <f t="shared" si="1"/>
        <v>970.58069999999987</v>
      </c>
    </row>
    <row r="21" spans="2:9" x14ac:dyDescent="0.25">
      <c r="B21" s="49">
        <v>43922</v>
      </c>
      <c r="C21" s="49">
        <v>43951</v>
      </c>
      <c r="D21" s="37">
        <f>'Generation Details'!F21</f>
        <v>1180.2529999999999</v>
      </c>
      <c r="E21" s="2">
        <f>'Project Details'!$C$12</f>
        <v>0.92249999999999999</v>
      </c>
      <c r="F21" s="16">
        <f t="shared" si="0"/>
        <v>1088.7833925</v>
      </c>
      <c r="G21" s="16">
        <v>0</v>
      </c>
      <c r="H21" s="16">
        <v>0</v>
      </c>
      <c r="I21" s="16">
        <f t="shared" si="1"/>
        <v>1088.7833925</v>
      </c>
    </row>
    <row r="22" spans="2:9" x14ac:dyDescent="0.25">
      <c r="B22" s="49">
        <v>43952</v>
      </c>
      <c r="C22" s="49">
        <v>43982</v>
      </c>
      <c r="D22" s="37">
        <f>'Generation Details'!F22</f>
        <v>1774.0909999999999</v>
      </c>
      <c r="E22" s="2">
        <f>'Project Details'!$C$12</f>
        <v>0.92249999999999999</v>
      </c>
      <c r="F22" s="16">
        <f t="shared" si="0"/>
        <v>1636.5989474999999</v>
      </c>
      <c r="G22" s="16">
        <v>0</v>
      </c>
      <c r="H22" s="16">
        <v>0</v>
      </c>
      <c r="I22" s="16">
        <f t="shared" si="1"/>
        <v>1636.5989474999999</v>
      </c>
    </row>
    <row r="23" spans="2:9" x14ac:dyDescent="0.25">
      <c r="B23" s="49">
        <v>43983</v>
      </c>
      <c r="C23" s="49">
        <v>44012</v>
      </c>
      <c r="D23" s="37">
        <f>'Generation Details'!F23</f>
        <v>793.27017599999999</v>
      </c>
      <c r="E23" s="2">
        <f>'Project Details'!$C$12</f>
        <v>0.92249999999999999</v>
      </c>
      <c r="F23" s="16">
        <f t="shared" si="0"/>
        <v>731.79173735999996</v>
      </c>
      <c r="G23" s="16">
        <v>0</v>
      </c>
      <c r="H23" s="16">
        <v>0</v>
      </c>
      <c r="I23" s="16">
        <f t="shared" si="1"/>
        <v>731.79173735999996</v>
      </c>
    </row>
    <row r="24" spans="2:9" x14ac:dyDescent="0.25">
      <c r="B24" s="49">
        <v>44013</v>
      </c>
      <c r="C24" s="49">
        <v>44043</v>
      </c>
      <c r="D24" s="37">
        <f>'Generation Details'!F24</f>
        <v>592.93399999999997</v>
      </c>
      <c r="E24" s="2">
        <f>'Project Details'!$C$12</f>
        <v>0.92249999999999999</v>
      </c>
      <c r="F24" s="16">
        <f t="shared" si="0"/>
        <v>546.98161499999992</v>
      </c>
      <c r="G24" s="16">
        <v>0</v>
      </c>
      <c r="H24" s="16">
        <v>0</v>
      </c>
      <c r="I24" s="16">
        <f t="shared" si="1"/>
        <v>546.98161499999992</v>
      </c>
    </row>
    <row r="25" spans="2:9" x14ac:dyDescent="0.25">
      <c r="B25" s="49">
        <v>44044</v>
      </c>
      <c r="C25" s="49">
        <v>44074</v>
      </c>
      <c r="D25" s="37">
        <f>'Generation Details'!F25</f>
        <v>1486.1389999999999</v>
      </c>
      <c r="E25" s="2">
        <f>'Project Details'!$C$12</f>
        <v>0.92249999999999999</v>
      </c>
      <c r="F25" s="16">
        <f t="shared" si="0"/>
        <v>1370.9632274999999</v>
      </c>
      <c r="G25" s="16">
        <v>0</v>
      </c>
      <c r="H25" s="16">
        <v>0</v>
      </c>
      <c r="I25" s="16">
        <f t="shared" si="1"/>
        <v>1370.9632274999999</v>
      </c>
    </row>
    <row r="26" spans="2:9" x14ac:dyDescent="0.25">
      <c r="B26" s="49">
        <v>44075</v>
      </c>
      <c r="C26" s="49">
        <v>44104</v>
      </c>
      <c r="D26" s="37">
        <f>'Generation Details'!F26</f>
        <v>410.68799999999999</v>
      </c>
      <c r="E26" s="2">
        <f>'Project Details'!$C$12</f>
        <v>0.92249999999999999</v>
      </c>
      <c r="F26" s="16">
        <f t="shared" si="0"/>
        <v>378.85967999999997</v>
      </c>
      <c r="G26" s="16">
        <v>0</v>
      </c>
      <c r="H26" s="16">
        <v>0</v>
      </c>
      <c r="I26" s="16">
        <f t="shared" si="1"/>
        <v>378.85967999999997</v>
      </c>
    </row>
    <row r="27" spans="2:9" ht="14.25" customHeight="1" x14ac:dyDescent="0.25">
      <c r="B27" s="49">
        <v>44105</v>
      </c>
      <c r="C27" s="49">
        <v>44135</v>
      </c>
      <c r="D27" s="37">
        <f>'Generation Details'!F27</f>
        <v>593.82899999999995</v>
      </c>
      <c r="E27" s="2">
        <f>'Project Details'!$C$12</f>
        <v>0.92249999999999999</v>
      </c>
      <c r="F27" s="16">
        <f t="shared" si="0"/>
        <v>547.80725249999989</v>
      </c>
      <c r="G27" s="16">
        <v>0</v>
      </c>
      <c r="H27" s="16">
        <v>0</v>
      </c>
      <c r="I27" s="16">
        <f t="shared" si="1"/>
        <v>547.80725249999989</v>
      </c>
    </row>
    <row r="28" spans="2:9" x14ac:dyDescent="0.25">
      <c r="B28" s="49">
        <v>44136</v>
      </c>
      <c r="C28" s="49">
        <v>44165</v>
      </c>
      <c r="D28" s="37">
        <f>'Generation Details'!F28</f>
        <v>1059.951</v>
      </c>
      <c r="E28" s="2">
        <f>'Project Details'!$C$12</f>
        <v>0.92249999999999999</v>
      </c>
      <c r="F28" s="16">
        <f t="shared" si="0"/>
        <v>977.80479749999995</v>
      </c>
      <c r="G28" s="16">
        <v>0</v>
      </c>
      <c r="H28" s="16">
        <v>0</v>
      </c>
      <c r="I28" s="16">
        <f t="shared" si="1"/>
        <v>977.80479749999995</v>
      </c>
    </row>
    <row r="29" spans="2:9" ht="15.75" thickBot="1" x14ac:dyDescent="0.3">
      <c r="B29" s="56">
        <v>44166</v>
      </c>
      <c r="C29" s="56">
        <v>44196</v>
      </c>
      <c r="D29" s="37">
        <f>'Generation Details'!F29</f>
        <v>1114.26</v>
      </c>
      <c r="E29" s="2">
        <f>'Project Details'!$C$12</f>
        <v>0.92249999999999999</v>
      </c>
      <c r="F29" s="16">
        <f t="shared" si="0"/>
        <v>1027.9048499999999</v>
      </c>
      <c r="G29" s="16">
        <v>0</v>
      </c>
      <c r="H29" s="16">
        <v>0</v>
      </c>
      <c r="I29" s="16">
        <f t="shared" si="1"/>
        <v>1027.9048499999999</v>
      </c>
    </row>
    <row r="30" spans="2:9" ht="15.75" thickBot="1" x14ac:dyDescent="0.3">
      <c r="B30" s="124" t="s">
        <v>8</v>
      </c>
      <c r="C30" s="125"/>
      <c r="D30" s="98">
        <f>SUM(D3:D29)</f>
        <v>30303.882657381218</v>
      </c>
      <c r="E30" s="3"/>
      <c r="F30" s="20">
        <f>SUM(F3:F29)</f>
        <v>27955.331751434169</v>
      </c>
      <c r="G30" s="20">
        <f>SUM(G3:G29)</f>
        <v>0</v>
      </c>
      <c r="H30" s="20">
        <f>SUM(H3:H29)</f>
        <v>0</v>
      </c>
      <c r="I30" s="20">
        <f>ROUNDDOWN((SUM(I3:I29)),0)</f>
        <v>27955</v>
      </c>
    </row>
  </sheetData>
  <mergeCells count="2">
    <mergeCell ref="B2:C2"/>
    <mergeCell ref="B30:C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2"/>
  <sheetViews>
    <sheetView topLeftCell="E16" zoomScaleNormal="100" workbookViewId="0">
      <selection activeCell="H30" sqref="H30"/>
    </sheetView>
  </sheetViews>
  <sheetFormatPr defaultRowHeight="15" x14ac:dyDescent="0.25"/>
  <cols>
    <col min="1" max="1" width="3.28515625" customWidth="1"/>
    <col min="2" max="2" width="12.7109375" customWidth="1"/>
    <col min="3" max="3" width="12.85546875" customWidth="1"/>
    <col min="4" max="5" width="28.5703125" customWidth="1"/>
    <col min="6" max="6" width="39.42578125" customWidth="1"/>
    <col min="7" max="7" width="20.7109375" style="18" customWidth="1"/>
    <col min="8" max="8" width="22.7109375" style="18" customWidth="1"/>
    <col min="9" max="9" width="20.5703125" customWidth="1"/>
    <col min="10" max="10" width="21" customWidth="1"/>
  </cols>
  <sheetData>
    <row r="1" spans="2:12" ht="15.75" thickBot="1" x14ac:dyDescent="0.3"/>
    <row r="2" spans="2:12" ht="114" customHeight="1" thickBot="1" x14ac:dyDescent="0.3">
      <c r="B2" s="130" t="s">
        <v>0</v>
      </c>
      <c r="C2" s="131"/>
      <c r="D2" s="54" t="s">
        <v>17</v>
      </c>
      <c r="E2" s="50" t="s">
        <v>39</v>
      </c>
      <c r="F2" s="50" t="s">
        <v>20</v>
      </c>
      <c r="G2" s="51" t="s">
        <v>18</v>
      </c>
      <c r="H2" s="51" t="s">
        <v>80</v>
      </c>
      <c r="I2" s="52" t="s">
        <v>1</v>
      </c>
      <c r="J2" s="53" t="s">
        <v>2</v>
      </c>
    </row>
    <row r="3" spans="2:12" x14ac:dyDescent="0.25">
      <c r="B3" s="49">
        <v>43394</v>
      </c>
      <c r="C3" s="49">
        <v>43404</v>
      </c>
      <c r="D3" s="115">
        <f>'DGR Oct_2018'!G8</f>
        <v>203.8494093812171</v>
      </c>
      <c r="E3" s="40">
        <v>440951</v>
      </c>
      <c r="F3" s="37">
        <f t="shared" ref="F3:F10" si="0">D3</f>
        <v>203.8494093812171</v>
      </c>
      <c r="G3" s="37">
        <v>449.54954450000008</v>
      </c>
      <c r="H3" s="17">
        <v>458.91699999999997</v>
      </c>
      <c r="I3" s="2">
        <f>'SubstationMeter Readings'!Q5</f>
        <v>21018000</v>
      </c>
      <c r="J3" s="2">
        <f>'SubstationMeter Readings'!R5</f>
        <v>68000</v>
      </c>
      <c r="L3" s="19"/>
    </row>
    <row r="4" spans="2:12" x14ac:dyDescent="0.25">
      <c r="B4" s="49">
        <v>43405</v>
      </c>
      <c r="C4" s="49">
        <v>43434</v>
      </c>
      <c r="D4" s="37">
        <v>1145.095</v>
      </c>
      <c r="E4" s="40">
        <v>1145095</v>
      </c>
      <c r="F4" s="37">
        <f t="shared" si="0"/>
        <v>1145.095</v>
      </c>
      <c r="G4" s="37">
        <v>1167.4243525000002</v>
      </c>
      <c r="H4" s="17">
        <v>604.26400000000001</v>
      </c>
      <c r="I4" s="2">
        <f>'SubstationMeter Readings'!Q6</f>
        <v>29017000</v>
      </c>
      <c r="J4" s="2">
        <f>'SubstationMeter Readings'!R6</f>
        <v>31000</v>
      </c>
      <c r="L4" s="19"/>
    </row>
    <row r="5" spans="2:12" x14ac:dyDescent="0.25">
      <c r="B5" s="49">
        <v>43435</v>
      </c>
      <c r="C5" s="49">
        <v>43465</v>
      </c>
      <c r="D5" s="37">
        <v>1149.9280000000001</v>
      </c>
      <c r="E5" s="40">
        <v>1149928</v>
      </c>
      <c r="F5" s="37">
        <f t="shared" si="0"/>
        <v>1149.9280000000001</v>
      </c>
      <c r="G5" s="37">
        <v>1172.6965744000001</v>
      </c>
      <c r="H5" s="17">
        <v>1178.5889999999999</v>
      </c>
      <c r="I5" s="2">
        <f>'SubstationMeter Readings'!Q7</f>
        <v>58875000</v>
      </c>
      <c r="J5" s="2">
        <f>'SubstationMeter Readings'!R7</f>
        <v>9000</v>
      </c>
      <c r="L5" s="19"/>
    </row>
    <row r="6" spans="2:12" x14ac:dyDescent="0.25">
      <c r="B6" s="49">
        <v>43466</v>
      </c>
      <c r="C6" s="49">
        <v>43496</v>
      </c>
      <c r="D6" s="37">
        <v>1305.4169999999999</v>
      </c>
      <c r="E6" s="40">
        <v>1305417</v>
      </c>
      <c r="F6" s="37">
        <f t="shared" si="0"/>
        <v>1305.4169999999999</v>
      </c>
      <c r="G6" s="37">
        <v>1331.2642566</v>
      </c>
      <c r="H6" s="17">
        <v>1339.3630000000001</v>
      </c>
      <c r="I6" s="2">
        <f>'SubstationMeter Readings'!Q8</f>
        <v>62760000</v>
      </c>
      <c r="J6" s="2">
        <f>'SubstationMeter Readings'!R8</f>
        <v>14000</v>
      </c>
      <c r="L6" s="19"/>
    </row>
    <row r="7" spans="2:12" x14ac:dyDescent="0.25">
      <c r="B7" s="49">
        <v>43497</v>
      </c>
      <c r="C7" s="49">
        <v>43524</v>
      </c>
      <c r="D7" s="37">
        <v>1169.32</v>
      </c>
      <c r="E7" s="40">
        <v>1169320</v>
      </c>
      <c r="F7" s="37">
        <f t="shared" si="0"/>
        <v>1169.32</v>
      </c>
      <c r="G7" s="37">
        <v>1192.472536</v>
      </c>
      <c r="H7" s="17">
        <v>1199.518</v>
      </c>
      <c r="I7" s="2">
        <f>'SubstationMeter Readings'!Q9</f>
        <v>53824000</v>
      </c>
      <c r="J7" s="2">
        <f>'SubstationMeter Readings'!R9</f>
        <v>10000</v>
      </c>
      <c r="L7" s="19"/>
    </row>
    <row r="8" spans="2:12" x14ac:dyDescent="0.25">
      <c r="B8" s="49">
        <v>43525</v>
      </c>
      <c r="C8" s="49">
        <v>43555</v>
      </c>
      <c r="D8" s="37">
        <v>1218.55</v>
      </c>
      <c r="E8" s="40">
        <v>1218550</v>
      </c>
      <c r="F8" s="37">
        <f t="shared" si="0"/>
        <v>1218.55</v>
      </c>
      <c r="G8" s="37">
        <v>1242.6772900000001</v>
      </c>
      <c r="H8" s="17">
        <v>1247.2090000000001</v>
      </c>
      <c r="I8" s="2">
        <f>'SubstationMeter Readings'!Q10</f>
        <v>55230000</v>
      </c>
      <c r="J8" s="2">
        <f>'SubstationMeter Readings'!R10</f>
        <v>9000</v>
      </c>
      <c r="L8" s="19"/>
    </row>
    <row r="9" spans="2:12" x14ac:dyDescent="0.25">
      <c r="B9" s="49">
        <v>43556</v>
      </c>
      <c r="C9" s="49">
        <v>43585</v>
      </c>
      <c r="D9" s="37">
        <v>1468.0740000000001</v>
      </c>
      <c r="E9" s="40">
        <v>1468074</v>
      </c>
      <c r="F9" s="37">
        <f t="shared" si="0"/>
        <v>1468.0740000000001</v>
      </c>
      <c r="G9" s="37">
        <v>1497.1418652000002</v>
      </c>
      <c r="H9" s="17">
        <v>1506.818</v>
      </c>
      <c r="I9" s="2">
        <f>'SubstationMeter Readings'!Q11</f>
        <v>64476000</v>
      </c>
      <c r="J9" s="2">
        <f>'SubstationMeter Readings'!R11</f>
        <v>2000</v>
      </c>
      <c r="L9" s="19"/>
    </row>
    <row r="10" spans="2:12" x14ac:dyDescent="0.25">
      <c r="B10" s="49">
        <v>43586</v>
      </c>
      <c r="C10" s="49">
        <v>43616</v>
      </c>
      <c r="D10" s="37">
        <v>1487</v>
      </c>
      <c r="E10" s="40">
        <v>1487000</v>
      </c>
      <c r="F10" s="37">
        <f t="shared" si="0"/>
        <v>1487</v>
      </c>
      <c r="G10" s="37">
        <v>1516.4426000000001</v>
      </c>
      <c r="H10" s="17">
        <v>1524.566</v>
      </c>
      <c r="I10" s="2">
        <f>'SubstationMeter Readings'!Q12</f>
        <v>64544000</v>
      </c>
      <c r="J10" s="2">
        <f>'SubstationMeter Readings'!R12</f>
        <v>1000</v>
      </c>
      <c r="L10" s="19"/>
    </row>
    <row r="11" spans="2:12" x14ac:dyDescent="0.25">
      <c r="B11" s="49">
        <v>43617</v>
      </c>
      <c r="C11" s="49">
        <v>43646</v>
      </c>
      <c r="D11" s="37">
        <v>1688.232</v>
      </c>
      <c r="E11" s="40">
        <v>1688232</v>
      </c>
      <c r="F11" s="41">
        <f t="shared" ref="F11:F23" si="1">D11*(1-0.4%)</f>
        <v>1681.4790719999999</v>
      </c>
      <c r="G11" s="37">
        <v>1721.6589936</v>
      </c>
      <c r="H11" s="17">
        <v>1737.0740000000001</v>
      </c>
      <c r="I11" s="2">
        <f>'SubstationMeter Readings'!Q13</f>
        <v>77818000</v>
      </c>
      <c r="J11" s="2">
        <f>'SubstationMeter Readings'!R13</f>
        <v>17000</v>
      </c>
      <c r="L11" s="19"/>
    </row>
    <row r="12" spans="2:12" x14ac:dyDescent="0.25">
      <c r="B12" s="49">
        <v>43647</v>
      </c>
      <c r="C12" s="49">
        <v>43677</v>
      </c>
      <c r="D12" s="37">
        <v>2434.462</v>
      </c>
      <c r="E12" s="40">
        <v>2434462</v>
      </c>
      <c r="F12" s="37">
        <f>D12</f>
        <v>2434.462</v>
      </c>
      <c r="G12" s="37">
        <v>2482.6643475999999</v>
      </c>
      <c r="H12" s="17">
        <v>2511.114</v>
      </c>
      <c r="I12" s="2">
        <f>'SubstationMeter Readings'!Q14</f>
        <v>107833000</v>
      </c>
      <c r="J12" s="2">
        <f>'SubstationMeter Readings'!R14</f>
        <v>9000</v>
      </c>
      <c r="L12" s="19"/>
    </row>
    <row r="13" spans="2:12" x14ac:dyDescent="0.25">
      <c r="B13" s="49">
        <v>43678</v>
      </c>
      <c r="C13" s="49">
        <v>43708</v>
      </c>
      <c r="D13" s="37">
        <v>1488.82</v>
      </c>
      <c r="E13" s="40">
        <v>1488820</v>
      </c>
      <c r="F13" s="37">
        <f t="shared" ref="F13:F22" si="2">D13</f>
        <v>1488.82</v>
      </c>
      <c r="G13" s="37">
        <v>1518.298636</v>
      </c>
      <c r="H13" s="17">
        <v>1532.5329999999999</v>
      </c>
      <c r="I13" s="2">
        <f>'SubstationMeter Readings'!Q15</f>
        <v>62049000</v>
      </c>
      <c r="J13" s="2">
        <f>'SubstationMeter Readings'!R15</f>
        <v>2000</v>
      </c>
      <c r="L13" s="19"/>
    </row>
    <row r="14" spans="2:12" x14ac:dyDescent="0.25">
      <c r="B14" s="49">
        <v>43709</v>
      </c>
      <c r="C14" s="49">
        <v>43738</v>
      </c>
      <c r="D14" s="37">
        <v>578.26499999999999</v>
      </c>
      <c r="E14" s="40">
        <v>578265</v>
      </c>
      <c r="F14" s="37">
        <f t="shared" si="2"/>
        <v>578.26499999999999</v>
      </c>
      <c r="G14" s="37">
        <v>589.71464700000001</v>
      </c>
      <c r="H14" s="17">
        <v>600.03599999999994</v>
      </c>
      <c r="I14" s="2">
        <f>'SubstationMeter Readings'!Q16</f>
        <v>25205000</v>
      </c>
      <c r="J14" s="2">
        <f>'SubstationMeter Readings'!R16</f>
        <v>50000</v>
      </c>
      <c r="L14" s="19"/>
    </row>
    <row r="15" spans="2:12" x14ac:dyDescent="0.25">
      <c r="B15" s="49">
        <v>43739</v>
      </c>
      <c r="C15" s="49">
        <v>43769</v>
      </c>
      <c r="D15" s="37">
        <v>720.80399999999997</v>
      </c>
      <c r="E15" s="40">
        <v>720804</v>
      </c>
      <c r="F15" s="37">
        <f t="shared" si="2"/>
        <v>720.80399999999997</v>
      </c>
      <c r="G15" s="37">
        <v>735.07591920000004</v>
      </c>
      <c r="H15" s="17">
        <v>743.18399999999997</v>
      </c>
      <c r="I15" s="2">
        <f>'SubstationMeter Readings'!Q17</f>
        <v>30567000</v>
      </c>
      <c r="J15" s="2">
        <f>'SubstationMeter Readings'!R17</f>
        <v>29000</v>
      </c>
      <c r="L15" s="19"/>
    </row>
    <row r="16" spans="2:12" x14ac:dyDescent="0.25">
      <c r="B16" s="49">
        <v>43770</v>
      </c>
      <c r="C16" s="49">
        <v>43799</v>
      </c>
      <c r="D16" s="37">
        <v>703.83199999999999</v>
      </c>
      <c r="E16" s="40">
        <v>703832</v>
      </c>
      <c r="F16" s="37">
        <f t="shared" si="2"/>
        <v>703.83199999999999</v>
      </c>
      <c r="G16" s="37">
        <v>717.76787360000003</v>
      </c>
      <c r="H16" s="17">
        <v>724.07</v>
      </c>
      <c r="I16" s="2">
        <f>'SubstationMeter Readings'!Q18</f>
        <v>26398000</v>
      </c>
      <c r="J16" s="2">
        <f>'SubstationMeter Readings'!R18</f>
        <v>60000</v>
      </c>
      <c r="L16" s="19"/>
    </row>
    <row r="17" spans="2:12" x14ac:dyDescent="0.25">
      <c r="B17" s="49">
        <v>43800</v>
      </c>
      <c r="C17" s="49">
        <v>43830</v>
      </c>
      <c r="D17" s="37">
        <v>1495.575</v>
      </c>
      <c r="E17" s="40">
        <v>1495575</v>
      </c>
      <c r="F17" s="37">
        <f t="shared" si="2"/>
        <v>1495.575</v>
      </c>
      <c r="G17" s="37">
        <v>1525.1873850000002</v>
      </c>
      <c r="H17" s="17">
        <v>1530.318</v>
      </c>
      <c r="I17" s="2">
        <f>'SubstationMeter Readings'!Q19</f>
        <v>69270000</v>
      </c>
      <c r="J17" s="2">
        <f>'SubstationMeter Readings'!R19</f>
        <v>4000</v>
      </c>
      <c r="L17" s="19"/>
    </row>
    <row r="18" spans="2:12" x14ac:dyDescent="0.25">
      <c r="B18" s="49">
        <v>43831</v>
      </c>
      <c r="C18" s="49">
        <v>43861</v>
      </c>
      <c r="D18" s="37">
        <v>1013.259</v>
      </c>
      <c r="E18" s="40">
        <v>1013259</v>
      </c>
      <c r="F18" s="37">
        <f t="shared" si="2"/>
        <v>1013.259</v>
      </c>
      <c r="G18" s="37">
        <v>1033.3215282000001</v>
      </c>
      <c r="H18" s="17">
        <v>1038.096</v>
      </c>
      <c r="I18" s="2">
        <f>'SubstationMeter Readings'!Q20</f>
        <v>49456000</v>
      </c>
      <c r="J18" s="2">
        <f>'SubstationMeter Readings'!R20</f>
        <v>8000</v>
      </c>
      <c r="L18" s="19"/>
    </row>
    <row r="19" spans="2:12" x14ac:dyDescent="0.25">
      <c r="B19" s="49">
        <v>43862</v>
      </c>
      <c r="C19" s="49">
        <v>43890</v>
      </c>
      <c r="D19" s="37">
        <v>982.61800000000005</v>
      </c>
      <c r="E19" s="40">
        <v>982618</v>
      </c>
      <c r="F19" s="37">
        <f t="shared" si="2"/>
        <v>982.61800000000005</v>
      </c>
      <c r="G19" s="37">
        <v>1002.0738364000001</v>
      </c>
      <c r="H19" s="17">
        <v>1007.534</v>
      </c>
      <c r="I19" s="2">
        <f>'SubstationMeter Readings'!Q21</f>
        <v>49029000</v>
      </c>
      <c r="J19" s="2">
        <f>'SubstationMeter Readings'!R21</f>
        <v>6000</v>
      </c>
      <c r="L19" s="19"/>
    </row>
    <row r="20" spans="2:12" x14ac:dyDescent="0.25">
      <c r="B20" s="49">
        <v>43891</v>
      </c>
      <c r="C20" s="49">
        <v>43921</v>
      </c>
      <c r="D20" s="37">
        <v>1052.1199999999999</v>
      </c>
      <c r="E20" s="40">
        <v>1052120</v>
      </c>
      <c r="F20" s="37">
        <f t="shared" si="2"/>
        <v>1052.1199999999999</v>
      </c>
      <c r="G20" s="37">
        <v>1072.9519759999998</v>
      </c>
      <c r="H20" s="17">
        <v>1078.9079999999999</v>
      </c>
      <c r="I20" s="2">
        <f>'SubstationMeter Readings'!Q22</f>
        <v>49116000</v>
      </c>
      <c r="J20" s="2">
        <f>'SubstationMeter Readings'!R22</f>
        <v>4000</v>
      </c>
      <c r="L20" s="19"/>
    </row>
    <row r="21" spans="2:12" x14ac:dyDescent="0.25">
      <c r="B21" s="49">
        <v>43922</v>
      </c>
      <c r="C21" s="49">
        <v>43951</v>
      </c>
      <c r="D21" s="37">
        <v>1180.2529999999999</v>
      </c>
      <c r="E21" s="40">
        <v>1180253</v>
      </c>
      <c r="F21" s="37">
        <f t="shared" si="2"/>
        <v>1180.2529999999999</v>
      </c>
      <c r="G21" s="37">
        <v>1203.6220094</v>
      </c>
      <c r="H21" s="17">
        <v>1209.087</v>
      </c>
      <c r="I21" s="2">
        <f>'SubstationMeter Readings'!Q23</f>
        <v>52512000</v>
      </c>
      <c r="J21" s="2">
        <f>'SubstationMeter Readings'!R23</f>
        <v>0</v>
      </c>
      <c r="L21" s="19"/>
    </row>
    <row r="22" spans="2:12" x14ac:dyDescent="0.25">
      <c r="B22" s="49">
        <v>43952</v>
      </c>
      <c r="C22" s="49">
        <v>43982</v>
      </c>
      <c r="D22" s="37">
        <v>1774.0909999999999</v>
      </c>
      <c r="E22" s="40">
        <v>1774091</v>
      </c>
      <c r="F22" s="37">
        <f t="shared" si="2"/>
        <v>1774.0909999999999</v>
      </c>
      <c r="G22" s="37">
        <v>1809.2180017999999</v>
      </c>
      <c r="H22" s="17">
        <v>1818.1130000000001</v>
      </c>
      <c r="I22" s="2">
        <f>'SubstationMeter Readings'!Q24</f>
        <v>74734000</v>
      </c>
      <c r="J22" s="2">
        <f>'SubstationMeter Readings'!R24</f>
        <v>1000</v>
      </c>
      <c r="L22" s="19"/>
    </row>
    <row r="23" spans="2:12" x14ac:dyDescent="0.25">
      <c r="B23" s="49">
        <v>43983</v>
      </c>
      <c r="C23" s="49">
        <v>44012</v>
      </c>
      <c r="D23" s="37">
        <v>796.45600000000002</v>
      </c>
      <c r="E23" s="40">
        <v>796456</v>
      </c>
      <c r="F23" s="41">
        <f t="shared" si="1"/>
        <v>793.27017599999999</v>
      </c>
      <c r="G23" s="37">
        <v>812.30547440000009</v>
      </c>
      <c r="H23" s="17">
        <v>821.00900000000001</v>
      </c>
      <c r="I23" s="2">
        <f>'SubstationMeter Readings'!Q25</f>
        <v>37756000</v>
      </c>
      <c r="J23" s="2">
        <f>'SubstationMeter Readings'!R25</f>
        <v>29000</v>
      </c>
    </row>
    <row r="24" spans="2:12" x14ac:dyDescent="0.25">
      <c r="B24" s="49">
        <v>44013</v>
      </c>
      <c r="C24" s="49">
        <v>44043</v>
      </c>
      <c r="D24" s="37">
        <v>592.93399999999997</v>
      </c>
      <c r="E24" s="40">
        <v>592934</v>
      </c>
      <c r="F24" s="37">
        <f>D24</f>
        <v>592.93399999999997</v>
      </c>
      <c r="G24" s="37">
        <v>604.73338660000002</v>
      </c>
      <c r="H24" s="17">
        <v>618.529</v>
      </c>
      <c r="I24" s="2">
        <f>'SubstationMeter Readings'!Q26</f>
        <v>23495000</v>
      </c>
      <c r="J24" s="2">
        <f>'SubstationMeter Readings'!R26</f>
        <v>40000</v>
      </c>
    </row>
    <row r="25" spans="2:12" x14ac:dyDescent="0.25">
      <c r="B25" s="49">
        <v>44044</v>
      </c>
      <c r="C25" s="49">
        <v>44074</v>
      </c>
      <c r="D25" s="37">
        <v>1486.1389999999999</v>
      </c>
      <c r="E25" s="40">
        <v>1486139</v>
      </c>
      <c r="F25" s="37">
        <f t="shared" ref="F25:F29" si="3">D25</f>
        <v>1486.1389999999999</v>
      </c>
      <c r="G25" s="37">
        <v>1515.7131660999999</v>
      </c>
      <c r="H25" s="17">
        <v>1525.23</v>
      </c>
      <c r="I25" s="2">
        <f>'SubstationMeter Readings'!Q27</f>
        <v>60532000</v>
      </c>
      <c r="J25" s="2">
        <f>'SubstationMeter Readings'!R27</f>
        <v>23000</v>
      </c>
    </row>
    <row r="26" spans="2:12" x14ac:dyDescent="0.25">
      <c r="B26" s="49">
        <v>44075</v>
      </c>
      <c r="C26" s="49">
        <v>44104</v>
      </c>
      <c r="D26" s="37">
        <v>410.68799999999999</v>
      </c>
      <c r="E26" s="40">
        <v>410688</v>
      </c>
      <c r="F26" s="37">
        <f t="shared" si="3"/>
        <v>410.68799999999999</v>
      </c>
      <c r="G26" s="37">
        <v>418.86069120000002</v>
      </c>
      <c r="H26" s="17">
        <v>428.79399999999998</v>
      </c>
      <c r="I26" s="2">
        <f>'SubstationMeter Readings'!Q28</f>
        <v>18581000</v>
      </c>
      <c r="J26" s="2">
        <f>'SubstationMeter Readings'!R28</f>
        <v>41000</v>
      </c>
    </row>
    <row r="27" spans="2:12" x14ac:dyDescent="0.25">
      <c r="B27" s="49">
        <v>44105</v>
      </c>
      <c r="C27" s="49">
        <v>44135</v>
      </c>
      <c r="D27" s="37">
        <v>593.82899999999995</v>
      </c>
      <c r="E27" s="40">
        <v>593829</v>
      </c>
      <c r="F27" s="37">
        <f t="shared" si="3"/>
        <v>593.82899999999995</v>
      </c>
      <c r="G27" s="37">
        <v>605.64619709999999</v>
      </c>
      <c r="H27" s="17">
        <v>610.33600000000001</v>
      </c>
      <c r="I27" s="2">
        <f>'SubstationMeter Readings'!Q29</f>
        <v>28791000</v>
      </c>
      <c r="J27" s="2">
        <f>'SubstationMeter Readings'!R29</f>
        <v>12000</v>
      </c>
    </row>
    <row r="28" spans="2:12" x14ac:dyDescent="0.25">
      <c r="B28" s="49">
        <v>44136</v>
      </c>
      <c r="C28" s="49">
        <v>44165</v>
      </c>
      <c r="D28" s="37">
        <v>1059.951</v>
      </c>
      <c r="E28" s="40">
        <v>1059951</v>
      </c>
      <c r="F28" s="37">
        <f t="shared" si="3"/>
        <v>1059.951</v>
      </c>
      <c r="G28" s="37">
        <v>1081.0440249000001</v>
      </c>
      <c r="H28" s="17">
        <v>1089.3579999999999</v>
      </c>
      <c r="I28" s="2">
        <f>'SubstationMeter Readings'!Q30</f>
        <v>50045000</v>
      </c>
      <c r="J28" s="2">
        <f>'SubstationMeter Readings'!R30</f>
        <v>10000</v>
      </c>
    </row>
    <row r="29" spans="2:12" ht="15" customHeight="1" thickBot="1" x14ac:dyDescent="0.3">
      <c r="B29" s="56">
        <v>44166</v>
      </c>
      <c r="C29" s="56">
        <v>44196</v>
      </c>
      <c r="D29" s="37">
        <v>1114.26</v>
      </c>
      <c r="E29" s="40">
        <v>1114260</v>
      </c>
      <c r="F29" s="37">
        <f t="shared" si="3"/>
        <v>1114.26</v>
      </c>
      <c r="G29" s="37">
        <v>1136.4337740000001</v>
      </c>
      <c r="H29" s="17">
        <v>1139.2159999999999</v>
      </c>
      <c r="I29" s="2">
        <f>'SubstationMeter Readings'!Q31</f>
        <v>52977000</v>
      </c>
      <c r="J29" s="2">
        <f>'SubstationMeter Readings'!R31</f>
        <v>17000</v>
      </c>
    </row>
    <row r="30" spans="2:12" ht="15.75" thickBot="1" x14ac:dyDescent="0.3">
      <c r="B30" s="124" t="s">
        <v>8</v>
      </c>
      <c r="C30" s="125"/>
      <c r="D30" s="55">
        <f>SUM(D3:D29)</f>
        <v>30313.821409381209</v>
      </c>
      <c r="E30" s="20"/>
      <c r="F30" s="46">
        <f>SUM(F3:F29)</f>
        <v>30303.882657381218</v>
      </c>
      <c r="G30" s="97">
        <f>SUM(G3:G29)</f>
        <v>31155.9608873</v>
      </c>
      <c r="H30" s="97">
        <f>SUM(H3:H29)</f>
        <v>30821.782999999999</v>
      </c>
      <c r="I30" s="20">
        <f>SUM(I3:I29)/1000</f>
        <v>1355908</v>
      </c>
      <c r="J30" s="20">
        <f>SUM(J3:J29)/1000</f>
        <v>506</v>
      </c>
    </row>
    <row r="31" spans="2:12" ht="12" customHeight="1" x14ac:dyDescent="0.25">
      <c r="D31" s="21"/>
      <c r="E31" s="21"/>
      <c r="F31" s="21"/>
      <c r="G31" s="22"/>
      <c r="H31" s="22"/>
      <c r="I31" s="21"/>
      <c r="J31" s="21"/>
    </row>
    <row r="33" spans="4:10" x14ac:dyDescent="0.25">
      <c r="D33" s="127" t="s">
        <v>21</v>
      </c>
      <c r="E33" s="23"/>
      <c r="F33" s="126" t="s">
        <v>22</v>
      </c>
      <c r="G33" s="126"/>
      <c r="H33" s="126"/>
      <c r="I33" s="126"/>
      <c r="J33" s="126"/>
    </row>
    <row r="34" spans="4:10" x14ac:dyDescent="0.25">
      <c r="D34" s="128"/>
      <c r="E34" s="24"/>
      <c r="F34" s="126"/>
      <c r="G34" s="126"/>
      <c r="H34" s="126"/>
      <c r="I34" s="126"/>
      <c r="J34" s="126"/>
    </row>
    <row r="35" spans="4:10" x14ac:dyDescent="0.25">
      <c r="D35" s="128"/>
      <c r="E35" s="24"/>
      <c r="F35" s="126"/>
      <c r="G35" s="126"/>
      <c r="H35" s="126"/>
      <c r="I35" s="126"/>
      <c r="J35" s="126"/>
    </row>
    <row r="36" spans="4:10" x14ac:dyDescent="0.25">
      <c r="D36" s="129"/>
      <c r="E36" s="25"/>
      <c r="F36" s="126"/>
      <c r="G36" s="126"/>
      <c r="H36" s="126"/>
      <c r="I36" s="126"/>
      <c r="J36" s="126"/>
    </row>
    <row r="37" spans="4:10" x14ac:dyDescent="0.25">
      <c r="D37" s="127" t="s">
        <v>23</v>
      </c>
      <c r="E37" s="23"/>
      <c r="F37" s="126" t="s">
        <v>24</v>
      </c>
      <c r="G37" s="126"/>
      <c r="H37" s="126"/>
      <c r="I37" s="126"/>
      <c r="J37" s="126"/>
    </row>
    <row r="38" spans="4:10" x14ac:dyDescent="0.25">
      <c r="D38" s="128"/>
      <c r="E38" s="24"/>
      <c r="F38" s="126"/>
      <c r="G38" s="126"/>
      <c r="H38" s="126"/>
      <c r="I38" s="126"/>
      <c r="J38" s="126"/>
    </row>
    <row r="39" spans="4:10" x14ac:dyDescent="0.25">
      <c r="D39" s="128"/>
      <c r="E39" s="24"/>
      <c r="F39" s="126"/>
      <c r="G39" s="126"/>
      <c r="H39" s="126"/>
      <c r="I39" s="126"/>
      <c r="J39" s="126"/>
    </row>
    <row r="40" spans="4:10" x14ac:dyDescent="0.25">
      <c r="D40" s="128"/>
      <c r="E40" s="24"/>
      <c r="F40" s="126"/>
      <c r="G40" s="126"/>
      <c r="H40" s="126"/>
      <c r="I40" s="126"/>
      <c r="J40" s="126"/>
    </row>
    <row r="41" spans="4:10" x14ac:dyDescent="0.25">
      <c r="D41" s="128"/>
      <c r="E41" s="24"/>
      <c r="F41" s="126"/>
      <c r="G41" s="126"/>
      <c r="H41" s="126"/>
      <c r="I41" s="126"/>
      <c r="J41" s="126"/>
    </row>
    <row r="42" spans="4:10" x14ac:dyDescent="0.25">
      <c r="D42" s="129"/>
      <c r="E42" s="25"/>
      <c r="F42" s="126"/>
      <c r="G42" s="126"/>
      <c r="H42" s="126"/>
      <c r="I42" s="126"/>
      <c r="J42" s="126"/>
    </row>
  </sheetData>
  <mergeCells count="6">
    <mergeCell ref="F33:J36"/>
    <mergeCell ref="D33:D36"/>
    <mergeCell ref="F37:J42"/>
    <mergeCell ref="D37:D42"/>
    <mergeCell ref="B2:C2"/>
    <mergeCell ref="B30:C3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66067-3973-47C4-BD1F-D91963F03379}">
  <dimension ref="A1:S32"/>
  <sheetViews>
    <sheetView topLeftCell="F13" zoomScale="90" zoomScaleNormal="90" workbookViewId="0">
      <selection activeCell="O32" sqref="O32"/>
    </sheetView>
  </sheetViews>
  <sheetFormatPr defaultRowHeight="15" x14ac:dyDescent="0.25"/>
  <cols>
    <col min="1" max="1" width="7.42578125" customWidth="1"/>
    <col min="2" max="2" width="12" customWidth="1"/>
    <col min="3" max="3" width="13.5703125" customWidth="1"/>
    <col min="4" max="4" width="12" customWidth="1"/>
    <col min="5" max="5" width="12.42578125" customWidth="1"/>
    <col min="6" max="6" width="13.28515625" customWidth="1"/>
    <col min="7" max="7" width="17.140625" customWidth="1"/>
    <col min="8" max="8" width="14.7109375" customWidth="1"/>
    <col min="9" max="9" width="12" customWidth="1"/>
    <col min="10" max="10" width="14.42578125" customWidth="1"/>
    <col min="11" max="11" width="12.5703125" customWidth="1"/>
    <col min="12" max="12" width="14.140625" customWidth="1"/>
    <col min="13" max="13" width="14.85546875" style="36" customWidth="1"/>
    <col min="14" max="14" width="15.28515625" style="36" customWidth="1"/>
    <col min="15" max="15" width="14.28515625" style="36" customWidth="1"/>
    <col min="17" max="17" width="14.140625" customWidth="1"/>
    <col min="18" max="18" width="12.5703125" customWidth="1"/>
    <col min="19" max="19" width="13.28515625" customWidth="1"/>
  </cols>
  <sheetData>
    <row r="1" spans="1:19" x14ac:dyDescent="0.25">
      <c r="A1" s="132" t="s">
        <v>25</v>
      </c>
      <c r="B1" s="134" t="s">
        <v>26</v>
      </c>
      <c r="C1" s="134"/>
      <c r="D1" s="134" t="s">
        <v>27</v>
      </c>
      <c r="E1" s="134"/>
      <c r="F1" s="134"/>
      <c r="G1" s="134" t="s">
        <v>28</v>
      </c>
      <c r="H1" s="134"/>
      <c r="I1" s="134"/>
      <c r="J1" s="134" t="s">
        <v>29</v>
      </c>
      <c r="K1" s="134"/>
      <c r="L1" s="136"/>
      <c r="M1" s="134" t="s">
        <v>30</v>
      </c>
      <c r="N1" s="134"/>
      <c r="O1" s="136"/>
      <c r="Q1" s="138" t="s">
        <v>31</v>
      </c>
      <c r="R1" s="138" t="s">
        <v>32</v>
      </c>
      <c r="S1" s="138" t="s">
        <v>33</v>
      </c>
    </row>
    <row r="2" spans="1:19" x14ac:dyDescent="0.25">
      <c r="A2" s="133"/>
      <c r="B2" s="135"/>
      <c r="C2" s="135"/>
      <c r="D2" s="135"/>
      <c r="E2" s="135"/>
      <c r="F2" s="135"/>
      <c r="G2" s="135"/>
      <c r="H2" s="135"/>
      <c r="I2" s="135"/>
      <c r="J2" s="135"/>
      <c r="K2" s="135"/>
      <c r="L2" s="137"/>
      <c r="M2" s="135"/>
      <c r="N2" s="135"/>
      <c r="O2" s="137"/>
      <c r="Q2" s="138"/>
      <c r="R2" s="138"/>
      <c r="S2" s="138"/>
    </row>
    <row r="3" spans="1:19" ht="15" customHeight="1" x14ac:dyDescent="0.25">
      <c r="A3" s="133"/>
      <c r="B3" s="135"/>
      <c r="C3" s="135"/>
      <c r="D3" s="138" t="s">
        <v>34</v>
      </c>
      <c r="E3" s="138" t="s">
        <v>35</v>
      </c>
      <c r="F3" s="138" t="s">
        <v>36</v>
      </c>
      <c r="G3" s="138" t="s">
        <v>37</v>
      </c>
      <c r="H3" s="138" t="s">
        <v>35</v>
      </c>
      <c r="I3" s="138" t="s">
        <v>36</v>
      </c>
      <c r="J3" s="138" t="s">
        <v>37</v>
      </c>
      <c r="K3" s="138" t="s">
        <v>35</v>
      </c>
      <c r="L3" s="139" t="s">
        <v>36</v>
      </c>
      <c r="M3" s="138" t="s">
        <v>37</v>
      </c>
      <c r="N3" s="138" t="s">
        <v>35</v>
      </c>
      <c r="O3" s="139" t="s">
        <v>36</v>
      </c>
      <c r="Q3" s="138"/>
      <c r="R3" s="138"/>
      <c r="S3" s="138"/>
    </row>
    <row r="4" spans="1:19" x14ac:dyDescent="0.25">
      <c r="A4" s="133"/>
      <c r="B4" s="135"/>
      <c r="C4" s="135"/>
      <c r="D4" s="138"/>
      <c r="E4" s="138"/>
      <c r="F4" s="138"/>
      <c r="G4" s="138"/>
      <c r="H4" s="138"/>
      <c r="I4" s="138"/>
      <c r="J4" s="138"/>
      <c r="K4" s="138"/>
      <c r="L4" s="139"/>
      <c r="M4" s="138"/>
      <c r="N4" s="138"/>
      <c r="O4" s="139"/>
      <c r="Q4" s="138"/>
      <c r="R4" s="138"/>
      <c r="S4" s="138"/>
    </row>
    <row r="5" spans="1:19" x14ac:dyDescent="0.25">
      <c r="A5" s="26">
        <v>1</v>
      </c>
      <c r="B5" s="49">
        <v>43394</v>
      </c>
      <c r="C5" s="49">
        <v>43404</v>
      </c>
      <c r="D5" s="27">
        <v>5283000</v>
      </c>
      <c r="E5" s="27">
        <v>17000</v>
      </c>
      <c r="F5" s="27">
        <f t="shared" ref="F5:F31" si="0">D5-E5</f>
        <v>5266000</v>
      </c>
      <c r="G5" s="27">
        <v>4308000</v>
      </c>
      <c r="H5" s="27">
        <v>14000</v>
      </c>
      <c r="I5" s="27">
        <f t="shared" ref="I5:I11" si="1">G5-H5</f>
        <v>4294000</v>
      </c>
      <c r="J5" s="27">
        <v>4774000</v>
      </c>
      <c r="K5" s="27">
        <v>17000</v>
      </c>
      <c r="L5" s="28">
        <f t="shared" ref="L5:L11" si="2">J5-K5</f>
        <v>4757000</v>
      </c>
      <c r="M5" s="2">
        <v>6653000</v>
      </c>
      <c r="N5" s="2">
        <v>20000</v>
      </c>
      <c r="O5" s="2">
        <f t="shared" ref="O5:O31" si="3">M5-N5</f>
        <v>6633000</v>
      </c>
      <c r="Q5" s="29">
        <f t="shared" ref="Q5:Q11" si="4">D5+G5+J5+M5</f>
        <v>21018000</v>
      </c>
      <c r="R5" s="29">
        <f t="shared" ref="R5:R11" si="5">E5+H5+K5+N5</f>
        <v>68000</v>
      </c>
      <c r="S5" s="27">
        <f t="shared" ref="S5:S11" si="6">F5+I5+L5+O5</f>
        <v>20950000</v>
      </c>
    </row>
    <row r="6" spans="1:19" x14ac:dyDescent="0.25">
      <c r="A6" s="26">
        <v>2</v>
      </c>
      <c r="B6" s="49">
        <v>43405</v>
      </c>
      <c r="C6" s="49">
        <v>43434</v>
      </c>
      <c r="D6" s="27">
        <v>3554000</v>
      </c>
      <c r="E6" s="27">
        <v>7000</v>
      </c>
      <c r="F6" s="27">
        <f t="shared" si="0"/>
        <v>3547000</v>
      </c>
      <c r="G6" s="27">
        <v>9636000</v>
      </c>
      <c r="H6" s="27">
        <v>9000</v>
      </c>
      <c r="I6" s="27">
        <f t="shared" si="1"/>
        <v>9627000</v>
      </c>
      <c r="J6" s="27">
        <v>7494000</v>
      </c>
      <c r="K6" s="27">
        <v>7000</v>
      </c>
      <c r="L6" s="28">
        <f t="shared" si="2"/>
        <v>7487000</v>
      </c>
      <c r="M6" s="2">
        <v>8333000</v>
      </c>
      <c r="N6" s="2">
        <v>8000</v>
      </c>
      <c r="O6" s="2">
        <f t="shared" si="3"/>
        <v>8325000</v>
      </c>
      <c r="Q6" s="29">
        <f t="shared" si="4"/>
        <v>29017000</v>
      </c>
      <c r="R6" s="29">
        <f t="shared" si="5"/>
        <v>31000</v>
      </c>
      <c r="S6" s="27">
        <f t="shared" si="6"/>
        <v>28986000</v>
      </c>
    </row>
    <row r="7" spans="1:19" x14ac:dyDescent="0.25">
      <c r="A7" s="26">
        <v>3</v>
      </c>
      <c r="B7" s="49">
        <v>43435</v>
      </c>
      <c r="C7" s="49">
        <v>43465</v>
      </c>
      <c r="D7" s="27">
        <v>5326000</v>
      </c>
      <c r="E7" s="27">
        <v>2000</v>
      </c>
      <c r="F7" s="27">
        <f t="shared" si="0"/>
        <v>5324000</v>
      </c>
      <c r="G7" s="27">
        <v>20594000</v>
      </c>
      <c r="H7" s="27">
        <v>4000</v>
      </c>
      <c r="I7" s="27">
        <f t="shared" si="1"/>
        <v>20590000</v>
      </c>
      <c r="J7" s="27">
        <v>16409000</v>
      </c>
      <c r="K7" s="27">
        <v>1000</v>
      </c>
      <c r="L7" s="28">
        <f t="shared" si="2"/>
        <v>16408000</v>
      </c>
      <c r="M7" s="2">
        <v>16546000</v>
      </c>
      <c r="N7" s="2">
        <v>2000</v>
      </c>
      <c r="O7" s="2">
        <f t="shared" si="3"/>
        <v>16544000</v>
      </c>
      <c r="Q7" s="29">
        <f t="shared" si="4"/>
        <v>58875000</v>
      </c>
      <c r="R7" s="29">
        <f t="shared" si="5"/>
        <v>9000</v>
      </c>
      <c r="S7" s="27">
        <f t="shared" si="6"/>
        <v>58866000</v>
      </c>
    </row>
    <row r="8" spans="1:19" x14ac:dyDescent="0.25">
      <c r="A8" s="26">
        <v>4</v>
      </c>
      <c r="B8" s="49">
        <v>43466</v>
      </c>
      <c r="C8" s="49">
        <v>43496</v>
      </c>
      <c r="D8" s="27">
        <v>15978000</v>
      </c>
      <c r="E8" s="27">
        <v>5000</v>
      </c>
      <c r="F8" s="27">
        <f t="shared" si="0"/>
        <v>15973000</v>
      </c>
      <c r="G8" s="27">
        <v>13237000</v>
      </c>
      <c r="H8" s="27">
        <v>3000</v>
      </c>
      <c r="I8" s="27">
        <f t="shared" si="1"/>
        <v>13234000</v>
      </c>
      <c r="J8" s="27">
        <v>14954000</v>
      </c>
      <c r="K8" s="27">
        <v>3000</v>
      </c>
      <c r="L8" s="28">
        <f t="shared" si="2"/>
        <v>14951000</v>
      </c>
      <c r="M8" s="2">
        <v>18591000</v>
      </c>
      <c r="N8" s="2">
        <v>3000</v>
      </c>
      <c r="O8" s="2">
        <f t="shared" si="3"/>
        <v>18588000</v>
      </c>
      <c r="Q8" s="29">
        <f t="shared" si="4"/>
        <v>62760000</v>
      </c>
      <c r="R8" s="29">
        <f t="shared" si="5"/>
        <v>14000</v>
      </c>
      <c r="S8" s="27">
        <f t="shared" si="6"/>
        <v>62746000</v>
      </c>
    </row>
    <row r="9" spans="1:19" x14ac:dyDescent="0.25">
      <c r="A9" s="26">
        <v>5</v>
      </c>
      <c r="B9" s="49">
        <v>43497</v>
      </c>
      <c r="C9" s="49">
        <v>43524</v>
      </c>
      <c r="D9" s="27">
        <v>13581000</v>
      </c>
      <c r="E9" s="27">
        <v>3000</v>
      </c>
      <c r="F9" s="27">
        <f t="shared" si="0"/>
        <v>13578000</v>
      </c>
      <c r="G9" s="27">
        <v>11650000</v>
      </c>
      <c r="H9" s="27">
        <v>3000</v>
      </c>
      <c r="I9" s="27">
        <f t="shared" si="1"/>
        <v>11647000</v>
      </c>
      <c r="J9" s="27">
        <v>12133000</v>
      </c>
      <c r="K9" s="27">
        <v>2000</v>
      </c>
      <c r="L9" s="28">
        <f t="shared" si="2"/>
        <v>12131000</v>
      </c>
      <c r="M9" s="2">
        <v>16460000</v>
      </c>
      <c r="N9" s="2">
        <v>2000</v>
      </c>
      <c r="O9" s="2">
        <f t="shared" si="3"/>
        <v>16458000</v>
      </c>
      <c r="Q9" s="29">
        <f t="shared" si="4"/>
        <v>53824000</v>
      </c>
      <c r="R9" s="29">
        <f t="shared" si="5"/>
        <v>10000</v>
      </c>
      <c r="S9" s="27">
        <f t="shared" si="6"/>
        <v>53814000</v>
      </c>
    </row>
    <row r="10" spans="1:19" x14ac:dyDescent="0.25">
      <c r="A10" s="26">
        <v>6</v>
      </c>
      <c r="B10" s="49">
        <v>43525</v>
      </c>
      <c r="C10" s="49">
        <v>43555</v>
      </c>
      <c r="D10" s="27">
        <v>13711000</v>
      </c>
      <c r="E10" s="27">
        <v>2000</v>
      </c>
      <c r="F10" s="27">
        <f t="shared" si="0"/>
        <v>13709000</v>
      </c>
      <c r="G10" s="27">
        <v>11902000</v>
      </c>
      <c r="H10" s="27">
        <v>3000</v>
      </c>
      <c r="I10" s="27">
        <f t="shared" si="1"/>
        <v>11899000</v>
      </c>
      <c r="J10" s="27">
        <v>13537000</v>
      </c>
      <c r="K10" s="27">
        <v>2000</v>
      </c>
      <c r="L10" s="28">
        <f t="shared" si="2"/>
        <v>13535000</v>
      </c>
      <c r="M10" s="2">
        <v>16080000</v>
      </c>
      <c r="N10" s="2">
        <v>2000</v>
      </c>
      <c r="O10" s="2">
        <f t="shared" si="3"/>
        <v>16078000</v>
      </c>
      <c r="Q10" s="29">
        <f t="shared" si="4"/>
        <v>55230000</v>
      </c>
      <c r="R10" s="29">
        <f t="shared" si="5"/>
        <v>9000</v>
      </c>
      <c r="S10" s="27">
        <f t="shared" si="6"/>
        <v>55221000</v>
      </c>
    </row>
    <row r="11" spans="1:19" x14ac:dyDescent="0.25">
      <c r="A11" s="26">
        <v>7</v>
      </c>
      <c r="B11" s="49">
        <v>43556</v>
      </c>
      <c r="C11" s="49">
        <v>43585</v>
      </c>
      <c r="D11" s="27">
        <v>15974000</v>
      </c>
      <c r="E11" s="27">
        <v>0</v>
      </c>
      <c r="F11" s="27">
        <f t="shared" si="0"/>
        <v>15974000</v>
      </c>
      <c r="G11" s="27">
        <v>14420000</v>
      </c>
      <c r="H11" s="27">
        <v>1000</v>
      </c>
      <c r="I11" s="27">
        <f t="shared" si="1"/>
        <v>14419000</v>
      </c>
      <c r="J11" s="27">
        <v>14718000</v>
      </c>
      <c r="K11" s="27">
        <v>0</v>
      </c>
      <c r="L11" s="28">
        <f t="shared" si="2"/>
        <v>14718000</v>
      </c>
      <c r="M11" s="2">
        <v>19364000</v>
      </c>
      <c r="N11" s="2">
        <v>1000</v>
      </c>
      <c r="O11" s="2">
        <f t="shared" si="3"/>
        <v>19363000</v>
      </c>
      <c r="Q11" s="29">
        <f t="shared" si="4"/>
        <v>64476000</v>
      </c>
      <c r="R11" s="29">
        <f t="shared" si="5"/>
        <v>2000</v>
      </c>
      <c r="S11" s="27">
        <f t="shared" si="6"/>
        <v>64474000</v>
      </c>
    </row>
    <row r="12" spans="1:19" x14ac:dyDescent="0.25">
      <c r="A12" s="26">
        <v>8</v>
      </c>
      <c r="B12" s="49">
        <v>43586</v>
      </c>
      <c r="C12" s="49">
        <v>43616</v>
      </c>
      <c r="D12" s="27">
        <v>15266000</v>
      </c>
      <c r="E12" s="27">
        <v>1000</v>
      </c>
      <c r="F12" s="27">
        <f t="shared" si="0"/>
        <v>15265000</v>
      </c>
      <c r="G12" s="27">
        <v>15098000</v>
      </c>
      <c r="H12" s="27">
        <v>0</v>
      </c>
      <c r="I12" s="27">
        <f t="shared" ref="I12:I31" si="7">G12-H12</f>
        <v>15098000</v>
      </c>
      <c r="J12" s="27">
        <v>16632000</v>
      </c>
      <c r="K12" s="27">
        <v>0</v>
      </c>
      <c r="L12" s="28">
        <f t="shared" ref="L12:L31" si="8">J12-K12</f>
        <v>16632000</v>
      </c>
      <c r="M12" s="2">
        <v>17548000</v>
      </c>
      <c r="N12" s="2">
        <v>0</v>
      </c>
      <c r="O12" s="2">
        <f t="shared" si="3"/>
        <v>17548000</v>
      </c>
      <c r="Q12" s="29">
        <f t="shared" ref="Q12:Q31" si="9">D12+G12+J12+M12</f>
        <v>64544000</v>
      </c>
      <c r="R12" s="29">
        <f t="shared" ref="R12:R31" si="10">E12+H12+K12+N12</f>
        <v>1000</v>
      </c>
      <c r="S12" s="27">
        <f t="shared" ref="S12:S31" si="11">F12+I12+L12+O12</f>
        <v>64543000</v>
      </c>
    </row>
    <row r="13" spans="1:19" x14ac:dyDescent="0.25">
      <c r="A13" s="26">
        <v>9</v>
      </c>
      <c r="B13" s="49">
        <v>43617</v>
      </c>
      <c r="C13" s="49">
        <v>43646</v>
      </c>
      <c r="D13" s="27">
        <v>17826000</v>
      </c>
      <c r="E13" s="27">
        <v>4000</v>
      </c>
      <c r="F13" s="27">
        <f t="shared" si="0"/>
        <v>17822000</v>
      </c>
      <c r="G13" s="27">
        <v>17613000</v>
      </c>
      <c r="H13" s="27">
        <v>5000</v>
      </c>
      <c r="I13" s="27">
        <f t="shared" si="7"/>
        <v>17608000</v>
      </c>
      <c r="J13" s="27">
        <v>21056000</v>
      </c>
      <c r="K13" s="27">
        <v>4000</v>
      </c>
      <c r="L13" s="28">
        <f t="shared" si="8"/>
        <v>21052000</v>
      </c>
      <c r="M13" s="2">
        <v>21323000</v>
      </c>
      <c r="N13" s="2">
        <v>4000</v>
      </c>
      <c r="O13" s="2">
        <f t="shared" si="3"/>
        <v>21319000</v>
      </c>
      <c r="Q13" s="29">
        <f t="shared" si="9"/>
        <v>77818000</v>
      </c>
      <c r="R13" s="29">
        <f t="shared" si="10"/>
        <v>17000</v>
      </c>
      <c r="S13" s="27">
        <f t="shared" si="11"/>
        <v>77801000</v>
      </c>
    </row>
    <row r="14" spans="1:19" x14ac:dyDescent="0.25">
      <c r="A14" s="26">
        <v>10</v>
      </c>
      <c r="B14" s="49">
        <v>43647</v>
      </c>
      <c r="C14" s="49">
        <v>43677</v>
      </c>
      <c r="D14" s="27">
        <v>25584000</v>
      </c>
      <c r="E14" s="27">
        <v>3000</v>
      </c>
      <c r="F14" s="27">
        <f t="shared" si="0"/>
        <v>25581000</v>
      </c>
      <c r="G14" s="27">
        <v>24433000</v>
      </c>
      <c r="H14" s="27">
        <v>2000</v>
      </c>
      <c r="I14" s="27">
        <f t="shared" si="7"/>
        <v>24431000</v>
      </c>
      <c r="J14" s="27">
        <v>25627000</v>
      </c>
      <c r="K14" s="27">
        <v>2000</v>
      </c>
      <c r="L14" s="28">
        <f t="shared" si="8"/>
        <v>25625000</v>
      </c>
      <c r="M14" s="2">
        <v>32189000</v>
      </c>
      <c r="N14" s="2">
        <v>2000</v>
      </c>
      <c r="O14" s="2">
        <f t="shared" si="3"/>
        <v>32187000</v>
      </c>
      <c r="Q14" s="29">
        <f t="shared" si="9"/>
        <v>107833000</v>
      </c>
      <c r="R14" s="29">
        <f t="shared" si="10"/>
        <v>9000</v>
      </c>
      <c r="S14" s="27">
        <f t="shared" si="11"/>
        <v>107824000</v>
      </c>
    </row>
    <row r="15" spans="1:19" x14ac:dyDescent="0.25">
      <c r="A15" s="26">
        <v>11</v>
      </c>
      <c r="B15" s="49">
        <v>43678</v>
      </c>
      <c r="C15" s="49">
        <v>43708</v>
      </c>
      <c r="D15" s="27">
        <v>14802000</v>
      </c>
      <c r="E15" s="27">
        <v>1000</v>
      </c>
      <c r="F15" s="27">
        <f t="shared" si="0"/>
        <v>14801000</v>
      </c>
      <c r="G15" s="27">
        <v>14946000</v>
      </c>
      <c r="H15" s="27">
        <v>1000</v>
      </c>
      <c r="I15" s="27">
        <f t="shared" si="7"/>
        <v>14945000</v>
      </c>
      <c r="J15" s="27">
        <v>14653000</v>
      </c>
      <c r="K15" s="27">
        <v>0</v>
      </c>
      <c r="L15" s="28">
        <f t="shared" si="8"/>
        <v>14653000</v>
      </c>
      <c r="M15" s="2">
        <v>17648000</v>
      </c>
      <c r="N15" s="2">
        <v>0</v>
      </c>
      <c r="O15" s="2">
        <f t="shared" si="3"/>
        <v>17648000</v>
      </c>
      <c r="Q15" s="29">
        <f t="shared" si="9"/>
        <v>62049000</v>
      </c>
      <c r="R15" s="29">
        <f t="shared" si="10"/>
        <v>2000</v>
      </c>
      <c r="S15" s="27">
        <f t="shared" si="11"/>
        <v>62047000</v>
      </c>
    </row>
    <row r="16" spans="1:19" x14ac:dyDescent="0.25">
      <c r="A16" s="26">
        <v>12</v>
      </c>
      <c r="B16" s="49">
        <v>43709</v>
      </c>
      <c r="C16" s="49">
        <v>43738</v>
      </c>
      <c r="D16" s="27">
        <v>5703000</v>
      </c>
      <c r="E16" s="27">
        <v>12000</v>
      </c>
      <c r="F16" s="27">
        <f t="shared" si="0"/>
        <v>5691000</v>
      </c>
      <c r="G16" s="27">
        <v>6126000</v>
      </c>
      <c r="H16" s="27">
        <v>13000</v>
      </c>
      <c r="I16" s="27">
        <f t="shared" si="7"/>
        <v>6113000</v>
      </c>
      <c r="J16" s="27">
        <v>5882000</v>
      </c>
      <c r="K16" s="27">
        <v>12000</v>
      </c>
      <c r="L16" s="28">
        <f t="shared" si="8"/>
        <v>5870000</v>
      </c>
      <c r="M16" s="2">
        <v>7494000</v>
      </c>
      <c r="N16" s="2">
        <v>13000</v>
      </c>
      <c r="O16" s="2">
        <f t="shared" si="3"/>
        <v>7481000</v>
      </c>
      <c r="Q16" s="29">
        <f t="shared" si="9"/>
        <v>25205000</v>
      </c>
      <c r="R16" s="29">
        <f t="shared" si="10"/>
        <v>50000</v>
      </c>
      <c r="S16" s="27">
        <f t="shared" si="11"/>
        <v>25155000</v>
      </c>
    </row>
    <row r="17" spans="1:19" x14ac:dyDescent="0.25">
      <c r="A17" s="26">
        <v>13</v>
      </c>
      <c r="B17" s="49">
        <v>43739</v>
      </c>
      <c r="C17" s="49">
        <v>43769</v>
      </c>
      <c r="D17" s="27">
        <v>0</v>
      </c>
      <c r="E17" s="27">
        <v>0</v>
      </c>
      <c r="F17" s="27">
        <f t="shared" si="0"/>
        <v>0</v>
      </c>
      <c r="G17" s="27">
        <v>12443000</v>
      </c>
      <c r="H17" s="27">
        <v>10000</v>
      </c>
      <c r="I17" s="27">
        <f t="shared" si="7"/>
        <v>12433000</v>
      </c>
      <c r="J17" s="27">
        <v>9312000</v>
      </c>
      <c r="K17" s="27">
        <v>10000</v>
      </c>
      <c r="L17" s="28">
        <f t="shared" si="8"/>
        <v>9302000</v>
      </c>
      <c r="M17" s="2">
        <v>8812000</v>
      </c>
      <c r="N17" s="2">
        <v>9000</v>
      </c>
      <c r="O17" s="2">
        <f t="shared" si="3"/>
        <v>8803000</v>
      </c>
      <c r="Q17" s="29">
        <f t="shared" si="9"/>
        <v>30567000</v>
      </c>
      <c r="R17" s="29">
        <f t="shared" si="10"/>
        <v>29000</v>
      </c>
      <c r="S17" s="27">
        <f t="shared" si="11"/>
        <v>30538000</v>
      </c>
    </row>
    <row r="18" spans="1:19" x14ac:dyDescent="0.25">
      <c r="A18" s="26">
        <v>14</v>
      </c>
      <c r="B18" s="49">
        <v>43770</v>
      </c>
      <c r="C18" s="49">
        <v>43799</v>
      </c>
      <c r="D18" s="27">
        <v>1766000</v>
      </c>
      <c r="E18" s="27">
        <v>1000</v>
      </c>
      <c r="F18" s="27">
        <f t="shared" si="0"/>
        <v>1765000</v>
      </c>
      <c r="G18" s="27">
        <v>11665000</v>
      </c>
      <c r="H18" s="27">
        <v>21000</v>
      </c>
      <c r="I18" s="27">
        <f t="shared" si="7"/>
        <v>11644000</v>
      </c>
      <c r="J18" s="27">
        <v>11551000</v>
      </c>
      <c r="K18" s="27">
        <v>19000</v>
      </c>
      <c r="L18" s="28">
        <f t="shared" si="8"/>
        <v>11532000</v>
      </c>
      <c r="M18" s="2">
        <v>1416000</v>
      </c>
      <c r="N18" s="2">
        <v>19000</v>
      </c>
      <c r="O18" s="2">
        <f t="shared" si="3"/>
        <v>1397000</v>
      </c>
      <c r="Q18" s="29">
        <f t="shared" si="9"/>
        <v>26398000</v>
      </c>
      <c r="R18" s="29">
        <f t="shared" si="10"/>
        <v>60000</v>
      </c>
      <c r="S18" s="27">
        <f t="shared" si="11"/>
        <v>26338000</v>
      </c>
    </row>
    <row r="19" spans="1:19" x14ac:dyDescent="0.25">
      <c r="A19" s="26">
        <v>15</v>
      </c>
      <c r="B19" s="49">
        <v>43800</v>
      </c>
      <c r="C19" s="49">
        <v>43830</v>
      </c>
      <c r="D19" s="27">
        <v>17351000</v>
      </c>
      <c r="E19" s="27">
        <v>1000</v>
      </c>
      <c r="F19" s="27">
        <f t="shared" si="0"/>
        <v>17350000</v>
      </c>
      <c r="G19" s="27">
        <v>14924000</v>
      </c>
      <c r="H19" s="27">
        <v>1000</v>
      </c>
      <c r="I19" s="27">
        <f t="shared" si="7"/>
        <v>14923000</v>
      </c>
      <c r="J19" s="27">
        <v>14850000</v>
      </c>
      <c r="K19" s="27">
        <v>2000</v>
      </c>
      <c r="L19" s="28">
        <f t="shared" si="8"/>
        <v>14848000</v>
      </c>
      <c r="M19" s="2">
        <v>22145000</v>
      </c>
      <c r="N19" s="2">
        <v>0</v>
      </c>
      <c r="O19" s="2">
        <f t="shared" si="3"/>
        <v>22145000</v>
      </c>
      <c r="Q19" s="29">
        <f t="shared" si="9"/>
        <v>69270000</v>
      </c>
      <c r="R19" s="29">
        <f t="shared" si="10"/>
        <v>4000</v>
      </c>
      <c r="S19" s="27">
        <f t="shared" si="11"/>
        <v>69266000</v>
      </c>
    </row>
    <row r="20" spans="1:19" x14ac:dyDescent="0.25">
      <c r="A20" s="26">
        <v>16</v>
      </c>
      <c r="B20" s="49">
        <v>43831</v>
      </c>
      <c r="C20" s="49">
        <v>43861</v>
      </c>
      <c r="D20" s="27">
        <v>14059000</v>
      </c>
      <c r="E20" s="27">
        <v>2000</v>
      </c>
      <c r="F20" s="27">
        <f t="shared" si="0"/>
        <v>14057000</v>
      </c>
      <c r="G20" s="27">
        <v>9074000</v>
      </c>
      <c r="H20" s="27">
        <v>2000</v>
      </c>
      <c r="I20" s="27">
        <f t="shared" si="7"/>
        <v>9072000</v>
      </c>
      <c r="J20" s="27">
        <v>10591000</v>
      </c>
      <c r="K20" s="27">
        <v>1000</v>
      </c>
      <c r="L20" s="28">
        <f t="shared" si="8"/>
        <v>10590000</v>
      </c>
      <c r="M20" s="2">
        <v>15732000</v>
      </c>
      <c r="N20" s="2">
        <v>3000</v>
      </c>
      <c r="O20" s="2">
        <f t="shared" si="3"/>
        <v>15729000</v>
      </c>
      <c r="Q20" s="29">
        <f t="shared" si="9"/>
        <v>49456000</v>
      </c>
      <c r="R20" s="29">
        <f t="shared" si="10"/>
        <v>8000</v>
      </c>
      <c r="S20" s="27">
        <f t="shared" si="11"/>
        <v>49448000</v>
      </c>
    </row>
    <row r="21" spans="1:19" x14ac:dyDescent="0.25">
      <c r="A21" s="26">
        <v>17</v>
      </c>
      <c r="B21" s="49">
        <v>43862</v>
      </c>
      <c r="C21" s="49">
        <v>43890</v>
      </c>
      <c r="D21" s="27">
        <v>10689000</v>
      </c>
      <c r="E21" s="27">
        <v>1000</v>
      </c>
      <c r="F21" s="27">
        <f t="shared" si="0"/>
        <v>10688000</v>
      </c>
      <c r="G21" s="27">
        <v>11750000</v>
      </c>
      <c r="H21" s="27">
        <v>1000</v>
      </c>
      <c r="I21" s="27">
        <f t="shared" si="7"/>
        <v>11749000</v>
      </c>
      <c r="J21" s="27">
        <v>13055000</v>
      </c>
      <c r="K21" s="27">
        <v>3000</v>
      </c>
      <c r="L21" s="28">
        <f t="shared" si="8"/>
        <v>13052000</v>
      </c>
      <c r="M21" s="2">
        <v>13535000</v>
      </c>
      <c r="N21" s="2">
        <v>1000</v>
      </c>
      <c r="O21" s="2">
        <f t="shared" si="3"/>
        <v>13534000</v>
      </c>
      <c r="Q21" s="29">
        <f t="shared" si="9"/>
        <v>49029000</v>
      </c>
      <c r="R21" s="29">
        <f t="shared" si="10"/>
        <v>6000</v>
      </c>
      <c r="S21" s="27">
        <f t="shared" si="11"/>
        <v>49023000</v>
      </c>
    </row>
    <row r="22" spans="1:19" x14ac:dyDescent="0.25">
      <c r="A22" s="26">
        <v>18</v>
      </c>
      <c r="B22" s="49">
        <v>43891</v>
      </c>
      <c r="C22" s="49">
        <v>43921</v>
      </c>
      <c r="D22" s="27">
        <v>11340000</v>
      </c>
      <c r="E22" s="27">
        <v>1000</v>
      </c>
      <c r="F22" s="27">
        <f t="shared" si="0"/>
        <v>11339000</v>
      </c>
      <c r="G22" s="27">
        <v>11323000</v>
      </c>
      <c r="H22" s="27">
        <v>1000</v>
      </c>
      <c r="I22" s="27">
        <f t="shared" si="7"/>
        <v>11322000</v>
      </c>
      <c r="J22" s="27">
        <v>12128000</v>
      </c>
      <c r="K22" s="27">
        <v>1000</v>
      </c>
      <c r="L22" s="28">
        <f t="shared" si="8"/>
        <v>12127000</v>
      </c>
      <c r="M22" s="2">
        <v>14325000</v>
      </c>
      <c r="N22" s="2">
        <v>1000</v>
      </c>
      <c r="O22" s="2">
        <f t="shared" si="3"/>
        <v>14324000</v>
      </c>
      <c r="Q22" s="29">
        <f t="shared" si="9"/>
        <v>49116000</v>
      </c>
      <c r="R22" s="29">
        <f t="shared" si="10"/>
        <v>4000</v>
      </c>
      <c r="S22" s="27">
        <f t="shared" si="11"/>
        <v>49112000</v>
      </c>
    </row>
    <row r="23" spans="1:19" x14ac:dyDescent="0.25">
      <c r="A23" s="26">
        <v>19</v>
      </c>
      <c r="B23" s="49">
        <v>43922</v>
      </c>
      <c r="C23" s="49">
        <v>43951</v>
      </c>
      <c r="D23" s="27">
        <v>12182000</v>
      </c>
      <c r="E23" s="27">
        <v>0</v>
      </c>
      <c r="F23" s="27">
        <f t="shared" si="0"/>
        <v>12182000</v>
      </c>
      <c r="G23" s="27">
        <v>12237000</v>
      </c>
      <c r="H23" s="27">
        <v>0</v>
      </c>
      <c r="I23" s="27">
        <f t="shared" si="7"/>
        <v>12237000</v>
      </c>
      <c r="J23" s="27">
        <v>12053000</v>
      </c>
      <c r="K23" s="27">
        <v>0</v>
      </c>
      <c r="L23" s="28">
        <f t="shared" si="8"/>
        <v>12053000</v>
      </c>
      <c r="M23" s="2">
        <v>16040000</v>
      </c>
      <c r="N23" s="2">
        <v>0</v>
      </c>
      <c r="O23" s="2">
        <f t="shared" si="3"/>
        <v>16040000</v>
      </c>
      <c r="Q23" s="29">
        <f t="shared" si="9"/>
        <v>52512000</v>
      </c>
      <c r="R23" s="29">
        <f t="shared" si="10"/>
        <v>0</v>
      </c>
      <c r="S23" s="27">
        <f t="shared" si="11"/>
        <v>52512000</v>
      </c>
    </row>
    <row r="24" spans="1:19" x14ac:dyDescent="0.25">
      <c r="A24" s="26">
        <v>20</v>
      </c>
      <c r="B24" s="49">
        <v>43952</v>
      </c>
      <c r="C24" s="49">
        <v>43982</v>
      </c>
      <c r="D24" s="27">
        <v>17464000</v>
      </c>
      <c r="E24" s="27">
        <v>1000</v>
      </c>
      <c r="F24" s="27">
        <f t="shared" si="0"/>
        <v>17463000</v>
      </c>
      <c r="G24" s="27">
        <v>17678000</v>
      </c>
      <c r="H24" s="27">
        <v>0</v>
      </c>
      <c r="I24" s="27">
        <f t="shared" si="7"/>
        <v>17678000</v>
      </c>
      <c r="J24" s="27">
        <v>18090000</v>
      </c>
      <c r="K24" s="27">
        <v>0</v>
      </c>
      <c r="L24" s="28">
        <f t="shared" si="8"/>
        <v>18090000</v>
      </c>
      <c r="M24" s="2">
        <v>21502000</v>
      </c>
      <c r="N24" s="2">
        <v>0</v>
      </c>
      <c r="O24" s="2">
        <f t="shared" si="3"/>
        <v>21502000</v>
      </c>
      <c r="Q24" s="29">
        <f t="shared" si="9"/>
        <v>74734000</v>
      </c>
      <c r="R24" s="29">
        <f t="shared" si="10"/>
        <v>1000</v>
      </c>
      <c r="S24" s="27">
        <f t="shared" si="11"/>
        <v>74733000</v>
      </c>
    </row>
    <row r="25" spans="1:19" x14ac:dyDescent="0.25">
      <c r="A25" s="26">
        <v>21</v>
      </c>
      <c r="B25" s="49">
        <v>43983</v>
      </c>
      <c r="C25" s="49">
        <v>44012</v>
      </c>
      <c r="D25" s="27">
        <v>8394000</v>
      </c>
      <c r="E25" s="27">
        <v>7000</v>
      </c>
      <c r="F25" s="27">
        <f t="shared" si="0"/>
        <v>8387000</v>
      </c>
      <c r="G25" s="27">
        <v>8521000</v>
      </c>
      <c r="H25" s="27">
        <v>8000</v>
      </c>
      <c r="I25" s="27">
        <f t="shared" si="7"/>
        <v>8513000</v>
      </c>
      <c r="J25" s="27">
        <v>9457000</v>
      </c>
      <c r="K25" s="27">
        <v>7000</v>
      </c>
      <c r="L25" s="28">
        <f t="shared" si="8"/>
        <v>9450000</v>
      </c>
      <c r="M25" s="2">
        <v>11384000</v>
      </c>
      <c r="N25" s="2">
        <v>7000</v>
      </c>
      <c r="O25" s="2">
        <f t="shared" si="3"/>
        <v>11377000</v>
      </c>
      <c r="Q25" s="29">
        <f t="shared" si="9"/>
        <v>37756000</v>
      </c>
      <c r="R25" s="29">
        <f t="shared" si="10"/>
        <v>29000</v>
      </c>
      <c r="S25" s="27">
        <f t="shared" si="11"/>
        <v>37727000</v>
      </c>
    </row>
    <row r="26" spans="1:19" x14ac:dyDescent="0.25">
      <c r="A26" s="26">
        <v>22</v>
      </c>
      <c r="B26" s="49">
        <v>44013</v>
      </c>
      <c r="C26" s="49">
        <v>44043</v>
      </c>
      <c r="D26" s="27">
        <v>5441000</v>
      </c>
      <c r="E26" s="27">
        <v>7000</v>
      </c>
      <c r="F26" s="27">
        <f t="shared" si="0"/>
        <v>5434000</v>
      </c>
      <c r="G26" s="27">
        <v>4791000</v>
      </c>
      <c r="H26" s="27">
        <v>9000</v>
      </c>
      <c r="I26" s="27">
        <f t="shared" si="7"/>
        <v>4782000</v>
      </c>
      <c r="J26" s="27">
        <v>3995000</v>
      </c>
      <c r="K26" s="27">
        <v>16000</v>
      </c>
      <c r="L26" s="28">
        <f t="shared" si="8"/>
        <v>3979000</v>
      </c>
      <c r="M26" s="2">
        <v>9268000</v>
      </c>
      <c r="N26" s="2">
        <v>8000</v>
      </c>
      <c r="O26" s="2">
        <f t="shared" si="3"/>
        <v>9260000</v>
      </c>
      <c r="Q26" s="29">
        <f t="shared" si="9"/>
        <v>23495000</v>
      </c>
      <c r="R26" s="29">
        <f t="shared" si="10"/>
        <v>40000</v>
      </c>
      <c r="S26" s="27">
        <f t="shared" si="11"/>
        <v>23455000</v>
      </c>
    </row>
    <row r="27" spans="1:19" x14ac:dyDescent="0.25">
      <c r="A27" s="26">
        <v>23</v>
      </c>
      <c r="B27" s="49">
        <v>44044</v>
      </c>
      <c r="C27" s="49">
        <v>44074</v>
      </c>
      <c r="D27" s="27">
        <v>14166000</v>
      </c>
      <c r="E27" s="27">
        <v>6000</v>
      </c>
      <c r="F27" s="27">
        <f t="shared" si="0"/>
        <v>14160000</v>
      </c>
      <c r="G27" s="27">
        <v>13848000</v>
      </c>
      <c r="H27" s="27">
        <v>5000</v>
      </c>
      <c r="I27" s="27">
        <f t="shared" si="7"/>
        <v>13843000</v>
      </c>
      <c r="J27" s="27">
        <v>14575000</v>
      </c>
      <c r="K27" s="27">
        <v>6000</v>
      </c>
      <c r="L27" s="28">
        <f t="shared" si="8"/>
        <v>14569000</v>
      </c>
      <c r="M27" s="2">
        <v>17943000</v>
      </c>
      <c r="N27" s="2">
        <v>6000</v>
      </c>
      <c r="O27" s="2">
        <f t="shared" si="3"/>
        <v>17937000</v>
      </c>
      <c r="Q27" s="29">
        <f t="shared" si="9"/>
        <v>60532000</v>
      </c>
      <c r="R27" s="29">
        <f t="shared" si="10"/>
        <v>23000</v>
      </c>
      <c r="S27" s="27">
        <f t="shared" si="11"/>
        <v>60509000</v>
      </c>
    </row>
    <row r="28" spans="1:19" x14ac:dyDescent="0.25">
      <c r="A28" s="26">
        <v>24</v>
      </c>
      <c r="B28" s="49">
        <v>44075</v>
      </c>
      <c r="C28" s="49">
        <v>44104</v>
      </c>
      <c r="D28" s="27">
        <v>4574000</v>
      </c>
      <c r="E28" s="27">
        <v>12000</v>
      </c>
      <c r="F28" s="27">
        <f t="shared" si="0"/>
        <v>4562000</v>
      </c>
      <c r="G28" s="27">
        <v>4252000</v>
      </c>
      <c r="H28" s="27">
        <v>9000</v>
      </c>
      <c r="I28" s="27">
        <f t="shared" si="7"/>
        <v>4243000</v>
      </c>
      <c r="J28" s="27">
        <v>4345000</v>
      </c>
      <c r="K28" s="27">
        <v>9000</v>
      </c>
      <c r="L28" s="28">
        <f t="shared" si="8"/>
        <v>4336000</v>
      </c>
      <c r="M28" s="2">
        <v>5410000</v>
      </c>
      <c r="N28" s="2">
        <v>11000</v>
      </c>
      <c r="O28" s="2">
        <f t="shared" si="3"/>
        <v>5399000</v>
      </c>
      <c r="Q28" s="29">
        <f t="shared" si="9"/>
        <v>18581000</v>
      </c>
      <c r="R28" s="29">
        <f t="shared" si="10"/>
        <v>41000</v>
      </c>
      <c r="S28" s="27">
        <f t="shared" si="11"/>
        <v>18540000</v>
      </c>
    </row>
    <row r="29" spans="1:19" x14ac:dyDescent="0.25">
      <c r="A29" s="26">
        <v>25</v>
      </c>
      <c r="B29" s="49">
        <v>44105</v>
      </c>
      <c r="C29" s="49">
        <v>44135</v>
      </c>
      <c r="D29" s="27">
        <v>7321000</v>
      </c>
      <c r="E29" s="27">
        <v>5000</v>
      </c>
      <c r="F29" s="27">
        <f t="shared" si="0"/>
        <v>7316000</v>
      </c>
      <c r="G29" s="27">
        <v>5834000</v>
      </c>
      <c r="H29" s="27">
        <v>3000</v>
      </c>
      <c r="I29" s="27">
        <f t="shared" si="7"/>
        <v>5831000</v>
      </c>
      <c r="J29" s="27">
        <v>6526000</v>
      </c>
      <c r="K29" s="27">
        <v>2000</v>
      </c>
      <c r="L29" s="28">
        <f t="shared" si="8"/>
        <v>6524000</v>
      </c>
      <c r="M29" s="2">
        <v>9110000</v>
      </c>
      <c r="N29" s="2">
        <v>2000</v>
      </c>
      <c r="O29" s="2">
        <f t="shared" si="3"/>
        <v>9108000</v>
      </c>
      <c r="Q29" s="29">
        <f t="shared" si="9"/>
        <v>28791000</v>
      </c>
      <c r="R29" s="29">
        <f t="shared" si="10"/>
        <v>12000</v>
      </c>
      <c r="S29" s="27">
        <f t="shared" si="11"/>
        <v>28779000</v>
      </c>
    </row>
    <row r="30" spans="1:19" x14ac:dyDescent="0.25">
      <c r="A30" s="26">
        <v>26</v>
      </c>
      <c r="B30" s="49">
        <v>44136</v>
      </c>
      <c r="C30" s="49">
        <v>44165</v>
      </c>
      <c r="D30" s="27">
        <v>12550000</v>
      </c>
      <c r="E30" s="27">
        <v>2000</v>
      </c>
      <c r="F30" s="27">
        <f t="shared" si="0"/>
        <v>12548000</v>
      </c>
      <c r="G30" s="27">
        <v>10492000</v>
      </c>
      <c r="H30" s="27">
        <v>3000</v>
      </c>
      <c r="I30" s="27">
        <f t="shared" si="7"/>
        <v>10489000</v>
      </c>
      <c r="J30" s="27">
        <v>10884000</v>
      </c>
      <c r="K30" s="27">
        <v>3000</v>
      </c>
      <c r="L30" s="28">
        <f t="shared" si="8"/>
        <v>10881000</v>
      </c>
      <c r="M30" s="2">
        <v>16119000</v>
      </c>
      <c r="N30" s="2">
        <v>2000</v>
      </c>
      <c r="O30" s="2">
        <f t="shared" si="3"/>
        <v>16117000</v>
      </c>
      <c r="Q30" s="29">
        <f t="shared" si="9"/>
        <v>50045000</v>
      </c>
      <c r="R30" s="29">
        <f t="shared" si="10"/>
        <v>10000</v>
      </c>
      <c r="S30" s="27">
        <f t="shared" si="11"/>
        <v>50035000</v>
      </c>
    </row>
    <row r="31" spans="1:19" x14ac:dyDescent="0.25">
      <c r="A31" s="26">
        <v>27</v>
      </c>
      <c r="B31" s="49">
        <v>44166</v>
      </c>
      <c r="C31" s="49">
        <v>44196</v>
      </c>
      <c r="D31" s="27">
        <v>13643000</v>
      </c>
      <c r="E31" s="27">
        <v>5000</v>
      </c>
      <c r="F31" s="27">
        <f t="shared" si="0"/>
        <v>13638000</v>
      </c>
      <c r="G31" s="27">
        <v>11153000</v>
      </c>
      <c r="H31" s="27">
        <v>4000</v>
      </c>
      <c r="I31" s="27">
        <f t="shared" si="7"/>
        <v>11149000</v>
      </c>
      <c r="J31" s="27">
        <v>11466000</v>
      </c>
      <c r="K31" s="27">
        <v>4000</v>
      </c>
      <c r="L31" s="28">
        <f t="shared" si="8"/>
        <v>11462000</v>
      </c>
      <c r="M31" s="2">
        <v>16715000</v>
      </c>
      <c r="N31" s="2">
        <v>4000</v>
      </c>
      <c r="O31" s="2">
        <f t="shared" si="3"/>
        <v>16711000</v>
      </c>
      <c r="Q31" s="29">
        <f t="shared" si="9"/>
        <v>52977000</v>
      </c>
      <c r="R31" s="29">
        <f t="shared" si="10"/>
        <v>17000</v>
      </c>
      <c r="S31" s="27">
        <f t="shared" si="11"/>
        <v>52960000</v>
      </c>
    </row>
    <row r="32" spans="1:19" ht="15.75" thickBot="1" x14ac:dyDescent="0.3">
      <c r="A32" s="30" t="s">
        <v>38</v>
      </c>
      <c r="B32" s="31"/>
      <c r="C32" s="31"/>
      <c r="D32" s="32">
        <f t="shared" ref="D32:O32" si="12">SUM(D5:D31)</f>
        <v>303528000</v>
      </c>
      <c r="E32" s="32">
        <f t="shared" si="12"/>
        <v>108000</v>
      </c>
      <c r="F32" s="32">
        <f t="shared" si="12"/>
        <v>303420000</v>
      </c>
      <c r="G32" s="32">
        <f t="shared" si="12"/>
        <v>323948000</v>
      </c>
      <c r="H32" s="32">
        <f t="shared" si="12"/>
        <v>135000</v>
      </c>
      <c r="I32" s="32">
        <f t="shared" si="12"/>
        <v>323813000</v>
      </c>
      <c r="J32" s="32">
        <f t="shared" si="12"/>
        <v>330747000</v>
      </c>
      <c r="K32" s="32">
        <f t="shared" si="12"/>
        <v>133000</v>
      </c>
      <c r="L32" s="33">
        <f t="shared" si="12"/>
        <v>330614000</v>
      </c>
      <c r="M32" s="33">
        <f t="shared" si="12"/>
        <v>397685000</v>
      </c>
      <c r="N32" s="33">
        <f t="shared" si="12"/>
        <v>130000</v>
      </c>
      <c r="O32" s="33">
        <f t="shared" si="12"/>
        <v>397555000</v>
      </c>
      <c r="Q32" s="34">
        <f>SUM(Q5:Q31)</f>
        <v>1355908000</v>
      </c>
      <c r="R32" s="34">
        <f>SUM(R5:R31)</f>
        <v>506000</v>
      </c>
      <c r="S32" s="35">
        <f>F32+I32+L32+O32</f>
        <v>1355402000</v>
      </c>
    </row>
  </sheetData>
  <mergeCells count="21">
    <mergeCell ref="O3:O4"/>
    <mergeCell ref="Q1:Q4"/>
    <mergeCell ref="R1:R4"/>
    <mergeCell ref="S1:S4"/>
    <mergeCell ref="D3:D4"/>
    <mergeCell ref="E3:E4"/>
    <mergeCell ref="F3:F4"/>
    <mergeCell ref="G3:G4"/>
    <mergeCell ref="H3:H4"/>
    <mergeCell ref="I3:I4"/>
    <mergeCell ref="J3:J4"/>
    <mergeCell ref="M1:O2"/>
    <mergeCell ref="M3:M4"/>
    <mergeCell ref="N3:N4"/>
    <mergeCell ref="A1:A4"/>
    <mergeCell ref="B1:C4"/>
    <mergeCell ref="D1:F2"/>
    <mergeCell ref="G1:I2"/>
    <mergeCell ref="J1:L2"/>
    <mergeCell ref="K3:K4"/>
    <mergeCell ref="L3:L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E99D-002C-4C8E-B210-681D37896EC9}">
  <dimension ref="B2:O43"/>
  <sheetViews>
    <sheetView topLeftCell="A10" workbookViewId="0">
      <selection activeCell="H14" sqref="H14"/>
    </sheetView>
  </sheetViews>
  <sheetFormatPr defaultRowHeight="15" x14ac:dyDescent="0.25"/>
  <cols>
    <col min="2" max="2" width="20.85546875" customWidth="1"/>
    <col min="3" max="3" width="11" customWidth="1"/>
    <col min="4" max="4" width="13" customWidth="1"/>
    <col min="5" max="5" width="12.42578125" customWidth="1"/>
    <col min="6" max="6" width="11.5703125" customWidth="1"/>
    <col min="7" max="7" width="11.42578125" customWidth="1"/>
    <col min="8" max="8" width="10.5703125" customWidth="1"/>
    <col min="9" max="9" width="12" customWidth="1"/>
    <col min="10" max="10" width="11.42578125" customWidth="1"/>
    <col min="11" max="11" width="11.28515625" customWidth="1"/>
    <col min="12" max="12" width="11.5703125" customWidth="1"/>
    <col min="13" max="13" width="11" customWidth="1"/>
    <col min="14" max="14" width="12.140625" customWidth="1"/>
    <col min="15" max="15" width="13.5703125" customWidth="1"/>
  </cols>
  <sheetData>
    <row r="2" spans="2:15" ht="15.75" thickBot="1" x14ac:dyDescent="0.3"/>
    <row r="3" spans="2:15" x14ac:dyDescent="0.25">
      <c r="B3" s="140" t="s">
        <v>83</v>
      </c>
      <c r="C3" s="141"/>
      <c r="D3" s="141"/>
      <c r="E3" s="141"/>
      <c r="F3" s="142"/>
      <c r="G3" s="47">
        <f>O43</f>
        <v>458917</v>
      </c>
    </row>
    <row r="4" spans="2:15" x14ac:dyDescent="0.25">
      <c r="B4" s="143" t="s">
        <v>84</v>
      </c>
      <c r="C4" s="144"/>
      <c r="D4" s="144"/>
      <c r="E4" s="144"/>
      <c r="F4" s="145"/>
      <c r="G4" s="48">
        <f>SUM(O32:O42)</f>
        <v>212155</v>
      </c>
    </row>
    <row r="5" spans="2:15" x14ac:dyDescent="0.25">
      <c r="B5" s="143" t="s">
        <v>55</v>
      </c>
      <c r="C5" s="144"/>
      <c r="D5" s="144"/>
      <c r="E5" s="144"/>
      <c r="F5" s="145"/>
      <c r="G5" s="48">
        <f>G4/G3</f>
        <v>0.46229492479032158</v>
      </c>
    </row>
    <row r="6" spans="2:15" x14ac:dyDescent="0.25">
      <c r="B6" s="143" t="s">
        <v>85</v>
      </c>
      <c r="C6" s="144"/>
      <c r="D6" s="144"/>
      <c r="E6" s="144"/>
      <c r="F6" s="145"/>
      <c r="G6" s="48">
        <v>440951</v>
      </c>
    </row>
    <row r="7" spans="2:15" x14ac:dyDescent="0.25">
      <c r="B7" s="143" t="s">
        <v>86</v>
      </c>
      <c r="C7" s="144"/>
      <c r="D7" s="144"/>
      <c r="E7" s="144"/>
      <c r="F7" s="145"/>
      <c r="G7" s="114">
        <f>G6*G5</f>
        <v>203849.40938121709</v>
      </c>
    </row>
    <row r="8" spans="2:15" ht="15.75" thickBot="1" x14ac:dyDescent="0.3">
      <c r="B8" s="146" t="s">
        <v>87</v>
      </c>
      <c r="C8" s="147"/>
      <c r="D8" s="147"/>
      <c r="E8" s="147"/>
      <c r="F8" s="148"/>
      <c r="G8" s="113">
        <f>G7/1000</f>
        <v>203.8494093812171</v>
      </c>
    </row>
    <row r="10" spans="2:15" ht="15.75" thickBot="1" x14ac:dyDescent="0.3"/>
    <row r="11" spans="2:15" ht="30" x14ac:dyDescent="0.25">
      <c r="B11" s="100" t="s">
        <v>41</v>
      </c>
      <c r="C11" s="101" t="s">
        <v>42</v>
      </c>
      <c r="D11" s="102" t="s">
        <v>43</v>
      </c>
      <c r="E11" s="102" t="s">
        <v>44</v>
      </c>
      <c r="F11" s="102" t="s">
        <v>45</v>
      </c>
      <c r="G11" s="102" t="s">
        <v>46</v>
      </c>
      <c r="H11" s="102" t="s">
        <v>47</v>
      </c>
      <c r="I11" s="102" t="s">
        <v>48</v>
      </c>
      <c r="J11" s="102" t="s">
        <v>49</v>
      </c>
      <c r="K11" s="102" t="s">
        <v>50</v>
      </c>
      <c r="L11" s="102" t="s">
        <v>51</v>
      </c>
      <c r="M11" s="102" t="s">
        <v>52</v>
      </c>
      <c r="N11" s="102" t="s">
        <v>53</v>
      </c>
      <c r="O11" s="103" t="s">
        <v>54</v>
      </c>
    </row>
    <row r="12" spans="2:15" x14ac:dyDescent="0.25">
      <c r="B12" s="104">
        <v>43374</v>
      </c>
      <c r="C12" s="105">
        <v>805</v>
      </c>
      <c r="D12" s="106">
        <v>573</v>
      </c>
      <c r="E12" s="106">
        <v>812</v>
      </c>
      <c r="F12" s="106">
        <v>856</v>
      </c>
      <c r="G12" s="106">
        <v>959</v>
      </c>
      <c r="H12" s="106">
        <v>1139</v>
      </c>
      <c r="I12" s="106">
        <v>1173</v>
      </c>
      <c r="J12" s="106">
        <v>1270</v>
      </c>
      <c r="K12" s="106">
        <v>1411</v>
      </c>
      <c r="L12" s="106">
        <v>722</v>
      </c>
      <c r="M12" s="106">
        <v>1218</v>
      </c>
      <c r="N12" s="106">
        <v>1058</v>
      </c>
      <c r="O12" s="107">
        <f>SUM(C12:N12)</f>
        <v>11996</v>
      </c>
    </row>
    <row r="13" spans="2:15" x14ac:dyDescent="0.25">
      <c r="B13" s="42">
        <v>43375</v>
      </c>
      <c r="C13" s="105">
        <v>1568</v>
      </c>
      <c r="D13" s="106">
        <v>1334</v>
      </c>
      <c r="E13" s="106">
        <v>1446</v>
      </c>
      <c r="F13" s="106">
        <v>1342</v>
      </c>
      <c r="G13" s="106">
        <v>1152</v>
      </c>
      <c r="H13" s="106">
        <v>1156</v>
      </c>
      <c r="I13" s="106">
        <v>932</v>
      </c>
      <c r="J13" s="106">
        <v>1284</v>
      </c>
      <c r="K13" s="106">
        <v>1388</v>
      </c>
      <c r="L13" s="106">
        <v>1016</v>
      </c>
      <c r="M13" s="106">
        <v>1153</v>
      </c>
      <c r="N13" s="106">
        <v>916</v>
      </c>
      <c r="O13" s="107">
        <f t="shared" ref="O13:O42" si="0">SUM(C13:N13)</f>
        <v>14687</v>
      </c>
    </row>
    <row r="14" spans="2:15" x14ac:dyDescent="0.25">
      <c r="B14" s="42">
        <v>43376</v>
      </c>
      <c r="C14" s="43">
        <v>1505</v>
      </c>
      <c r="D14" s="29">
        <v>1395</v>
      </c>
      <c r="E14" s="29">
        <v>1438</v>
      </c>
      <c r="F14" s="29">
        <v>1421</v>
      </c>
      <c r="G14" s="29">
        <v>1393</v>
      </c>
      <c r="H14" s="29">
        <v>1493</v>
      </c>
      <c r="I14" s="29">
        <v>1109</v>
      </c>
      <c r="J14" s="29">
        <v>1488</v>
      </c>
      <c r="K14" s="29">
        <v>1626</v>
      </c>
      <c r="L14" s="29">
        <v>1351</v>
      </c>
      <c r="M14" s="29">
        <v>1386</v>
      </c>
      <c r="N14" s="29">
        <v>1310</v>
      </c>
      <c r="O14" s="107">
        <f t="shared" si="0"/>
        <v>16915</v>
      </c>
    </row>
    <row r="15" spans="2:15" x14ac:dyDescent="0.25">
      <c r="B15" s="42">
        <v>43377</v>
      </c>
      <c r="C15" s="43">
        <v>729</v>
      </c>
      <c r="D15" s="29">
        <v>626</v>
      </c>
      <c r="E15" s="29">
        <v>651</v>
      </c>
      <c r="F15" s="29">
        <v>614</v>
      </c>
      <c r="G15" s="29">
        <v>492</v>
      </c>
      <c r="H15" s="29">
        <v>493</v>
      </c>
      <c r="I15" s="29">
        <v>366</v>
      </c>
      <c r="J15" s="29">
        <v>493</v>
      </c>
      <c r="K15" s="29">
        <v>602</v>
      </c>
      <c r="L15" s="29">
        <v>425</v>
      </c>
      <c r="M15" s="29">
        <v>568</v>
      </c>
      <c r="N15" s="29">
        <v>676</v>
      </c>
      <c r="O15" s="107">
        <f t="shared" si="0"/>
        <v>6735</v>
      </c>
    </row>
    <row r="16" spans="2:15" x14ac:dyDescent="0.25">
      <c r="B16" s="42">
        <v>43378</v>
      </c>
      <c r="C16" s="43">
        <v>615</v>
      </c>
      <c r="D16" s="29">
        <v>620</v>
      </c>
      <c r="E16" s="29">
        <v>553</v>
      </c>
      <c r="F16" s="29">
        <v>616</v>
      </c>
      <c r="G16" s="29">
        <v>437</v>
      </c>
      <c r="H16" s="29">
        <v>521</v>
      </c>
      <c r="I16" s="29">
        <v>600</v>
      </c>
      <c r="J16" s="29">
        <v>620</v>
      </c>
      <c r="K16" s="29">
        <v>558</v>
      </c>
      <c r="L16" s="29">
        <v>649</v>
      </c>
      <c r="M16" s="29">
        <v>593</v>
      </c>
      <c r="N16" s="29">
        <v>652</v>
      </c>
      <c r="O16" s="107">
        <f t="shared" si="0"/>
        <v>7034</v>
      </c>
    </row>
    <row r="17" spans="2:15" x14ac:dyDescent="0.25">
      <c r="B17" s="42">
        <v>43379</v>
      </c>
      <c r="C17" s="43">
        <v>554</v>
      </c>
      <c r="D17" s="29">
        <v>469</v>
      </c>
      <c r="E17" s="29">
        <v>540</v>
      </c>
      <c r="F17" s="29">
        <v>522</v>
      </c>
      <c r="G17" s="29">
        <v>395</v>
      </c>
      <c r="H17" s="29">
        <v>433</v>
      </c>
      <c r="I17" s="29">
        <v>473</v>
      </c>
      <c r="J17" s="29">
        <v>555</v>
      </c>
      <c r="K17" s="29">
        <v>570</v>
      </c>
      <c r="L17" s="29">
        <v>565</v>
      </c>
      <c r="M17" s="29">
        <v>538</v>
      </c>
      <c r="N17" s="29">
        <v>563</v>
      </c>
      <c r="O17" s="107">
        <f t="shared" si="0"/>
        <v>6177</v>
      </c>
    </row>
    <row r="18" spans="2:15" x14ac:dyDescent="0.25">
      <c r="B18" s="42">
        <v>43380</v>
      </c>
      <c r="C18" s="43">
        <v>626</v>
      </c>
      <c r="D18" s="29">
        <v>514</v>
      </c>
      <c r="E18" s="29">
        <v>620</v>
      </c>
      <c r="F18" s="29">
        <v>538</v>
      </c>
      <c r="G18" s="29">
        <v>470</v>
      </c>
      <c r="H18" s="29">
        <v>539</v>
      </c>
      <c r="I18" s="29">
        <v>511</v>
      </c>
      <c r="J18" s="29">
        <v>536</v>
      </c>
      <c r="K18" s="29">
        <v>606</v>
      </c>
      <c r="L18" s="29">
        <v>597</v>
      </c>
      <c r="M18" s="29">
        <v>649</v>
      </c>
      <c r="N18" s="29">
        <v>581</v>
      </c>
      <c r="O18" s="107">
        <f t="shared" si="0"/>
        <v>6787</v>
      </c>
    </row>
    <row r="19" spans="2:15" x14ac:dyDescent="0.25">
      <c r="B19" s="42">
        <v>43381</v>
      </c>
      <c r="C19" s="43">
        <v>1187</v>
      </c>
      <c r="D19" s="29">
        <v>1048</v>
      </c>
      <c r="E19" s="29">
        <v>1080</v>
      </c>
      <c r="F19" s="29">
        <v>1014</v>
      </c>
      <c r="G19" s="29">
        <v>939</v>
      </c>
      <c r="H19" s="29">
        <v>953</v>
      </c>
      <c r="I19" s="29">
        <v>936</v>
      </c>
      <c r="J19" s="29">
        <v>866</v>
      </c>
      <c r="K19" s="29">
        <v>984</v>
      </c>
      <c r="L19" s="29">
        <v>961</v>
      </c>
      <c r="M19" s="29">
        <v>948</v>
      </c>
      <c r="N19" s="29">
        <v>934</v>
      </c>
      <c r="O19" s="107">
        <f t="shared" si="0"/>
        <v>11850</v>
      </c>
    </row>
    <row r="20" spans="2:15" x14ac:dyDescent="0.25">
      <c r="B20" s="42">
        <v>43382</v>
      </c>
      <c r="C20" s="43">
        <v>704</v>
      </c>
      <c r="D20" s="29">
        <v>544</v>
      </c>
      <c r="E20" s="29">
        <v>677</v>
      </c>
      <c r="F20" s="29">
        <v>531</v>
      </c>
      <c r="G20" s="29">
        <v>577</v>
      </c>
      <c r="H20" s="29">
        <v>606</v>
      </c>
      <c r="I20" s="29">
        <v>607</v>
      </c>
      <c r="J20" s="29">
        <v>448</v>
      </c>
      <c r="K20" s="29">
        <v>539</v>
      </c>
      <c r="L20" s="29">
        <v>381</v>
      </c>
      <c r="M20" s="29">
        <v>443</v>
      </c>
      <c r="N20" s="29">
        <v>433</v>
      </c>
      <c r="O20" s="107">
        <f t="shared" si="0"/>
        <v>6490</v>
      </c>
    </row>
    <row r="21" spans="2:15" x14ac:dyDescent="0.25">
      <c r="B21" s="42">
        <v>43383</v>
      </c>
      <c r="C21" s="43">
        <v>1908</v>
      </c>
      <c r="D21" s="29">
        <v>1629</v>
      </c>
      <c r="E21" s="29">
        <v>1682</v>
      </c>
      <c r="F21" s="29">
        <v>1719</v>
      </c>
      <c r="G21" s="29">
        <v>1590</v>
      </c>
      <c r="H21" s="29">
        <v>1789</v>
      </c>
      <c r="I21" s="29">
        <v>1795</v>
      </c>
      <c r="J21" s="29">
        <v>1813</v>
      </c>
      <c r="K21" s="29">
        <v>1942</v>
      </c>
      <c r="L21" s="29">
        <v>1663</v>
      </c>
      <c r="M21" s="29">
        <v>1844</v>
      </c>
      <c r="N21" s="29">
        <v>1776</v>
      </c>
      <c r="O21" s="107">
        <f t="shared" si="0"/>
        <v>21150</v>
      </c>
    </row>
    <row r="22" spans="2:15" x14ac:dyDescent="0.25">
      <c r="B22" s="42">
        <v>43384</v>
      </c>
      <c r="C22" s="43">
        <v>2922</v>
      </c>
      <c r="D22" s="29">
        <v>2535</v>
      </c>
      <c r="E22" s="29">
        <v>2866</v>
      </c>
      <c r="F22" s="29">
        <v>2900</v>
      </c>
      <c r="G22" s="29">
        <v>2832</v>
      </c>
      <c r="H22" s="29">
        <v>2733</v>
      </c>
      <c r="I22" s="29">
        <v>2213</v>
      </c>
      <c r="J22" s="29">
        <v>2710</v>
      </c>
      <c r="K22" s="29">
        <v>2727</v>
      </c>
      <c r="L22" s="29">
        <v>2246</v>
      </c>
      <c r="M22" s="29">
        <v>2378</v>
      </c>
      <c r="N22" s="29">
        <v>2382</v>
      </c>
      <c r="O22" s="107">
        <f t="shared" si="0"/>
        <v>31444</v>
      </c>
    </row>
    <row r="23" spans="2:15" x14ac:dyDescent="0.25">
      <c r="B23" s="42">
        <v>43385</v>
      </c>
      <c r="C23" s="43">
        <v>2207</v>
      </c>
      <c r="D23" s="29">
        <v>1918</v>
      </c>
      <c r="E23" s="29">
        <v>2026</v>
      </c>
      <c r="F23" s="29">
        <v>2000</v>
      </c>
      <c r="G23" s="29">
        <v>1858</v>
      </c>
      <c r="H23" s="29">
        <v>1748</v>
      </c>
      <c r="I23" s="29">
        <v>1337</v>
      </c>
      <c r="J23" s="29">
        <v>1757</v>
      </c>
      <c r="K23" s="29">
        <v>1815</v>
      </c>
      <c r="L23" s="29">
        <v>1477</v>
      </c>
      <c r="M23" s="29">
        <v>1587</v>
      </c>
      <c r="N23" s="29">
        <v>1678</v>
      </c>
      <c r="O23" s="107">
        <f t="shared" si="0"/>
        <v>21408</v>
      </c>
    </row>
    <row r="24" spans="2:15" x14ac:dyDescent="0.25">
      <c r="B24" s="42">
        <v>43386</v>
      </c>
      <c r="C24" s="43">
        <v>1748</v>
      </c>
      <c r="D24" s="29">
        <v>1709</v>
      </c>
      <c r="E24" s="29">
        <v>1789</v>
      </c>
      <c r="F24" s="29">
        <v>1728</v>
      </c>
      <c r="G24" s="29">
        <v>1633</v>
      </c>
      <c r="H24" s="29">
        <v>1569</v>
      </c>
      <c r="I24" s="29">
        <v>1116</v>
      </c>
      <c r="J24" s="29">
        <v>1684</v>
      </c>
      <c r="K24" s="29">
        <v>1872</v>
      </c>
      <c r="L24" s="29">
        <v>1178</v>
      </c>
      <c r="M24" s="29">
        <v>1602</v>
      </c>
      <c r="N24" s="29">
        <v>1609</v>
      </c>
      <c r="O24" s="107">
        <f t="shared" si="0"/>
        <v>19237</v>
      </c>
    </row>
    <row r="25" spans="2:15" x14ac:dyDescent="0.25">
      <c r="B25" s="42">
        <v>43387</v>
      </c>
      <c r="C25" s="43">
        <v>1392</v>
      </c>
      <c r="D25" s="29">
        <v>1382</v>
      </c>
      <c r="E25" s="29">
        <v>1467</v>
      </c>
      <c r="F25" s="29">
        <v>1520</v>
      </c>
      <c r="G25" s="29">
        <v>1534</v>
      </c>
      <c r="H25" s="29">
        <v>1530</v>
      </c>
      <c r="I25" s="29">
        <v>1349</v>
      </c>
      <c r="J25" s="29">
        <v>1804</v>
      </c>
      <c r="K25" s="29">
        <v>1891</v>
      </c>
      <c r="L25" s="29">
        <v>1694</v>
      </c>
      <c r="M25" s="29">
        <v>1829</v>
      </c>
      <c r="N25" s="29">
        <v>1790</v>
      </c>
      <c r="O25" s="107">
        <f t="shared" si="0"/>
        <v>19182</v>
      </c>
    </row>
    <row r="26" spans="2:15" x14ac:dyDescent="0.25">
      <c r="B26" s="42">
        <v>43388</v>
      </c>
      <c r="C26" s="43">
        <v>1683</v>
      </c>
      <c r="D26" s="29">
        <v>1501</v>
      </c>
      <c r="E26" s="29">
        <v>1522</v>
      </c>
      <c r="F26" s="29">
        <v>1341</v>
      </c>
      <c r="G26" s="29">
        <v>1150</v>
      </c>
      <c r="H26" s="29">
        <v>1170</v>
      </c>
      <c r="I26" s="29">
        <v>954</v>
      </c>
      <c r="J26" s="29">
        <v>1276</v>
      </c>
      <c r="K26" s="29">
        <v>1431</v>
      </c>
      <c r="L26" s="29">
        <v>1067</v>
      </c>
      <c r="M26" s="29">
        <v>1246</v>
      </c>
      <c r="N26" s="29">
        <v>1139</v>
      </c>
      <c r="O26" s="107">
        <f t="shared" si="0"/>
        <v>15480</v>
      </c>
    </row>
    <row r="27" spans="2:15" x14ac:dyDescent="0.25">
      <c r="B27" s="42">
        <v>43389</v>
      </c>
      <c r="C27" s="43">
        <v>505</v>
      </c>
      <c r="D27" s="29">
        <v>345</v>
      </c>
      <c r="E27" s="29">
        <v>457</v>
      </c>
      <c r="F27" s="29">
        <v>416</v>
      </c>
      <c r="G27" s="29">
        <v>355</v>
      </c>
      <c r="H27" s="29">
        <v>376</v>
      </c>
      <c r="I27" s="29">
        <v>381</v>
      </c>
      <c r="J27" s="29">
        <v>353</v>
      </c>
      <c r="K27" s="29">
        <v>383</v>
      </c>
      <c r="L27" s="29">
        <v>291</v>
      </c>
      <c r="M27" s="29">
        <v>276</v>
      </c>
      <c r="N27" s="29">
        <v>289</v>
      </c>
      <c r="O27" s="107">
        <f t="shared" si="0"/>
        <v>4427</v>
      </c>
    </row>
    <row r="28" spans="2:15" x14ac:dyDescent="0.25">
      <c r="B28" s="42">
        <v>43390</v>
      </c>
      <c r="C28" s="43">
        <v>557</v>
      </c>
      <c r="D28" s="29">
        <v>196</v>
      </c>
      <c r="E28" s="29">
        <v>495</v>
      </c>
      <c r="F28" s="29">
        <v>445</v>
      </c>
      <c r="G28" s="29">
        <v>401</v>
      </c>
      <c r="H28" s="29">
        <v>478</v>
      </c>
      <c r="I28" s="29">
        <v>503</v>
      </c>
      <c r="J28" s="29">
        <v>475</v>
      </c>
      <c r="K28" s="29">
        <v>507</v>
      </c>
      <c r="L28" s="29">
        <v>414</v>
      </c>
      <c r="M28" s="29">
        <v>400</v>
      </c>
      <c r="N28" s="29">
        <v>378</v>
      </c>
      <c r="O28" s="107">
        <f t="shared" si="0"/>
        <v>5249</v>
      </c>
    </row>
    <row r="29" spans="2:15" x14ac:dyDescent="0.25">
      <c r="B29" s="42">
        <v>43391</v>
      </c>
      <c r="C29" s="43">
        <v>638</v>
      </c>
      <c r="D29" s="29">
        <v>276</v>
      </c>
      <c r="E29" s="29">
        <v>577</v>
      </c>
      <c r="F29" s="29">
        <v>544</v>
      </c>
      <c r="G29" s="29">
        <v>478</v>
      </c>
      <c r="H29" s="29">
        <v>551</v>
      </c>
      <c r="I29" s="29">
        <v>611</v>
      </c>
      <c r="J29" s="29">
        <v>694</v>
      </c>
      <c r="K29" s="29">
        <v>738</v>
      </c>
      <c r="L29" s="29">
        <v>629</v>
      </c>
      <c r="M29" s="29">
        <v>588</v>
      </c>
      <c r="N29" s="29">
        <v>565</v>
      </c>
      <c r="O29" s="107">
        <f t="shared" si="0"/>
        <v>6889</v>
      </c>
    </row>
    <row r="30" spans="2:15" x14ac:dyDescent="0.25">
      <c r="B30" s="42">
        <v>43392</v>
      </c>
      <c r="C30" s="43">
        <v>759</v>
      </c>
      <c r="D30" s="29">
        <v>449</v>
      </c>
      <c r="E30" s="29">
        <v>657</v>
      </c>
      <c r="F30" s="29">
        <v>753</v>
      </c>
      <c r="G30" s="29">
        <v>540</v>
      </c>
      <c r="H30" s="29">
        <v>626</v>
      </c>
      <c r="I30" s="29">
        <v>696</v>
      </c>
      <c r="J30" s="29">
        <v>608</v>
      </c>
      <c r="K30" s="29">
        <v>618</v>
      </c>
      <c r="L30" s="29">
        <v>546</v>
      </c>
      <c r="M30" s="29">
        <v>515</v>
      </c>
      <c r="N30" s="29">
        <v>499</v>
      </c>
      <c r="O30" s="107">
        <f t="shared" si="0"/>
        <v>7266</v>
      </c>
    </row>
    <row r="31" spans="2:15" x14ac:dyDescent="0.25">
      <c r="B31" s="42">
        <v>43393</v>
      </c>
      <c r="C31" s="43">
        <v>575</v>
      </c>
      <c r="D31" s="29">
        <v>511</v>
      </c>
      <c r="E31" s="29">
        <v>485</v>
      </c>
      <c r="F31" s="29">
        <v>700</v>
      </c>
      <c r="G31" s="29">
        <v>469</v>
      </c>
      <c r="H31" s="29">
        <v>346</v>
      </c>
      <c r="I31" s="29">
        <v>696</v>
      </c>
      <c r="J31" s="29">
        <v>567</v>
      </c>
      <c r="K31" s="29">
        <v>437</v>
      </c>
      <c r="L31" s="29">
        <v>582</v>
      </c>
      <c r="M31" s="29">
        <v>462</v>
      </c>
      <c r="N31" s="29">
        <v>529</v>
      </c>
      <c r="O31" s="107">
        <f t="shared" si="0"/>
        <v>6359</v>
      </c>
    </row>
    <row r="32" spans="2:15" x14ac:dyDescent="0.25">
      <c r="B32" s="42">
        <v>43394</v>
      </c>
      <c r="C32" s="108">
        <v>1785</v>
      </c>
      <c r="D32" s="109">
        <v>1882</v>
      </c>
      <c r="E32" s="109">
        <v>1808</v>
      </c>
      <c r="F32" s="109">
        <v>1968</v>
      </c>
      <c r="G32" s="109">
        <v>1538</v>
      </c>
      <c r="H32" s="109">
        <v>1552</v>
      </c>
      <c r="I32" s="109">
        <v>2004</v>
      </c>
      <c r="J32" s="109">
        <v>2258</v>
      </c>
      <c r="K32" s="109">
        <v>1834</v>
      </c>
      <c r="L32" s="109">
        <v>2417</v>
      </c>
      <c r="M32" s="109">
        <v>2224</v>
      </c>
      <c r="N32" s="109">
        <v>2394</v>
      </c>
      <c r="O32" s="110">
        <f t="shared" si="0"/>
        <v>23664</v>
      </c>
    </row>
    <row r="33" spans="2:15" x14ac:dyDescent="0.25">
      <c r="B33" s="42">
        <v>43395</v>
      </c>
      <c r="C33" s="108">
        <v>2041</v>
      </c>
      <c r="D33" s="109">
        <v>1943</v>
      </c>
      <c r="E33" s="109">
        <v>1865</v>
      </c>
      <c r="F33" s="109">
        <v>1766</v>
      </c>
      <c r="G33" s="109">
        <v>1932</v>
      </c>
      <c r="H33" s="109">
        <v>1408</v>
      </c>
      <c r="I33" s="109">
        <v>1452</v>
      </c>
      <c r="J33" s="109">
        <v>1340</v>
      </c>
      <c r="K33" s="109">
        <v>1896</v>
      </c>
      <c r="L33" s="109">
        <v>1718</v>
      </c>
      <c r="M33" s="109">
        <v>1652</v>
      </c>
      <c r="N33" s="109">
        <v>1626</v>
      </c>
      <c r="O33" s="110">
        <f t="shared" si="0"/>
        <v>20639</v>
      </c>
    </row>
    <row r="34" spans="2:15" x14ac:dyDescent="0.25">
      <c r="B34" s="42">
        <v>43396</v>
      </c>
      <c r="C34" s="108">
        <v>2306</v>
      </c>
      <c r="D34" s="109">
        <v>1910</v>
      </c>
      <c r="E34" s="109">
        <v>2126</v>
      </c>
      <c r="F34" s="109">
        <v>1955</v>
      </c>
      <c r="G34" s="109">
        <v>1901</v>
      </c>
      <c r="H34" s="109">
        <v>2118</v>
      </c>
      <c r="I34" s="109">
        <v>1480</v>
      </c>
      <c r="J34" s="109">
        <v>2909</v>
      </c>
      <c r="K34" s="109">
        <v>2869</v>
      </c>
      <c r="L34" s="109">
        <v>2480</v>
      </c>
      <c r="M34" s="109">
        <v>2614</v>
      </c>
      <c r="N34" s="109">
        <v>2408</v>
      </c>
      <c r="O34" s="110">
        <f t="shared" si="0"/>
        <v>27076</v>
      </c>
    </row>
    <row r="35" spans="2:15" x14ac:dyDescent="0.25">
      <c r="B35" s="42">
        <v>43397</v>
      </c>
      <c r="C35" s="108">
        <v>1467</v>
      </c>
      <c r="D35" s="109">
        <v>1467</v>
      </c>
      <c r="E35" s="109">
        <v>1495</v>
      </c>
      <c r="F35" s="109">
        <v>1579</v>
      </c>
      <c r="G35" s="109">
        <v>1452</v>
      </c>
      <c r="H35" s="109">
        <v>1569</v>
      </c>
      <c r="I35" s="109">
        <v>1521</v>
      </c>
      <c r="J35" s="109">
        <v>1693</v>
      </c>
      <c r="K35" s="109">
        <v>1856</v>
      </c>
      <c r="L35" s="109">
        <v>1560</v>
      </c>
      <c r="M35" s="109">
        <v>1621</v>
      </c>
      <c r="N35" s="109">
        <v>1579</v>
      </c>
      <c r="O35" s="110">
        <f t="shared" si="0"/>
        <v>18859</v>
      </c>
    </row>
    <row r="36" spans="2:15" x14ac:dyDescent="0.25">
      <c r="B36" s="42">
        <v>43398</v>
      </c>
      <c r="C36" s="108">
        <v>1414</v>
      </c>
      <c r="D36" s="109">
        <v>1209</v>
      </c>
      <c r="E36" s="109">
        <v>1347</v>
      </c>
      <c r="F36" s="109">
        <v>1233</v>
      </c>
      <c r="G36" s="109">
        <v>980</v>
      </c>
      <c r="H36" s="109">
        <v>892</v>
      </c>
      <c r="I36" s="109">
        <v>759</v>
      </c>
      <c r="J36" s="109">
        <v>966</v>
      </c>
      <c r="K36" s="109">
        <v>916</v>
      </c>
      <c r="L36" s="109">
        <v>846</v>
      </c>
      <c r="M36" s="109">
        <v>944</v>
      </c>
      <c r="N36" s="109">
        <v>1038</v>
      </c>
      <c r="O36" s="110">
        <f t="shared" si="0"/>
        <v>12544</v>
      </c>
    </row>
    <row r="37" spans="2:15" x14ac:dyDescent="0.25">
      <c r="B37" s="42">
        <v>43399</v>
      </c>
      <c r="C37" s="108">
        <v>1177</v>
      </c>
      <c r="D37" s="109">
        <v>1157</v>
      </c>
      <c r="E37" s="109">
        <v>1078</v>
      </c>
      <c r="F37" s="109">
        <v>985</v>
      </c>
      <c r="G37" s="109">
        <v>772</v>
      </c>
      <c r="H37" s="109">
        <v>658</v>
      </c>
      <c r="I37" s="109">
        <v>1001</v>
      </c>
      <c r="J37" s="109">
        <v>1155</v>
      </c>
      <c r="K37" s="109">
        <v>1169</v>
      </c>
      <c r="L37" s="109">
        <v>1208</v>
      </c>
      <c r="M37" s="109">
        <v>1224</v>
      </c>
      <c r="N37" s="109">
        <v>1314</v>
      </c>
      <c r="O37" s="110">
        <f t="shared" si="0"/>
        <v>12898</v>
      </c>
    </row>
    <row r="38" spans="2:15" x14ac:dyDescent="0.25">
      <c r="B38" s="42">
        <v>43400</v>
      </c>
      <c r="C38" s="108">
        <v>554</v>
      </c>
      <c r="D38" s="109">
        <v>653</v>
      </c>
      <c r="E38" s="109">
        <v>494</v>
      </c>
      <c r="F38" s="109">
        <v>573</v>
      </c>
      <c r="G38" s="109">
        <v>490</v>
      </c>
      <c r="H38" s="109">
        <v>533</v>
      </c>
      <c r="I38" s="109">
        <v>564</v>
      </c>
      <c r="J38" s="109">
        <v>382</v>
      </c>
      <c r="K38" s="109">
        <v>327</v>
      </c>
      <c r="L38" s="109">
        <v>225</v>
      </c>
      <c r="M38" s="109">
        <v>360</v>
      </c>
      <c r="N38" s="109">
        <v>352</v>
      </c>
      <c r="O38" s="110">
        <f t="shared" si="0"/>
        <v>5507</v>
      </c>
    </row>
    <row r="39" spans="2:15" x14ac:dyDescent="0.25">
      <c r="B39" s="42">
        <v>43401</v>
      </c>
      <c r="C39" s="108">
        <v>851</v>
      </c>
      <c r="D39" s="109">
        <v>1228</v>
      </c>
      <c r="E39" s="109">
        <v>861</v>
      </c>
      <c r="F39" s="109">
        <v>1177</v>
      </c>
      <c r="G39" s="109">
        <v>1001</v>
      </c>
      <c r="H39" s="109">
        <v>1044</v>
      </c>
      <c r="I39" s="109">
        <v>1180</v>
      </c>
      <c r="J39" s="109">
        <v>1365</v>
      </c>
      <c r="K39" s="109">
        <v>828</v>
      </c>
      <c r="L39" s="109">
        <v>1362</v>
      </c>
      <c r="M39" s="109">
        <v>1226</v>
      </c>
      <c r="N39" s="109">
        <v>1357</v>
      </c>
      <c r="O39" s="110">
        <f t="shared" si="0"/>
        <v>13480</v>
      </c>
    </row>
    <row r="40" spans="2:15" x14ac:dyDescent="0.25">
      <c r="B40" s="42">
        <v>43402</v>
      </c>
      <c r="C40" s="108">
        <v>895</v>
      </c>
      <c r="D40" s="109">
        <v>1136</v>
      </c>
      <c r="E40" s="109">
        <v>931</v>
      </c>
      <c r="F40" s="109">
        <v>1084</v>
      </c>
      <c r="G40" s="109">
        <v>521</v>
      </c>
      <c r="H40" s="109">
        <v>918</v>
      </c>
      <c r="I40" s="109">
        <v>1183</v>
      </c>
      <c r="J40" s="109">
        <v>1324</v>
      </c>
      <c r="K40" s="109">
        <v>860</v>
      </c>
      <c r="L40" s="109">
        <v>1472</v>
      </c>
      <c r="M40" s="109">
        <v>1428</v>
      </c>
      <c r="N40" s="109">
        <v>1544</v>
      </c>
      <c r="O40" s="110">
        <f t="shared" si="0"/>
        <v>13296</v>
      </c>
    </row>
    <row r="41" spans="2:15" x14ac:dyDescent="0.25">
      <c r="B41" s="42">
        <v>43403</v>
      </c>
      <c r="C41" s="111">
        <v>1743</v>
      </c>
      <c r="D41" s="112">
        <v>1760</v>
      </c>
      <c r="E41" s="112">
        <v>1696</v>
      </c>
      <c r="F41" s="112">
        <v>1495</v>
      </c>
      <c r="G41" s="112">
        <v>1506</v>
      </c>
      <c r="H41" s="112">
        <v>1555</v>
      </c>
      <c r="I41" s="112">
        <v>1517</v>
      </c>
      <c r="J41" s="112">
        <v>1042</v>
      </c>
      <c r="K41" s="112">
        <v>1103</v>
      </c>
      <c r="L41" s="112">
        <v>1077</v>
      </c>
      <c r="M41" s="112">
        <v>1104</v>
      </c>
      <c r="N41" s="112">
        <v>1060</v>
      </c>
      <c r="O41" s="110">
        <f t="shared" si="0"/>
        <v>16658</v>
      </c>
    </row>
    <row r="42" spans="2:15" ht="15.75" thickBot="1" x14ac:dyDescent="0.3">
      <c r="B42" s="42">
        <v>43404</v>
      </c>
      <c r="C42" s="111">
        <v>5303</v>
      </c>
      <c r="D42" s="112">
        <v>5164</v>
      </c>
      <c r="E42" s="112">
        <v>4983</v>
      </c>
      <c r="F42" s="112">
        <v>4423</v>
      </c>
      <c r="G42" s="112">
        <v>4034</v>
      </c>
      <c r="H42" s="112">
        <v>3902</v>
      </c>
      <c r="I42" s="112">
        <v>3958</v>
      </c>
      <c r="J42" s="112">
        <v>2921</v>
      </c>
      <c r="K42" s="112">
        <v>3137</v>
      </c>
      <c r="L42" s="112">
        <v>3177</v>
      </c>
      <c r="M42" s="112">
        <v>3275</v>
      </c>
      <c r="N42" s="112">
        <v>3257</v>
      </c>
      <c r="O42" s="110">
        <f t="shared" si="0"/>
        <v>47534</v>
      </c>
    </row>
    <row r="43" spans="2:15" ht="15.75" thickBot="1" x14ac:dyDescent="0.3">
      <c r="B43" s="44" t="s">
        <v>8</v>
      </c>
      <c r="C43" s="45">
        <f>SUM(C12:C42)</f>
        <v>42723</v>
      </c>
      <c r="D43" s="45">
        <f t="shared" ref="D43:N43" si="1">SUM(D12:D42)</f>
        <v>39083</v>
      </c>
      <c r="E43" s="45">
        <f t="shared" si="1"/>
        <v>40524</v>
      </c>
      <c r="F43" s="45">
        <f t="shared" si="1"/>
        <v>39758</v>
      </c>
      <c r="G43" s="45">
        <f t="shared" si="1"/>
        <v>35781</v>
      </c>
      <c r="H43" s="45">
        <f t="shared" si="1"/>
        <v>36398</v>
      </c>
      <c r="I43" s="45">
        <f t="shared" si="1"/>
        <v>34977</v>
      </c>
      <c r="J43" s="45">
        <f t="shared" si="1"/>
        <v>38656</v>
      </c>
      <c r="K43" s="45">
        <f t="shared" si="1"/>
        <v>39440</v>
      </c>
      <c r="L43" s="45">
        <f t="shared" si="1"/>
        <v>35996</v>
      </c>
      <c r="M43" s="45">
        <f t="shared" si="1"/>
        <v>37895</v>
      </c>
      <c r="N43" s="45">
        <f t="shared" si="1"/>
        <v>37686</v>
      </c>
      <c r="O43" s="45">
        <f>SUM(O12:O42)</f>
        <v>458917</v>
      </c>
    </row>
  </sheetData>
  <mergeCells count="6">
    <mergeCell ref="B8:F8"/>
    <mergeCell ref="B3:F3"/>
    <mergeCell ref="B4:F4"/>
    <mergeCell ref="B5:F5"/>
    <mergeCell ref="B6:F6"/>
    <mergeCell ref="B7: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Project Details</vt:lpstr>
      <vt:lpstr>Emission Reduction Calculation</vt:lpstr>
      <vt:lpstr>Generation Details</vt:lpstr>
      <vt:lpstr>SubstationMeter Readings</vt:lpstr>
      <vt:lpstr>DGR Oct_2018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2022-09-28T12:31:17Z</dcterms:modified>
</cp:coreProperties>
</file>