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tables/table2.xml" ContentType="application/vnd.openxmlformats-officedocument.spreadsheetml.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2.xml" ContentType="application/vnd.openxmlformats-officedocument.drawing+xml"/>
  <Override PartName="/xl/pivotTables/pivotTable4.xml" ContentType="application/vnd.openxmlformats-officedocument.spreadsheetml.pivot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uniquelandusede149.sharepoint.com/sites/ProyectosUW_UFI/Freigegebene Dokumente/General/09_Carbono/Certificación VCS/3 Segunda verificación/FASA/Findings/Upload_Verra/"/>
    </mc:Choice>
  </mc:AlternateContent>
  <xr:revisionPtr revIDLastSave="11" documentId="8_{31525194-1366-42AC-A376-68C6348503D0}" xr6:coauthVersionLast="47" xr6:coauthVersionMax="47" xr10:uidLastSave="{28E55F97-670A-4BAA-B84C-F5C04C9E7479}"/>
  <bookViews>
    <workbookView xWindow="28680" yWindow="-1995" windowWidth="29040" windowHeight="17520" firstSheet="1" activeTab="4" xr2:uid="{00000000-000D-0000-FFFF-FFFF00000000}"/>
  </bookViews>
  <sheets>
    <sheet name="Reference_M1" sheetId="5" state="hidden" r:id="rId1"/>
    <sheet name="Plots" sheetId="1" r:id="rId2"/>
    <sheet name="Volume Calculation." sheetId="9" state="hidden" r:id="rId3"/>
    <sheet name="Sheet3" sheetId="8" state="hidden" r:id="rId4"/>
    <sheet name="Carbon_Calculations" sheetId="2" r:id="rId5"/>
    <sheet name="Sheet2" sheetId="7" state="hidden" r:id="rId6"/>
    <sheet name="Sheet1" sheetId="6" state="hidden" r:id="rId7"/>
    <sheet name="SOC" sheetId="3" r:id="rId8"/>
    <sheet name="VCS Tables" sheetId="4" r:id="rId9"/>
    <sheet name="Baseline" sheetId="10" r:id="rId10"/>
  </sheets>
  <externalReferences>
    <externalReference r:id="rId11"/>
    <externalReference r:id="rId12"/>
  </externalReferences>
  <definedNames>
    <definedName name="_xlnm._FilterDatabase" localSheetId="5" hidden="1">Sheet2!$A$1:$AI$46</definedName>
    <definedName name="_ftn1" localSheetId="0">Reference_M1!$B$57</definedName>
    <definedName name="_ftn1" localSheetId="8">'VCS Tables'!#REF!</definedName>
    <definedName name="_ftnref1" localSheetId="0">Reference_M1!$C$46</definedName>
    <definedName name="_ftnref1" localSheetId="8">'VCS Tables'!#REF!</definedName>
    <definedName name="Aspect">#NAME?</definedName>
    <definedName name="BAF">#NAME?</definedName>
    <definedName name="Crownclosure">#NAME?</definedName>
    <definedName name="Damage">#NAME?</definedName>
    <definedName name="Dclass">#NAME?</definedName>
    <definedName name="Deadtype">#NAME?</definedName>
    <definedName name="Decay">#NAME?</definedName>
    <definedName name="Fencing_plot">#NAME?</definedName>
    <definedName name="Fencing_tree">#NAME?</definedName>
    <definedName name="Foresttype">#NAME?</definedName>
    <definedName name="Grazing">#NAME?</definedName>
    <definedName name="Growth_remark">#NAME?</definedName>
    <definedName name="Hclass">#NAME?</definedName>
    <definedName name="Inputs">#NAME?</definedName>
    <definedName name="Kraft">#NAME?</definedName>
    <definedName name="Land_use">#NAME?</definedName>
    <definedName name="Layer">#NAME?</definedName>
    <definedName name="Manag">#NAME?</definedName>
    <definedName name="Mixture">#NAME?</definedName>
    <definedName name="Origin">#NAME?</definedName>
    <definedName name="Origin_Shrub">#NAME?</definedName>
    <definedName name="Point">#NAME?</definedName>
    <definedName name="POINT_ID">#NAME?</definedName>
    <definedName name="stratum" localSheetId="0">#REF!</definedName>
    <definedName name="stratum" localSheetId="7">#REF!</definedName>
    <definedName name="stratum" localSheetId="8">#REF!</definedName>
    <definedName name="stratum">#REF!</definedName>
    <definedName name="Team">#NAME?</definedName>
    <definedName name="Terrain">#NAME?</definedName>
    <definedName name="Verstr">#NAME?</definedName>
    <definedName name="Villagedist">#NAME?</definedName>
    <definedName name="Water_source">#NAME?</definedName>
  </definedNames>
  <calcPr calcId="191029"/>
  <pivotCaches>
    <pivotCache cacheId="65" r:id="rId13"/>
    <pivotCache cacheId="66" r:id="rId14"/>
    <pivotCache cacheId="67"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 i="2" l="1"/>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C86" i="4"/>
  <c r="Q31" i="2"/>
  <c r="Q30" i="2"/>
  <c r="Q29" i="2"/>
  <c r="Q28" i="2"/>
  <c r="Q25" i="2"/>
  <c r="Q24" i="2"/>
  <c r="E113" i="4"/>
  <c r="B113" i="4"/>
  <c r="AE8" i="2"/>
  <c r="AF8" i="2"/>
  <c r="AG8" i="2"/>
  <c r="AH8" i="2"/>
  <c r="AI8" i="2"/>
  <c r="D15" i="3"/>
  <c r="F12" i="4"/>
  <c r="G12" i="4"/>
  <c r="H12" i="4"/>
  <c r="F13" i="4"/>
  <c r="G13" i="4"/>
  <c r="H13" i="4"/>
  <c r="F14" i="4"/>
  <c r="G14" i="4"/>
  <c r="H14" i="4"/>
  <c r="G11" i="4"/>
  <c r="H11" i="4"/>
  <c r="F11" i="4"/>
  <c r="I38" i="10"/>
  <c r="I39" i="10"/>
  <c r="I40" i="10"/>
  <c r="I41" i="10"/>
  <c r="I42" i="10"/>
  <c r="I43" i="10"/>
  <c r="I44" i="10"/>
  <c r="I45" i="10"/>
  <c r="I37" i="10"/>
  <c r="H43" i="10"/>
  <c r="G43" i="10"/>
  <c r="F43" i="10"/>
  <c r="H42" i="10"/>
  <c r="G42" i="10"/>
  <c r="F42" i="10"/>
  <c r="W28" i="10"/>
  <c r="X28" i="10"/>
  <c r="Y28" i="10"/>
  <c r="Z28" i="10"/>
  <c r="AA28" i="10"/>
  <c r="W29" i="10"/>
  <c r="X29" i="10"/>
  <c r="Y29" i="10"/>
  <c r="Z29" i="10"/>
  <c r="AA29" i="10"/>
  <c r="W30" i="10"/>
  <c r="X30" i="10"/>
  <c r="Y30" i="10"/>
  <c r="Z30" i="10"/>
  <c r="AA30" i="10"/>
  <c r="X27" i="10"/>
  <c r="Y27" i="10"/>
  <c r="Z27" i="10"/>
  <c r="AA27" i="10"/>
  <c r="W27" i="10"/>
  <c r="R28" i="10"/>
  <c r="S28" i="10"/>
  <c r="T28" i="10"/>
  <c r="U28" i="10"/>
  <c r="V28" i="10"/>
  <c r="R29" i="10"/>
  <c r="S29" i="10"/>
  <c r="T29" i="10"/>
  <c r="U29" i="10"/>
  <c r="V29" i="10"/>
  <c r="R30" i="10"/>
  <c r="S30" i="10"/>
  <c r="T30" i="10"/>
  <c r="U30" i="10"/>
  <c r="V30" i="10"/>
  <c r="S27" i="10"/>
  <c r="T27" i="10"/>
  <c r="U27" i="10"/>
  <c r="V27" i="10"/>
  <c r="R27" i="10"/>
  <c r="M28" i="10"/>
  <c r="N28" i="10"/>
  <c r="O28" i="10"/>
  <c r="P28" i="10"/>
  <c r="Q28" i="10"/>
  <c r="M29" i="10"/>
  <c r="N29" i="10"/>
  <c r="O29" i="10"/>
  <c r="P29" i="10"/>
  <c r="Q29" i="10"/>
  <c r="M30" i="10"/>
  <c r="N30" i="10"/>
  <c r="O30" i="10"/>
  <c r="P30" i="10"/>
  <c r="Q30" i="10"/>
  <c r="N27" i="10"/>
  <c r="O27" i="10"/>
  <c r="P27" i="10"/>
  <c r="Q27" i="10"/>
  <c r="M27" i="10"/>
  <c r="H28" i="10"/>
  <c r="I28" i="10"/>
  <c r="J28" i="10"/>
  <c r="K28" i="10"/>
  <c r="L28" i="10"/>
  <c r="H29" i="10"/>
  <c r="I29" i="10"/>
  <c r="J29" i="10"/>
  <c r="K29" i="10"/>
  <c r="L29" i="10"/>
  <c r="H30" i="10"/>
  <c r="I30" i="10"/>
  <c r="J30" i="10"/>
  <c r="K30" i="10"/>
  <c r="L30" i="10"/>
  <c r="I27" i="10"/>
  <c r="J27" i="10"/>
  <c r="K27" i="10"/>
  <c r="L27" i="10"/>
  <c r="H27" i="10"/>
  <c r="C28" i="10"/>
  <c r="D28" i="10"/>
  <c r="E28" i="10"/>
  <c r="F28" i="10"/>
  <c r="G28" i="10"/>
  <c r="C29" i="10"/>
  <c r="D29" i="10"/>
  <c r="E29" i="10"/>
  <c r="F29" i="10"/>
  <c r="G29" i="10"/>
  <c r="C30" i="10"/>
  <c r="D30" i="10"/>
  <c r="E30" i="10"/>
  <c r="F30" i="10"/>
  <c r="G30" i="10"/>
  <c r="D27" i="10"/>
  <c r="E27" i="10"/>
  <c r="F27" i="10"/>
  <c r="G27" i="10"/>
  <c r="C27" i="10"/>
  <c r="J13" i="4" l="1"/>
  <c r="J12" i="4"/>
  <c r="J14" i="4"/>
  <c r="F79" i="4"/>
  <c r="F80" i="4" s="1"/>
  <c r="B62" i="4"/>
  <c r="F64" i="4"/>
  <c r="T31" i="2"/>
  <c r="T30" i="2"/>
  <c r="T29" i="2"/>
  <c r="T28" i="2"/>
  <c r="T23" i="2"/>
  <c r="AI7" i="2"/>
  <c r="AH7" i="2"/>
  <c r="AG7" i="2"/>
  <c r="AF7" i="2"/>
  <c r="AE7" i="2"/>
  <c r="AI6" i="2"/>
  <c r="AH6" i="2"/>
  <c r="AG6" i="2"/>
  <c r="AF6" i="2"/>
  <c r="AE6" i="2"/>
  <c r="AJ5" i="2"/>
  <c r="AF5" i="2"/>
  <c r="AG5" i="2"/>
  <c r="AH5" i="2"/>
  <c r="AI5" i="2"/>
  <c r="AE5" i="2"/>
  <c r="C87" i="4" l="1"/>
  <c r="T27" i="2"/>
  <c r="T26" i="2"/>
  <c r="T25" i="2"/>
  <c r="Q23" i="2"/>
  <c r="P24" i="2"/>
  <c r="P25" i="2"/>
  <c r="P26" i="2"/>
  <c r="P27" i="2"/>
  <c r="P28" i="2"/>
  <c r="P29" i="2"/>
  <c r="P30" i="2"/>
  <c r="P31" i="2"/>
  <c r="W179" i="1" l="1"/>
  <c r="W180" i="1"/>
  <c r="W181" i="1"/>
  <c r="W182" i="1"/>
  <c r="W183" i="1"/>
  <c r="W184" i="1"/>
  <c r="W185" i="1"/>
  <c r="W186" i="1"/>
  <c r="W187" i="1"/>
  <c r="W188" i="1"/>
  <c r="W189" i="1"/>
  <c r="W190" i="1"/>
  <c r="AN179" i="1"/>
  <c r="AN180" i="1"/>
  <c r="AN181" i="1"/>
  <c r="AN182" i="1"/>
  <c r="AN183" i="1"/>
  <c r="AN184" i="1"/>
  <c r="AN185" i="1"/>
  <c r="AN186" i="1"/>
  <c r="AN187" i="1"/>
  <c r="AN188" i="1"/>
  <c r="AN189" i="1"/>
  <c r="AN190" i="1"/>
  <c r="G68" i="4" l="1"/>
  <c r="H68" i="4"/>
  <c r="I68" i="4"/>
  <c r="G69" i="4"/>
  <c r="H69" i="4"/>
  <c r="I69" i="4"/>
  <c r="G70" i="4"/>
  <c r="H70" i="4"/>
  <c r="I70" i="4"/>
  <c r="H67" i="4"/>
  <c r="I67" i="4"/>
  <c r="G67" i="4"/>
  <c r="K71" i="4"/>
  <c r="F71" i="4"/>
  <c r="D65" i="4"/>
  <c r="D66" i="4"/>
  <c r="D67" i="4"/>
  <c r="D68" i="4"/>
  <c r="D69" i="4"/>
  <c r="D70" i="4"/>
  <c r="D63" i="4"/>
  <c r="D64" i="4"/>
  <c r="D62" i="4"/>
  <c r="J54" i="4"/>
  <c r="B49" i="4"/>
  <c r="L49" i="4" s="1"/>
  <c r="B50" i="4"/>
  <c r="L50" i="4" s="1"/>
  <c r="B51" i="4"/>
  <c r="L51" i="4" s="1"/>
  <c r="B52" i="4"/>
  <c r="L52" i="4" s="1"/>
  <c r="B53" i="4"/>
  <c r="L53" i="4" s="1"/>
  <c r="B54" i="4"/>
  <c r="L54" i="4" s="1"/>
  <c r="B55" i="4"/>
  <c r="L55" i="4" s="1"/>
  <c r="B48" i="4"/>
  <c r="L48" i="4" s="1"/>
  <c r="C34" i="4"/>
  <c r="D34" i="4"/>
  <c r="C35" i="4"/>
  <c r="D35" i="4"/>
  <c r="C36" i="4"/>
  <c r="D36" i="4"/>
  <c r="C37" i="4"/>
  <c r="D37" i="4"/>
  <c r="C38" i="4"/>
  <c r="D38" i="4"/>
  <c r="C39" i="4"/>
  <c r="D39" i="4"/>
  <c r="C40" i="4"/>
  <c r="D40" i="4"/>
  <c r="C41" i="4"/>
  <c r="D41" i="4"/>
  <c r="I12" i="4"/>
  <c r="I13" i="4"/>
  <c r="I14" i="4"/>
  <c r="I10" i="4"/>
  <c r="D77" i="4" l="1"/>
  <c r="D78" i="4"/>
  <c r="D79" i="4"/>
  <c r="D71" i="4"/>
  <c r="D80" i="4" l="1"/>
  <c r="C13" i="4"/>
  <c r="C69" i="4" s="1"/>
  <c r="F12" i="3"/>
  <c r="F13" i="3"/>
  <c r="F14" i="3"/>
  <c r="F15" i="3"/>
  <c r="F16" i="3"/>
  <c r="F11" i="3"/>
  <c r="E69" i="4" l="1"/>
  <c r="B27" i="4"/>
  <c r="B41" i="4" s="1"/>
  <c r="B70" i="4"/>
  <c r="B21" i="4"/>
  <c r="B35" i="4" s="1"/>
  <c r="B64" i="4"/>
  <c r="B26" i="4"/>
  <c r="B40" i="4" s="1"/>
  <c r="B69" i="4"/>
  <c r="B22" i="4"/>
  <c r="B36" i="4" s="1"/>
  <c r="B65" i="4"/>
  <c r="B25" i="4"/>
  <c r="B68" i="4"/>
  <c r="B24" i="4"/>
  <c r="B38" i="4" s="1"/>
  <c r="B67" i="4"/>
  <c r="B20" i="4"/>
  <c r="B34" i="4" s="1"/>
  <c r="B63" i="4"/>
  <c r="B23" i="4"/>
  <c r="B37" i="4" s="1"/>
  <c r="B66" i="4"/>
  <c r="B19" i="4"/>
  <c r="B33" i="4" s="1"/>
  <c r="E13" i="4"/>
  <c r="C26" i="4"/>
  <c r="B39" i="4" l="1"/>
  <c r="C9" i="4"/>
  <c r="T24" i="2"/>
  <c r="C7" i="4" s="1"/>
  <c r="AJ6" i="2"/>
  <c r="G12" i="3" s="1"/>
  <c r="C8" i="4"/>
  <c r="C10" i="4"/>
  <c r="C12" i="4"/>
  <c r="AJ7" i="2"/>
  <c r="G13" i="3" s="1"/>
  <c r="C11" i="4"/>
  <c r="C6" i="4"/>
  <c r="G11" i="3"/>
  <c r="AL94" i="2"/>
  <c r="AL95" i="2"/>
  <c r="AL93" i="2"/>
  <c r="C66" i="4" l="1"/>
  <c r="E10" i="4"/>
  <c r="C23" i="4"/>
  <c r="C19" i="4"/>
  <c r="C62" i="4"/>
  <c r="C77" i="4" s="1"/>
  <c r="C67" i="4"/>
  <c r="E11" i="4"/>
  <c r="C24" i="4"/>
  <c r="C64" i="4"/>
  <c r="C21" i="4"/>
  <c r="E8" i="4"/>
  <c r="C68" i="4"/>
  <c r="E12" i="4"/>
  <c r="C25" i="4"/>
  <c r="C65" i="4"/>
  <c r="E9" i="4"/>
  <c r="C22" i="4"/>
  <c r="C63" i="4"/>
  <c r="E7" i="4"/>
  <c r="C20" i="4"/>
  <c r="C14" i="4"/>
  <c r="AB7" i="2"/>
  <c r="AB6" i="2"/>
  <c r="AB5" i="2"/>
  <c r="S24" i="2"/>
  <c r="S25" i="2"/>
  <c r="S26" i="2"/>
  <c r="S27" i="2"/>
  <c r="S28" i="2"/>
  <c r="S29" i="2"/>
  <c r="S30" i="2"/>
  <c r="S31" i="2"/>
  <c r="S23" i="2"/>
  <c r="G3" i="9"/>
  <c r="P10" i="9"/>
  <c r="O10" i="9"/>
  <c r="H5" i="9"/>
  <c r="G4" i="9"/>
  <c r="G5" i="9"/>
  <c r="G6" i="9"/>
  <c r="G7" i="9"/>
  <c r="G8" i="9"/>
  <c r="C78" i="4" l="1"/>
  <c r="V32" i="2"/>
  <c r="W32" i="2" s="1"/>
  <c r="X32" i="2" s="1"/>
  <c r="C70" i="4"/>
  <c r="C71" i="4" s="1"/>
  <c r="E14" i="4"/>
  <c r="C27" i="4"/>
  <c r="C28" i="4" s="1"/>
  <c r="D24" i="4" s="1"/>
  <c r="E63" i="4"/>
  <c r="E65" i="4"/>
  <c r="E67" i="4"/>
  <c r="E68" i="4"/>
  <c r="E64" i="4"/>
  <c r="E66" i="4"/>
  <c r="G9" i="9"/>
  <c r="E4" i="9"/>
  <c r="E10" i="9"/>
  <c r="E3" i="9"/>
  <c r="D11" i="9"/>
  <c r="E11" i="9" s="1"/>
  <c r="D10" i="9"/>
  <c r="D6" i="9"/>
  <c r="H6" i="9" s="1"/>
  <c r="D12" i="9"/>
  <c r="E12" i="9" s="1"/>
  <c r="D7" i="9"/>
  <c r="H7" i="9" s="1"/>
  <c r="D3" i="9"/>
  <c r="H3" i="9" s="1"/>
  <c r="H9" i="9" s="1"/>
  <c r="D13" i="9"/>
  <c r="E13" i="9" s="1"/>
  <c r="D8" i="9"/>
  <c r="H8" i="9" s="1"/>
  <c r="D4" i="9"/>
  <c r="H4" i="9" s="1"/>
  <c r="C79" i="4" l="1"/>
  <c r="C80" i="4" s="1"/>
  <c r="J78" i="4" s="1"/>
  <c r="L78" i="4" s="1"/>
  <c r="D20" i="4"/>
  <c r="D23" i="4"/>
  <c r="D25" i="4"/>
  <c r="D26" i="4"/>
  <c r="D27" i="4"/>
  <c r="D22" i="4"/>
  <c r="D21" i="4"/>
  <c r="E70" i="4"/>
  <c r="E8" i="9"/>
  <c r="E7" i="9"/>
  <c r="E6" i="9"/>
  <c r="J80" i="4" l="1"/>
  <c r="L80" i="4" s="1"/>
  <c r="J79" i="4"/>
  <c r="L79" i="4" s="1"/>
  <c r="J77" i="4"/>
  <c r="L77" i="4" s="1"/>
  <c r="E79" i="4"/>
  <c r="E80" i="4" s="1"/>
  <c r="W50" i="1"/>
  <c r="W66" i="1"/>
  <c r="W114" i="1"/>
  <c r="W130" i="1"/>
  <c r="W138" i="1"/>
  <c r="W154" i="1"/>
  <c r="W152" i="1"/>
  <c r="W153" i="1"/>
  <c r="W155" i="1"/>
  <c r="W156" i="1"/>
  <c r="W157" i="1"/>
  <c r="W158" i="1"/>
  <c r="W159" i="1"/>
  <c r="W160" i="1"/>
  <c r="W161" i="1"/>
  <c r="W162" i="1"/>
  <c r="W163" i="1"/>
  <c r="W164" i="1"/>
  <c r="W165" i="1"/>
  <c r="W166" i="1"/>
  <c r="W167" i="1"/>
  <c r="W168" i="1"/>
  <c r="W169" i="1"/>
  <c r="W170" i="1"/>
  <c r="W171" i="1"/>
  <c r="W172" i="1"/>
  <c r="W173" i="1"/>
  <c r="W174" i="1"/>
  <c r="W175" i="1"/>
  <c r="W176" i="1"/>
  <c r="W177" i="1"/>
  <c r="W178" i="1"/>
  <c r="W128" i="1"/>
  <c r="W129" i="1"/>
  <c r="W131" i="1"/>
  <c r="W132" i="1"/>
  <c r="W133" i="1"/>
  <c r="W134" i="1"/>
  <c r="W135" i="1"/>
  <c r="W136" i="1"/>
  <c r="W137" i="1"/>
  <c r="W139" i="1"/>
  <c r="W140" i="1"/>
  <c r="W141" i="1"/>
  <c r="W142" i="1"/>
  <c r="W143" i="1"/>
  <c r="W144" i="1"/>
  <c r="W145" i="1"/>
  <c r="W146" i="1"/>
  <c r="W147" i="1"/>
  <c r="W148" i="1"/>
  <c r="W149" i="1"/>
  <c r="W150" i="1"/>
  <c r="W151" i="1"/>
  <c r="W4" i="1"/>
  <c r="W5" i="1"/>
  <c r="W6" i="1"/>
  <c r="W7" i="1"/>
  <c r="W8" i="1"/>
  <c r="W9" i="1"/>
  <c r="W10" i="1"/>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1" i="1"/>
  <c r="W52" i="1"/>
  <c r="W53" i="1"/>
  <c r="W54" i="1"/>
  <c r="W55" i="1"/>
  <c r="W56" i="1"/>
  <c r="W57" i="1"/>
  <c r="W58" i="1"/>
  <c r="W59" i="1"/>
  <c r="W60" i="1"/>
  <c r="W61" i="1"/>
  <c r="W62" i="1"/>
  <c r="W63" i="1"/>
  <c r="W64" i="1"/>
  <c r="W65"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5" i="1"/>
  <c r="W116" i="1"/>
  <c r="W117" i="1"/>
  <c r="W118" i="1"/>
  <c r="W119" i="1"/>
  <c r="W120" i="1"/>
  <c r="W121" i="1"/>
  <c r="W122" i="1"/>
  <c r="W123" i="1"/>
  <c r="W124" i="1"/>
  <c r="W125" i="1"/>
  <c r="W126" i="1"/>
  <c r="W127" i="1"/>
  <c r="W3" i="1"/>
  <c r="AS140" i="8"/>
  <c r="AR140" i="8"/>
  <c r="AQ140" i="8"/>
  <c r="AP140" i="8"/>
  <c r="L140" i="8"/>
  <c r="AS139" i="8"/>
  <c r="AR139" i="8"/>
  <c r="AP139" i="8"/>
  <c r="L139" i="8"/>
  <c r="AS138" i="8"/>
  <c r="AR138" i="8"/>
  <c r="AP138" i="8"/>
  <c r="L138" i="8"/>
  <c r="AS137" i="8"/>
  <c r="AR137" i="8"/>
  <c r="AQ137" i="8"/>
  <c r="AP137" i="8"/>
  <c r="L137" i="8"/>
  <c r="AS136" i="8"/>
  <c r="AR136" i="8"/>
  <c r="AQ136" i="8"/>
  <c r="AP136" i="8"/>
  <c r="L136" i="8"/>
  <c r="AS135" i="8"/>
  <c r="AR135" i="8"/>
  <c r="AQ135" i="8"/>
  <c r="AP135" i="8"/>
  <c r="L135" i="8"/>
  <c r="AS134" i="8"/>
  <c r="AR134" i="8"/>
  <c r="AP134" i="8"/>
  <c r="L134" i="8"/>
  <c r="AS133" i="8"/>
  <c r="AR133" i="8"/>
  <c r="AP133" i="8"/>
  <c r="L133" i="8"/>
  <c r="AS132" i="8"/>
  <c r="AR132" i="8"/>
  <c r="AP132" i="8"/>
  <c r="L132" i="8"/>
  <c r="AS131" i="8"/>
  <c r="AR131" i="8"/>
  <c r="AP131" i="8"/>
  <c r="L131" i="8"/>
  <c r="AS130" i="8"/>
  <c r="AR130" i="8"/>
  <c r="AP130" i="8"/>
  <c r="L130" i="8"/>
  <c r="AS129" i="8"/>
  <c r="AR129" i="8"/>
  <c r="AP129" i="8"/>
  <c r="L129" i="8"/>
  <c r="AS128" i="8"/>
  <c r="AR128" i="8"/>
  <c r="AP128" i="8"/>
  <c r="L128" i="8"/>
  <c r="AS127" i="8"/>
  <c r="AR127" i="8"/>
  <c r="AQ127" i="8"/>
  <c r="AP127" i="8"/>
  <c r="L127" i="8"/>
  <c r="AS126" i="8"/>
  <c r="AR126" i="8"/>
  <c r="AQ126" i="8"/>
  <c r="AP126" i="8"/>
  <c r="L126" i="8"/>
  <c r="AS125" i="8"/>
  <c r="AR125" i="8"/>
  <c r="AQ125" i="8"/>
  <c r="AP125" i="8"/>
  <c r="L125" i="8"/>
  <c r="AS124" i="8"/>
  <c r="AR124" i="8"/>
  <c r="AP124" i="8"/>
  <c r="L124" i="8"/>
  <c r="AS123" i="8"/>
  <c r="AR123" i="8"/>
  <c r="AP123" i="8"/>
  <c r="L123" i="8"/>
  <c r="AS122" i="8"/>
  <c r="AR122" i="8"/>
  <c r="AP122" i="8"/>
  <c r="L122" i="8"/>
  <c r="AS121" i="8"/>
  <c r="AR121" i="8"/>
  <c r="AP121" i="8"/>
  <c r="L121" i="8"/>
  <c r="AS120" i="8"/>
  <c r="AR120" i="8"/>
  <c r="AP120" i="8"/>
  <c r="L120" i="8"/>
  <c r="AS119" i="8"/>
  <c r="AR119" i="8"/>
  <c r="AP119" i="8"/>
  <c r="L119" i="8"/>
  <c r="AS118" i="8"/>
  <c r="AR118" i="8"/>
  <c r="AP118" i="8"/>
  <c r="L118" i="8"/>
  <c r="AS117" i="8"/>
  <c r="AR117" i="8"/>
  <c r="AP117" i="8"/>
  <c r="L117" i="8"/>
  <c r="AS116" i="8"/>
  <c r="AR116" i="8"/>
  <c r="AP116" i="8"/>
  <c r="L116" i="8"/>
  <c r="AS115" i="8"/>
  <c r="AR115" i="8"/>
  <c r="AP115" i="8"/>
  <c r="L115" i="8"/>
  <c r="AS114" i="8"/>
  <c r="AR114" i="8"/>
  <c r="AP114" i="8"/>
  <c r="L114" i="8"/>
  <c r="AS113" i="8"/>
  <c r="AR113" i="8"/>
  <c r="AP113" i="8"/>
  <c r="L113" i="8"/>
  <c r="AS112" i="8"/>
  <c r="AR112" i="8"/>
  <c r="AP112" i="8"/>
  <c r="L112" i="8"/>
  <c r="AS111" i="8"/>
  <c r="AR111" i="8"/>
  <c r="AP111" i="8"/>
  <c r="L111" i="8"/>
  <c r="AS110" i="8"/>
  <c r="AR110" i="8"/>
  <c r="AP110" i="8"/>
  <c r="L110" i="8"/>
  <c r="AS109" i="8"/>
  <c r="AR109" i="8"/>
  <c r="AP109" i="8"/>
  <c r="L109" i="8"/>
  <c r="AS108" i="8"/>
  <c r="AR108" i="8"/>
  <c r="AQ108" i="8"/>
  <c r="AP108" i="8"/>
  <c r="L108" i="8"/>
  <c r="AS107" i="8"/>
  <c r="AR107" i="8"/>
  <c r="AQ107" i="8"/>
  <c r="AP107" i="8"/>
  <c r="L107" i="8"/>
  <c r="AS106" i="8"/>
  <c r="AR106" i="8"/>
  <c r="AQ106" i="8"/>
  <c r="AP106" i="8"/>
  <c r="L106" i="8"/>
  <c r="AS105" i="8"/>
  <c r="AR105" i="8"/>
  <c r="AQ105" i="8"/>
  <c r="AP105" i="8"/>
  <c r="L105" i="8"/>
  <c r="AS104" i="8"/>
  <c r="AR104" i="8"/>
  <c r="AP104" i="8"/>
  <c r="L104" i="8"/>
  <c r="AS103" i="8"/>
  <c r="AR103" i="8"/>
  <c r="AP103" i="8"/>
  <c r="L103" i="8"/>
  <c r="AS102" i="8"/>
  <c r="AR102" i="8"/>
  <c r="AP102" i="8"/>
  <c r="L102" i="8"/>
  <c r="AS101" i="8"/>
  <c r="AR101" i="8"/>
  <c r="AP101" i="8"/>
  <c r="L101" i="8"/>
  <c r="AS100" i="8"/>
  <c r="AR100" i="8"/>
  <c r="AP100" i="8"/>
  <c r="L100" i="8"/>
  <c r="AS99" i="8"/>
  <c r="AR99" i="8"/>
  <c r="AP99" i="8"/>
  <c r="L99" i="8"/>
  <c r="AS98" i="8"/>
  <c r="AR98" i="8"/>
  <c r="AP98" i="8"/>
  <c r="L98" i="8"/>
  <c r="AS97" i="8"/>
  <c r="AR97" i="8"/>
  <c r="AP97" i="8"/>
  <c r="L97" i="8"/>
  <c r="AS96" i="8"/>
  <c r="AR96" i="8"/>
  <c r="AP96" i="8"/>
  <c r="L96" i="8"/>
  <c r="AS95" i="8"/>
  <c r="AR95" i="8"/>
  <c r="AP95" i="8"/>
  <c r="L95" i="8"/>
  <c r="AS94" i="8"/>
  <c r="AR94" i="8"/>
  <c r="AP94" i="8"/>
  <c r="L94" i="8"/>
  <c r="AS93" i="8"/>
  <c r="AR93" i="8"/>
  <c r="AP93" i="8"/>
  <c r="L93" i="8"/>
  <c r="AS92" i="8"/>
  <c r="AR92" i="8"/>
  <c r="AP92" i="8"/>
  <c r="L92" i="8"/>
  <c r="AS91" i="8"/>
  <c r="AR91" i="8"/>
  <c r="AP91" i="8"/>
  <c r="L91" i="8"/>
  <c r="AS90" i="8"/>
  <c r="AR90" i="8"/>
  <c r="AP90" i="8"/>
  <c r="L90" i="8"/>
  <c r="AS89" i="8"/>
  <c r="AR89" i="8"/>
  <c r="AQ89" i="8"/>
  <c r="AP89" i="8"/>
  <c r="L89" i="8"/>
  <c r="AS88" i="8"/>
  <c r="AR88" i="8"/>
  <c r="AP88" i="8"/>
  <c r="L88" i="8"/>
  <c r="AS87" i="8"/>
  <c r="AR87" i="8"/>
  <c r="AQ87" i="8"/>
  <c r="AP87" i="8"/>
  <c r="L87" i="8"/>
  <c r="AS86" i="8"/>
  <c r="AR86" i="8"/>
  <c r="AQ86" i="8"/>
  <c r="AP86" i="8"/>
  <c r="L86" i="8"/>
  <c r="AS85" i="8"/>
  <c r="AR85" i="8"/>
  <c r="AQ85" i="8"/>
  <c r="AP85" i="8"/>
  <c r="L85" i="8"/>
  <c r="AS84" i="8"/>
  <c r="AR84" i="8"/>
  <c r="AQ84" i="8"/>
  <c r="AP84" i="8"/>
  <c r="L84" i="8"/>
  <c r="AS83" i="8"/>
  <c r="AR83" i="8"/>
  <c r="AQ83" i="8"/>
  <c r="AP83" i="8"/>
  <c r="L83" i="8"/>
  <c r="AS82" i="8"/>
  <c r="AR82" i="8"/>
  <c r="AQ82" i="8"/>
  <c r="AP82" i="8"/>
  <c r="L82" i="8"/>
  <c r="AS81" i="8"/>
  <c r="AR81" i="8"/>
  <c r="AQ81" i="8"/>
  <c r="AP81" i="8"/>
  <c r="L81" i="8"/>
  <c r="AS80" i="8"/>
  <c r="AR80" i="8"/>
  <c r="AQ80" i="8"/>
  <c r="AP80" i="8"/>
  <c r="L80" i="8"/>
  <c r="AS79" i="8"/>
  <c r="AR79" i="8"/>
  <c r="AQ79" i="8"/>
  <c r="AP79" i="8"/>
  <c r="L79" i="8"/>
  <c r="AS78" i="8"/>
  <c r="AR78" i="8"/>
  <c r="AP78" i="8"/>
  <c r="L78" i="8"/>
  <c r="AS77" i="8"/>
  <c r="AR77" i="8"/>
  <c r="AQ77" i="8"/>
  <c r="AP77" i="8"/>
  <c r="L77" i="8"/>
  <c r="AS76" i="8"/>
  <c r="AR76" i="8"/>
  <c r="AQ76" i="8"/>
  <c r="AP76" i="8"/>
  <c r="L76" i="8"/>
  <c r="AS75" i="8"/>
  <c r="AR75" i="8"/>
  <c r="AQ75" i="8"/>
  <c r="AP75" i="8"/>
  <c r="L75" i="8"/>
  <c r="AS74" i="8"/>
  <c r="AR74" i="8"/>
  <c r="AQ74" i="8"/>
  <c r="AP74" i="8"/>
  <c r="L74" i="8"/>
  <c r="AS73" i="8"/>
  <c r="AR73" i="8"/>
  <c r="AQ73" i="8"/>
  <c r="AP73" i="8"/>
  <c r="L73" i="8"/>
  <c r="AS72" i="8"/>
  <c r="AR72" i="8"/>
  <c r="AQ72" i="8"/>
  <c r="AP72" i="8"/>
  <c r="L72" i="8"/>
  <c r="AS71" i="8"/>
  <c r="AR71" i="8"/>
  <c r="AQ71" i="8"/>
  <c r="AP71" i="8"/>
  <c r="L71" i="8"/>
  <c r="AS70" i="8"/>
  <c r="AR70" i="8"/>
  <c r="AP70" i="8"/>
  <c r="L70" i="8"/>
  <c r="AS69" i="8"/>
  <c r="AR69" i="8"/>
  <c r="AQ69" i="8"/>
  <c r="AP69" i="8"/>
  <c r="L69" i="8"/>
  <c r="AS68" i="8"/>
  <c r="AR68" i="8"/>
  <c r="AQ68" i="8"/>
  <c r="AP68" i="8"/>
  <c r="L68" i="8"/>
  <c r="AS67" i="8"/>
  <c r="AR67" i="8"/>
  <c r="AQ67" i="8"/>
  <c r="AP67" i="8"/>
  <c r="L67" i="8"/>
  <c r="AS66" i="8"/>
  <c r="AR66" i="8"/>
  <c r="AP66" i="8"/>
  <c r="L66" i="8"/>
  <c r="AS65" i="8"/>
  <c r="AR65" i="8"/>
  <c r="AQ65" i="8"/>
  <c r="AP65" i="8"/>
  <c r="L65" i="8"/>
  <c r="AS64" i="8"/>
  <c r="AR64" i="8"/>
  <c r="AP64" i="8"/>
  <c r="L64" i="8"/>
  <c r="AS63" i="8"/>
  <c r="AR63" i="8"/>
  <c r="AP63" i="8"/>
  <c r="L63" i="8"/>
  <c r="AS62" i="8"/>
  <c r="AR62" i="8"/>
  <c r="AP62" i="8"/>
  <c r="L62" i="8"/>
  <c r="AS61" i="8"/>
  <c r="AR61" i="8"/>
  <c r="AQ61" i="8"/>
  <c r="AP61" i="8"/>
  <c r="L61" i="8"/>
  <c r="AS60" i="8"/>
  <c r="AR60" i="8"/>
  <c r="AP60" i="8"/>
  <c r="L60" i="8"/>
  <c r="AS59" i="8"/>
  <c r="AR59" i="8"/>
  <c r="AQ59" i="8"/>
  <c r="AP59" i="8"/>
  <c r="L59" i="8"/>
  <c r="AS58" i="8"/>
  <c r="AR58" i="8"/>
  <c r="AP58" i="8"/>
  <c r="L58" i="8"/>
  <c r="AS57" i="8"/>
  <c r="AR57" i="8"/>
  <c r="AP57" i="8"/>
  <c r="L57" i="8"/>
  <c r="AS56" i="8"/>
  <c r="AR56" i="8"/>
  <c r="AP56" i="8"/>
  <c r="L56" i="8"/>
  <c r="AS55" i="8"/>
  <c r="AR55" i="8"/>
  <c r="AP55" i="8"/>
  <c r="L55" i="8"/>
  <c r="AS54" i="8"/>
  <c r="AR54" i="8"/>
  <c r="AP54" i="8"/>
  <c r="L54" i="8"/>
  <c r="AS53" i="8"/>
  <c r="AR53" i="8"/>
  <c r="AQ53" i="8"/>
  <c r="AP53" i="8"/>
  <c r="L53" i="8"/>
  <c r="AS52" i="8"/>
  <c r="AR52" i="8"/>
  <c r="AP52" i="8"/>
  <c r="L52" i="8"/>
  <c r="AS51" i="8"/>
  <c r="AR51" i="8"/>
  <c r="AP51" i="8"/>
  <c r="L51" i="8"/>
  <c r="AS50" i="8"/>
  <c r="AR50" i="8"/>
  <c r="AP50" i="8"/>
  <c r="L50" i="8"/>
  <c r="AS49" i="8"/>
  <c r="AR49" i="8"/>
  <c r="AQ49" i="8"/>
  <c r="AP49" i="8"/>
  <c r="L49" i="8"/>
  <c r="AS48" i="8"/>
  <c r="AR48" i="8"/>
  <c r="AQ48" i="8"/>
  <c r="AP48" i="8"/>
  <c r="L48" i="8"/>
  <c r="AS47" i="8"/>
  <c r="AR47" i="8"/>
  <c r="AQ47" i="8"/>
  <c r="AP47" i="8"/>
  <c r="L47" i="8"/>
  <c r="AS46" i="8"/>
  <c r="AR46" i="8"/>
  <c r="AP46" i="8"/>
  <c r="L46" i="8"/>
  <c r="AS45" i="8"/>
  <c r="AR45" i="8"/>
  <c r="AQ45" i="8"/>
  <c r="AP45" i="8"/>
  <c r="L45" i="8"/>
  <c r="AS44" i="8"/>
  <c r="AR44" i="8"/>
  <c r="AQ44" i="8"/>
  <c r="AP44" i="8"/>
  <c r="L44" i="8"/>
  <c r="AS43" i="8"/>
  <c r="AR43" i="8"/>
  <c r="AQ43" i="8"/>
  <c r="AP43" i="8"/>
  <c r="L43" i="8"/>
  <c r="AS42" i="8"/>
  <c r="AR42" i="8"/>
  <c r="AQ42" i="8"/>
  <c r="AP42" i="8"/>
  <c r="L42" i="8"/>
  <c r="AS41" i="8"/>
  <c r="AR41" i="8"/>
  <c r="AP41" i="8"/>
  <c r="L41" i="8"/>
  <c r="AS40" i="8"/>
  <c r="AR40" i="8"/>
  <c r="AP40" i="8"/>
  <c r="L40" i="8"/>
  <c r="AS39" i="8"/>
  <c r="AR39" i="8"/>
  <c r="AP39" i="8"/>
  <c r="L39" i="8"/>
  <c r="AS38" i="8"/>
  <c r="AR38" i="8"/>
  <c r="AQ38" i="8"/>
  <c r="AP38" i="8"/>
  <c r="L38" i="8"/>
  <c r="AS37" i="8"/>
  <c r="AR37" i="8"/>
  <c r="AQ37" i="8"/>
  <c r="AP37" i="8"/>
  <c r="L37" i="8"/>
  <c r="AS36" i="8"/>
  <c r="AR36" i="8"/>
  <c r="AQ36" i="8"/>
  <c r="AP36" i="8"/>
  <c r="L36" i="8"/>
  <c r="AS35" i="8"/>
  <c r="AR35" i="8"/>
  <c r="AQ35" i="8"/>
  <c r="AP35" i="8"/>
  <c r="L35" i="8"/>
  <c r="AS34" i="8"/>
  <c r="AR34" i="8"/>
  <c r="AQ34" i="8"/>
  <c r="AP34" i="8"/>
  <c r="L34" i="8"/>
  <c r="AS33" i="8"/>
  <c r="AR33" i="8"/>
  <c r="AQ33" i="8"/>
  <c r="AP33" i="8"/>
  <c r="L33" i="8"/>
  <c r="AS32" i="8"/>
  <c r="AR32" i="8"/>
  <c r="AQ32" i="8"/>
  <c r="AP32" i="8"/>
  <c r="L32" i="8"/>
  <c r="AS31" i="8"/>
  <c r="AR31" i="8"/>
  <c r="AQ31" i="8"/>
  <c r="AP31" i="8"/>
  <c r="L31" i="8"/>
  <c r="AS30" i="8"/>
  <c r="AR30" i="8"/>
  <c r="AQ30" i="8"/>
  <c r="AP30" i="8"/>
  <c r="L30" i="8"/>
  <c r="AS29" i="8"/>
  <c r="AR29" i="8"/>
  <c r="AQ29" i="8"/>
  <c r="AP29" i="8"/>
  <c r="L29" i="8"/>
  <c r="AS28" i="8"/>
  <c r="AR28" i="8"/>
  <c r="AQ28" i="8"/>
  <c r="AP28" i="8"/>
  <c r="L28" i="8"/>
  <c r="AS27" i="8"/>
  <c r="AR27" i="8"/>
  <c r="AQ27" i="8"/>
  <c r="AP27" i="8"/>
  <c r="L27" i="8"/>
  <c r="AS26" i="8"/>
  <c r="AR26" i="8"/>
  <c r="AQ26" i="8"/>
  <c r="AP26" i="8"/>
  <c r="L26" i="8"/>
  <c r="AS25" i="8"/>
  <c r="AR25" i="8"/>
  <c r="AQ25" i="8"/>
  <c r="AP25" i="8"/>
  <c r="L25" i="8"/>
  <c r="AS24" i="8"/>
  <c r="AR24" i="8"/>
  <c r="AQ24" i="8"/>
  <c r="AP24" i="8"/>
  <c r="L24" i="8"/>
  <c r="AS23" i="8"/>
  <c r="AR23" i="8"/>
  <c r="AQ23" i="8"/>
  <c r="AP23" i="8"/>
  <c r="L23" i="8"/>
  <c r="AS22" i="8"/>
  <c r="AR22" i="8"/>
  <c r="AQ22" i="8"/>
  <c r="AP22" i="8"/>
  <c r="L22" i="8"/>
  <c r="AS21" i="8"/>
  <c r="AR21" i="8"/>
  <c r="AQ21" i="8"/>
  <c r="AP21" i="8"/>
  <c r="L21" i="8"/>
  <c r="AS20" i="8"/>
  <c r="AR20" i="8"/>
  <c r="AQ20" i="8"/>
  <c r="AP20" i="8"/>
  <c r="L20" i="8"/>
  <c r="AS19" i="8"/>
  <c r="AR19" i="8"/>
  <c r="AQ19" i="8"/>
  <c r="AP19" i="8"/>
  <c r="L19" i="8"/>
  <c r="AS18" i="8"/>
  <c r="AR18" i="8"/>
  <c r="AQ18" i="8"/>
  <c r="AP18" i="8"/>
  <c r="L18" i="8"/>
  <c r="AS17" i="8"/>
  <c r="AR17" i="8"/>
  <c r="AQ17" i="8"/>
  <c r="AP17" i="8"/>
  <c r="L17" i="8"/>
  <c r="AS16" i="8"/>
  <c r="AR16" i="8"/>
  <c r="AQ16" i="8"/>
  <c r="AP16" i="8"/>
  <c r="L16" i="8"/>
  <c r="AS15" i="8"/>
  <c r="AR15" i="8"/>
  <c r="AQ15" i="8"/>
  <c r="AP15" i="8"/>
  <c r="L15" i="8"/>
  <c r="AS14" i="8"/>
  <c r="AR14" i="8"/>
  <c r="AQ14" i="8"/>
  <c r="AP14" i="8"/>
  <c r="L14" i="8"/>
  <c r="AS13" i="8"/>
  <c r="AR13" i="8"/>
  <c r="AQ13" i="8"/>
  <c r="AP13" i="8"/>
  <c r="L13" i="8"/>
  <c r="AS12" i="8"/>
  <c r="AR12" i="8"/>
  <c r="AQ12" i="8"/>
  <c r="AP12" i="8"/>
  <c r="L12" i="8"/>
  <c r="AS11" i="8"/>
  <c r="AR11" i="8"/>
  <c r="AQ11" i="8"/>
  <c r="AP11" i="8"/>
  <c r="L11" i="8"/>
  <c r="AS10" i="8"/>
  <c r="AR10" i="8"/>
  <c r="AQ10" i="8"/>
  <c r="AP10" i="8"/>
  <c r="L10" i="8"/>
  <c r="AS9" i="8"/>
  <c r="AR9" i="8"/>
  <c r="AQ9" i="8"/>
  <c r="AP9" i="8"/>
  <c r="L9" i="8"/>
  <c r="AS8" i="8"/>
  <c r="AR8" i="8"/>
  <c r="AP8" i="8"/>
  <c r="L8" i="8"/>
  <c r="AS7" i="8"/>
  <c r="AR7" i="8"/>
  <c r="AP7" i="8"/>
  <c r="L7" i="8"/>
  <c r="AS6" i="8"/>
  <c r="AR6" i="8"/>
  <c r="AP6" i="8"/>
  <c r="L6" i="8"/>
  <c r="AS5" i="8"/>
  <c r="AR5" i="8"/>
  <c r="AQ5" i="8"/>
  <c r="AP5" i="8"/>
  <c r="L5" i="8"/>
  <c r="AS4" i="8"/>
  <c r="AR4" i="8"/>
  <c r="AP4" i="8"/>
  <c r="L4" i="8"/>
  <c r="AS3" i="8"/>
  <c r="AR3" i="8"/>
  <c r="AP3" i="8"/>
  <c r="L3" i="8"/>
  <c r="D85" i="4" l="1"/>
  <c r="E85" i="4" s="1"/>
  <c r="D86" i="4"/>
  <c r="D87" i="4" s="1"/>
  <c r="AG32" i="2"/>
  <c r="AG31" i="2"/>
  <c r="AG30" i="2"/>
  <c r="AG29" i="2"/>
  <c r="AG27" i="2"/>
  <c r="AG28" i="2"/>
  <c r="AG26" i="2"/>
  <c r="AG25" i="2"/>
  <c r="AG24" i="2"/>
  <c r="AC25" i="2"/>
  <c r="AD25" i="2"/>
  <c r="AC26" i="2"/>
  <c r="AD26" i="2"/>
  <c r="AC27" i="2"/>
  <c r="AD27" i="2"/>
  <c r="AC28" i="2"/>
  <c r="AD28" i="2"/>
  <c r="AC29" i="2"/>
  <c r="AD29" i="2"/>
  <c r="AC30" i="2"/>
  <c r="AD30" i="2"/>
  <c r="AC31" i="2"/>
  <c r="AD31" i="2"/>
  <c r="AC32" i="2"/>
  <c r="AD32" i="2"/>
  <c r="AD24" i="2"/>
  <c r="AC24" i="2"/>
  <c r="E86" i="4" l="1"/>
  <c r="AN134" i="1"/>
  <c r="AN136" i="1"/>
  <c r="AN137" i="1"/>
  <c r="AN145" i="1"/>
  <c r="AN140" i="1"/>
  <c r="AN31" i="1"/>
  <c r="AN40" i="1"/>
  <c r="AN158" i="1"/>
  <c r="AN159" i="1"/>
  <c r="AN146" i="1"/>
  <c r="AN160" i="1"/>
  <c r="AN155" i="1"/>
  <c r="AN156" i="1"/>
  <c r="AN157" i="1"/>
  <c r="AN147" i="1"/>
  <c r="AN148" i="1"/>
  <c r="AN149" i="1"/>
  <c r="AN150" i="1"/>
  <c r="AN151" i="1"/>
  <c r="AN152" i="1"/>
  <c r="AN32" i="1"/>
  <c r="AN33" i="1"/>
  <c r="AN34" i="1"/>
  <c r="AN35" i="1"/>
  <c r="AN6" i="1"/>
  <c r="AN7" i="1"/>
  <c r="AN8" i="1"/>
  <c r="AN3" i="1"/>
  <c r="AN4" i="1"/>
  <c r="AN5" i="1"/>
  <c r="AN161" i="1"/>
  <c r="AN162" i="1"/>
  <c r="AN163" i="1"/>
  <c r="AN164" i="1"/>
  <c r="AN165" i="1"/>
  <c r="AN166" i="1"/>
  <c r="AN167" i="1"/>
  <c r="AN123" i="1"/>
  <c r="AN109" i="1"/>
  <c r="AN110" i="1"/>
  <c r="AN105" i="1"/>
  <c r="AN111" i="1"/>
  <c r="AN106" i="1"/>
  <c r="AN112" i="1"/>
  <c r="AN107" i="1"/>
  <c r="AN113" i="1"/>
  <c r="AN108" i="1"/>
  <c r="AN114" i="1"/>
  <c r="AN115" i="1"/>
  <c r="AN124" i="1"/>
  <c r="AN125" i="1"/>
  <c r="AN116" i="1"/>
  <c r="AN126" i="1"/>
  <c r="AN117" i="1"/>
  <c r="AN118" i="1"/>
  <c r="AN23" i="1"/>
  <c r="AN28" i="1"/>
  <c r="AN29" i="1"/>
  <c r="AN153" i="1"/>
  <c r="AN30" i="1"/>
  <c r="AN154" i="1"/>
  <c r="AN24" i="1"/>
  <c r="AN25" i="1"/>
  <c r="AN26" i="1"/>
  <c r="AN27" i="1"/>
  <c r="AN119" i="1"/>
  <c r="AN120" i="1"/>
  <c r="AN121" i="1"/>
  <c r="AN141" i="1"/>
  <c r="AN122" i="1"/>
  <c r="AN127" i="1"/>
  <c r="AN128" i="1"/>
  <c r="AN129" i="1"/>
  <c r="AN168" i="1"/>
  <c r="AN176" i="1"/>
  <c r="AN177" i="1"/>
  <c r="AN178" i="1"/>
  <c r="AN169" i="1"/>
  <c r="AN170" i="1"/>
  <c r="AN171" i="1"/>
  <c r="AN172" i="1"/>
  <c r="AN173" i="1"/>
  <c r="AN174" i="1"/>
  <c r="AN175" i="1"/>
  <c r="AN51" i="1"/>
  <c r="AN36" i="1"/>
  <c r="AN37" i="1"/>
  <c r="AN38" i="1"/>
  <c r="AN39" i="1"/>
  <c r="AN52" i="1"/>
  <c r="AN54" i="1"/>
  <c r="AN55" i="1"/>
  <c r="AN56" i="1"/>
  <c r="AN57" i="1"/>
  <c r="AN53" i="1"/>
  <c r="AN48" i="1"/>
  <c r="AN102" i="1"/>
  <c r="AN103" i="1"/>
  <c r="AN104" i="1"/>
  <c r="AN95" i="1"/>
  <c r="AN64" i="1"/>
  <c r="AN65" i="1"/>
  <c r="AN66" i="1"/>
  <c r="AN67" i="1"/>
  <c r="AN68" i="1"/>
  <c r="AN69" i="1"/>
  <c r="AN70" i="1"/>
  <c r="AN71" i="1"/>
  <c r="AN72" i="1"/>
  <c r="AN73" i="1"/>
  <c r="AN101" i="1"/>
  <c r="AN49" i="1"/>
  <c r="AN50" i="1"/>
  <c r="AN96" i="1"/>
  <c r="AN97" i="1"/>
  <c r="AN98" i="1"/>
  <c r="AN99" i="1"/>
  <c r="AN100" i="1"/>
  <c r="AN88" i="1"/>
  <c r="AN89" i="1"/>
  <c r="AN90" i="1"/>
  <c r="AN94" i="1"/>
  <c r="AN91" i="1"/>
  <c r="AN92" i="1"/>
  <c r="AN93" i="1"/>
  <c r="AN80" i="1"/>
  <c r="AN81" i="1"/>
  <c r="AN82" i="1"/>
  <c r="AN58" i="1"/>
  <c r="AN83" i="1"/>
  <c r="AN59" i="1"/>
  <c r="AN60" i="1"/>
  <c r="AN61" i="1"/>
  <c r="AN62" i="1"/>
  <c r="AN63" i="1"/>
  <c r="AN41" i="1"/>
  <c r="AN84" i="1"/>
  <c r="AN85" i="1"/>
  <c r="AN42" i="1"/>
  <c r="AN43" i="1"/>
  <c r="AN74" i="1"/>
  <c r="AN75" i="1"/>
  <c r="AN86" i="1"/>
  <c r="AN76" i="1"/>
  <c r="AN87" i="1"/>
  <c r="AN44" i="1"/>
  <c r="AN45" i="1"/>
  <c r="AN9" i="1"/>
  <c r="AN10" i="1"/>
  <c r="AN11" i="1"/>
  <c r="AN46" i="1"/>
  <c r="AN47" i="1"/>
  <c r="AN77" i="1"/>
  <c r="AN78" i="1"/>
  <c r="AN79" i="1"/>
  <c r="AN17" i="1"/>
  <c r="AN12" i="1"/>
  <c r="AN13" i="1"/>
  <c r="AN14" i="1"/>
  <c r="AN15" i="1"/>
  <c r="AN16" i="1"/>
  <c r="AN18" i="1"/>
  <c r="AN138" i="1"/>
  <c r="AN19" i="1"/>
  <c r="AN20" i="1"/>
  <c r="AN21" i="1"/>
  <c r="AN22" i="1"/>
  <c r="AN135" i="1"/>
  <c r="AN130" i="1" l="1"/>
  <c r="AN139" i="1"/>
  <c r="AN142" i="1"/>
  <c r="AN143" i="1"/>
  <c r="AN144" i="1"/>
  <c r="AN131" i="1"/>
  <c r="AN132" i="1"/>
  <c r="AN133" i="1"/>
  <c r="Q27" i="2" l="1"/>
  <c r="Q26" i="2"/>
  <c r="M54" i="4" l="1"/>
  <c r="M55" i="4"/>
  <c r="C33" i="4" l="1"/>
  <c r="H15" i="4" l="1"/>
  <c r="G15" i="4"/>
  <c r="J8" i="4"/>
  <c r="J9" i="4"/>
  <c r="J10" i="4"/>
  <c r="J11" i="4"/>
  <c r="J7" i="4"/>
  <c r="D15" i="4"/>
  <c r="C15" i="4"/>
  <c r="I9" i="4"/>
  <c r="I7" i="4"/>
  <c r="J15" i="4" l="1"/>
  <c r="I71" i="4" l="1"/>
  <c r="E62" i="4"/>
  <c r="E71" i="4" s="1"/>
  <c r="E6" i="4"/>
  <c r="I12" i="3"/>
  <c r="I13" i="3"/>
  <c r="I14" i="3"/>
  <c r="C51" i="4" s="1"/>
  <c r="M51" i="4" s="1"/>
  <c r="I15" i="3"/>
  <c r="C52" i="4" s="1"/>
  <c r="M52" i="4" s="1"/>
  <c r="I16" i="3"/>
  <c r="C53" i="4" s="1"/>
  <c r="M53" i="4" s="1"/>
  <c r="D42" i="4"/>
  <c r="D33" i="4"/>
  <c r="C42" i="4"/>
  <c r="C50" i="4" l="1"/>
  <c r="M50" i="4" s="1"/>
  <c r="C49" i="4"/>
  <c r="M49" i="4" s="1"/>
  <c r="H71" i="4"/>
  <c r="G71" i="4"/>
  <c r="E15" i="4"/>
  <c r="D19" i="4"/>
  <c r="D28" i="4" s="1"/>
  <c r="T32" i="2" l="1"/>
  <c r="U37" i="2" l="1"/>
  <c r="U38" i="2"/>
  <c r="U36" i="2"/>
  <c r="O5" i="2"/>
  <c r="U29" i="2"/>
  <c r="U26" i="2" l="1"/>
  <c r="U25" i="2"/>
  <c r="U32" i="2"/>
  <c r="U24" i="2"/>
  <c r="U27" i="2"/>
  <c r="U23" i="2"/>
  <c r="U31" i="2"/>
  <c r="U28" i="2"/>
  <c r="U30" i="2"/>
  <c r="V33" i="2" l="1"/>
  <c r="W33" i="2" s="1"/>
  <c r="X33" i="2" s="1"/>
  <c r="Y33" i="2" l="1"/>
  <c r="AF27" i="2"/>
  <c r="AH27" i="2" s="1"/>
  <c r="AF28" i="2"/>
  <c r="AH28" i="2" s="1"/>
  <c r="AF26" i="2"/>
  <c r="AH26" i="2" s="1"/>
  <c r="R28" i="2"/>
  <c r="AF29" i="2"/>
  <c r="AH29" i="2" s="1"/>
  <c r="AF25" i="2"/>
  <c r="AH25" i="2" s="1"/>
  <c r="R31" i="2"/>
  <c r="AF32" i="2"/>
  <c r="AH32" i="2" s="1"/>
  <c r="R30" i="2"/>
  <c r="AF31" i="2"/>
  <c r="AH31" i="2" s="1"/>
  <c r="R29" i="2"/>
  <c r="AF30" i="2"/>
  <c r="AH30" i="2" s="1"/>
  <c r="R27" i="2"/>
  <c r="R26" i="2"/>
  <c r="R25" i="2"/>
  <c r="R24" i="2"/>
  <c r="K139" i="1" l="1"/>
  <c r="K142" i="1"/>
  <c r="K143" i="1"/>
  <c r="K144" i="1"/>
  <c r="K131" i="1"/>
  <c r="K132" i="1"/>
  <c r="K133" i="1"/>
  <c r="K130" i="1"/>
  <c r="P23" i="2" l="1"/>
  <c r="AF24" i="2" l="1"/>
  <c r="AH24" i="2" s="1"/>
  <c r="R23" i="2"/>
  <c r="Y32" i="2" l="1"/>
  <c r="E19" i="4"/>
  <c r="I11" i="4"/>
  <c r="I8" i="4"/>
  <c r="I6" i="4"/>
  <c r="I11" i="3"/>
  <c r="C48" i="4" s="1"/>
  <c r="D5" i="3"/>
  <c r="G201" i="2"/>
  <c r="H201" i="2" s="1"/>
  <c r="G200" i="2"/>
  <c r="H200" i="2" s="1"/>
  <c r="G199" i="2"/>
  <c r="H199" i="2" s="1"/>
  <c r="G198" i="2"/>
  <c r="H198" i="2" s="1"/>
  <c r="G197" i="2"/>
  <c r="H197" i="2" s="1"/>
  <c r="G196" i="2"/>
  <c r="H196" i="2" s="1"/>
  <c r="G195" i="2"/>
  <c r="H195" i="2" s="1"/>
  <c r="G194" i="2"/>
  <c r="H194" i="2" s="1"/>
  <c r="G193" i="2"/>
  <c r="H193" i="2" s="1"/>
  <c r="G192" i="2"/>
  <c r="H192" i="2" s="1"/>
  <c r="G191" i="2"/>
  <c r="H191" i="2" s="1"/>
  <c r="G190" i="2"/>
  <c r="H190" i="2" s="1"/>
  <c r="G189" i="2"/>
  <c r="H189" i="2" s="1"/>
  <c r="G188" i="2"/>
  <c r="H188" i="2" s="1"/>
  <c r="G187" i="2"/>
  <c r="H187" i="2" s="1"/>
  <c r="G186" i="2"/>
  <c r="H186" i="2" s="1"/>
  <c r="G185" i="2"/>
  <c r="H185" i="2" s="1"/>
  <c r="G184" i="2"/>
  <c r="H184" i="2" s="1"/>
  <c r="G183" i="2"/>
  <c r="H183" i="2" s="1"/>
  <c r="G182" i="2"/>
  <c r="H182" i="2" s="1"/>
  <c r="G181" i="2"/>
  <c r="H181" i="2" s="1"/>
  <c r="G180" i="2"/>
  <c r="H180" i="2" s="1"/>
  <c r="G179" i="2"/>
  <c r="H179" i="2" s="1"/>
  <c r="G178" i="2"/>
  <c r="H178" i="2" s="1"/>
  <c r="G177" i="2"/>
  <c r="H177" i="2" s="1"/>
  <c r="G176" i="2"/>
  <c r="H176" i="2" s="1"/>
  <c r="G175" i="2"/>
  <c r="H175" i="2" s="1"/>
  <c r="G174" i="2"/>
  <c r="H174" i="2" s="1"/>
  <c r="G173" i="2"/>
  <c r="H173" i="2" s="1"/>
  <c r="G172" i="2"/>
  <c r="H172" i="2" s="1"/>
  <c r="G171" i="2"/>
  <c r="H171" i="2" s="1"/>
  <c r="G170" i="2"/>
  <c r="H170" i="2" s="1"/>
  <c r="G169" i="2"/>
  <c r="H169" i="2" s="1"/>
  <c r="G168" i="2"/>
  <c r="H168" i="2" s="1"/>
  <c r="G167" i="2"/>
  <c r="H167" i="2" s="1"/>
  <c r="G166" i="2"/>
  <c r="H166" i="2" s="1"/>
  <c r="G165" i="2"/>
  <c r="H165" i="2" s="1"/>
  <c r="G164" i="2"/>
  <c r="H164" i="2" s="1"/>
  <c r="G163" i="2"/>
  <c r="H163" i="2" s="1"/>
  <c r="G162" i="2"/>
  <c r="H162" i="2" s="1"/>
  <c r="G161" i="2"/>
  <c r="H161" i="2" s="1"/>
  <c r="G160" i="2"/>
  <c r="H160" i="2" s="1"/>
  <c r="G159" i="2"/>
  <c r="H159" i="2" s="1"/>
  <c r="G158" i="2"/>
  <c r="H158" i="2" s="1"/>
  <c r="G157" i="2"/>
  <c r="H157" i="2" s="1"/>
  <c r="G156" i="2"/>
  <c r="H156" i="2" s="1"/>
  <c r="G155" i="2"/>
  <c r="H155" i="2" s="1"/>
  <c r="G154" i="2"/>
  <c r="H154" i="2" s="1"/>
  <c r="G153" i="2"/>
  <c r="H153" i="2" s="1"/>
  <c r="G152" i="2"/>
  <c r="H152" i="2" s="1"/>
  <c r="G151" i="2"/>
  <c r="H151" i="2" s="1"/>
  <c r="G150" i="2"/>
  <c r="H150" i="2" s="1"/>
  <c r="G149" i="2"/>
  <c r="H149" i="2" s="1"/>
  <c r="G148" i="2"/>
  <c r="H148" i="2" s="1"/>
  <c r="G147" i="2"/>
  <c r="H147" i="2" s="1"/>
  <c r="G146" i="2"/>
  <c r="H146" i="2" s="1"/>
  <c r="G145" i="2"/>
  <c r="H145" i="2" s="1"/>
  <c r="G144" i="2"/>
  <c r="H144" i="2" s="1"/>
  <c r="G143" i="2"/>
  <c r="H143" i="2" s="1"/>
  <c r="G142" i="2"/>
  <c r="H142" i="2" s="1"/>
  <c r="G141" i="2"/>
  <c r="H141" i="2" s="1"/>
  <c r="G140" i="2"/>
  <c r="H140" i="2" s="1"/>
  <c r="G139" i="2"/>
  <c r="H139" i="2" s="1"/>
  <c r="G138" i="2"/>
  <c r="H138" i="2" s="1"/>
  <c r="G137" i="2"/>
  <c r="H137" i="2" s="1"/>
  <c r="G136" i="2"/>
  <c r="H136" i="2" s="1"/>
  <c r="G135" i="2"/>
  <c r="H135" i="2" s="1"/>
  <c r="G134" i="2"/>
  <c r="H134" i="2" s="1"/>
  <c r="G133" i="2"/>
  <c r="H133" i="2" s="1"/>
  <c r="G132" i="2"/>
  <c r="H132" i="2" s="1"/>
  <c r="G131" i="2"/>
  <c r="H131" i="2" s="1"/>
  <c r="G130" i="2"/>
  <c r="H130" i="2" s="1"/>
  <c r="G129" i="2"/>
  <c r="H129" i="2" s="1"/>
  <c r="G128" i="2"/>
  <c r="H128" i="2" s="1"/>
  <c r="G127" i="2"/>
  <c r="H127" i="2" s="1"/>
  <c r="G126" i="2"/>
  <c r="H126" i="2" s="1"/>
  <c r="G125" i="2"/>
  <c r="H125" i="2" s="1"/>
  <c r="G124" i="2"/>
  <c r="H124" i="2" s="1"/>
  <c r="G123" i="2"/>
  <c r="H123" i="2" s="1"/>
  <c r="G122" i="2"/>
  <c r="H122" i="2" s="1"/>
  <c r="G121" i="2"/>
  <c r="H121" i="2" s="1"/>
  <c r="G120" i="2"/>
  <c r="H120" i="2" s="1"/>
  <c r="G119" i="2"/>
  <c r="H119" i="2" s="1"/>
  <c r="G118" i="2"/>
  <c r="H118" i="2" s="1"/>
  <c r="G117" i="2"/>
  <c r="H117" i="2" s="1"/>
  <c r="G116" i="2"/>
  <c r="H116" i="2" s="1"/>
  <c r="G115" i="2"/>
  <c r="H115" i="2" s="1"/>
  <c r="G114" i="2"/>
  <c r="H114" i="2" s="1"/>
  <c r="G113" i="2"/>
  <c r="H113" i="2" s="1"/>
  <c r="G112" i="2"/>
  <c r="H112" i="2" s="1"/>
  <c r="G111" i="2"/>
  <c r="H111" i="2" s="1"/>
  <c r="G110" i="2"/>
  <c r="H110" i="2" s="1"/>
  <c r="G109" i="2"/>
  <c r="H109" i="2" s="1"/>
  <c r="G108" i="2"/>
  <c r="H108" i="2" s="1"/>
  <c r="G107" i="2"/>
  <c r="H107" i="2" s="1"/>
  <c r="G106" i="2"/>
  <c r="H106" i="2" s="1"/>
  <c r="G105" i="2"/>
  <c r="H105" i="2" s="1"/>
  <c r="G104" i="2"/>
  <c r="H104" i="2" s="1"/>
  <c r="G103" i="2"/>
  <c r="H103" i="2" s="1"/>
  <c r="G102" i="2"/>
  <c r="H102" i="2" s="1"/>
  <c r="G101" i="2"/>
  <c r="H101" i="2" s="1"/>
  <c r="G100" i="2"/>
  <c r="H100" i="2" s="1"/>
  <c r="G99" i="2"/>
  <c r="H99" i="2" s="1"/>
  <c r="G98" i="2"/>
  <c r="H98" i="2" s="1"/>
  <c r="G97" i="2"/>
  <c r="H97" i="2" s="1"/>
  <c r="G96" i="2"/>
  <c r="H96" i="2" s="1"/>
  <c r="G95" i="2"/>
  <c r="H95" i="2" s="1"/>
  <c r="G94" i="2"/>
  <c r="H94" i="2" s="1"/>
  <c r="G93" i="2"/>
  <c r="H93" i="2" s="1"/>
  <c r="G92" i="2"/>
  <c r="H92" i="2" s="1"/>
  <c r="G91" i="2"/>
  <c r="H91" i="2" s="1"/>
  <c r="G90" i="2"/>
  <c r="H90" i="2" s="1"/>
  <c r="G89" i="2"/>
  <c r="H89" i="2" s="1"/>
  <c r="G88" i="2"/>
  <c r="H88" i="2" s="1"/>
  <c r="G87" i="2"/>
  <c r="H87" i="2" s="1"/>
  <c r="G86" i="2"/>
  <c r="H86" i="2" s="1"/>
  <c r="G85" i="2"/>
  <c r="H85" i="2" s="1"/>
  <c r="G84" i="2"/>
  <c r="H84" i="2" s="1"/>
  <c r="G83" i="2"/>
  <c r="H83" i="2" s="1"/>
  <c r="G82" i="2"/>
  <c r="H82" i="2" s="1"/>
  <c r="G81" i="2"/>
  <c r="H81" i="2" s="1"/>
  <c r="G80" i="2"/>
  <c r="H80" i="2" s="1"/>
  <c r="G79" i="2"/>
  <c r="H79" i="2" s="1"/>
  <c r="G78" i="2"/>
  <c r="H78" i="2" s="1"/>
  <c r="G77" i="2"/>
  <c r="H77" i="2" s="1"/>
  <c r="G76" i="2"/>
  <c r="H76" i="2" s="1"/>
  <c r="G75" i="2"/>
  <c r="H75" i="2" s="1"/>
  <c r="G74" i="2"/>
  <c r="H74" i="2" s="1"/>
  <c r="G73" i="2"/>
  <c r="H73" i="2" s="1"/>
  <c r="G72" i="2"/>
  <c r="H72" i="2" s="1"/>
  <c r="G71" i="2"/>
  <c r="H71" i="2" s="1"/>
  <c r="G70" i="2"/>
  <c r="H70" i="2" s="1"/>
  <c r="G69" i="2"/>
  <c r="H69" i="2" s="1"/>
  <c r="G68" i="2"/>
  <c r="H68" i="2" s="1"/>
  <c r="G67" i="2"/>
  <c r="H67" i="2" s="1"/>
  <c r="G66" i="2"/>
  <c r="H66" i="2" s="1"/>
  <c r="G65" i="2"/>
  <c r="H65" i="2" s="1"/>
  <c r="G64" i="2"/>
  <c r="H64" i="2" s="1"/>
  <c r="G63" i="2"/>
  <c r="H63" i="2" s="1"/>
  <c r="G62" i="2"/>
  <c r="H62" i="2" s="1"/>
  <c r="G61" i="2"/>
  <c r="H61" i="2" s="1"/>
  <c r="G60" i="2"/>
  <c r="H60" i="2" s="1"/>
  <c r="G59" i="2"/>
  <c r="H59" i="2" s="1"/>
  <c r="G58" i="2"/>
  <c r="H58" i="2" s="1"/>
  <c r="G57" i="2"/>
  <c r="H57" i="2" s="1"/>
  <c r="G56" i="2"/>
  <c r="H56" i="2" s="1"/>
  <c r="G55" i="2"/>
  <c r="H55" i="2" s="1"/>
  <c r="G54" i="2"/>
  <c r="H54" i="2" s="1"/>
  <c r="G53" i="2"/>
  <c r="H53" i="2" s="1"/>
  <c r="G52" i="2"/>
  <c r="H52" i="2" s="1"/>
  <c r="G51" i="2"/>
  <c r="H51" i="2" s="1"/>
  <c r="G50" i="2"/>
  <c r="H50" i="2" s="1"/>
  <c r="G49" i="2"/>
  <c r="H49" i="2" s="1"/>
  <c r="G48" i="2"/>
  <c r="H48" i="2" s="1"/>
  <c r="G47" i="2"/>
  <c r="H47" i="2" s="1"/>
  <c r="G46" i="2"/>
  <c r="H46" i="2" s="1"/>
  <c r="G45" i="2"/>
  <c r="H45" i="2" s="1"/>
  <c r="G44" i="2"/>
  <c r="H44" i="2" s="1"/>
  <c r="G43" i="2"/>
  <c r="H43" i="2" s="1"/>
  <c r="G42" i="2"/>
  <c r="H42" i="2" s="1"/>
  <c r="G41" i="2"/>
  <c r="H41" i="2" s="1"/>
  <c r="G40" i="2"/>
  <c r="H40" i="2" s="1"/>
  <c r="G39" i="2"/>
  <c r="H39" i="2" s="1"/>
  <c r="G38" i="2"/>
  <c r="H38" i="2" s="1"/>
  <c r="G37" i="2"/>
  <c r="H37" i="2" s="1"/>
  <c r="G36" i="2"/>
  <c r="H36" i="2" s="1"/>
  <c r="G35" i="2"/>
  <c r="H35" i="2" s="1"/>
  <c r="G34" i="2"/>
  <c r="H34" i="2" s="1"/>
  <c r="G33" i="2"/>
  <c r="H33" i="2" s="1"/>
  <c r="G32" i="2"/>
  <c r="H32" i="2" s="1"/>
  <c r="G31" i="2"/>
  <c r="H31" i="2" s="1"/>
  <c r="G30" i="2"/>
  <c r="H30" i="2" s="1"/>
  <c r="G29" i="2"/>
  <c r="H29" i="2" s="1"/>
  <c r="G28" i="2"/>
  <c r="H28" i="2" s="1"/>
  <c r="G27" i="2"/>
  <c r="H27" i="2" s="1"/>
  <c r="G26" i="2"/>
  <c r="H26" i="2" s="1"/>
  <c r="G25" i="2"/>
  <c r="H25" i="2" s="1"/>
  <c r="G24" i="2"/>
  <c r="H24" i="2" s="1"/>
  <c r="G23" i="2"/>
  <c r="H23" i="2" s="1"/>
  <c r="G22" i="2"/>
  <c r="H22" i="2" s="1"/>
  <c r="G21" i="2"/>
  <c r="H21" i="2" s="1"/>
  <c r="G20" i="2"/>
  <c r="H20" i="2" s="1"/>
  <c r="G19" i="2"/>
  <c r="H19" i="2" s="1"/>
  <c r="G18" i="2"/>
  <c r="H18" i="2" s="1"/>
  <c r="G17" i="2"/>
  <c r="H17" i="2" s="1"/>
  <c r="G16" i="2"/>
  <c r="H16" i="2" s="1"/>
  <c r="G15" i="2"/>
  <c r="H15" i="2" s="1"/>
  <c r="G14" i="2"/>
  <c r="H14" i="2" s="1"/>
  <c r="L133" i="1"/>
  <c r="AO133" i="1"/>
  <c r="L132" i="1"/>
  <c r="AO132" i="1"/>
  <c r="L131" i="1"/>
  <c r="AO131" i="1"/>
  <c r="L144" i="1"/>
  <c r="AO144" i="1"/>
  <c r="L143" i="1"/>
  <c r="AO143" i="1"/>
  <c r="L142" i="1"/>
  <c r="AO142" i="1"/>
  <c r="L139" i="1"/>
  <c r="AO139" i="1"/>
  <c r="L130" i="1"/>
  <c r="AO130" i="1"/>
  <c r="Z32" i="2" l="1"/>
  <c r="F19" i="4"/>
  <c r="E33" i="4"/>
  <c r="D13" i="3"/>
  <c r="E50" i="4" s="1"/>
  <c r="O50" i="4" s="1"/>
  <c r="O55" i="4"/>
  <c r="D14" i="3"/>
  <c r="E51" i="4" s="1"/>
  <c r="D12" i="3"/>
  <c r="E49" i="4" s="1"/>
  <c r="D11" i="3"/>
  <c r="E52" i="4"/>
  <c r="O53" i="4"/>
  <c r="O54" i="4"/>
  <c r="I15" i="4"/>
  <c r="C111" i="4" s="1"/>
  <c r="C113" i="4" s="1"/>
  <c r="F33" i="4" l="1"/>
  <c r="J65" i="4"/>
  <c r="L65" i="4" s="1"/>
  <c r="J66" i="4"/>
  <c r="L66" i="4" s="1"/>
  <c r="J62" i="4"/>
  <c r="J67" i="4"/>
  <c r="L67" i="4" s="1"/>
  <c r="J63" i="4"/>
  <c r="J68" i="4"/>
  <c r="L68" i="4" s="1"/>
  <c r="J70" i="4"/>
  <c r="L70" i="4" s="1"/>
  <c r="J64" i="4"/>
  <c r="L64" i="4" s="1"/>
  <c r="J69" i="4"/>
  <c r="L69" i="4" s="1"/>
  <c r="O49" i="4"/>
  <c r="O51" i="4"/>
  <c r="O52" i="4"/>
  <c r="X36" i="2"/>
  <c r="G19" i="4"/>
  <c r="E48" i="4"/>
  <c r="D19" i="3"/>
  <c r="M48" i="4"/>
  <c r="C56" i="4"/>
  <c r="D48" i="4"/>
  <c r="D49" i="4" s="1"/>
  <c r="D50" i="4" s="1"/>
  <c r="D51" i="4" s="1"/>
  <c r="D52" i="4" s="1"/>
  <c r="D56" i="4" s="1"/>
  <c r="E87" i="4" l="1"/>
  <c r="P52" i="4"/>
  <c r="Q52" i="4" s="1"/>
  <c r="F86" i="4" s="1"/>
  <c r="G86" i="4" s="1"/>
  <c r="D112" i="4" s="1"/>
  <c r="F112" i="4" s="1"/>
  <c r="G112" i="4" s="1"/>
  <c r="H112" i="4" s="1"/>
  <c r="P51" i="4"/>
  <c r="J71" i="4"/>
  <c r="L63" i="4"/>
  <c r="L62" i="4"/>
  <c r="N48" i="4"/>
  <c r="N49" i="4" s="1"/>
  <c r="N50" i="4" s="1"/>
  <c r="N51" i="4" s="1"/>
  <c r="N52" i="4" s="1"/>
  <c r="N56" i="4" s="1"/>
  <c r="M56" i="4"/>
  <c r="O48" i="4"/>
  <c r="E56" i="4"/>
  <c r="P50" i="4" l="1"/>
  <c r="P56" i="4" s="1"/>
  <c r="L71" i="4"/>
  <c r="O56" i="4"/>
  <c r="Q51" i="4" l="1"/>
  <c r="F85" i="4" l="1"/>
  <c r="Q56" i="4"/>
  <c r="F87" i="4" l="1"/>
  <c r="G85" i="4"/>
  <c r="D111" i="4" l="1"/>
  <c r="G87" i="4"/>
  <c r="G33" i="4"/>
  <c r="F111" i="4" l="1"/>
  <c r="D113" i="4"/>
  <c r="G111" i="4" l="1"/>
  <c r="H111" i="4" s="1"/>
  <c r="F113" i="4"/>
  <c r="G113" i="4" s="1"/>
  <c r="H113" i="4" s="1"/>
</calcChain>
</file>

<file path=xl/sharedStrings.xml><?xml version="1.0" encoding="utf-8"?>
<sst xmlns="http://schemas.openxmlformats.org/spreadsheetml/2006/main" count="2867" uniqueCount="715">
  <si>
    <t>Assessment year</t>
  </si>
  <si>
    <t>Plantation_id_(Estancia)</t>
  </si>
  <si>
    <t>Stand_id_(bloque)</t>
  </si>
  <si>
    <t>Land cover type</t>
  </si>
  <si>
    <t xml:space="preserve">Year of planting </t>
  </si>
  <si>
    <t>plot_id</t>
  </si>
  <si>
    <t>trees_measured</t>
  </si>
  <si>
    <t>area_plot_m2</t>
  </si>
  <si>
    <t>EXPFAC_HA</t>
  </si>
  <si>
    <t>species</t>
  </si>
  <si>
    <t>spacing</t>
  </si>
  <si>
    <t>X</t>
  </si>
  <si>
    <t>Y</t>
  </si>
  <si>
    <t>Site Index</t>
  </si>
  <si>
    <t>Layers</t>
  </si>
  <si>
    <t>G_ha (m2)_vivo_19</t>
  </si>
  <si>
    <t>G_ha (m2)_activo_192</t>
  </si>
  <si>
    <t>mean_Height_19</t>
  </si>
  <si>
    <t>Des_St_Height_19</t>
  </si>
  <si>
    <t>BA_weighted_meanH_19</t>
  </si>
  <si>
    <t>min_height_19</t>
  </si>
  <si>
    <t>max_height_19</t>
  </si>
  <si>
    <t>mean_DBH_19</t>
  </si>
  <si>
    <t>Des_St_DBH_19</t>
  </si>
  <si>
    <t>BA_weighted_meanDBH_19</t>
  </si>
  <si>
    <t>min_DBH</t>
  </si>
  <si>
    <t>Max_DBH</t>
  </si>
  <si>
    <t>Density_19_vivos</t>
  </si>
  <si>
    <t>density_activos_19</t>
  </si>
  <si>
    <t>Fungi_damage_19_average</t>
  </si>
  <si>
    <t>Fungi_damage_%</t>
  </si>
  <si>
    <t>wasp_damage_19</t>
  </si>
  <si>
    <t>ant_damage_19</t>
  </si>
  <si>
    <t>share_saw_19</t>
  </si>
  <si>
    <t>share_pulp_19</t>
  </si>
  <si>
    <t>AGB t/ha</t>
  </si>
  <si>
    <t>Strata</t>
  </si>
  <si>
    <t>2x7(PxR)</t>
  </si>
  <si>
    <t>NaN</t>
  </si>
  <si>
    <t>PL 01</t>
  </si>
  <si>
    <t>G7</t>
  </si>
  <si>
    <t>Number of trees</t>
  </si>
  <si>
    <t>AGB (t/)</t>
  </si>
  <si>
    <t>Stratum</t>
  </si>
  <si>
    <t>Area (ha)</t>
  </si>
  <si>
    <t>Count of  plot_uid</t>
  </si>
  <si>
    <t>Summe von Gnral+Apendix</t>
  </si>
  <si>
    <t>Average of Strata</t>
  </si>
  <si>
    <t>Z(1-a) - Confidence level</t>
  </si>
  <si>
    <t>Sample statistic Z(1-a)</t>
  </si>
  <si>
    <t>Plot</t>
  </si>
  <si>
    <t>BGB (t/ha)</t>
  </si>
  <si>
    <t>Mean tree biomass/ha</t>
  </si>
  <si>
    <t>Carbon stock in trees in the tree biomass/ha</t>
  </si>
  <si>
    <t>Average of bTREE,i</t>
  </si>
  <si>
    <t>Var of bTREE,i</t>
  </si>
  <si>
    <t>Count of bTREE,i2</t>
  </si>
  <si>
    <t>StdDev of bTREE,i</t>
  </si>
  <si>
    <t>Area_ha</t>
  </si>
  <si>
    <t>Wi</t>
  </si>
  <si>
    <t>bTREE (tdm ha-1)</t>
  </si>
  <si>
    <t>BTREE (tdm)</t>
  </si>
  <si>
    <t>CTREE (tCO2e)</t>
  </si>
  <si>
    <t>uC</t>
  </si>
  <si>
    <t/>
  </si>
  <si>
    <t>Summe von trees_measured</t>
  </si>
  <si>
    <t>Summe von AGB t/ha</t>
  </si>
  <si>
    <t>Rj</t>
  </si>
  <si>
    <t>bTREE,i</t>
  </si>
  <si>
    <t>Ctree t CO2/ha</t>
  </si>
  <si>
    <t>Grand Total</t>
  </si>
  <si>
    <t>Project year</t>
  </si>
  <si>
    <t>Total</t>
  </si>
  <si>
    <t>SOC Calculations</t>
  </si>
  <si>
    <t>Rate of change in SOC stocks</t>
  </si>
  <si>
    <t>tCha-1</t>
  </si>
  <si>
    <t>tCO2ha-1</t>
  </si>
  <si>
    <t>Strata 1-6</t>
  </si>
  <si>
    <t>Area correction (exclusion of all areas less than tree cover)</t>
  </si>
  <si>
    <t>Year</t>
  </si>
  <si>
    <t>Annual carbon stock change (tCO2e)</t>
  </si>
  <si>
    <t>Year of inclusion of the plot</t>
  </si>
  <si>
    <t xml:space="preserve">Area (ha) </t>
  </si>
  <si>
    <t>Area_excluded (ha)</t>
  </si>
  <si>
    <t>Corrected_area (ha)</t>
  </si>
  <si>
    <t xml:space="preserve">Total </t>
  </si>
  <si>
    <t>Calculation of pre-existing bassline carbon stocks in trees and shrubs</t>
  </si>
  <si>
    <t>Areas planted/ restored per year (ha)</t>
  </si>
  <si>
    <r>
      <t>C</t>
    </r>
    <r>
      <rPr>
        <vertAlign val="subscript"/>
        <sz val="10"/>
        <rFont val="Arial"/>
        <family val="2"/>
      </rPr>
      <t>TREE_BSL</t>
    </r>
  </si>
  <si>
    <r>
      <t>C</t>
    </r>
    <r>
      <rPr>
        <vertAlign val="subscript"/>
        <sz val="10"/>
        <rFont val="Arial"/>
        <family val="2"/>
      </rPr>
      <t>DW_BSL</t>
    </r>
    <r>
      <rPr>
        <sz val="10"/>
        <rFont val="Arial"/>
        <family val="2"/>
      </rPr>
      <t xml:space="preserve"> + C</t>
    </r>
    <r>
      <rPr>
        <vertAlign val="subscript"/>
        <sz val="10"/>
        <rFont val="Arial"/>
        <family val="2"/>
      </rPr>
      <t>LI_BSL</t>
    </r>
  </si>
  <si>
    <r>
      <t>C</t>
    </r>
    <r>
      <rPr>
        <vertAlign val="subscript"/>
        <sz val="10"/>
        <rFont val="Arial"/>
        <family val="2"/>
      </rPr>
      <t>SHRUB_BSL</t>
    </r>
  </si>
  <si>
    <r>
      <t>C</t>
    </r>
    <r>
      <rPr>
        <vertAlign val="subscript"/>
        <sz val="10"/>
        <rFont val="Arial"/>
        <family val="2"/>
      </rPr>
      <t>BSL_TOTAL</t>
    </r>
  </si>
  <si>
    <r>
      <t>Pre-existing biomass of trees (t CO</t>
    </r>
    <r>
      <rPr>
        <vertAlign val="subscript"/>
        <sz val="10"/>
        <rFont val="Arial"/>
        <family val="2"/>
      </rPr>
      <t>2</t>
    </r>
    <r>
      <rPr>
        <sz val="10"/>
        <rFont val="Arial"/>
        <family val="2"/>
      </rPr>
      <t>-e)</t>
    </r>
  </si>
  <si>
    <t>Dead wood and litter pre-existing trees</t>
  </si>
  <si>
    <r>
      <t>Pre-existing shrub biomass (t CO</t>
    </r>
    <r>
      <rPr>
        <vertAlign val="subscript"/>
        <sz val="10"/>
        <rFont val="Arial"/>
        <family val="2"/>
      </rPr>
      <t>2</t>
    </r>
    <r>
      <rPr>
        <sz val="10"/>
        <rFont val="Arial"/>
        <family val="2"/>
      </rPr>
      <t>-e)</t>
    </r>
  </si>
  <si>
    <t>Total biomass baseline</t>
  </si>
  <si>
    <r>
      <t>(t CO</t>
    </r>
    <r>
      <rPr>
        <vertAlign val="subscript"/>
        <sz val="10"/>
        <rFont val="Arial"/>
        <family val="2"/>
      </rPr>
      <t>2</t>
    </r>
    <r>
      <rPr>
        <sz val="10"/>
        <rFont val="Arial"/>
        <family val="2"/>
      </rPr>
      <t>-e)</t>
    </r>
  </si>
  <si>
    <r>
      <t>(t CO</t>
    </r>
    <r>
      <rPr>
        <vertAlign val="subscript"/>
        <sz val="10"/>
        <rFont val="Arial"/>
        <family val="2"/>
      </rPr>
      <t>2</t>
    </r>
    <r>
      <rPr>
        <sz val="10"/>
        <rFont val="Arial"/>
        <family val="2"/>
      </rPr>
      <t>e)</t>
    </r>
  </si>
  <si>
    <r>
      <t>Trees (B</t>
    </r>
    <r>
      <rPr>
        <vertAlign val="subscript"/>
        <sz val="10"/>
        <rFont val="Arial"/>
        <family val="2"/>
      </rPr>
      <t>TREE</t>
    </r>
    <r>
      <rPr>
        <sz val="10"/>
        <rFont val="Arial"/>
        <family val="2"/>
      </rPr>
      <t>)</t>
    </r>
  </si>
  <si>
    <t>Stratum (year of planting)</t>
  </si>
  <si>
    <r>
      <t>w</t>
    </r>
    <r>
      <rPr>
        <b/>
        <vertAlign val="subscript"/>
        <sz val="10"/>
        <rFont val="Arial"/>
        <family val="2"/>
      </rPr>
      <t>i</t>
    </r>
  </si>
  <si>
    <r>
      <t>b</t>
    </r>
    <r>
      <rPr>
        <b/>
        <vertAlign val="subscript"/>
        <sz val="10"/>
        <rFont val="Arial"/>
        <family val="2"/>
      </rPr>
      <t>TREE.t2</t>
    </r>
  </si>
  <si>
    <r>
      <t>B</t>
    </r>
    <r>
      <rPr>
        <b/>
        <vertAlign val="subscript"/>
        <sz val="10"/>
        <rFont val="Arial"/>
        <family val="2"/>
      </rPr>
      <t>TREE.t2</t>
    </r>
  </si>
  <si>
    <r>
      <t>C</t>
    </r>
    <r>
      <rPr>
        <b/>
        <vertAlign val="subscript"/>
        <sz val="10"/>
        <rFont val="Arial"/>
        <family val="2"/>
      </rPr>
      <t>TREE.t2</t>
    </r>
  </si>
  <si>
    <r>
      <t>t d.m. ha</t>
    </r>
    <r>
      <rPr>
        <b/>
        <vertAlign val="superscript"/>
        <sz val="10"/>
        <rFont val="Arial"/>
        <family val="2"/>
      </rPr>
      <t>-1</t>
    </r>
  </si>
  <si>
    <t>t d.m.</t>
  </si>
  <si>
    <r>
      <t>t CO</t>
    </r>
    <r>
      <rPr>
        <b/>
        <vertAlign val="subscript"/>
        <sz val="10"/>
        <rFont val="Arial"/>
        <family val="2"/>
      </rPr>
      <t>2</t>
    </r>
    <r>
      <rPr>
        <b/>
        <sz val="10"/>
        <rFont val="Arial"/>
        <family val="2"/>
      </rPr>
      <t>-e</t>
    </r>
  </si>
  <si>
    <t>TOTAL</t>
  </si>
  <si>
    <t>Calculation of uncertainty</t>
  </si>
  <si>
    <r>
      <t>s</t>
    </r>
    <r>
      <rPr>
        <b/>
        <vertAlign val="subscript"/>
        <sz val="10"/>
        <rFont val="Arial"/>
        <family val="2"/>
      </rPr>
      <t>i</t>
    </r>
  </si>
  <si>
    <r>
      <t>n</t>
    </r>
    <r>
      <rPr>
        <b/>
        <vertAlign val="subscript"/>
        <sz val="10"/>
        <rFont val="Arial"/>
        <family val="2"/>
      </rPr>
      <t>i</t>
    </r>
  </si>
  <si>
    <r>
      <t>u</t>
    </r>
    <r>
      <rPr>
        <b/>
        <vertAlign val="subscript"/>
        <sz val="10"/>
        <rFont val="Arial"/>
        <family val="2"/>
      </rPr>
      <t>c %</t>
    </r>
  </si>
  <si>
    <r>
      <t>u</t>
    </r>
    <r>
      <rPr>
        <b/>
        <vertAlign val="subscript"/>
        <sz val="10"/>
        <rFont val="Arial"/>
        <family val="2"/>
      </rPr>
      <t xml:space="preserve">c mean </t>
    </r>
  </si>
  <si>
    <r>
      <t>u</t>
    </r>
    <r>
      <rPr>
        <b/>
        <vertAlign val="subscript"/>
        <sz val="10"/>
        <rFont val="Arial"/>
        <family val="2"/>
      </rPr>
      <t xml:space="preserve">c </t>
    </r>
    <r>
      <rPr>
        <b/>
        <sz val="10"/>
        <rFont val="Arial"/>
        <family val="2"/>
      </rPr>
      <t>Discount t CO</t>
    </r>
    <r>
      <rPr>
        <b/>
        <vertAlign val="subscript"/>
        <sz val="10"/>
        <rFont val="Arial"/>
        <family val="2"/>
      </rPr>
      <t>2</t>
    </r>
    <r>
      <rPr>
        <b/>
        <sz val="10"/>
        <rFont val="Arial"/>
        <family val="2"/>
      </rPr>
      <t>-e</t>
    </r>
  </si>
  <si>
    <t xml:space="preserve">Calculation of SOC change for this monitoring period </t>
  </si>
  <si>
    <t xml:space="preserve"> SOC area  (ha) </t>
  </si>
  <si>
    <t>Cumulative</t>
  </si>
  <si>
    <r>
      <t>Total ΔSOC strata 1-4 (t CO</t>
    </r>
    <r>
      <rPr>
        <vertAlign val="subscript"/>
        <sz val="10"/>
        <rFont val="Arial"/>
        <family val="2"/>
      </rPr>
      <t>2</t>
    </r>
    <r>
      <rPr>
        <sz val="10"/>
        <rFont val="Arial"/>
        <family val="2"/>
      </rPr>
      <t>-e)</t>
    </r>
  </si>
  <si>
    <t xml:space="preserve">SOC area </t>
  </si>
  <si>
    <t>(ha)</t>
  </si>
  <si>
    <t>Change in carbon stocks during the period between two points of time t1 (pre-existing tree and shrub biomass) and t2</t>
  </si>
  <si>
    <t>Year of inclusion of project areas</t>
  </si>
  <si>
    <t>Area strata included in year t (ha)</t>
  </si>
  <si>
    <r>
      <t>C</t>
    </r>
    <r>
      <rPr>
        <vertAlign val="subscript"/>
        <sz val="10"/>
        <rFont val="Arial"/>
        <family val="2"/>
      </rPr>
      <t xml:space="preserve">TREE,t1 </t>
    </r>
    <r>
      <rPr>
        <sz val="10"/>
        <rFont val="Arial"/>
        <family val="2"/>
      </rPr>
      <t>= C</t>
    </r>
    <r>
      <rPr>
        <vertAlign val="subscript"/>
        <sz val="10"/>
        <rFont val="Arial"/>
        <family val="2"/>
      </rPr>
      <t>TREE_BSL,t1</t>
    </r>
  </si>
  <si>
    <r>
      <t>C</t>
    </r>
    <r>
      <rPr>
        <vertAlign val="subscript"/>
        <sz val="10"/>
        <color indexed="64"/>
        <rFont val="Arial"/>
        <family val="2"/>
      </rPr>
      <t>DW_BSL; t1</t>
    </r>
  </si>
  <si>
    <r>
      <t>C</t>
    </r>
    <r>
      <rPr>
        <vertAlign val="subscript"/>
        <sz val="10"/>
        <color indexed="64"/>
        <rFont val="Arial"/>
        <family val="2"/>
      </rPr>
      <t xml:space="preserve">SHRUB_BSL,t1 </t>
    </r>
    <r>
      <rPr>
        <sz val="10"/>
        <color indexed="64"/>
        <rFont val="Arial"/>
        <family val="2"/>
      </rPr>
      <t>(</t>
    </r>
    <r>
      <rPr>
        <sz val="10"/>
        <rFont val="Arial"/>
        <family val="2"/>
      </rPr>
      <t>t CO</t>
    </r>
    <r>
      <rPr>
        <vertAlign val="subscript"/>
        <sz val="10"/>
        <rFont val="Arial"/>
        <family val="2"/>
      </rPr>
      <t>2</t>
    </r>
    <r>
      <rPr>
        <sz val="10"/>
        <rFont val="Arial"/>
        <family val="2"/>
      </rPr>
      <t>-e</t>
    </r>
    <r>
      <rPr>
        <sz val="10"/>
        <color indexed="64"/>
        <rFont val="Arial"/>
        <family val="2"/>
      </rPr>
      <t>)</t>
    </r>
  </si>
  <si>
    <r>
      <t>C</t>
    </r>
    <r>
      <rPr>
        <vertAlign val="subscript"/>
        <sz val="10"/>
        <color indexed="64"/>
        <rFont val="Arial"/>
        <family val="2"/>
      </rPr>
      <t>TREE_PROJ_DISCOUNT; t2</t>
    </r>
  </si>
  <si>
    <r>
      <t>C</t>
    </r>
    <r>
      <rPr>
        <vertAlign val="subscript"/>
        <sz val="10"/>
        <color indexed="64"/>
        <rFont val="Arial"/>
        <family val="2"/>
      </rPr>
      <t>DW_PROJ;t2</t>
    </r>
  </si>
  <si>
    <r>
      <t>ΔC</t>
    </r>
    <r>
      <rPr>
        <vertAlign val="subscript"/>
        <sz val="10"/>
        <rFont val="Arial"/>
        <family val="2"/>
      </rPr>
      <t>TREE+DW_PROJ; (t2-t1)</t>
    </r>
  </si>
  <si>
    <r>
      <t>(</t>
    </r>
    <r>
      <rPr>
        <sz val="10"/>
        <rFont val="Arial"/>
        <family val="2"/>
      </rPr>
      <t>t CO</t>
    </r>
    <r>
      <rPr>
        <vertAlign val="subscript"/>
        <sz val="10"/>
        <rFont val="Arial"/>
        <family val="2"/>
      </rPr>
      <t>2</t>
    </r>
    <r>
      <rPr>
        <sz val="10"/>
        <rFont val="Arial"/>
        <family val="2"/>
      </rPr>
      <t>-e</t>
    </r>
    <r>
      <rPr>
        <sz val="10"/>
        <color indexed="64"/>
        <rFont val="Arial"/>
        <family val="2"/>
      </rPr>
      <t>)</t>
    </r>
  </si>
  <si>
    <t>Actual net greenhouse gas removals by sinks for the different years of the monitoring period</t>
  </si>
  <si>
    <t>Project implementation (cum. months)</t>
  </si>
  <si>
    <r>
      <t>Cumulative tree net GHG removals by sinks, in year t; (</t>
    </r>
    <r>
      <rPr>
        <sz val="10"/>
        <rFont val="Arial"/>
        <family val="2"/>
      </rPr>
      <t>t CO</t>
    </r>
    <r>
      <rPr>
        <vertAlign val="subscript"/>
        <sz val="10"/>
        <rFont val="Arial"/>
        <family val="2"/>
      </rPr>
      <t>2</t>
    </r>
    <r>
      <rPr>
        <sz val="10"/>
        <rFont val="Arial"/>
        <family val="2"/>
      </rPr>
      <t>-e</t>
    </r>
    <r>
      <rPr>
        <sz val="10"/>
        <color indexed="64"/>
        <rFont val="Arial"/>
        <family val="2"/>
      </rPr>
      <t>)</t>
    </r>
  </si>
  <si>
    <r>
      <t>Actual tree net GHG removals by sinks, in year t; (</t>
    </r>
    <r>
      <rPr>
        <sz val="10"/>
        <rFont val="Arial"/>
        <family val="2"/>
      </rPr>
      <t>t CO</t>
    </r>
    <r>
      <rPr>
        <vertAlign val="subscript"/>
        <sz val="10"/>
        <rFont val="Arial"/>
        <family val="2"/>
      </rPr>
      <t>2</t>
    </r>
    <r>
      <rPr>
        <sz val="10"/>
        <rFont val="Arial"/>
        <family val="2"/>
      </rPr>
      <t>-e</t>
    </r>
    <r>
      <rPr>
        <sz val="10"/>
        <color indexed="64"/>
        <rFont val="Arial"/>
        <family val="2"/>
      </rPr>
      <t>)</t>
    </r>
  </si>
  <si>
    <r>
      <t xml:space="preserve"> Actual SOC net GHG removals by sinks, in year t; (</t>
    </r>
    <r>
      <rPr>
        <sz val="10"/>
        <rFont val="Arial"/>
        <family val="2"/>
      </rPr>
      <t>t CO</t>
    </r>
    <r>
      <rPr>
        <vertAlign val="subscript"/>
        <sz val="10"/>
        <rFont val="Arial"/>
        <family val="2"/>
      </rPr>
      <t>2</t>
    </r>
    <r>
      <rPr>
        <sz val="10"/>
        <rFont val="Arial"/>
        <family val="2"/>
      </rPr>
      <t>-e</t>
    </r>
    <r>
      <rPr>
        <sz val="10"/>
        <color indexed="64"/>
        <rFont val="Arial"/>
        <family val="2"/>
      </rPr>
      <t>)</t>
    </r>
  </si>
  <si>
    <r>
      <t>Actual total net GHG removals by sinks, in year t; (</t>
    </r>
    <r>
      <rPr>
        <sz val="10"/>
        <rFont val="Arial"/>
        <family val="2"/>
      </rPr>
      <t>t CO</t>
    </r>
    <r>
      <rPr>
        <vertAlign val="subscript"/>
        <sz val="10"/>
        <rFont val="Arial"/>
        <family val="2"/>
      </rPr>
      <t>2</t>
    </r>
    <r>
      <rPr>
        <sz val="10"/>
        <rFont val="Arial"/>
        <family val="2"/>
      </rPr>
      <t>-e</t>
    </r>
    <r>
      <rPr>
        <sz val="10"/>
        <color indexed="64"/>
        <rFont val="Arial"/>
        <family val="2"/>
      </rPr>
      <t>)</t>
    </r>
  </si>
  <si>
    <t>GHG emissions due to leakage, in year t</t>
  </si>
  <si>
    <r>
      <t>LK</t>
    </r>
    <r>
      <rPr>
        <vertAlign val="subscript"/>
        <sz val="10"/>
        <color indexed="64"/>
        <rFont val="Arial"/>
        <family val="2"/>
      </rPr>
      <t>t</t>
    </r>
  </si>
  <si>
    <r>
      <t>t CO</t>
    </r>
    <r>
      <rPr>
        <vertAlign val="subscript"/>
        <sz val="10"/>
        <color indexed="64"/>
        <rFont val="Arial"/>
        <family val="2"/>
      </rPr>
      <t>2</t>
    </r>
    <r>
      <rPr>
        <sz val="10"/>
        <color indexed="64"/>
        <rFont val="Arial"/>
        <family val="2"/>
      </rPr>
      <t>-e</t>
    </r>
  </si>
  <si>
    <r>
      <t xml:space="preserve">Total San Pedro project </t>
    </r>
    <r>
      <rPr>
        <sz val="10"/>
        <color indexed="64"/>
        <rFont val="Arial"/>
        <family val="2"/>
      </rPr>
      <t xml:space="preserve">net change in carbon stocks for this monitoring period </t>
    </r>
  </si>
  <si>
    <t xml:space="preserve"> </t>
  </si>
  <si>
    <r>
      <t>(</t>
    </r>
    <r>
      <rPr>
        <sz val="10"/>
        <rFont val="Arial"/>
        <family val="2"/>
      </rPr>
      <t>t CO</t>
    </r>
    <r>
      <rPr>
        <vertAlign val="subscript"/>
        <sz val="10"/>
        <rFont val="Arial"/>
        <family val="2"/>
      </rPr>
      <t>2</t>
    </r>
    <r>
      <rPr>
        <sz val="10"/>
        <rFont val="Arial"/>
        <family val="2"/>
      </rPr>
      <t>-e</t>
    </r>
    <r>
      <rPr>
        <sz val="11"/>
        <rFont val="Arial"/>
        <family val="2"/>
      </rPr>
      <t>)</t>
    </r>
  </si>
  <si>
    <t>Spacing"</t>
  </si>
  <si>
    <t>Values</t>
  </si>
  <si>
    <t>Strata trees/ha</t>
  </si>
  <si>
    <t>LTA t CO2/ha</t>
  </si>
  <si>
    <t>Planting year</t>
  </si>
  <si>
    <t>Density Stratum</t>
  </si>
  <si>
    <t>Average bTREE, i t CO2e</t>
  </si>
  <si>
    <t>LTA Ex Ante</t>
  </si>
  <si>
    <t>∆ LTA, t CO2e to reach LTA</t>
  </si>
  <si>
    <t>Column1</t>
  </si>
  <si>
    <t>na1</t>
  </si>
  <si>
    <t>Maximum value</t>
  </si>
  <si>
    <t>476/416</t>
  </si>
  <si>
    <t>Average bTREE correction LTA</t>
  </si>
  <si>
    <t>Certified 2020</t>
  </si>
  <si>
    <t>BEF</t>
  </si>
  <si>
    <t>Stratum (year_density)</t>
  </si>
  <si>
    <t>2018_714</t>
  </si>
  <si>
    <t>Definition of t1</t>
  </si>
  <si>
    <t>1st instance verified area (ha)</t>
  </si>
  <si>
    <t>2nd intance 1st verification</t>
  </si>
  <si>
    <t>CTREE, t1 1st instance (ha) 31-12-2020</t>
  </si>
  <si>
    <t>CTREE,t1 2nd instance = CTREE_BSL,t1</t>
  </si>
  <si>
    <t>CDW_BSL;t1</t>
  </si>
  <si>
    <t>CSHRUB_BSL,t1 (t CO2-e</t>
  </si>
  <si>
    <t>DW</t>
  </si>
  <si>
    <t>area</t>
  </si>
  <si>
    <r>
      <t>Actual total net GHG removals by sinks, in year t; (</t>
    </r>
    <r>
      <rPr>
        <sz val="10"/>
        <color theme="0"/>
        <rFont val="Arial"/>
        <family val="2"/>
      </rPr>
      <t>t CO</t>
    </r>
    <r>
      <rPr>
        <vertAlign val="subscript"/>
        <sz val="10"/>
        <color theme="0"/>
        <rFont val="Arial"/>
        <family val="2"/>
      </rPr>
      <t>2</t>
    </r>
    <r>
      <rPr>
        <sz val="10"/>
        <color theme="0"/>
        <rFont val="Arial"/>
        <family val="2"/>
      </rPr>
      <t>-e)</t>
    </r>
  </si>
  <si>
    <r>
      <t>Cumulative tree net GHG removals by sinks, in year t; (</t>
    </r>
    <r>
      <rPr>
        <sz val="10"/>
        <color theme="0"/>
        <rFont val="Arial"/>
        <family val="2"/>
      </rPr>
      <t>t CO</t>
    </r>
    <r>
      <rPr>
        <vertAlign val="subscript"/>
        <sz val="10"/>
        <color theme="0"/>
        <rFont val="Arial"/>
        <family val="2"/>
      </rPr>
      <t>2</t>
    </r>
    <r>
      <rPr>
        <sz val="10"/>
        <color theme="0"/>
        <rFont val="Arial"/>
        <family val="2"/>
      </rPr>
      <t>-e)</t>
    </r>
  </si>
  <si>
    <r>
      <t>Actual tree net GHG removals by sinks, in year t; (</t>
    </r>
    <r>
      <rPr>
        <sz val="10"/>
        <color theme="0"/>
        <rFont val="Arial"/>
        <family val="2"/>
      </rPr>
      <t>t CO</t>
    </r>
    <r>
      <rPr>
        <vertAlign val="subscript"/>
        <sz val="10"/>
        <color theme="0"/>
        <rFont val="Arial"/>
        <family val="2"/>
      </rPr>
      <t>2</t>
    </r>
    <r>
      <rPr>
        <sz val="10"/>
        <color theme="0"/>
        <rFont val="Arial"/>
        <family val="2"/>
      </rPr>
      <t>-e)</t>
    </r>
  </si>
  <si>
    <r>
      <t xml:space="preserve"> Actual SOC net GHG removals by sinks, in year t; (</t>
    </r>
    <r>
      <rPr>
        <sz val="10"/>
        <color theme="0"/>
        <rFont val="Arial"/>
        <family val="2"/>
      </rPr>
      <t>t CO</t>
    </r>
    <r>
      <rPr>
        <vertAlign val="subscript"/>
        <sz val="10"/>
        <color theme="0"/>
        <rFont val="Arial"/>
        <family val="2"/>
      </rPr>
      <t>2</t>
    </r>
    <r>
      <rPr>
        <sz val="10"/>
        <color theme="0"/>
        <rFont val="Arial"/>
        <family val="2"/>
      </rPr>
      <t>-e)</t>
    </r>
  </si>
  <si>
    <r>
      <t>LK</t>
    </r>
    <r>
      <rPr>
        <vertAlign val="subscript"/>
        <sz val="10"/>
        <color theme="0"/>
        <rFont val="Arial"/>
        <family val="2"/>
      </rPr>
      <t xml:space="preserve">t </t>
    </r>
    <r>
      <rPr>
        <sz val="10"/>
        <color theme="0"/>
        <rFont val="Arial"/>
        <family val="2"/>
      </rPr>
      <t>t CO2-e</t>
    </r>
  </si>
  <si>
    <t>Column2</t>
  </si>
  <si>
    <t>Vol_ha_22</t>
  </si>
  <si>
    <t>Total ΔSOC strata 1-4 (t CO2-e)</t>
  </si>
  <si>
    <t>Calculation of SOC change for this monitoring period M1</t>
  </si>
  <si>
    <t xml:space="preserve">Calculation of SOC change for this monitoring period M2 </t>
  </si>
  <si>
    <t>SOC Change final</t>
  </si>
  <si>
    <t>Rodeo Guazu</t>
  </si>
  <si>
    <t>Ribera_1</t>
  </si>
  <si>
    <t>Ribera_1_Str1</t>
  </si>
  <si>
    <t>Ribera_4</t>
  </si>
  <si>
    <t>Ribera_4_Str1</t>
  </si>
  <si>
    <t>Ribera_5</t>
  </si>
  <si>
    <t>Ribera_5_Str1</t>
  </si>
  <si>
    <t>Ribera_2</t>
  </si>
  <si>
    <t>Ribera_2_Str1</t>
  </si>
  <si>
    <t>Ribera_3</t>
  </si>
  <si>
    <t>Ribera_3_Str1</t>
  </si>
  <si>
    <t>Chavez</t>
  </si>
  <si>
    <t>Chavez_Str1</t>
  </si>
  <si>
    <t>F_1</t>
  </si>
  <si>
    <t>F_1_Str1</t>
  </si>
  <si>
    <t>SSP_17_2</t>
  </si>
  <si>
    <t>SSP_17_2_Str1</t>
  </si>
  <si>
    <t>SSP_15</t>
  </si>
  <si>
    <t>SSP_15_Str1</t>
  </si>
  <si>
    <t>SSP_17_1</t>
  </si>
  <si>
    <t>SSP_17_1_Str1</t>
  </si>
  <si>
    <t>SSP_16_1</t>
  </si>
  <si>
    <t>SSP_16_1_Str1</t>
  </si>
  <si>
    <t>SSP_16_2</t>
  </si>
  <si>
    <t>SSP_16_2_Str1</t>
  </si>
  <si>
    <t>Abuelito_2</t>
  </si>
  <si>
    <t>Abuelito_2_Str1</t>
  </si>
  <si>
    <t>Abuelito_1</t>
  </si>
  <si>
    <t>Abuelito_1_Str1</t>
  </si>
  <si>
    <t>Tajamar_Guazu_1</t>
  </si>
  <si>
    <t>Tajamar_Guazu_1_Str1</t>
  </si>
  <si>
    <t>Tajamar_Guazu_2</t>
  </si>
  <si>
    <t>Tajamar_Guazu_2_Str2</t>
  </si>
  <si>
    <t>Tajamar_Guazu_2_Str1</t>
  </si>
  <si>
    <t>Naranja</t>
  </si>
  <si>
    <t>Naranja_Str1</t>
  </si>
  <si>
    <t>Jakare_2</t>
  </si>
  <si>
    <t>Jakare_2_Str1</t>
  </si>
  <si>
    <t>Jakare</t>
  </si>
  <si>
    <t>Jakare_Str2</t>
  </si>
  <si>
    <t>Jakare_Str1</t>
  </si>
  <si>
    <t>Jakare_3</t>
  </si>
  <si>
    <t>Jakare_3_Str1</t>
  </si>
  <si>
    <t>Lechera</t>
  </si>
  <si>
    <t>Lechera_Str1</t>
  </si>
  <si>
    <t>Aviacion_kue_1</t>
  </si>
  <si>
    <t>Aviacion_kue_1_Str1</t>
  </si>
  <si>
    <t>Aviacion_kue_2</t>
  </si>
  <si>
    <t>Aviacion_kue_2_Str1</t>
  </si>
  <si>
    <t>Mbokaja</t>
  </si>
  <si>
    <t>Mbokaja_Str1</t>
  </si>
  <si>
    <t>Pindaiva</t>
  </si>
  <si>
    <t>Pindaiva_Str1</t>
  </si>
  <si>
    <t>Torito_1</t>
  </si>
  <si>
    <t>Torito_1_Str1</t>
  </si>
  <si>
    <t>Torito_2</t>
  </si>
  <si>
    <t>Torito_2_Str1</t>
  </si>
  <si>
    <t>F_11</t>
  </si>
  <si>
    <t>F_11_Str1</t>
  </si>
  <si>
    <t>Diaz_de_espada</t>
  </si>
  <si>
    <t>Diaz_de_espada_Str1</t>
  </si>
  <si>
    <t>F_12</t>
  </si>
  <si>
    <t>F_12_Str1</t>
  </si>
  <si>
    <t>F_10</t>
  </si>
  <si>
    <t>F_10_Str1</t>
  </si>
  <si>
    <t>F_9</t>
  </si>
  <si>
    <t>F_9_Str1</t>
  </si>
  <si>
    <t>F_8</t>
  </si>
  <si>
    <t>F_8_Str1</t>
  </si>
  <si>
    <t>F_3</t>
  </si>
  <si>
    <t>F_3_Str1</t>
  </si>
  <si>
    <t>F_4</t>
  </si>
  <si>
    <t>F_4_Str1</t>
  </si>
  <si>
    <t>F_8_2</t>
  </si>
  <si>
    <t>F_8_2_Str1</t>
  </si>
  <si>
    <t>F_7</t>
  </si>
  <si>
    <t>F_7_Str1</t>
  </si>
  <si>
    <t>F_7_2</t>
  </si>
  <si>
    <t>F_7_2_Str1</t>
  </si>
  <si>
    <t>F_6</t>
  </si>
  <si>
    <t>F_6_Str1</t>
  </si>
  <si>
    <t>F_2</t>
  </si>
  <si>
    <t>F_2_Str1</t>
  </si>
  <si>
    <t>F_5</t>
  </si>
  <si>
    <t>F_5_Str1</t>
  </si>
  <si>
    <t>Aguaray_1</t>
  </si>
  <si>
    <t>Aguaray_1_Str1</t>
  </si>
  <si>
    <t>F_1_Str2</t>
  </si>
  <si>
    <t>Aguaray_3</t>
  </si>
  <si>
    <t>Aguaray_3_Str1</t>
  </si>
  <si>
    <t>Aguaray_2</t>
  </si>
  <si>
    <t>Aguaray_2_StrObs</t>
  </si>
  <si>
    <t>Aguaray_2_Str1</t>
  </si>
  <si>
    <t>Aguaray_4</t>
  </si>
  <si>
    <t>Aguaray_4_StrObs</t>
  </si>
  <si>
    <t>Ribera 1-3</t>
  </si>
  <si>
    <t>Ribera 4-2</t>
  </si>
  <si>
    <t>Ribera 5-3</t>
  </si>
  <si>
    <t>Ribera 5-1</t>
  </si>
  <si>
    <t>Ribera 5-4</t>
  </si>
  <si>
    <t>Ribera 1-2</t>
  </si>
  <si>
    <t>Ribera 1-1</t>
  </si>
  <si>
    <t>Ribera 2-3</t>
  </si>
  <si>
    <t>Ribera 3-1</t>
  </si>
  <si>
    <t>Ribera 3-2</t>
  </si>
  <si>
    <t>Ribera 5-2</t>
  </si>
  <si>
    <t>Ribera 4-3</t>
  </si>
  <si>
    <t>Chavez-2</t>
  </si>
  <si>
    <t>F-1-1</t>
  </si>
  <si>
    <t>SSP_17_2_3</t>
  </si>
  <si>
    <t>SSP_17_2_2</t>
  </si>
  <si>
    <t>SSP_15_3</t>
  </si>
  <si>
    <t>SSP_17_2_1</t>
  </si>
  <si>
    <t>SSP_17_1_2</t>
  </si>
  <si>
    <t>SSP_17_1_1</t>
  </si>
  <si>
    <t>SSP_17_1_3</t>
  </si>
  <si>
    <t>SSP_15_1</t>
  </si>
  <si>
    <t>SSP_15_2</t>
  </si>
  <si>
    <t>SSP_16_1_3</t>
  </si>
  <si>
    <t>SSP_16_1_1</t>
  </si>
  <si>
    <t>SSP_16_1_2</t>
  </si>
  <si>
    <t>SSP 16 2-1</t>
  </si>
  <si>
    <t>Chavez-4</t>
  </si>
  <si>
    <t>Chavez-1</t>
  </si>
  <si>
    <t>Chavez-3</t>
  </si>
  <si>
    <t>Chavez-5</t>
  </si>
  <si>
    <t>Abuelito-5</t>
  </si>
  <si>
    <t>Abuelito-4</t>
  </si>
  <si>
    <t>Abuelito-6</t>
  </si>
  <si>
    <t>Abuelito-1</t>
  </si>
  <si>
    <t>Abuelito-3</t>
  </si>
  <si>
    <t>Abuelito-2</t>
  </si>
  <si>
    <t>Tajamar Guazu-4</t>
  </si>
  <si>
    <t>Tajamar Guazu-3</t>
  </si>
  <si>
    <t>Tajamar Guazu-1</t>
  </si>
  <si>
    <t>Tajamar Guazu-2</t>
  </si>
  <si>
    <t>Tajamar_Guazu_2_3</t>
  </si>
  <si>
    <t>Tajamar_Guazu_2_1</t>
  </si>
  <si>
    <t>Tajamar_Guazu_2_2</t>
  </si>
  <si>
    <t>Naranja-3</t>
  </si>
  <si>
    <t>Jakare_2_3</t>
  </si>
  <si>
    <t>Jakare_2_2</t>
  </si>
  <si>
    <t>Jakare_2_4</t>
  </si>
  <si>
    <t>Jakare_4</t>
  </si>
  <si>
    <t>Jakare_2_5</t>
  </si>
  <si>
    <t>Jakare_5</t>
  </si>
  <si>
    <t>Jakare_2_1</t>
  </si>
  <si>
    <t>Jakare 1</t>
  </si>
  <si>
    <t>Jakare 2</t>
  </si>
  <si>
    <t>Naranja-4</t>
  </si>
  <si>
    <t>Naranja-1</t>
  </si>
  <si>
    <t>Jakare_1</t>
  </si>
  <si>
    <t>Naranja-2</t>
  </si>
  <si>
    <t>Lechera-4</t>
  </si>
  <si>
    <t>Lechera-3</t>
  </si>
  <si>
    <t>Aviacion kue-9</t>
  </si>
  <si>
    <t>Aviacion kue-5</t>
  </si>
  <si>
    <t>Aviacion kue-7</t>
  </si>
  <si>
    <t>SSP 16 2-2</t>
  </si>
  <si>
    <t>Aviacion kue-8</t>
  </si>
  <si>
    <t>SSP 16 2-3</t>
  </si>
  <si>
    <t>Aviacion kue-4</t>
  </si>
  <si>
    <t>Aviacion kue-6</t>
  </si>
  <si>
    <t>Aviacion kue-1</t>
  </si>
  <si>
    <t>Aviacion kue-2</t>
  </si>
  <si>
    <t>Mbokaja-2</t>
  </si>
  <si>
    <t>Mbokaja-4</t>
  </si>
  <si>
    <t>Mbokaja-1</t>
  </si>
  <si>
    <t>Mbokaja-3</t>
  </si>
  <si>
    <t>Pindaiva_3</t>
  </si>
  <si>
    <t>Pindaiva_1</t>
  </si>
  <si>
    <t>Pindaiva_2</t>
  </si>
  <si>
    <t>Torito-7</t>
  </si>
  <si>
    <t>Torito_2_1</t>
  </si>
  <si>
    <t>Torito_2_3</t>
  </si>
  <si>
    <t>Torito_2_2</t>
  </si>
  <si>
    <t>Torito-6</t>
  </si>
  <si>
    <t>Torito-3</t>
  </si>
  <si>
    <t>Torito-4</t>
  </si>
  <si>
    <t>Torito-2</t>
  </si>
  <si>
    <t>Torito-1</t>
  </si>
  <si>
    <t>Torito-5</t>
  </si>
  <si>
    <t>Torito-8</t>
  </si>
  <si>
    <t>F11 1</t>
  </si>
  <si>
    <t>Diaz de espada-2</t>
  </si>
  <si>
    <t>Diaz de espada-4</t>
  </si>
  <si>
    <t>Diaz de espada-1</t>
  </si>
  <si>
    <t>Diaz de espada-3</t>
  </si>
  <si>
    <t>F11 2</t>
  </si>
  <si>
    <t>F12 2</t>
  </si>
  <si>
    <t>F12 3</t>
  </si>
  <si>
    <t>F12 1</t>
  </si>
  <si>
    <t>F12 4</t>
  </si>
  <si>
    <t>F11 3</t>
  </si>
  <si>
    <t>F10 1</t>
  </si>
  <si>
    <t>F9 3</t>
  </si>
  <si>
    <t>F9 1</t>
  </si>
  <si>
    <t>F9 2</t>
  </si>
  <si>
    <t>F_8_3</t>
  </si>
  <si>
    <t>F3 2</t>
  </si>
  <si>
    <t>F3 1</t>
  </si>
  <si>
    <t>F3 4</t>
  </si>
  <si>
    <t>F3 5</t>
  </si>
  <si>
    <t>F4 4</t>
  </si>
  <si>
    <t>F4 5</t>
  </si>
  <si>
    <t>F4 1</t>
  </si>
  <si>
    <t>F4 3</t>
  </si>
  <si>
    <t>F4 2</t>
  </si>
  <si>
    <t>F_8_2_1</t>
  </si>
  <si>
    <t>F10 2</t>
  </si>
  <si>
    <t>F10 3</t>
  </si>
  <si>
    <t>F_8_1</t>
  </si>
  <si>
    <t>F_8_4</t>
  </si>
  <si>
    <t>F_8_6</t>
  </si>
  <si>
    <t>F_8_5</t>
  </si>
  <si>
    <t>F_7_5</t>
  </si>
  <si>
    <t>F_7_4</t>
  </si>
  <si>
    <t>F_7_2_1</t>
  </si>
  <si>
    <t>F_7_3</t>
  </si>
  <si>
    <t>F_7_1</t>
  </si>
  <si>
    <t>F_7_6</t>
  </si>
  <si>
    <t>F-6-6</t>
  </si>
  <si>
    <t>F-6-2</t>
  </si>
  <si>
    <t>F-6-1</t>
  </si>
  <si>
    <t>F_2_3</t>
  </si>
  <si>
    <t>F-6-5</t>
  </si>
  <si>
    <t>F_2_6</t>
  </si>
  <si>
    <t>F_2_2</t>
  </si>
  <si>
    <t>F_2_1</t>
  </si>
  <si>
    <t>F_2_5</t>
  </si>
  <si>
    <t>F_2_4</t>
  </si>
  <si>
    <t>F-1-2</t>
  </si>
  <si>
    <t>F-6-3</t>
  </si>
  <si>
    <t>F-6-8</t>
  </si>
  <si>
    <t>F-1-5</t>
  </si>
  <si>
    <t>F-1-8</t>
  </si>
  <si>
    <t>F-5-2</t>
  </si>
  <si>
    <t>F-5-5</t>
  </si>
  <si>
    <t>F-6-4</t>
  </si>
  <si>
    <t>F-5-4</t>
  </si>
  <si>
    <t>F-6-7</t>
  </si>
  <si>
    <t>F-1-4</t>
  </si>
  <si>
    <t>F-1-7</t>
  </si>
  <si>
    <t>Aguaray 1-3</t>
  </si>
  <si>
    <t>Aguaray 1-1</t>
  </si>
  <si>
    <t>Aguaray 1-2</t>
  </si>
  <si>
    <t>F-1-6</t>
  </si>
  <si>
    <t>F-1-3</t>
  </si>
  <si>
    <t>F-5-1</t>
  </si>
  <si>
    <t>F-5-3</t>
  </si>
  <si>
    <t>F-5-6</t>
  </si>
  <si>
    <t>Aguaray 3-3</t>
  </si>
  <si>
    <t>Aguaray 2-1</t>
  </si>
  <si>
    <t>Aguaray 2-2</t>
  </si>
  <si>
    <t>Aguaray 2-5</t>
  </si>
  <si>
    <t>Aguaray 2-3</t>
  </si>
  <si>
    <t>Aguaray 2-4</t>
  </si>
  <si>
    <t>Aguaray 3-6</t>
  </si>
  <si>
    <t>Ribera 3-3</t>
  </si>
  <si>
    <t>Aguaray 3-8</t>
  </si>
  <si>
    <t>Aguaray 4-6</t>
  </si>
  <si>
    <t>Aguaray 4-2</t>
  </si>
  <si>
    <t>Aguaray 4-5</t>
  </si>
  <si>
    <t>Ribera 2-2</t>
  </si>
  <si>
    <t>wkt_geom</t>
  </si>
  <si>
    <t>Bloque</t>
  </si>
  <si>
    <t>No_planta</t>
  </si>
  <si>
    <t>Especie</t>
  </si>
  <si>
    <t>Especie af</t>
  </si>
  <si>
    <t>Area_2</t>
  </si>
  <si>
    <t>Fecha plan</t>
  </si>
  <si>
    <t>Tabla apli</t>
  </si>
  <si>
    <t>Fecha medi</t>
  </si>
  <si>
    <t>Densidad a</t>
  </si>
  <si>
    <t>Altura Dom</t>
  </si>
  <si>
    <t>Altura med</t>
  </si>
  <si>
    <t>Altura m_1</t>
  </si>
  <si>
    <t>Altura m_2</t>
  </si>
  <si>
    <t>DAP medio</t>
  </si>
  <si>
    <t>DAP m�ni</t>
  </si>
  <si>
    <t>DAP m�xi</t>
  </si>
  <si>
    <t>Vol (m3/ha</t>
  </si>
  <si>
    <t>IMA Period</t>
  </si>
  <si>
    <t>Densidad d</t>
  </si>
  <si>
    <t>Fecha prim</t>
  </si>
  <si>
    <t>Fehcha ral</t>
  </si>
  <si>
    <t>Fecha Segu</t>
  </si>
  <si>
    <t>Area Basal</t>
  </si>
  <si>
    <t>Densidad v</t>
  </si>
  <si>
    <t>Nivel danh</t>
  </si>
  <si>
    <t>Porcentaje</t>
  </si>
  <si>
    <t>Densidad m</t>
  </si>
  <si>
    <t>Volumen ma</t>
  </si>
  <si>
    <t>Altura M_3</t>
  </si>
  <si>
    <t>Altura Max</t>
  </si>
  <si>
    <t>uso</t>
  </si>
  <si>
    <t>Ano planta</t>
  </si>
  <si>
    <t>MultiPolygon (((542178.05173633818048984 7350298.8411441994830966, 542135.00400680105667561 7350326.56030535511672497, 542125.29591349302791059 7350334.09685147553682327, 542153.37873057322576642 7350344.03096023853868246, 542151.3544797410722822 7350354.15172844100743532, 542153.65376499819103628 7350362.58244105149060488, 542161.95673953799996525 7350369.86351103242486715, 542181.2451880844309926 7350385.63916265778243542, 542210.80172417312860489 7350390.20868057012557983, 542224.93160797061864287 7350398.73231481667608023, 542234.81210897443816066 7350408.51950703375041485, 542231.31851146277040243 7350420.83100089989602566, 542225.20658702682703733 7350430.82934661209583282, 542218.22535930387675762 7350430.28361806832253933, 542213.81839589425362647 7350431.05004648771136999, 542217.1395857100142166 7350438.33111646864563227, 542215.22351466247346252 7350445.48444837983697653, 542211.90232484671287239 7350451.48813766147941351, 542206.4095878436928615 7350455.70349396672099829, 542203.66370697889942676 7350459.75388582050800323, 542179.75789696560241282 7350453.68069867044687271, 542170.13197600992862135 7350452.76551835890859365, 542173.45316582568921149 7350469.11599129810929298, 542168.1393532631918788 7350474.48710112646222115, 542161.34091173787601292 7350472.56416901387274265, 542155.86187249643262476 7350471.26248098723590374, 542131.86101480468641967 7350470.58125049155205488, 542123.0638785605551675 7350463.27575892955064774, 542111.37699235836043954 7350459.33815616369247437, 542099.96452065906487405 7350444.28213891386985779, 542111.39041087869554758 7350414.48727106861770153, 542106.82540009473450482 7350402.05601559206843376, 542095.25785159924998879 7350388.81328132469207048, 542079.97149735304992646 7350382.31240133289247751, 542070.23092387744691223 7350381.73718095291405916, 542065.59878172783646733 7350381.46363416686654091, 542055.29545122606214136 7350386.46946011390537024, 542037.66759758850093931 7350412.27255022153258324, 542025.78795709367841482 7350439.22528295684605837, 542016.71855413529556245 7350470.52111006714403629, 542009.05426994501613081 7350504.88265085406601429, 541999.47391470696311444 7350609.11691584251821041, 541994.61986805312335491 7350658.16833466105163097, 541991.0432020976440981 7350712.8402285510674119, 541992.95927314506843686 7350731.23451060894876719, 541995.76951068150810897 7350744.26379373203963041, 542002.15641417354345322 7350775.59155535884201527, 542020.21538379671983421 7350777.89084061607718468, 542025.86779338691849262 7350774.10660029761493206, 542033.6847069370560348 7350765.60570091381669044, 542038.81398640887346119 7350761.01558281481266022, 542046.21433165541384369 7350736.88416515477001667, 542049.59354405733756721 7350714.24005599692463875, 542052.70730049209669232 7350694.14875239878892899, 542064.48075573635287583 7350666.44093627668917179, 542079.50362989993300289 7350630.04668174125254154, 542091.3447208961006254 7350602.17160391062498093, 542099.10465000104159117 7350587.30064975842833519, 542105.0310788459610194 7350583.47680583689361811, 542116.53749855502974242 7350573.00453369412571192, 542177.74386784376110882 7350551.65404787939041853, 542188.89786432031542063 7350542.81728893518447876, 542194.10676935850642622 7350539.15234074555337429, 542205.73396642913576216 7350535.7167751407250762, 542211.29061448678839952 7350536.03265608474612236, 542217.96366492798551917 7350528.63532770425081253, 542220.84641545929480344 7350525.78713469486683607, 542226.17305929528083652 7350510.06021916121244431, 542260.95124055619817227 7350518.53272509947419167, 542274.78500563814304769 7350533.24739045090973377, 542280.913533711922355 7350555.26036370731890202, 542279.45796463894657791 7350591.82337338663637638, 542276.82597002410329878 7350606.56365419924259186, 542271.75798504916019738 7350623.23640475980937481, 542270.00932984100654721 7350631.81638989225029945, 542259.27821522031445056 7350645.52687691897153854, 542252.66307777783367783 7350652.33011543937027454, 542240.22001404652837664 7350661.02508885972201824, 542229.22266313305590302 7350662.52369758207350969, 542219.07719416683539748 7350666.59039025381207466, 542205.44435848854482174 7350673.83183951862156391, 542164.02470324363093823 7350665.08053359482437372, 542156.64024830318521708 7350663.73924263194203377, 542146.22685252374503762 7350666.60954037867486477, 542138.90425427642185241 7350673.57256135623902082, 542126.18566824961453676 7350690.12850422039628029, 542110.96315384132321924 7350722.41230104677379131, 542097.91506930254399776 7350740.05495419912040234, 542087.81785748840775341 7350751.88886880502104759, 542087.30879682453814894 7350755.70448833517730236, 542086.07814605929888785 7350760.65440634172409773, 542082.58908715611323714 7350763.26306350249797106, 542071.15228170983027667 7350760.34550629183650017, 542067.85541261092294008 7350764.51265728194266558, 542066.05738360877148807 7350776.35798377636820078, 542066.1531871611950919 7350792.45298057608306408, 542067.68427078798413277 7350802.16260662581771612, 542056.66863547591492534 7350816.30806511733680964, 542051.68685075233224779 7350841.40859584044665098, 542055.6633508310187608 7350864.80151068791747093, 542060.40497401857282966 7350873.79019654355943203, 542099.68443049292545766 7350882.50831981003284454, 542121.69676141021773219 7350883.91988399997353554, 542142.74018103571143001 7350887.9506723340600729, 542534.57841665833257139 7350760.23466780781745911, 542537.28808977117296308 7350754.3598894365131855, 542554.73389287071768194 7350738.75470192544162273, 542576.14026259060483426 7350704.15061245672404766, 542587.91104494291357696 7350675.87626533955335617, 542609.58724621613509953 7350646.10326485708355904, 542627.86718818743247539 7350635.69538416527211666, 542642.29186066053807735 7350625.2216838700696826, 542652.74708430981263518 7350619.25134277157485485, 542660.25859198370017111 7350618.55157515965402126, 542753.9597935457713902 7350360.43368225079029799, 542747.1967459733132273 7350348.94645687006413937, 542744.0769111510599032 7350343.0179833322763443, 542742.7048363049980253 7350334.08959395345300436, 542745.79595803353004158 7350325.31412541028112173, 542753.28951927996240556 7350318.97622838988900185, 542754.83013733429834247 7350316.10845557972788811, 542757.83338103827554733 7350309.47421089373528957, 542763.27746069245040417 7350309.32999335695058107, 542764.18391647771932185 7350308.45303509291261435, 542771.64811567834112793 7350309.10824876092374325, 542774.65012741344980896 7350302.58373784087598324, 542789.45947747642640024 7350261.46471344213932753, 542787.80941273388452828 7350257.51787860598415136, 542788.44810308306477964 7350248.51234468258917332, 542735.93157163262367249 7350235.86959450971335173, 542658.47254833695478737 7350217.73773547820746899, 542631.25551804481074214 7350213.73889922071248293, 542613.84830758231692016 7350214.5520978718996048, 542593.73564312362577766 7350215.4916850421577692, 542331.50329880765639246 7350228.76646555215120316, 542311.28254318458493799 7350235.61079962737858295, 542279.09254958410747349 7350248.89555889088660479, 542199.51173207175452262 7350286.83376563433557749, 542178.05173633818048984 7350298.8411441994830966),(542471.6367329532513395 7350401.31801262684166431, 542488.45025639270897955 7350389.89343900792300701, 542510.82529177458491176 7350396.23296026885509491, 542527.25069509935565293 7350411.12590129859745502, 542516.79613244789652526 7350432.6817005816847086, 542506.66835235676262528 7350441.39616184402257204, 542485.21688650059513748 7350436.6695234477519989, 542473.36119689582847059 7350423.19714889768511057, 542467.32557309698313475 7350409.94033233914524317, 542471.6367329532513395 7350401.31801262684166431)))</t>
  </si>
  <si>
    <t>G-0</t>
  </si>
  <si>
    <t>Ha</t>
  </si>
  <si>
    <t>33 ha</t>
  </si>
  <si>
    <t>SSP_PI</t>
  </si>
  <si>
    <t>MultiPolygon (((543139.45097211666870862 7356589.31731456983834505, 543151.04563446412794292 7356590.88600418157875538, 543181.46457215223927051 7356592.93212106544524431, 543225.38788128038868308 7356595.18284964188933372, 543248.85002156009431928 7356593.40954834129661322, 543299.5937203043140471 7356577.58624443225562572, 543318.41799564531538635 7356569.26536909863352776, 543335.4689696857240051 7356559.98963922075927258, 543350.61023463367018849 7356550.98672492895275354, 543361.18183853873051703 7356537.55055738426744938, 543369.80599019397050142 7356517.85818969458341599, 543369.84373335121199489 7356480.2592846117913723, 543385.93985284538939595 7356482.98744045756757259, 543406.94665286305826157 7356483.26025604270398617, 543422.08791781100444496 7356481.48695474211126566, 543433.13694898912217468 7356473.57530278712511063, 543448.10346642974764109 7356452.68009169772267342, 543451.85972925089299679 7356447.75960018020123243, 543493.50882532354444265 7356393.2078695148229599, 543507.25159760471433401 7356375.20767064113169909, 543526.18750182911753654 7356349.23012065701186657, 543569.44680242147296667 7356289.8840957535430789, 543619.93857972044497728 7356211.16600615158677101, 543663.33958524558693171 7356137.96304889675229788, 543683.5850374111905694 7356103.17123228590935469, 543750.95765999425202608 7355969.22574568446725607, 543756.05142448749393225 7355960.77786749880760908, 543757.75421633385121822 7355953.49446807522326708, 543699.89996096957474947 7355922.22007486969232559, 543617.48103940580040216 7355890.14761543460190296, 543519.11747869942337275 7355852.61054178327322006, 543425.25594741106033325 7355816.85026517603546381, 543364.61785341333597898 7355793.97667726408690214, 543360.26408851984888315 7355787.81972059234976768, 543283.70647487230598927 7355759.36905993055552244, 543243.1068431930616498 7355748.65200227219611406, 543230.05610707122832537 7355755.1594266751781106, 543220.91893178038299084 7355743.82805760391056538, 543223.01530931144952774 7355736.02936750929802656, 543217.87106013204902411 7355740.2829407500103116, 543215.52803905587643385 7355741.32935456186532974, 543212.38338810671120882 7355742.37946116831153631, 543208.5166119784116745 7355738.98398570436984301, 543142.39454716164618731 7355718.125893859192729, 543072.81497362442314625 7355699.30091466382145882, 543046.41570469550788403 7355692.65186154842376709, 542968.68447121605277061 7355675.22421800065785646, 542942.08144654612988234 7355670.22398905362933874, 542892.23374591674655676 7355660.85475684143602848, 542887.63164317328482866 7355659.63422853406518698, 542882.91322826081886888 7355658.64682426583021879, 542890.99354761454742402 7355858.02376761939376593, 542890.78970777580980211 7355858.08678862173110247, 542917.32341413910035044 7356541.01286387257277966, 542915.78766197059303522 7356559.78502753470093012, 542948.1163087512832135 7356568.15137213189154863, 542979.76291657018009573 7356572.42548295576125383, 543001.67910187027882785 7356572.69829854089766741, 543066.33639543142635375 7356570.69765091873705387, 543105.48543182830326259 7356582.83794443402439356, 543131.6075240580830723 7356587.54401327017694712, 543139.45097211666870862 7356589.31731456983834505),(542899.1004420428071171 7355816.08974379394203424, 542896.55416325270198286 7355786.53472212515771389, 542914.19623772660270333 7355784.71595156099647284, 542936.17992621019948274 7355791.11991665326058865, 542939.3862100422848016 7355793.35511174146085978, 542940.47747238096781075 7355799.08423901908099651, 542936.74899272411130369 7355802.44896456133574247, 542899.1004420428071171 7355816.08974379394203424)))</t>
  </si>
  <si>
    <t>G-2</t>
  </si>
  <si>
    <t>56 ha</t>
  </si>
  <si>
    <t>PP</t>
  </si>
  <si>
    <t>MultiPolygon (((542028.6705239323200658 7356021.41819275356829166, 542042.76852509914897382 7356042.68891993537545204, 542066.15993317391257733 7356100.93811259232461452, 542104.75239807856269181 7356131.46455964259803295, 542138.67246910301037133 7356153.83543758187443018, 542151.94949422252830118 7356165.83932330645620823, 542210.48661629948765039 7356225.79045580048114061, 542260.42778873257339001 7356282.55851635336875916, 542314.43462811969220638 7356349.42972851358354092, 542326.91522250976413488 7356373.36104469187557697, 542345.83043637860100716 7356400.64260315708816051, 542412.93658614251762629 7356454.18082292098551989, 542420.53513193596154451 7356459.7922355979681015, 542440.58838277938775718 7356476.12158157769590616, 542460.59485898679122329 7356487.03420496359467506, 542486.05764688726048917 7356494.30928722023963928, 542530.43564865656662732 7356503.94877121224999428, 542620.42927613668143749 7356516.25473644398152828, 542635.80259248334914446 7356518.43742756638675928, 542654.64021182677242905 7356521.11197764798998833, 542745.8248191939201206 7356531.01092719938606024, 542803.96852772869169712 7356533.29580645076930523, 542822.14530394785106182 7356528.78731231205165386, 542844.19168980326503515 7356526.83040882274508476, 542850.75431706570088863 7356526.83040882274508476, 542866.70677863340824842 7356528.43194213230162859, 542892.68927580385934561 7356545.09845522791147232, 542915.78766197059303522 7356559.78502753470093012, 542917.32341413910035044 7356541.01286387257277966, 542890.78970777580980211 7355858.08678862173110247, 542890.99354761454742402 7355858.02376761939376593, 542882.91322826081886888 7355658.64682426583021879, 542872.54714054148644209 7355656.47755355667322874, 542861.89115514885634184 7355653.54896477330476046, 542856.37918641604483128 7355652.66583675146102905, 542791.54985847882926464 7355642.27887722011655569, 542700.17844626400619745 7355630.93168365769088268, 542604.44025133550167084 7355619.97732878196984529, 542571.54564224369823933 7355615.67707403004169464, 542518.08579709753394127 7355608.68836191296577454, 542509.09825735259801149 7355607.51510634925216436, 542435.22223411966115236 7355597.87114842422306538, 542372.70181738864630461 7355588.45053513906896114, 542331.49795635789632797 7355586.53020655829459429, 542288.1820319090038538 7355580.06873629242181778, 542202.0691878218203783 7355569.52886308450251818, 542197.09234628733247519 7355568.49480702541768551, 542192.20945802889764309 7355567.49759665690362453, 542144.34201725013554096 7355562.44105755817145109, 542123.97561553213745356 7355559.37215921655297279, 542118.28386859502643347 7355560.41865737177431583, 542108.49837215710431337 7355559.0606347881257534, 542036.03932025749236345 7355549.00483131874352694, 541948.25731740496121347 7355529.59154659975320101, 541963.94656100496649742 7355965.64338442217558622, 542019.94096559938043356 7356007.8026081956923008, 542022.27846335712820292 7356010.66332404222339392, 542028.6705239323200658 7356021.41819275356829166),(542653.14629937149584293 7356350.80595776718109846, 542708.7715185156557709 7356372.48343287501484156, 542714.08863505185581744 7356430.35820132214576006, 542704.22428216796834022 7356370.71134812198579311, 542653.14629937149584293 7356350.80595776718109846),(542700.67257347609847784 7356260.68820823915302753, 542710.03924188250675797 7356262.50697880517691374, 542718.58746353478636593 7356265.96264287736266851, 542725.02202804642729461 7356265.72014420386403799, 542731.44111396069638431 7356274.97784719616174698, 542725.1350375663023442 7356297.97300480958074331, 542725.68066873552743345 7356311.25002992898225784, 542723.4981440583942458 7356315.43320222664624453, 542717.49620119610335678 7356315.79695633985102177, 542710.58487305173184723 7356317.43384984787553549, 542701.49102023022715002 7356310.34064464643597603, 542691.76059771107975394 7356308.15811996906995773, 542686.07465974800288677 7356305.04854950960725546, 542682.39392930490430444 7356288.60633640270680189, 542693.76124533184338361 7356270.50956928823143244, 542700.67257347609847784 7356260.68820823915302753),(542578.76947640266735107 7355926.1253629308193922, 542525.93352520919870585 7355923.63772950042039156, 542514.02124431298580021 7355922.2150062182918191, 542511.15668067417573184 7355908.30141140148043633, 542510.61104950495064259 7355894.79703996144235134, 542526.44452494441065937 7355884.3176597012206912, 542534.89163653843570501 7355869.97082175873219967, 542548.12319239391945302 7355856.46645031869411469, 542553.85231967130675912 7355837.09654380846768618, 542562.11704242881387472 7355830.2421428095549345, 542615.87239591486286372 7355850.00981481373310089, 542627.87628163921181113 7355888.84056636225432158, 542651.7021760317729786 7355904.3001161590218544, 542663.88793881249148399 7355914.57616984657943249, 542660.8869673814624548 7355926.48911704309284687, 542661.32156404573470354 7355932.42532059457153082, 542656.15816391445696354 7355935.94672397896647453, 542633.46173704299144447 7355933.14445106312632561, 542606.14197339571546763 7355927.94413349591195583, 542578.76947640266735107 7355926.1253629308193922),(542657.84990246105007827 7356347.7383905341848731, 542676.05080137215554714 7356331.37803196255117655, 542696.91025855124462396 7356336.69514849875122309, 542716.13367987319361418 7356347.12487708777189255, 542723.70034571271389723 7356354.69154292717576027, 542722.06430985545739532 7356361.84919980261474848, 542713.27061712311115116 7356367.98433426767587662, 542700.08007802453357726 7356364.40550582949072123, 542687.50305237248539925 7356362.25820876751095057, 542665.82557726465165615 7356352.1352369012311101, 542657.84990246105007827 7356347.7383905341848731)))</t>
  </si>
  <si>
    <t>G-1</t>
  </si>
  <si>
    <t>71 ha</t>
  </si>
  <si>
    <t>MultiPolygon (((541605.14220138546079397 7355352.57975456584244967, 541566.59535716474056244 7355323.06285736430436373, 541496.35678793862462044 7355269.55262157786637545, 541486.64257977437227964 7355261.66473660245537758, 541472.28327882196754217 7355251.29283873550593853, 541454.06231977604329586 7355238.13161822408437729, 541400.07076837494969368 7355199.13179992511868477, 541383.3624026607722044 7355187.06281486991792917, 541348.78872009296901524 7355162.04661121405661106, 541300.2240984458476305 7355126.90709539316594601, 541223.40100212953984737 7355070.24993834923952818, 541204.83283023349940777 7355053.78462267108261585, 541147.08471366297453642 7355005.64720350224524736, 541143.23046836443245411 7355003.29180687293410301, 541139.23204935435205698 7355001.23379367962479591, 541135.33878693077713251 7355000.14987449068576097, 541130.38244058564305305 7355000.21973751951009035, 541120.57007089909166098 7355002.62348020635545254, 541107.20221281540580094 7355008.91936732456088066, 541101.50806189537979662 7355017.46059370413422585, 541110.83975394442677498 7355213.34917875193059444, 541116.29606563702691346 7355356.85017627850174904, 541137.57568123983219266 7355410.32203086465597153, 541145.03264055354520679 7355429.7828759029507637, 541143.60329726617783308 7355470.7181497672572732, 541147.44251155201345682 7355524.6317608617246151, 541158.90076610690448433 7355553.91396694723516703, 541165.99397130799479783 7355564.09908210765570402, 541203.82439904578495771 7355596.10944403987377882, 541225.10401464812457561 7355610.47773149702697992, 541280.66745538788381964 7355633.75799472257494926, 541299.30985367216635495 7355675.77159475442022085, 541317.49755931529216468 7355711.05574370268732309, 541354.41860177088528872 7355757.98002426140010357, 541398.43284942745231092 7355799.62987018562853336, 541410.43673515191767365 7355810.1787394592538476, 541420.4399732556194067 7355815.45317409560084343, 541432.17104339541401714 7355815.36223556846380234, 541446.81214643782004714 7355813.36158794816583395, 541461.6012332501122728 7355814.83733729925006628, 541475.18496724113356322 7355821.72793254442512989, 541498.28335340798366815 7355837.73311350960284472, 541508.65034562442451715 7355846.46321221720427275, 541525.74678892886731774 7355854.37486417219042778, 541532.65811707335524261 7355856.92114296182990074, 541549.57268332166131586 7355865.37842608522623777, 541570.48854481126181781 7355870.83473777770996094, 541669.42966350971255451 7355878.01888150628656149, 541730.54035447083879262 7355876.56386505533009768, 541769.8257986600510776 7355871.28943041898310184, 541815.84069393726531416 7355863.19590140599757433, 541828.93584200029727072 7355861.55900789797306061, 541835.30927120347041637 7355861.90478196647018194, 541844.75914590980391949 7355867.10625812038779259, 541846.65996000659652054 7355880.26313173491507769, 541861.12808098853565753 7355903.66354646626859903, 541875.13261433376464993 7355917.8499568672850728, 541933.51514944829978049 7355947.13216295279562473, 541958.06855206657201052 7355960.5001266011968255, 541963.94656100496649742 7355965.64338442217558622, 541948.25731740496121347 7355529.59154659975320101, 541908.39576679654419422 7355520.77603081986308098, 541897.73693613591603935 7355517.97230702359229326, 541897.90280370740219951 7355517.05518108420073986, 541880.79572714352980256 7355513.5160517068579793, 541861.94411993306130171 7355508.55728076584637165, 541834.52584360912442207 7355501.34511310607194901, 541791.33131161704659462 7355486.56686876714229584, 541752.03942613583058119 7355461.31853112950921059, 541751.50082807708531618 7355459.95433161314576864, 541701.52538770716637373 7355425.99662106763571501, 541656.04763175081461668 7355391.56012728996574879, 541605.14220138546079397 7355352.57975456584244967),(541375.52491612068843096 7355615.14679006114602089, 541357.82879657833836973 7355615.7066968372091651, 541345.73397232557181269 7355609.022715013474226, 541334.45759482705034316 7355599.29229249432682991, 541331.6385004521580413 7355561.46186475828289986, 541339.32280608650762588 7355561.78014960512518883, 541343.46804375620558858 7355558.11238932516425848, 541346.64335760730318725 7355555.73273747600615025, 541348.18931258691009134 7355545.72949937172234058, 541370.10549788689240813 7355544.54729850497096777, 541370.65112905623391271 7355552.27707340382039547, 541376.10744074918329716 7355556.82399981468915939, 541382.44117271772120148 7355560.81070599798113108, 541384.02684385282918811 7355563.45786937605589628, 541385.38317062752321362 7355596.83695223182439804, 541384.74660092999693006 7355614.56996523309499025, 541375.52491612068843096 7355615.14679006114602089),(541780.42518910823855549 7355557.50252078659832478, 541779.78356749948579818 7355548.54859377723187208, 541775.23664108861703426 7355547.91202407982200384, 541774.23631727823521942 7355530.99745783116668463, 541777.58541122928727418 7355524.10753521509468555, 541790.51431382901500911 7355524.3589452700689435, 541802.70007660961709917 7355519.72108033299446106, 541804.51884717389475554 7355533.54373662173748016, 541807.42888007685542107 7355538.36347861681133509, 541802.04369475750718266 7355543.45599082112312317, 541803.60946189181413502 7355553.45927430037409067, 541796.15250257810112089 7355558.18807776737958193, 541788.60460473620332778 7355554.45959811098873615, 541780.42518910823855549 7355557.50252078659832478)))</t>
  </si>
  <si>
    <t>42 ha</t>
  </si>
  <si>
    <t>MultiPolygon (((541512.42429454438388348 7355254.99902467802166939, 541559.71232921676710248 7355287.00938661117106676, 541571.89809199771843851 7355291.01068185269832611, 541571.17058377200737596 7355255.3627787921577692, 541562.55450610257685184 7355239.65646116249263287, 541544.60075925476849079 7355201.58537787944078445, 541530.14976129308342934 7355154.58644517138600349, 541515.57721137814223766 7355136.38390007242560387, 541474.74210944585502148 7355090.24055943172425032, 541451.13172652735374868 7355048.56856562662869692, 541436.61407893802970648 7355000.52867641020566225, 541432.051661042496562 7354962.61418130621314049, 541401.84304423409048468 7354917.07145382463932037, 541385.9288017968647182 7354899.06562524847686291, 541385.9288017968647182 7354876.96756289154291153, 541397.01574956998229027 7354865.16298112273216248, 541421.73447199538350105 7354848.94449855573475361, 541438.47418268211185932 7354831.85807870328426361, 541447.42658515181392431 7354809.36523307859897614, 541443.85664426989387721 7354777.026120375841856, 541433.28375936951488256 7354765.45557592995464802, 541426.7602009653346613 7354758.65653767623007298, 541409.8456347172614187 7354750.65394719317555428, 541391.56699054583441466 7354742.37854112684726715, 541382.10938361147418618 7354719.28015496022999287, 541381.01812127279117703 7354693.99924411624670029, 541360.15721664484590292 7354679.5934089096263051, 541265.3443133826367557 7354641.70959039311856031, 541235.33459907141514122 7354635.52577047701925039, 541153.94461631844751537 7354638.8904960174113512, 541099.92713055817876011 7354636.70797134004533291, 541082.4214638767298311 7354638.84502675384283066, 541095.97130458080209792 7354932.39459583722054958, 541119.88813750143162906 7354945.39880537148565054, 541130.43700677447486669 7354952.12825645972043276, 541139.98555223690345883 7354964.31401924043893814, 541152.35319207445718348 7354978.22761405631899834, 541178.17973408778198063 7355004.7816642951220274, 541199.64122674660757184 7355019.14995175320655107, 541234.01599041209556162 7355052.97908424958586693, 541256.70515320205595344 7355070.93944357149302959, 541270.93703286803793162 7355076.75950937718153, 541282.71357227175030857 7355092.58281328715384007, 541362.19384593225549906 7355150.96534839924424887, 541436.03593084332533181 7355200.2540306905284524, 541512.42429454438388348 7355254.99902467802166939)))</t>
  </si>
  <si>
    <t>G-7</t>
  </si>
  <si>
    <t>15,5 ha</t>
  </si>
  <si>
    <t>MultiPolygon (((541781.67982452746946365 7350304.68469663243740797, 541773.72739824489690363 7350330.03305540792644024, 541692.53366699104662985 7350311.51355248689651489, 541686.95540735952090472 7350312.92398498300462961, 541684.77047211094759405 7350319.64523486513644457, 541669.34684866084717214 7350426.84267382975667715, 541598.21271102118771523 7350411.96917232032865286, 541574.17799481877591461 7350417.14256414864212275, 541558.22670334798749536 7350444.94954522512853146, 541561.08870380977168679 7350511.54619555734097958, 541696.33875106053892523 7350480.59520285483449697, 541945.52379079244565219 7350408.16771725565195084, 541998.2277200436219573 7350389.19861388579010963, 542018.66983236419036984 7350392.22182881366461515, 542026.56756450387183577 7350382.4595605731010437, 542099.61402561247814447 7350307.16005123034119606, 542097.97397151484619826 7350244.05071612447500229, 542048.91977469506673515 7350234.28426969889551401, 542040.1537496525561437 7350174.50285301636904478, 542015.45076336921192706 7350165.62429305724799633, 541966.98052783031016588 7350160.25891989283263683, 541881.04361866624094546 7350154.5297926152125001, 541847.9419943958055228 7350154.62073114607483149, 541815.74975540756713599 7350177.53724025562405586, 541816.20444804860744625 7350208.36540131736546755, 541813.658169258502312 7350229.91783250495791435, 541809.38405843253713101 7350248.19647667277604342, 541805.56464024749584496 7350284.48094943072646856, 541800.29020561091601849 7350308.48872087989002466, 541781.67982452746946365 7350304.68469663243740797)),((541958.90524843381717801 7350798.24278136622160673, 541968.90060605492908508 7350774.6095689469948411, 541963.5835088980384171 7350738.6832368029281497, 541966.45761546934954822 7350709.07993911858648062, 541982.26520161132793874 7350557.90193346701562405, 541998.93501972476951778 7350411.89731964748352766, 541680.21888560114894062 7350504.101583581417799, 541562.26624381716828793 7350540.07477850001305342, 541579.20768131851218641 7350927.65574387367814779, 541582.79807500436436385 7350942.4814195754006505, 541616.7789901077048853 7350949.36926894262433052, 541630.62782330019399524 7350951.72339352779090405, 541643.29602183133829385 7350952.80955400504171848, 541662.16540137073025107 7350951.24216088280081749, 541674.16788633482065052 7350952.16318828798830509, 541695.69761141459457576 7350955.75887950789183378, 541716.98751986143179238 7350960.72142710164189339, 541740.22008691448718309 7350966.05855436995625496, 541759.67629990179557353 7350960.13969504646956921, 541779.00571841991040856 7350950.45724357478320599, 541794.29072201903909445 7350940.50770485680550337, 541805.906488380394876 7350939.21497031580656767, 541839.17145602928940207 7350929.38631525635719299, 541846.47033502568956465 7350930.97670826129615307, 541855.60121084412094206 7350935.72742231469601393, 541864.54436111357063055 7350940.38046442251652479, 541883.02000828227028251 7350935.38320716004818678, 541899.34014542668592185 7350925.66656019911170006, 541913.63892894901800901 7350916.16329076047986746, 541924.58093380159698427 7350909.32425379753112793, 541940.45954836695455015 7350902.98278758116066456, 541947.77892609278205782 7350898.96035744063556194, 541950.46199962822720408 7350896.5874029416590929, 541960.91682150098495185 7350896.14853408373892307, 541976.85903514688834548 7350899.82326200976967812, 541986.6466341963969171 7350892.87167743593454361, 541985.19289043406024575 7350878.76414376683533192, 541984.03108852356672287 7350873.39108363352715969, 541971.6669336297782138 7350865.28763126954436302, 541964.05055121588520706 7350862.98834601230919361, 541942.85401525255292654 7350858.60533349122852087, 541933.43228259787429124 7350855.76697451435029507, 541928.23258129274472594 7350844.68251130357384682, 541927.82982620818074793 7350843.8239381555467844, 541924.24417520337738097 7350839.13326147198677063, 541907.07138843974098563 7350822.9664120078086853, 541908.07732573966495693 7350808.59587915148586035, 541913.10701223951764405 7350793.72237764578312635, 541920.36413133202586323 7350792.21347169578075409, 541937.1685077256988734 7350795.28734400123357773, 541939.42891693022102118 7350795.40138916578143835, 541954.01072787190787494 7350797.62313427869230509, 541958.90524843381717801 7350798.24278136622160673)))</t>
  </si>
  <si>
    <t>28 ha</t>
  </si>
  <si>
    <t>MultiPolygon (((541942.58735576586332172 7349044.80448587518185377, 541967.10354103508871049 7349099.4911917494609952, 541972.58359572023618966 7349103.99107405170798302, 542108.50958433502819389 7349215.60509722307324409, 542307.39775905723217875 7349325.97078955359756947, 542371.7777462505036965 7349323.09668298438191414, 542534.2605710718780756 7349439.59380266722291708, 542638.80544910451862961 7349525.39262014720588923, 542682.21343991323374212 7349575.83319046907126904, 542790.24766300746705383 7349487.3997752983123064, 542753.78681942820549011 7349473.68814671691507101, 542714.56285663426388055 7349459.23353089950978756, 542692.71964669355656952 7349452.14406802412122488, 542666.08625913446303457 7349412.09818313270807266, 542653.05697601055726409 7349392.26684778649359941, 542619.90894689015112817 7349362.37613944616168737, 542597.52280319237615913 7349337.74905042350292206, 542562.00516005512326956 7349326.57746666949242353, 542541.36761878058314323 7349312.28993809688836336, 542512.80057533888611943 7349299.1457948787137866, 542500.15450642560608685 7349283.24240518361330032, 542471.60504781908821315 7349264.65651602204889059, 542445.54648157418705523 7349253.35169684235006571, 542417.7634513865923509 7349239.55598530080169439, 542401.28524037881288677 7349222.59875653218477964, 542364.30506916344165802 7349195.5821547619998455, 542322.91793453902937472 7349182.9360858490690589, 542291.87758357054553926 7349189.45072740968316793, 542257.96312603133264929 7349187.72626346722245216, 542211.78581378841772676 7349173.0683199530467391, 542180.55385571555234492 7349141.93216543272137642, 542165.32109088858123869 7349104.85619066469371319, 542161.68055589869618416 7349066.24735905788838863, 542154.20787881361320615 7349033.86575835570693016, 542142.23243476718198508 7348999.66389015968888998, 542113.87458326516207308 7348980.31157258059829473, 542033.11218861618544906 7348972.55148483719676733, 542008.77808631397783756 7348976.09621627442538738, 541994.59916056296788156 7348986.44299992918968201, 541969.49862984172068536 7348988.93389229103922844, 541939.74037815141491592 7348981.96083661448210478, 541940.30379128525964916 7349039.7106828335672617, 541942.58735576586332172 7349044.80448587518185377)))</t>
  </si>
  <si>
    <t>11 ha</t>
  </si>
  <si>
    <t>SSP_PN</t>
  </si>
  <si>
    <t>MultiPolygon (((542045.39460443018469959 7349163.77897551283240318, 542045.39460443006828427 7349163.77897551283240318, 541674.08056989405304193 7349168.73465848434716463, 541654.79227117565460503 7349130.98463603109121323, 541645.64395615609828383 7349140.75669980235397816, 541556.20621939958073199 7349148.09518076665699482, 541517.22053927485831082 7349146.7192155858501792, 541475.94158384879119694 7349128.37301317416131496, 541455.32096426584757864 7349120.18475903663784266, 541462.2188200366217643 7349206.59956327546387911, 541462.50623069377616048 7349250.19017960503697395, 541530.90996708674356341 7349246.54964461550116539, 541552.12099943030625582 7349237.36184073239564896, 541574.21317275846377015 7349224.32322046440094709, 541638.48117215093225241 7349218.73513681348413229, 541684.38725798518862575 7349214.934472331777215, 541729.92135502956807613 7349216.19513173494488001, 541768.86809959076344967 7349217.88846845366060734, 541801.93821674468927085 7349222.21554231178015471, 541832.21213929378427565 7349232.7539330730214715, 541880.68873679358512163 7349229.87982650194317102, 541908.72360066045075655 7349222.90544113516807556, 541922.84229983692057431 7349212.25197286624461412, 541960.21514895092695951 7349205.18844305165112019, 541987.60550123953726143 7349217.04215048253536224, 542013.85567458916921169 7349237.73571779485791922, 542058.8833442039322108 7349286.97874371521174908, 542082.64262519171461463 7349330.95257425121963024, 542114.83261878846678883 7349361.99292521923780441, 542174.35674571758136153 7349397.89897110685706139, 542195.30760278040543199 7349420.62469927035272121, 542224.81509691069368273 7349439.78540974389761686, 542268.50151679199188948 7349443.04273052513599396, 542355.77855300204828382 7349437.19871382974088192, 542418.4340762528590858 7349431.54630424082279205, 542556.07211844157427549 7349510.69460961688309908, 542584.17422185477335006 7349522.75128609780222178, 542599.11957602459006011 7349534.82253369595855474, 542630.54314120230264962 7349576.01806121598929167, 542672.40929358848370612 7349618.36323136370629072, 542696.51682002411689609 7349598.00342964101582766, 542682.21343991323374212 7349575.83319046907126904, 542638.80544910451862961 7349525.39262014720588923, 542534.2605710718780756 7349439.59380266722291708, 542371.7777462505036965 7349323.09668298438191414, 542307.39775905723217875 7349325.97078955359756947, 542108.50958433502819389 7349215.60509722307324409, 542045.39460443018469959 7349163.77897551283240318)))</t>
  </si>
  <si>
    <t>10 ha</t>
  </si>
  <si>
    <t>MultiPolygon (((541967.01197070663329214 7349711.42537208832800388, 542152.86009925662074238 7349757.55352318845689297, 542157.72900692641269416 7349748.02870490495115519, 542160.20665177528280765 7349737.96176603343337774, 542182.35017226776108146 7349745.30293838120996952, 542187.6971056591719389 7349748.33041136525571346, 542280.93202766368631274 7349690.31169931590557098, 542284.81207153503783047 7349688.29982471652328968, 542291.61412375350482762 7349682.64741512481123209, 542303.58862060587853193 7349674.46421500109136105, 542319.01393973315134645 7349678.62366592511534691, 542324.37893866619560868 7349692.4193774675950408, 542395.75258518720511347 7349710.23883821256458759, 542474.69471234525553882 7349661.18741939589381218, 542500.65747503947932273 7349642.60153023432940245, 542540.95434922259300947 7349620.19618586078286171, 542554.11842726380564272 7349610.23763671051710844, 542541.57991658558603376 7349596.23690373636782169, 542526.60088664141949266 7349593.9662933861836791, 542499.93890108028426766 7349588.39148750528693199, 542491.02030721702612936 7349578.750535455532372, 542458.82602189364843071 7349569.54711892828345299, 542447.26235417579300702 7349563.8090845849364996, 542434.79592434247024357 7349558.4727433230727911, 542401.66092812165152282 7349551.23009984660893679, 542380.11594371031969786 7349547.09911915101110935, 542365.93212883442174643 7349535.92831921949982643, 542357.570794572471641 7349533.47747429087758064, 542332.56083526345901191 7349526.82654597051441669, 542327.88314640906173736 7349524.02509504090994596, 542288.97361020126845688 7349510.53512609284371138, 542248.93383213470224291 7349501.26155789662152529, 542236.87390529841650277 7349498.77474821172654629, 542022.64157076831907034 7349414.48058221954852343, 542020.08862830838188529 7349428.74939893651753664, 541991.4429919202812016 7349473.49115481786429882, 541965.0708187377313152 7349547.3332397323101759, 541959.97826115763746202 7349604.26075839530676603, 541945.06434253044426441 7349674.10154806450009346, 541946.24654339731205255 7349708.56725026108324528, 541967.01197070663329214 7349711.42537208832800388)))</t>
  </si>
  <si>
    <t>11,5 ha</t>
  </si>
  <si>
    <t>MultiPolygon (((541888.5965997715247795 7350113.7931550582870841, 541888.94025101454462856 7350096.98756167944520712, 541885.89873413997702301 7350071.72665627673268318, 541881.55721562611870468 7350051.02608001139014959, 541882.21175809984561056 7350051.10394300706684589, 541881.69885963737033308 7350049.88421569857746363, 541883.63697524124290794 7350006.80949528142809868, 541892.04507266089785844 7349968.61579224653542042, 541892.26118132343981415 7349949.42895775102078915, 541890.49554918298963457 7349940.2788073718547821, 541898.75337626086547971 7349911.97815302200615406, 541905.41652835044078529 7349886.63322347961366177, 541920.50797781464643776 7349830.07316860929131508, 541925.63045981351751834 7349799.90706900972872972, 541943.29035296326037496 7349761.36749216541647911, 541947.61062132043298334 7349730.57437408808618784, 541946.24654339731205255 7349708.56725026108324528, 541945.06434253044426441 7349674.10154806450009346, 541959.97826115763746202 7349604.26075839530676603, 541965.0708187377313152 7349547.3332397323101759, 541991.4429919202812016 7349473.49115481786429882, 542020.08862830838188529 7349428.74939893651753664, 542022.64157076831907034 7349414.48058221954852343, 541871.72241952375043184 7349359.49970968347042799, 541713.58031895686872303 7349319.48675726726651192, 541698.59972931141965091 7349317.09947838634252548, 541689.93630162079352885 7349316.48578583635389805, 541630.62077492102980614 7349330.15705903898924589, 541462.9537351947510615 7349374.41362830996513367, 541468.22816983109805733 7349495.72562495246529579, 541485.05179755110293627 7349787.63830052595585585, 541488.14919593406375498 7349812.26117096934467554, 541489.59872396185528487 7349821.1946174381300807, 541529.06604520755354315 7349832.01630229316651821, 541529.45403900044038892 7349858.57305773720145226, 541544.84387985290959477 7350206.7285078065469861, 541586.94652847934048623 7350216.89831362944096327, 541586.47602737264242023 7350224.65601268131285906, 541644.82039077009540051 7350237.87690291181206703, 541649.36299348319880664 7350201.40809849184006453, 541667.81324334058444947 7350203.6750347139313817, 541672.09364110219758004 7350193.32702194154262543, 541715.95452840987127274 7350202.81280274223536253, 541709.48778862436302006 7350210.57289048470556736, 541712.36752930760849267 7350218.22688170336186886, 541744.26447813725098968 7350229.1108778715133667, 541758.06018967949785292 7350238.88284021336585283, 541770.41884793608915061 7350244.48734802752733231, 541770.5625532646663487 7350251.52890912722796202, 541774.73000779305584729 7350257.70823825523257256, 541794.70504846354015172 7350262.16310344077646732, 541803.36396591283846647 7350258.49961772374808788, 541811.78121700068004429 7350143.34222056437283754, 541887.86400828300975263 7350149.61911209300160408, 541975.9575298132840544 7350158.04800131823867559, 541976.90092439006548375 7350155.7614933829754591, 541982.3842075695283711 7350135.41500364802777767, 541982.81532355525996536 7350116.01478429138660431, 541980.51603829837404191 7350099.48867150768637657, 541989.7131793264998123 7350065.57421396486461163, 542000.48268857039511204 7350065.86088619753718376, 542010.40674663987010717 7350067.01126725226640701, 542013.68898493854794651 7350062.01791409589350224, 542014.78975916118361056 7350044.80879399087280035, 542015.43663064436987042 7350032.30658293142914772, 542007.74819806148298085 7350017.93589754682034254, 542010.47859930421691388 7349997.81715154834091663, 542052.72796590230427682 7350005.14612330496311188, 542066.37997211597394198 7349999.5416154908016324, 542065.01477149454876781 7349981.57844941876828671, 542065.30218215158674866 7349962.46564072091132402, 542097.59219053271226585 7349969.77763286605477333, 542142.17306304315570742 7349796.48051701579242945, 542151.50524811423383653 7349760.20395564846694469, 542152.86009925662074238 7349757.55352318845689297, 541967.01197070663329214 7349711.42537208832800388, 541958.65965249866712838 7349716.75171780213713646, 541951.93020141078159213 7349753.30900614429265261, 541984.89541788888163865 7349758.31062518712133169, 542010.81289843050763011 7349763.40318276733160019, 542015.17794778489042073 7349778.04428581055253744, 542014.99607072828803211 7349789.59347889292985201, 542005.62940232211258262 7349803.96176635101437569, 541996.17179538740310818 7349820.6035170154646039, 541990.15241481829434633 7349820.06976733915507793, 541937.06175204704049975 7349808.14493864774703979, 541933.2423338619992137 7349817.23879146948456764, 541927.05851394333876669 7349839.79154646676033735, 541924.96692779439035803 7349847.2485057795420289, 541926.78569835866801441 7349853.70514128264039755, 541933.2423338619992137 7349862.88993263244628906, 541957.79573648027144372 7349867.16404345817863941, 541980.53036853449884802 7349865.43621142115443945, 541985.62292611435987055 7349866.70935081597417593, 541990.07891399692744017 7349876.6216503931209445, 541988.5258930828422308 7349882.15313508920371532, 541990.16985252511221915 7349890.89899932313710451, 541968.25366722512990236 7349887.26145819295197725, 541961.34233908064197749 7349897.44657335337251425, 541975.16499536950141191 7349905.44916383549571037, 541979.34816766763105989 7349918.36243484448641539, 541996.44461097219027579 7349921.9999759728088975, 542008.81225080951116979 7349924.9100088756531477, 542002.62843089073430747 7349932.45790671650320292, 541995.53522568987682462 7349943.09771451726555824, 541906.77922215114813298 7349920.27214393392205238, 541907.41579184867441654 7349927.2744106063619256, 541902.50511132518295199 7349954.19221495650708675, 541897.04879963223356754 7349972.19804354384541512, 541895.59378318081144243 7349991.29513446893543005, 541900.14070959156379104 7349999.66147906519472599, 541919.05592346040066332 7350003.84465136285871267, 541912.05365678784437478 7350009.39190158434212208, 541904.59669747413136065 7350008.8462704150006175, 541891.95624205225612968 7350029.30743926297873259, 541891.95624205225612968 7350038.03753797244280577, 541900.95915634569246322 7350055.49773539043962955, 541909.96207063901238143 7350058.13495270907878876, 541929.24103862082120031 7350060.68123149964958429, 541944.06401872006244957 7350050.40517780929803848, 541945.42809664329979569 7350036.49158299248665571, 541950.52065422339364886 7350025.76083666365593672, 541962.6685481199529022 7350027.8023153031244874, 541958.79606029100250453 7350033.76342714671045542, 541953.15787154203280807 7350052.49676395952701569, 541944.97340400260873139 7350066.13754319213330746, 541926.42194424639455974 7350098.51165923662483692, 541922.48340293718501925 7350121.00868822634220123, 541888.5965997715247795 7350113.7931550582870841)))</t>
  </si>
  <si>
    <t>42,5 ha</t>
  </si>
  <si>
    <t>MultiPolygon (((543064.65398761339019984 7351331.15036968979984522, 542806.80779257218819112 7351256.2951001999899745, 542828.10216902755200863 7351375.74324311967939138, 542832.12962005194276571 7351378.02659715246409178, 542862.80753639061003923 7351397.82237896323204041, 542881.38974555116146803 7351431.31455492880195379, 543011.17167313862591982 7351464.41845217533409595, 543027.99191240849904716 7351435.67304113414138556, 543035.0244919239776209 7351401.56098877172917128, 543048.28130848205182701 7351379.8974104942753911, 543070.10655525443144143 7351351.44375544227659702, 543065.03569270670413971 7351337.59261019062250853, 543064.65398761339019984 7351331.15036968979984522)))</t>
  </si>
  <si>
    <t>3 ha</t>
  </si>
  <si>
    <t>MultiPolygon (((541637.99566528596915305 7351080.49428386427462101, 541628.27568039018660784 7351078.83992310333997011, 541624.75320548377931118 7351081.74552467092871666, 541620.49933942407369614 7351082.42602571658790112, 541618.43388558924198151 7351082.1224319227039814, 541618.26759548578411341 7351082.48827014397829771, 541589.90717637818306684 7351077.71907209232449532, 541587.46385260112583637 7351077.30819329246878624, 541618.58294134528841823 7351609.8249385766685009, 541630.54640994826331735 7351613.48942445497959852, 541644.55007725884206593 7351659.65213266853243113, 541685.27421493886504322 7351668.9498809976503253, 541798.03497039061039686 7351702.40709650237113237, 541860.43900931999087334 7351715.66391306277364492, 542001.46782613999675959 7351747.0814905222505331, 542031.96928212780039757 7351723.47789030522108078, 542048.13613159139640629 7351703.96989195328205824, 542052.23173345578834414 7351628.14736797008663416, 542055.05028027179650962 7351485.4760370422154665, 542046.24768480227794498 7351310.44173633586615324, 542045.82817424414679408 7351233.15596635732799768, 542019.65398784086573869 7351231.50867697596549988, 542014.59851476398762316 7351258.4729252839460969, 541973.39821241819299757 7351251.10429866705089808, 541949.04569798056036234 7351246.74887951090931892, 541924.67953204712830484 7351261.60326254554092884, 541910.21253846783656627 7351252.12408370058983564, 541892.43984198442194611 7351246.75635372381657362, 541874.92879558587446809 7351252.14349502138793468, 541856.4543002787977457 7351234.23104642052203417, 541854.64223939459770918 7351229.94891453720629215, 541846.96279499493539333 7351211.18834672216325998, 541843.06613590382039547 7351205.67803596425801516, 541841.64217865373939276 7351199.94707048870623112, 541843.13727485947310925 7351194.96857363171875477, 541845.63711475301533937 7351186.49783240538090467, 541848.11629294976592064 7351179.7161244535818696, 541847.58764551859349012 7351173.9083152674138546, 541845.96122334711253643 7351168.93891371507197618, 541844.63402149733155966 7351167.14243804849684238, 541832.95979201607406139 7351158.935708899050951, 541828.45063764043152332 7351156.88864987343549728, 541809.40343815460801125 7351156.05322817992419004, 541800.87950582709163427 7351154.78811129461973906, 541794.2751491591334343 7351150.7983159888535738, 541774.52821741718798876 7351143.96993088163435459, 541738.55840293108485639 7351128.17695818096399307, 541737.70845537725836039 7351125.99932812340557575, 541738.27298888156656176 7351124.39956433791667223, 541702.02097182115539908 7351108.52703284565359354, 541674.82831982709467411 7351096.62104084435850382, 541637.99566528596915305 7351080.49428386427462101)))</t>
  </si>
  <si>
    <t>23 ha</t>
  </si>
  <si>
    <t>MultiPolygon (((543683.54556033806875348 7353638.97077760379761457, 543290.09518487995956093 7353670.33318876009434462, 543574.50073971669189632 7353740.84638838563114405, 543741.55216579628176987 7353782.26376000326126814, 543773.66763520869426429 7353790.3999258279800415, 543768.89336247753817588 7353658.22077506687492132, 543768.93883174157235771 7353632.57611010782420635, 543683.54556033806875348 7353638.97077760379761457)))</t>
  </si>
  <si>
    <t>4 ha</t>
  </si>
  <si>
    <t>MultiPolygon (((543206.19596446957439184 7357219.7655723886564374, 543219.75100957415997982 7357218.78760472126305103, 543260.13346276804804802 7357229.69104139320552349, 543368.85682239010930061 7357035.41056652553379536, 543370.15895772818475962 7357028.65076086577028036, 543367.09792025107890368 7357023.66729895770549774, 543225.43108422681689262 7356928.09107124805450439, 543182.97094547096639872 7356884.15673930663615465, 543138.83028010558336973 7356820.31230178941041231, 543130.65192781761288643 7356810.24937356356531382, 543124.17071704939007759 7356811.32672193553298712, 543026.25248960684984922 7356978.66088484693318605, 543029.8276804918423295 7356990.13892266992479563, 543105.70544535759836435 7357021.62190584745258093, 542988.60039612744003534 7357044.62470061425119638, 542851.20042740367352962 7357315.43669737037271261, 542849.32013449445366859 7357328.71278574876487255, 542851.31108590960502625 7357338.28387598413974047, 542869.20672820974141359 7357339.31636948045343161, 542932.85194873623549938 7357348.43463551159948111, 543057.766244743950665 7357285.31913732457906008, 543090.32297856453806162 7357278.6050633117556572, 543115.87547870445996523 7357269.3505780091509223, 543134.70182613376528025 7357256.38563067372888327, 543154.82742938026785851 7357238.51687389146536589, 543170.00966410245746374 7357228.16121510043740273, 543206.19596446957439184 7357219.7655723886564374)),((543346.85395396873354912 7357274.09516885969787836, 543404.63346902467310429 7357256.41889814659953117, 543451.20436961483210325 7357268.04554861225187778, 543495.74905542936176062 7357247.24434051662683487, 543533.8213330339640379 7357238.99066604115068913, 543551.44136446435004473 7357256.1147802472114563, 543574.02664274536073208 7357258.92326681595295668, 543652.19396141171455383 7357234.18710244633257389, 543669.57339070457965136 7357236.64002540241926908, 543705.39533710107207298 7357240.40111557208001614, 543756.48050855472683907 7357246.54711857065558434, 543775.96945373062044382 7357258.06940943188965321, 543802.3389185257256031 7357270.69362088106572628, 543821.00679798517376184 7357275.94501835573464632, 543860.43229377921670675 7357269.39388164039701223, 543891.60583170969039202 7357254.09813640546053648, 543899.44905964378267527 7357240.73875620309263468, 543892.65750196296721697 7357114.87529148440808058, 543878.28805831912904978 7357100.55353577714413404, 543810.18096146639436483 7357077.45868462510406971, 543659.87152226734906435 7357053.58295150194317102, 543539.51113088335841894 7357038.23630090057849884, 543465.29576068930327892 7357032.0851479209959507, 543409.4593936400488019 7357028.89423140417784452, 543386.56360789388418198 7357047.49554421845823526, 543366.93451294768601656 7357079.88643893972039223, 543268.53042367752641439 7357258.44328550342470407, 543283.23570800106972456 7357271.10349849052727222, 543294.49825542699545622 7357276.69335185177624226, 543331.02135658543556929 7357283.79409338254481554, 543346.85395396873354912 7357274.09516885969787836)))</t>
  </si>
  <si>
    <t>25 ha</t>
  </si>
  <si>
    <t>MultiPolygon (((542672.71310756076127291 7356694.6575236888602376, 542633.72767908498644829 7356685.21457940712571144, 542609.44054758548736572 7356700.86772236693650484, 542582.6400448102504015 7356732.17443255800753832, 542505.78073973674327135 7356832.57056882325559855, 542418.61622868850827217 7356942.6014806441962719, 542401.70479213166981936 7356968.4777033356949687, 542400.73542451206594706 7356975.3941919906064868, 542464.22968423273414373 7356951.34802003297954798, 542550.34353609941899776 7356924.71982357185333967, 542686.52066330891102552 7356871.06768934149295092, 542700.37280680611729622 7356855.29691007453948259, 542715.65173702035099268 7356751.04575184639543295, 542702.73010044544935226 7356703.67225210927426815, 542672.71310756076127291 7356694.6575236888602376)),((542958.21602177713066339 7356987.13260615151375532, 542703.82765753567218781 7356880.95530701894313097, 542693.72754075657576323 7356884.50240653939545155, 542267.50224955566227436 7357058.89815790392458439, 542256.77693995740264654 7357064.63687516003847122, 542252.22055180184543133 7357073.30853221751749516, 542245.80243807658553123 7357093.03820945229381323, 542238.04420668538659811 7357130.04198073595762253, 542238.46109616942703724 7357149.99286967702209949, 542241.92814909107983112 7357171.34537814930081367, 542247.74159893207252026 7357192.6910004373639822, 542264.33761894423514605 7357216.13938664738088846, 542284.00057374127209187 7357229.24076895974576473, 542304.25986545160412788 7357239.11091691162437201, 542321.64784472715109587 7357256.1722345007583499, 542338.72693649958819151 7357275.53589067794382572, 542355.28338522929698229 7357294.14938478730618954, 542427.52678980771452188 7357322.88116447534412146, 542533.35343889426440001 7357348.44173321314156055, 542640.5550550976768136 7357365.64540085103362799, 542683.80026406608521938 7357357.89834525343030691, 542773.3964003250002861 7357342.41317182593047619, 542818.27835921198129654 7357337.08293481077998877, 542950.01685474067926407 7357090.20287993643432856, 542950.85220001451671124 7357078.48895168304443359, 542938.49631176702678204 7357066.67516955640166998, 542928.79754871781915426 7357053.19232378900051117, 542925.93692283611744642 7357032.3856728496029973, 542934.3977412972599268 7357019.86948086880147457, 542941.53533142898231745 7357012.83246420975774527, 542961.07736503053456545 7356996.72893321700394154, 542958.21602177713066339 7356987.13260615151375532)))</t>
  </si>
  <si>
    <t>MultiPolygon (((542104.94363792333751917 7356410.82850324362516403, 542073.15986842662096024 7356334.11039921455085278, 542065.98944285232573748 7356347.44824340008199215, 542061.36774052865803242 7356380.44308908097445965, 542054.67117891646921635 7356442.09151884354650974, 542114.59146609716117382 7356459.79899059049785137, 542104.94363792333751917 7356410.82850324362516403)),((542182.17539703473448753 7356641.15615732036530972, 542240.96512561663985252 7356555.29168265964835882, 542242.01767858304083347 7356547.63254474196583033, 542233.82969437818974257 7356536.92882355954498053, 542133.09382366389036179 7356484.8659582082182169, 542101.43558258283883333 7356471.58603418711572886, 542063.85436719469726086 7356463.50162294320762157, 542045.72763169836252928 7356461.81922253221273422, 542037.33597239200025797 7356463.10581227764487267, 542030.92747474368661642 7356468.59976999368518591, 542013.74722781777381897 7356484.26826332230120897, 541965.17315358016639948 7356562.68724271189421415, 541959.69175198674201965 7356578.92476437520235777, 541960.5793469836935401 7356593.64962522312998772, 541978.45998400542885065 7356592.80868635233491659, 542017.21220160461962223 7356592.75129576213657856, 542035.74311402533203363 7356586.70227303821593523, 542052.80807638168334961 7356589.94685157667845488, 542104.86542263813316822 7356611.58423319738358259, 542142.10558642912656069 7356657.49505871161818504, 542166.44300040230154991 7356661.77614078763872385, 542182.17539703473448753 7356641.15615732036530972)),((542277.3196116778999567 7356584.1047218656167388, 542261.39817239530384541 7356583.86379305645823479, 542191.0254478408023715 7356673.84551555104553699, 542187.85821326542645693 7356687.77489034924656153, 542200.97293802537024021 7356691.00302858557552099, 542204.44061164557933807 7356695.15960291307419538, 542198.66894849762320518 7356699.6216804888099432, 542200.88327697478234768 7356709.89748291112482548, 542221.0011752787977457 7356730.00406007934361696, 542231.06121988128870726 7356741.88086196407675743, 542243.08047264255583286 7356761.3893989622592926, 542249.11448901332914829 7356799.80040603131055832, 542242.30641949456185102 7356863.96414116676896811, 542245.70691732969135046 7356909.17587027791887522, 542248.98666065838187933 7356959.75182276777923107, 542253.83914176933467388 7356982.20459747407585382, 542252.15209520049393177 7357009.16810930706560612, 542250.5102045051753521 7357022.44340413808822632, 542260.17964643239974976 7357026.16416729055345058, 542288.1443392438814044 7357027.67822597734630108, 542351.81887725926935673 7356992.26395593024790287, 542401.44075666554272175 7356930.86024205759167671, 542592.92935996688902378 7356685.78394264820963144, 542543.33720832876861095 7356681.62463938817381859, 542486.20801230706274509 7356673.46916252840310335, 542384.70796654187142849 7356637.79886634089052677, 542277.3196116778999567 7356584.1047218656167388)))</t>
  </si>
  <si>
    <t>G-8</t>
  </si>
  <si>
    <t>13 ha</t>
  </si>
  <si>
    <t>MultiPolygon (((542057.32070099748671055 7356353.16225794795900583, 542060.21107522398233414 7356323.30913999676704407, 542046.42176173441112041 7356299.31407560594379902, 541873.28999766055494547 7356201.2367723248898983, 541858.44613408669829369 7356198.7928983960300684, 541780.42528234422206879 7356387.64606075827032328, 541780.84433700703084469 7356396.80425016675144434, 541788.47967140935361385 7356408.31719772238284349, 541983.92828035354614258 7356490.18315496761351824, 541993.37205635476857424 7356489.81223246641457081, 542037.33609083946794271 7356442.69896951410919428, 542057.47103933990001678 7356357.89464830327779055, 542057.32070099748671055 7356353.16225794795900583)),((541718.67773371189832687 7356086.64092470705509186, 541611.13068665005266666 7356076.08535102102905512, 541850.97019988484680653 7356177.53546977788209915, 541867.34475844539701939 7356140.13560307584702969, 541865.84110776428133249 7356130.62791709881275892, 541869.03038726840168238 7356109.55290281865745783, 541863.6771760955452919 7356105.30892178229987621, 541819.21181437280029058 7356097.16967761982232332, 541811.97467860206961632 7356093.46011719759553671, 541718.67773371189832687 7356086.64092470705509186)),((541602.84617333766072989 7356624.99668310862034559, 541626.00635614618659019 7356620.57737282011657953, 541848.80621333234012127 7356624.60848488751798868, 541867.23963056411594152 7356623.13503350876271725, 541902.13846552185714245 7356580.15035366173833609, 541874.31892976351082325 7356563.6942562647163868, 541926.50845616869628429 7356572.25629597902297974, 541939.29688555467873812 7356571.90352319274097681, 541972.92318583372980356 7356513.97219510190188885, 541976.13418173417448997 7356500.36754564568400383, 541784.31263617891818285 7356424.75499599985778332, 541762.52515370398759842 7356416.96730450354516506, 541754.74052899517118931 7356401.04675475135445595, 541779.98808937799185514 7356328.15287914033979177, 541764.49272701423615217 7356318.80644243210554123, 541783.15824343822896481 7356318.06554197985678911, 541798.93117338791489601 7356290.78276945557445288, 541813.29909843578934669 7356232.16531203128397465, 541766.40010913461446762 7356205.79764511436223984, 541773.86736574582755566 7356203.53019868303090334, 541804.18120087217539549 7356215.43201204482465982, 541816.29808667302131653 7356216.03713280707597733, 541809.05025557335466146 7356173.4256054051220417, 541608.51356809306889772 7356091.57204893697053194, 541567.30363102350383997 7356229.77837594971060753, 541574.36916301213204861 7356236.10552281700074673, 541712.17669051978737116 7356280.95632491447031498, 541717.69800832960754633 7356284.32754798233509064, 541711.59018877893686295 7356287.60255320928990841, 541699.62178789172321558 7356285.26153808459639549, 541689.95440742094069719 7356284.97402853891253471, 541596.31003059539943933 7356249.86013339925557375, 541582.67279411200433969 7356245.72351352218538523, 541563.96251617278903723 7356242.75226415880024433, 541559.44599167909473181 7356256.4162687174975872, 541474.4445674316957593 7356555.77611976489424706, 541476.33944260608404875 7356573.81107830069959164, 541470.653021982870996 7356590.15107398666441441, 541464.53510708548128605 7356622.56536045856773853, 541602.84617333766072989 7356624.99668310862034559)))</t>
  </si>
  <si>
    <t>21 ha</t>
  </si>
  <si>
    <t>MultiPolygon (((541500.56686765421181917 7356019.33227029070258141, 541442.12674394529312849 7356014.01617967337369919, 541445.68467288464307785 7356058.53164016362279654, 541454.75786335952579975 7356086.57767789904028177, 541469.48858763836324215 7356091.27734208106994629, 541497.99319083243608475 7356097.25504674017429352, 541514.31415806710720062 7356100.14975898806005716, 541546.32392427418380976 7356129.28027664497494698, 541551.7524420078843832 7356130.09052942972630262, 541570.12285026907920837 7356136.55208025779575109, 541571.7921307347714901 7356135.53572931047528982, 541601.8128438713029027 7356031.39169467054307461, 541551.53969303611665964 7356026.85979321226477623, 541500.56686765421181917 7356019.33227029070258141)),((541224.16364538948982954 7355887.23636177834123373, 541152.54256549663841724 7355869.87422802578657866, 541151.03568766824901104 7355912.76166327949613333, 541150.94686810486018658 7355923.4711037278175354, 541173.09865690115839243 7355942.67312970198690891, 541204.14998973999172449 7355989.0402043592184782, 541275.84173778910189867 7356084.35434496030211449, 541351.25090750493109226 7356175.52782624308019876, 541545.07580794114619493 7356222.99388351384550333, 541563.79584381636232138 7356164.36412312276661396, 541562.40132837556302547 7356160.08076391648501158, 541521.84077474661171436 7356139.15995470155030489, 541505.48196008615195751 7356123.16192890517413616, 541443.05333062168210745 7356092.8383101923391223, 541429.57057025283575058 7356041.53058498818427324, 541434.59578924346715212 7356020.81230747140944004, 541359.99811500776559114 7356013.00893086940050125, 541349.06472203880548477 7356008.53024954628199339, 541340.98616534657776356 7356002.9111834317445755, 541224.16364538948982954 7355887.23636177834123373)),((541174.69943739101290703 7356269.57694498356431723, 541191.14626191183924675 7356268.70395668782293797, 541219.526426175609231 7356278.82148695643991232, 541239.07934686075896025 7356298.96814019419252872, 541252.70663166418671608 7356311.55923519749194384, 541278.22156381886452436 7356316.1910588638857007, 541302.17735776491463184 7356297.79422843083739281, 541319.05529485642910004 7356286.60044662933796644, 541339.45711209997534752 7356269.55936678592115641, 541349.70353799406439066 7356257.58650303073227406, 541376.07631490100175142 7356201.54270374588668346, 541366.6100196922197938 7356194.01595222018659115, 541354.14012334309518337 7356192.27930382452905178, 541341.79450059868395329 7356186.28273613378405571, 541233.97005881369113922 7356049.28441533446311951, 541213.97101827897131443 7356049.00762205850332975, 541215.64061334636062384 7356060.00898658391088247, 541215.36530870199203491 7356062.19059061072766781, 541211.35781205259263515 7356068.98578511271625757, 541204.21424582693725824 7356077.03347958065569401, 541186.82490841764956713 7356091.32813820615410805, 541164.5324056139215827 7356103.54879845399409533, 541147.88593447580933571 7356118.08256531413644552, 541152.12775626312941313 7356130.56138393376022577, 541166.67270949482917786 7356132.96971539035439491, 541163.87180750537663698 7356138.06320347357541323, 541151.91870370786637068 7356146.95982967503368855, 541156.63537570554763079 7356361.28766783885657787, 541171.86733354721218348 7356377.10370402876287699, 541242.00444247853010893 7356420.39828985370695591, 541270.68092100042849779 7356340.51714356057345867, 541269.88247242942452431 7356332.82626853231340647, 541235.2402018029242754 7356307.96222694963216782, 541229.15808982588350773 7356299.40488321054726839, 541214.1950184153392911 7356285.11934044677764177, 541174.42695526126772165 7356275.73040701914578676, 541174.69943739101290703 7356269.57694498356431723)),((541283.35026787780225277 7356622.94695078395307064, 541301.27686665672808886 7356617.29037519171833992, 541331.07682014442980289 7356628.35017013363540173, 541379.72905497532337904 7356635.20755081344395876, 541388.88759404793381691 7356633.52009130548685789, 541405.4284124244004488 7356617.7242766497656703, 541441.9004162335768342 7356619.86508770566433668, 541449.89199640974402428 7356595.14785808604210615, 541449.64437190629541874 7356574.34270654153078794, 541511.07803236600011587 7356353.62522622477263212, 541542.86583682708442211 7356243.60197944659739733, 541537.31564164534211159 7356236.11972370091825724, 541395.49154788721352816 7356200.47534249443560839, 541365.01171468291431665 7356261.29165496025234461, 541357.73572978563606739 7356282.64740033261477947, 541354.00403331313282251 7356299.31582140643149614, 541327.02643138915300369 7356302.29796298965811729, 541298.1409148620441556 7356324.24468659795820713, 541227.84076358564198017 7356503.72750598937273026, 541201.0136840445920825 7356595.20351921115070581, 541192.97798669151961803 7356607.63393609225749969, 541192.42266676761209965 7356619.30055274628102779, 541226.84531465452164412 7356635.7668781541287899, 541260.63970171194523573 7356641.38656435068696737, 541283.35026787780225277 7356622.94695078395307064)),((541235.65387811325490475 7356428.52745605818927288, 541161.92238654103130102 7356390.16134706232696772, 541164.16854295413941145 7356441.66846838593482971, 541169.54119732044637203 7356509.41601614095270634, 541206.45636885799467564 7356514.47936669737100601, 541213.88612620439380407 7356507.97134100832045078, 541235.65387811325490475 7356428.52745605818927288)))</t>
  </si>
  <si>
    <t>MultiPolygon (((543408.69551990902982652 7350243.12214739341288805, 543398.06132559524849057 7350306.3524919617921114, 543384.84043536731041968 7350333.9439150420948863, 543377.03419227432459593 7350365.50844107754528522, 543590.11326817097142339 7350412.79647575132548809, 543598.96137492929119617 7350281.49147011898458004, 543569.31441320350859314 7350277.22251366637647152, 543568.87957840494345874 7350281.21455143764615059, 543408.69551990902982652 7350243.12214739341288805)),((543018.37984320835676044 7350096.85186408925801516, 542980.88475677068345249 7350126.72083125077188015, 542978.72917684225831181 7350151.00703177880495787, 542965.07717062858864665 7350177.16140157729387283, 542951.85628040053416044 7350203.17206604778766632, 542943.06958619353827089 7350267.78806344792246819, 543070.2694711385993287 7350296.65238228160887957, 543069.7665024878224358 7350275.67140430770814419, 543072.06578774494118989 7350261.01346079260110855, 543081.11922344448976219 7350245.34957997873425484, 543061.86270941677503288 7350239.88877749349921942, 543061.5752987596206367 7350212.72847039438784122, 543039.01356217486318201 7350203.53132936637848616, 543040.42219368473161012 7350191.31024001911282539, 543049.96184906200505793 7350181.02557157631963491, 543057.40784423111472279 7350179.96365548297762871, 543068.61511123774107546 7350169.88622619304805994, 543067.32351190224289894 7350166.16794393863528967, 543067.75462788785807788 7350150.07294713985174894, 543078.70145339309237897 7350149.4374435730278492, 543083.13109804433770478 7350137.71428888291120529, 543076.08953694452065974 7350130.38531712628901005, 543048.35440853144973516 7350121.61929208412766457, 543043.32472203159704804 7350118.74518551211804152, 543042.17507940309587866 7350103.22501002717763186, 543046.38287130836397409 7350096.97906891815364361, 543030.10383180365897715 7350090.29153045639395714, 543018.37984320835676044 7350096.85186408925801516)),((542802.97265229490585625 7350200.19188797939568758, 542829.96297578222583979 7350203.89982379321008921, 542827.08886921079829335 7350217.21651757415384054, 542805.67242347216233611 7350213.98526435811072588, 542810.30653176421765238 7350237.66134490538388491, 542932.9569445145316422 7350265.49329318292438984, 542951.71257507207337767 7350161.49752076435834169, 542925.76652816450223327 7350155.99804760236293077, 542950.10063046950381249 7350143.83099645003676414, 542951.5688697436125949 7350134.98388764355331659, 542944.02433999394997954 7350129.37937982939183712, 542917.9963572685373947 7350122.31752405129373074, 542916.21735891653224826 7350123.41560869663953781, 542902.27794204570818692 7350126.43342059664428234, 542881.58437473233789206 7350134.62462432496249676, 542844.7958106198348105 7350137.92984688002616167, 542808.58206782140769064 7350148.85145185142755508, 542796.65452555054798722 7350163.22198470775038004, 542802.40273869317024946 7350197.28014757763594389, 542802.97265229490585625 7350200.19188797939568758)))</t>
  </si>
  <si>
    <t>6 ha</t>
  </si>
  <si>
    <t>MultiPolygon (((541411.27528096467722207 7348392.36517172586172819, 541420.5682255452265963 7348393.61061790678650141, 541433.86096853320486844 7348385.65892300009727478, 541468.5418544914573431 7348396.58052797056734562, 541470.84113974845968187 7348384.12606616225093603, 541468.5418544914573431 7348363.81571306008845568, 541546.33433901681564748 7348383.74285195302218199, 541545.37630349316168576 7348398.30499191302806139, 541696.5543091349536553 7348438.15926969982683659, 541710.73323488584719598 7348448.8892675656825304, 541719.16394749446772039 7348449.27248177491128445, 541721.46323275135364383 7348467.28354962076991796, 541800.40535990544594824 7348488.74354535154998302, 541798.87250306748319417 7348503.1140782069414854, 541840.76913483953103423 7348513.58823615033179522, 541841.19641424145083874 7348329.52090342994779348, 541857.14501372585073113 7348275.10162361245602369, 541872.66518921125680208 7348204.97342327237129211, 541896.99929151451215148 7348140.78504317998886108, 541904.37616504752077162 7348115.30129824765026569, 541902.65170110471080989 7348091.06299949716776609, 541393.1684095652308315 7348086.17701832950115204, 541411.27528096467722207 7348392.36517172586172819)))</t>
  </si>
  <si>
    <t>15.5 ha</t>
  </si>
  <si>
    <t>MultiPolygon (((541840.76913483953103423 7348513.58823615033179522, 541798.87250306748319417 7348503.1140782069414854, 541800.40535990544594824 7348488.74354535154998302, 541721.46323275135364383 7348467.28354962076991796, 541719.16394749446772039 7348449.27248177491128445, 541710.73323488584719598 7348448.8892675656825304, 541696.5543091349536553 7348438.15926969982683659, 541652.86788925365544856 7348424.74677236936986446, 541545.37630349316168576 7348398.30499191302806139, 541546.33433901681564748 7348383.74285195302218199, 541468.5418544914573431 7348363.81571306008845568, 541470.84113974845968187 7348384.12606616225093603, 541468.5418544914573431 7348396.58052797056734562, 541433.86096853320486844 7348385.65892300009727478, 541420.5682255452265963 7348393.61061790678650141, 541411.27528096467722207 7348392.36517172586172819, 541424.59197474492248148 7348564.23674469254910946, 541670.42389014328364283 7348595.4687027670443058, 541754.53940913022961468 7348685.14082778990268707, 541764.11976436781696975 7348682.84154253359884024, 541778.29869011964183301 7348607.92316457442939281, 541806.27332741382997483 7348569.02692230977118015, 541841.33742758363950998 7348540.66907080635428429, 541840.76913483953103423 7348513.58823615033179522)))</t>
  </si>
  <si>
    <t>Corymbia</t>
  </si>
  <si>
    <t>7 ha</t>
  </si>
  <si>
    <t>MultiPolygon (((543222.02295702614355832 7350083.48663537483662367, 543297.18018494150601327 7350100.71016677375882864, 543302.06616611289791763 7350105.30873728822916746, 543355.81195899622980505 7350119.8229754725471139, 543355.66825366765260696 7350125.7148939436301589, 543364.00316272443160415 7350130.02605380117893219, 543365.90537479694467038 7350135.46510767284780741, 543409.67480870697181672 7350146.39079433120787144, 543406.40102169115561992 7350158.57655711285769939, 543370.93499568710103631 7350149.84645840339362621, 543354.61152987251989543 7350134.02315448969602585, 543221.61393235705327243 7350104.10437870863825083, 543220.97736265952698886 7350109.24240555334836245, 543227.26754259469453245 7350117.73924821428954601, 543243.36253939406014979 7350120.75706011429429054, 543264.61810150649398565 7350125.37831514142453671, 543260.02512242598459125 7350144.69322842080146074, 543259.16289045475423336 7350153.21974458266049623, 543267.59360306418966502 7350156.09385115373879671, 543259.35449755925219506 7350173.33849058300256729, 543250.35630325949750841 7350192.42391214612871408, 543229.21457486355211586 7350192.33911373931914568, 543185.63021583971567452 7350181.61909934878349304, 543176.52601463824976236 7350174.93038512393832207, 543170.03669744729995728 7350152.46412416826933622, 543171.2958006135886535 7350114.57880229316651821, 543161.90200142632238567 7350110.92098408099263906, 543139.02973059704527259 7350101.60426301974803209, 543138.01001670304685831 7350099.93833138514310122, 543133.98094791278708726 7350093.3559427447617054, 543137.06235660065431148 7350085.75552428513765335, 543141.76884558936581016 7350082.56757245399057865, 543151.85593638010323048 7350079.15928368177264929, 543167.39630272216163576 7350065.66563021205365658, 543182.32922053174115717 7350045.86329492274671793, 543182.03317386435810477 7350032.5007820837199688, 543186.59139409719500691 7350002.71636772900819778, 543157.97593969968147576 7349995.83304853551089764, 543130.80507500353269279 7350002.74469431303441525, 543116.12818674545269459 7350012.31666992697864771, 543068.34616499382536858 7350058.30237507168203592, 543060.9882642951561138 7350066.93867462873458862, 543057.85567600780632347 7350073.31958190817385912, 543051.37222043122164905 7350089.57300381362438202, 543042.17507940309587866 7350103.22501002717763186, 543043.32472203159704804 7350118.74518551211804152, 543048.35440853144973516 7350121.61929208412766457, 543081.40663410141132772 7350129.23567449767142534, 543084.13703534414526075 7350116.87701624166220427, 543097.76473504898604006 7350117.04929209221154451, 543106.26765594317112118 7350114.4340256555005908, 543106.26765594317112118 7350106.9613485699519515, 543116.5824727020226419 7350099.59057149663567543, 543129.77047265530563891 7350099.84612320642918348, 543126.96122325689066201 7350105.8117059450596571, 543118.69816686445847154 7350119.89482814446091652, 543093.90899768681265414 7350141.16321677248924971, 543091.37575771124102175 7350159.20584693551063538, 543075.94583161605987698 7350170.76651445310562849, 543068.61511123774107546 7350169.88622619304805994, 543057.40784423111472279 7350179.96365548297762871, 543049.96184906200505793 7350181.02557157631963491, 543040.42219368473161012 7350191.31024001911282539, 543039.01356217486318201 7350203.53132936637848616, 543061.5752987596206367 7350212.72847039438784122, 543061.86270941677503288 7350239.88877749349921942, 543081.11922344448976219 7350245.34957997873425484, 543072.06578774494118989 7350261.01346079260110855, 543069.7665024878224358 7350275.67140430770814419, 543070.2694711385993287 7350296.65238228160887957, 543134.1464896856341511 7350312.45996842253953218, 543359.97941352566704154 7350361.82274878770112991, 543361.2015199022134766 7350348.98886602744460106, 543356.23407350399065763 7350330.73126960080116987, 543357.82592580642085522 7350309.99462936073541641, 543362.88458062615245581 7350305.48851917404681444, 543395.47785976901650429 7350312.04952893685549498, 543398.06132559524849057 7350306.3524919617921114, 543408.69551990902982652 7350243.12214739341288805, 543568.87957840494345874 7350281.21455143764615059, 543569.31441320350859314 7350277.22251366637647152, 543598.96137492929119617 7350281.49147011898458004, 543583.91637405985966325 7349839.63814824726432562, 543574.23957705509383231 7349837.88011758588254452, 543545.61335839924868196 7349830.21807250007987022, 543536.7019074191339314 7349813.45731067564338446, 543537.32258128561079502 7349798.78351194690912962, 543549.063871243968606 7349789.77398714609444141, 543569.49890150607097894 7349787.79344067070633173, 543580.12526602623984218 7349786.39019038341939449, 543566.172288897796534 7349469.35758374352008104, 543565.89560354233253747 7349463.0708767082542181, 543533.73318699037190527 7349456.09700572676956654, 543520.30291608779225498 7349455.69329037982970476, 543514.76676821114961058 7349458.54818626400083303, 543507.00668046821374446 7349472.91871912125498056, 543502.67914369236677885 7349491.23303569201380014, 543489.08132340118754655 7349531.06803021114319563, 543454.31472665746696293 7349585.3920896127820015, 543349.50564035109709948 7349753.14410983491688967, 543344.14064141770359129 7349768.08946400508284569, 543344.52385562716517597 7349787.25017448142170906, 543324.97993094124831259 7349820.2065965011715889, 543323.11027692316565663 7349830.65013362467288971, 543310.65411537478212267 7349828.90593385044485331, 543296.39796491339802742 7349824.14183746371418238, 543285.70323275786358863 7349838.07575199194252491, 543273.62922686489764601 7349852.58819721173495054, 543274.83400634967256337 7349863.38081665150821209, 543280.72592482075560838 7349877.0328228659927845, 543278.19117412494961172 7349883.70103458687663078, 543284.098789241630584 7349914.03856697864830494, 543279.02938782388810068 7349933.80967337917536497, 543272.81765215564519167 7349985.2512883273884654, 543258.30065848317462951 7350036.53101778030395508, 543263.99587882612831891 7350043.43654041364789009, 543258.02048290777020156 7350056.37707291450351477, 543233.63375840056687593 7350051.79763263184577227, 543228.12977456615772098 7350056.80818890128284693, 543222.09415076638106257 7350079.94474679883569479, 543222.02295702614355832 7350083.48663537483662367)))</t>
  </si>
  <si>
    <t>MultiPolygon (((541571.70271006657276303 7352933.74628047458827496, 541575.3067911114776507 7352933.14051456563174725, 541643.35546164843253791 7352932.87712195888161659, 541661.75535136903636158 7352926.29579884745180607, 541666.15752334741409868 7352923.02038856502622366, 541665.47059841197915375 7352880.08267724048346281, 541660.53154273144900799 7352846.51319952122867107, 541659.53315275278873742 7352740.03146209754049778, 541653.0335999873932451 7352628.6568789891898632, 541648.67044907482340932 7352555.58099156059324741, 541650.16357566835358739 7352509.54588136728852987, 541638.14765841735061258 7352450.61392900254577398, 541637.84620103519409895 7352450.62352843396365643, 541637.74961323384195566 7352449.75983019545674324, 541609.09618507791310549 7352450.96602121461182833, 541591.86777527257800102 7352451.69126613344997168, 541482.00699499901384115 7352456.31595138553529978, 541480.95221537537872791 7352456.36035325285047293, 541477.92624501988757402 7352467.30915569327771664, 541472.09335023630410433 7352479.42793618980795145, 541448.79677453846670687 7352480.58065399713814259, 541418.31685904122423381 7352470.72130903881043196, 541383.56960943073499948 7352466.62830058671534061, 541369.00488531158771366 7352481.13816171791404486, 541358.35475551313720644 7352501.0755169577896595, 541359.69762376230210066 7352536.34131478052586317, 541353.68047271203249693 7352564.6629229998216033, 541354.89413959463126957 7352606.5404085386544466, 541360.96919247915502638 7352619.54297428019344807, 541360.66692066320683807 7352627.13495237100869417, 541345.45300990634132177 7352660.78195763193070889, 541351.90402769716456532 7352671.64774937182664871, 541360.99209515331313014 7352692.36916605941951275, 541356.4908082780893892 7352705.74356625787913799, 541348.22139564575627446 7352727.65560445562005043, 541334.4185476036509499 7352727.03643258474767208, 541328.87610496289562434 7352795.61220347974449396, 541324.24517915793694556 7352810.38705501798540354, 541302.45843289757613093 7352849.0980137400329113, 541294.04871307697612792 7352875.35286563541740179, 541290.82886345311999321 7352890.36506630573421717, 541294.7748283197870478 7352914.86805023532360792, 541329.33239826455246657 7352919.75742226094007492, 541371.30405077920295298 7352923.56630074325948954, 541571.49381796503439546 7352933.15526371914893389, 541571.70271006657276303 7352933.74628047458827496)),((541114.29229173937346786 7353018.63230808638036251, 541114.29658207425381988 7353018.60016527492552996, 541128.63986273726914078 7352999.92791864834725857, 541148.02524629852268845 7352973.84200410451740026, 541167.06078343302942812 7352930.76932585332542658, 541175.11985759483650327 7352912.34383029490709305, 541210.03305362269748002 7352918.52637995127588511, 541230.46265615336596966 7352918.76474544312804937, 541246.88152561173774302 7352918.46149479597806931, 541277.57955700985621661 7352920.23094429634511471, 541277.57429954688996077 7352919.26983346603810787, 541279.00298551574815065 7352894.00532989203929901, 541279.10856348439119756 7352847.61385626625269651, 541266.25495716871228069 7352821.14684290625154972, 541254.38890604476910084 7352802.66051256656646729, 541254.75300971837714314 7352787.13121110200881958, 541254.80675342015456408 7352770.19489714317023754, 541253.07031837094109505 7352754.89458231441676617, 541255.47440090728923678 7352736.68562777992337942, 541265.98149895248934627 7352721.17990067228674889, 541275.75989671982824802 7352703.32736156415194273, 541280.948955915751867 7352685.92655829526484013, 541293.94096352334599942 7352636.55127708148211241, 541292.7906325242947787 7352618.96989132836461067, 541299.57558433793019503 7352596.76060725748538971, 541302.42472278198692948 7352584.97597596608102322, 541306.1915244817500934 7352566.95122035313397646, 541307.8645698189502582 7352527.88777501694858074, 541305.16757547238375992 7352485.77318410389125347, 541303.73257053468842059 7352463.82056858483701944, 541017.81369266100227833 7352475.85657281987369061, 540986.8011122290045023 7352477.16207440663129091, 540989.17333922348916531 7352522.63481398858129978, 541016.82250010874122381 7353052.6359881553798914, 541020.50561006949283183 7353123.23677823320031166, 541044.93251597078051418 7353094.82623887062072754, 541099.45858236751519144 7353034.42881329357624054, 541111.73943743796553463 7353019.84795299172401428, 541114.29229173937346786 7353018.63230808638036251)))</t>
  </si>
  <si>
    <t>29,5 ha</t>
  </si>
  <si>
    <t>MultiPolygon (((542110.02893721032887697 7351248.29868826176971197, 542091.45401249267160892 7351244.21849413681775331, 542091.4452756280079484 7351249.73145701456815004, 542091.3413035087287426 7351315.33786352444440126, 542091.11250220611691475 7351459.71148534584790468, 542090.99904437270015478 7351531.30337716639041901, 542090.90306635852903128 7351591.86550349462777376, 542090.89071017690002918 7351599.66225363127887249, 542119.23248564545065165 7351603.99475433863699436, 542134.68244760110974312 7351570.17259051650762558, 542131.72243024967610836 7351547.67645866516977549, 542131.04116054531186819 7351519.51731082703918219, 542138.76221721060574055 7351499.07921965420246124, 542148.50611975137144327 7351493.57167266122996807, 542152.13409481011331081 7351486.74325044080615044, 542152.8165909331291914 7351475.57012616377323866, 542152.80333872325718403 7351473.66111531853675842, 542156.9267107704654336 7351464.34450306370854378, 542157.35937782470136881 7351463.36690726689994335, 542155.22464162763208151 7351463.24911512155085802, 542155.40178267285227776 7351462.84829158615320921, 542153.94810895994305611 7351455.64575211890041828, 542156.70151401683688164 7351444.90403269696980715, 542164.49776109121739864 7351440.03452159184962511, 542168.60205274634063244 7351437.47099408973008394, 542170.25785121601074934 7351420.55187621805816889, 542170.85426132008433342 7351419.71297868900001049, 542182.82957431953400373 7351414.47729189042001963, 542189.73474454414099455 7351404.7254165094345808, 542188.12904299329966307 7351393.99568386375904083, 542187.37970498856157064 7351386.94313499797135592, 542182.60103526804596186 7351381.51718369498848915, 542182.45035041775554419 7351380.42271940130740404, 542186.99645317066460848 7351370.9733846727758646, 542190.98399507254362106 7351365.24790405482053757, 542187.98593895323574543 7351350.9975132429972291, 542185.22845724783837795 7351340.06487677525728941, 542179.09517814498394728 7351324.72573656216263771, 542173.37014060840010643 7351320.4931560019031167, 542171.63656307011842728 7351315.36348619963973761, 542169.13975583016872406 7351306.68259691260755062, 542165.19969484955072403 7351295.65388365555554628, 542164.7057525273412466 7351295.03948667366057634, 542162.39325955230742693 7351289.63980039767920971, 542162.31736393179744482 7351289.34456830006092787, 542160.8729849997907877 7351274.74478476587682962, 542161.76071760803461075 7351268.29818237014114857, 542159.22461531031876802 7351262.54666434228420258, 542155.0334384785965085 7351258.18444039486348629, 542147.99951539933681488 7351256.67175959516316652, 542138.29307771660387516 7351254.51139495242387056, 542128.72488973289728165 7351252.42709657642990351, 542118.3966003805398941 7351250.47693187743425369, 542110.02893721032887697 7351248.29868826176971197)),((542304.51332996878772974 7351632.78909486532211304, 542301.91850104928016663 7351608.94684504996985197, 542332.53509810473769903 7351616.70762010104954243, 542354.74181294068694115 7351607.02794649731367826, 542354.98677822388708591 7351592.79024973418563604, 542355.91889817733317614 7351592.43134146649390459, 542392.34548495803028345 7351600.93134601321071386, 542427.63045640289783478 7351577.44527793675661087, 542446.28425780590623617 7351556.71883193403482437, 542482.55553831160068512 7351511.12065072730183601, 542501.91757203079760075 7351466.86457366403192282, 542504.31830661743879318 7351461.3771803192794323, 542511.62514789495617151 7351429.95776282250881195, 542458.57565136719495058 7351348.76615533139556646, 542425.60837220400571823 7351298.31013661250472069, 542333.33242029789835215 7351157.08291754126548767, 542326.67911104392260313 7351157.99018698465079069, 542297.61160359717905521 7351163.44034462980926037, 542249.46854439191520214 7351166.61960325576364994, 542199.28167606983333826 7351187.51187423150986433, 542171.03607907891273499 7351210.67732787970453501, 542167.71617970522493124 7351213.40012304950505495, 542167.03490999806672335 7351248.37196794524788857, 542180.43321421276777983 7351291.51904930640012026, 542199.962945775128901 7351364.18781791906803846, 542207.57045749016106129 7351413.01214683149009943, 542204.84537866804748774 7351444.3505532955750823, 542197.12432200275361538 7351466.83245358429849148, 542178.50295004434883595 7351491.13107308931648731, 542161.47120740078389645 7351489.99562357924878597, 542152.93981775268912315 7351522.20597225148230791, 542161.5314879035577178 7351577.69384197890758514, 542217.33683709893375635 7351611.57566113397479057, 542219.21119659673422575 7351605.68230526987463236, 542286.28852623701095581 7351621.81798583827912807, 542305.32253125589340925 7351661.38801632076501846, 542316.26810374390333891 7351671.00709351524710655, 542322.34157573617994785 7351668.37221492454409599, 542319.48749660886824131 7351652.07545715756714344, 542315.14467218238860369 7351639.97770692221820354, 542304.51332996878772974 7351632.78909486532211304)))</t>
  </si>
  <si>
    <t>14 ha</t>
  </si>
  <si>
    <t>MultiPolygon (((542742.08137126709334552 7350893.22033071983605623, 542799.81701525289099663 7351217.0812086770310998, 542806.80779257218819112 7351256.2951001999899745, 543064.65398761339019984 7351331.15036968979984522, 543063.48154046852141619 7351311.36235372070223093, 543089.66844310238957405 7351259.29271351266652346, 543105.10778433748055249 7351248.29925587866455317, 543120.46629132551606745 7351236.33578727766871452, 543125.31634616386145353 7351224.53398717101663351, 543111.25118713267147541 7351203.03207738790661097, 543095.42555945366621017 7351181.73451936617493629, 543092.05282978527247906 7351163.39781838376075029, 543044.24214377254247665 7351149.7602204866707325, 543036.56034262245520949 7351153.5615180367603898, 543020.7168301505735144 7351174.74009083118289709, 543012.52908821462187916 7351209.01266881823539734, 542998.5357494680210948 7351220.7694717850536108, 542975.82747560832649469 7351216.41082192305475473, 542958.42057022720109671 7351196.88867459632456303, 542971.89294477796647698 7351184.3863110113888979, 542993.67812065873295069 7351173.61313473619520664, 543055.88555339898448437 7351078.02463243901729584, 543081.68381578486878425 7351085.15778165217489004, 543104.1018470375565812 7351087.45706690847873688, 543121.92130777705460787 7351079.55327383894473314, 543129.84360355802346021 7351068.89193467702716589, 543173.79893138073384762 7351082.42738041281700134, 543167.97886557457968593 7351092.98972206003963947, 543181.77457711461465806 7351101.39648377988487482, 543182.96014607511460781 7351117.02443825826048851, 543190.93579180922824889 7351128.66456987243145704, 543221.76058478164486587 7351136.26298911962658167, 543226.12563413637690246 7351155.2320924885571003, 543222.03003227268345654 7351164.28552818484604359, 543225.96396564168389887 7351181.79961510468274355, 543224.41810086369514465 7351188.68900877237319946, 543213.4616020581452176 7351202.33151391986757517, 543206.50985678983852267 7351222.37840725108981133, 543197.94142657530028373 7351230.67738997470587492, 543196.10918363649398088 7351249.64649334084242582, 543225.76564005401451141 7351260.70852552447468042, 543230.16734650102443993 7351287.04580509383231401, 543234.87290420196950436 7351292.6398054389283061, 543225.42507065914105624 7351308.27826738450676203, 543215.51630653406027704 7351312.06716621667146683, 543201.06701747106853873 7351310.97274229489266872, 543179.0801022038795054 7351305.36823448538780212, 543175.66265394608490169 7351321.89646273944526911, 543160.59600432030856609 7351330.37296164967119694, 543151.70423711673356593 7351346.59370060916990042, 543147.99398568633478135 7351359.63590003550052643, 543134.94460317527409643 7351381.24464795738458633, 543129.55565335508435965 7351399.6748563414439559, 543112.52657192281913012 7351420.26064465474337339, 543104.1198102030903101 7351440.19975899066776037, 543093.23413156601600349 7351438.79863203782588243, 543073.83391221263445914 7351465.63560214266180992, 543068.84015204571187496 7351485.61064280942082405, 543065.96604547486640513 7351494.66407850757241249, 543177.19396976695861667 7351543.81130086909979582, 543207.72970735840499401 7351561.81534470058977604, 543302.84493216034024954 7351598.06827874481678009, 543295.32586167380213737 7351570.64578638039529324, 543276.24713350646197796 7351560.71753484662622213, 543278.4579054107889533 7351545.82913447543978691, 543281.4937661848962307 7351525.38418916426599026, 543289.81034128647297621 7351513.27807881496846676, 543300.26569397281855345 7351488.45766600593924522, 543298.84015228971838951 7351478.74026938807219267, 543298.10611636471003294 7351473.7366147842258215, 543291.81103258952498436 7351450.87078898586332798, 543285.54916656948626041 7351430.52906847186386585, 543301.70015561860054731 7351361.68679032567888498, 543291.473109295591712 7351347.24989771284162998, 543276.37095118686556816 7351336.77174490503966808, 543286.15721081010997295 7351306.84167954418808222, 543310.24390594102442265 7351290.2411506175994873, 543313.33463516924530268 7351271.5323736285790801, 543317.74305641930550337 7351248.57859014719724655, 543322.86956782639026642 7351236.54034629371017218, 543327.28745196480304003 7351226.16612446587532759, 543332.60029961261898279 7351214.65201074909418821, 543341.05157004948705435 7351196.78546017408370972, 543362.55285560991615057 7351186.03481739293783903, 543392.47140804585069418 7351168.36923391278833151, 543405.11245007161051035 7351159.76565326098352671, 543406.0016851769760251 7351147.61277348548173904, 543391.18498887866735458 7351107.39602638687938452, 543394.35999522730708122 7351073.52929198555648327, 543425.05172327812761068 7351056.59592478629201651, 543467.38514127768576145 7351079.87930468656122684, 543511.83523017726838589 7351098.92934278678148985, 543526.65192647650837898 7351131.7377417366951704, 543504.42688202671706676 7351161.37113433703780174, 543482.20183757692575455 7351176.18783063627779484, 543461.00164497829973698 7351188.79167638625949621, 543462.83539688214659691 7351204.90438196156173944, 543465.7173651410266757 7351242.5077382680028677, 543460.28892666194587946 7351263.70142421312630177, 543464.61192679684609175 7351289.82802147977054119, 543467.56059709843248129 7351307.64868283271789551, 543469.35166753455996513 7351330.19397520273923874, 543469.85309797897934914 7351352.14925502613186836, 543472.93953550234436989 7351377.16842207126319408, 543472.9366607153788209 7351377.22700587846338749, 543472.64459443464875221 7351383.17887407541275024, 543475.42440200131386518 7351391.51829678006470203, 543470.19161698967218399 7351432.99672533571720123, 543472.37736030388623476 7351439.40267375949770212, 543495.20744096022099257 7351455.64802653528749943, 543480.42304946202784777 7351465.7060477240011096, 543478.3027960853651166 7351469.66580066736787558, 543475.57915356103330851 7351544.78741694055497646, 543477.29310708865523338 7351567.83399812877178192, 543478.93412040884140879 7351622.73442845419049263, 543479.68216047435998917 7351647.76025913562625647, 543480.2737687835469842 7351667.55263402499258518, 543651.07045322563499212 7351752.37783301062881947, 543662.62813374679535627 7351756.80381914507597685, 543662.67419272847473621 7351757.83205476589500904, 543706.24425168614834547 7351775.51388150174170732, 543692.67958445427939296 7351663.9341065501794219, 543665.46649681124836206 7351440.08562261238694191, 543645.11688662623055279 7351058.16025923378765583, 542732.6948243509978056 7350821.24477892834693193, 542743.80734657496213913 7350851.40733924601227045, 542737.45733387861400843 7350867.28237099573016167, 542742.08137126709334552 7350893.22033071983605623)))</t>
  </si>
  <si>
    <t>38 ha</t>
  </si>
  <si>
    <t>MultiPolygon (((542097.84770271927118301 7351245.34585071727633476, 542091.45401249267160892 7351244.21849413681775331, 542110.02893721032887697 7351248.29868826176971197, 542108.07971929479390383 7351247.79127401765435934, 542097.84770271927118301 7351245.34585071727633476)),((542190.80793802347034216 7351366.72040893975645304, 542190.98399507254362106 7351365.24790405482053757, 542186.99645317066460848 7351370.9733846727758646, 542190.80793802347034216 7351366.72040893975645304)),((542184.81362004950642586 7351411.75568247027695179, 542189.73474454414099455 7351404.7254165094345808, 542182.82957431953400373 7351414.47729189042001963, 542184.81362004950642586 7351411.75568247027695179)),((542169.93490654043853283 7351424.71431459300220013, 542170.25785121601074934 7351420.55187621805816889, 542168.60205274634063244 7351437.47099408973008394, 542169.78087534941732883 7351435.0038114208728075, 542169.93490654043853283 7351424.71431459300220013)),((542135.1287787789478898 7351573.56470748316496611, 542134.68244760110974312 7351570.17259051650762558, 542119.23248564545065165 7351603.99475433863699436, 542135.1287787789478898 7351573.56470748316496611)),((543237.00278733298182487 7352434.0211203433573246, 543225.44919527694582939 7352424.45762076415121555, 543223.04266881197690964 7352425.38320786692202091, 543167.67069430183619261 7352350.90330698527395725, 543155.10941848810762167 7352343.60023965127766132, 543146.18128447234630585 7352346.20963830314576626, 543059.53934078570455313 7352326.5358683979138732, 543050.91989700961858034 7352333.52178698498755693, 543032.20664677955210209 7352365.00030956231057644, 543017.48800094239413738 7352365.28200196754187346, 542966.50455146003514528 7352388.86603097524493933, 542911.39545689895749092 7352346.07304680068045855, 542911.20884258393198252 7352283.5899386890232563, 542934.64349924866110086 7352240.56256256718188524, 542954.90474198199808598 7352225.42202899698168039, 542953.82946666888892651 7352217.93783786054700613, 542957.13819264899939299 7352204.07316514942795038, 542954.77402534056454897 7352194.82225492876023054, 542951.37394478730857372 7352189.64717288967221975, 542948.40723326895385981 7352177.44711852632462978, 542945.28088422585278749 7352163.84191983193159103, 542944.74919038359075785 7352161.25903286039829254, 542939.96339487843215466 7352151.8514585318043828, 542938.44454823434352875 7352147.52319010626524687, 542938.00720468629151583 7352143.69716370478272438, 542943.47030685935169458 7352138.76986462716013193, 542942.96213136240839958 7352134.62576195690780878, 542940.23133186809718609 7352124.72411260567605495, 542944.31229555699974298 7352111.19467319082468748, 542944.05338586308062077 7352107.5476111089810729, 542937.28858513012528419 7352099.8733451385051012, 542928.0071676354855299 7352090.74855120480060577, 542922.24608039204031229 7352081.92872852273285389, 542915.38676095381379128 7352072.49232013616710901, 542909.92968046292662621 7352059.55562948901206255, 542902.31470575649291277 7352056.11903033126145601, 542896.66569837089627981 7352052.9488763902336359, 542889.89298445545136929 7352049.14811207167804241, 542886.45291019789874554 7352043.73318526428192854, 542881.99760584533214569 7352033.02601924631744623, 542880.95105839055031538 7352027.07458670437335968, 542879.46297864802181721 7352014.54380416590720415, 542880.40075282473117113 7352012.22618970833718777, 542882.10071739554405212 7352009.81512915808707476, 542883.6772770406678319 7352007.57909387815743685, 542884.4042766448110342 7352005.87235629465430975, 542881.88325903844088316 7352005.76446866523474455, 542881.14421776868402958 7351999.21403413917869329, 542875.06190755683928728 7351983.49829520471394062, 542871.69811647944152355 7351979.00814360287040472, 542880.42515389807522297 7351970.19298236723989248, 542871.87283623963594437 7351960.95647929608821869, 542858.10757517535239458 7351946.08999735023826361, 542775.87509884964674711 7351834.38909020088613033, 542780.31991960201412439 7351829.30929505545645952, 542748.56985610444098711 7351791.20921885222196579, 542738.91455559805035591 7351777.82142948918044567, 542693.88672691024839878 7351708.9068868039175868, 542693.62768839672207832 7351708.51043151877820492, 542690.86800634860992432 7351709.0143217071890831, 542472.59610032010823488 7351655.99447941966354847, 542444.60273640044033527 7351641.25688145123422146, 542445.24721197038888931 7351631.3345273220911622, 542390.32151234243065119 7351620.28636185172945261, 542392.34548495803028345 7351600.93134601321071386, 542355.91889817733317614 7351592.43134146649390459, 542354.98677822388708591 7351592.79024973418563604, 542354.74181294068694115 7351607.02794649731367826, 542332.53509810473769903 7351616.70762010104954243, 542301.91850104928016663 7351608.94684504996985197, 542304.51332996878772974 7351632.78909486532211304, 542315.14467218238860369 7351639.97770692221820354, 542319.48749660886824131 7351652.07545715756714344, 542322.34157573617994785 7351668.37221492454409599, 542316.26810374390333891 7351671.00709351524710655, 542305.32253125589340925 7351661.38801632076501846, 542286.28852623701095581 7351621.81798583827912807, 542219.21119659673422575 7351605.68230526987463236, 542217.33683709893375635 7351611.57566113397479057, 542161.5314879035577178 7351577.69384197890758514, 542160.18413351476192474 7351568.99217821098864079, 542155.33978004846721888 7351581.73994395136833191, 542159.88157808780670166 7351591.73189963679760695, 542212.33934542909264565 7351614.44088982697576284, 542207.11627768538892269 7351641.4645881550386548, 542212.11225552763789892 7351668.03410667832940817, 542153.97724063694477081 7351685.97420892957597971, 542150.57089210767298937 7351704.59558088611811399, 542090.7445649653673172 7351691.87988069280982018, 542090.71089358534663916 7351713.1265210434794426, 542104.07326650433242321 7351767.73795819375663996, 542173.56393867637962103 7351823.9548597214743495, 542178.97142119705677032 7351829.50969019345939159, 542208.16099652741104364 7351833.73580364789813757, 542262.23910798225551844 7351845.37593526020646095, 542288.83357535023242235 7351855.72271891497075558, 542302.57539739273488522 7351859.36026004422456026, 542390.99562433827668428 7351898.83374832849949598, 542399.52584817633032799 7351919.08204861264675856, 542460.39403639733791351 7351978.79834881331771612, 542506.83331147488206625 7352016.62877655029296875, 542562.12393663078546524 7352053.48919332679361105, 542596.80182872619479895 7352077.13321066182106733, 542631.84347493294626474 7352117.388665821403265, 542648.03053295332938433 7352141.00237031653523445, 542652.8502749502658844 7352163.55512531567364931, 542671.58361176308244467 7352224.84769333153963089, 542675.67584553360939026 7352268.31630981899797916, 542674.12989055458456278 7352297.05288473516702652, 542673.31144380103796721 7352352.79820253513753414, 542668.85545591823756695 7352436.73446407914161682, 542665.49073037318885326 7352465.10728488676249981, 542657.67001694720238447 7352489.25146412942558527, 542662.9444515835493803 7352498.84547885041683912, 542749.06323780491948128 7352517.48787713516503572, 542780.20968371629714966 7352522.26214986946433783, 542825.92756290175020695 7352511.7702953964471817, 543050.82384602725505829 7352474.72855465020984411, 543183.29471003264188766 7352448.01084158010780811, 543218.07869707513600588 7352442.32718356885015965, 543237.00278733298182487 7352434.0211203433573246),(542315.59075893834233284 7351744.70501192100346088, 542332.44365177676081657 7351738.31097468640655279, 542357.98727392964065075 7351739.76599113643169403, 542365.74736167304217815 7351746.39439941849559546, 542378.35750425234436989 7351759.65121597796678543, 542386.11759199481457472 7351775.81806544121354818, 542387.73427694197744131 7351803.30170952808111906, 542382.88422210235148668 7351813.00181920640170574, 542375.44747134950011969 7351825.28862479794770479, 542368.6169774504378438 7351835.59499133192002773, 542361.31775979418307543 7351837.53438865020871162, 542348.4895858857780695 7351834.41287191864103079, 542345.78102920856326818 7351833.79189297277480364, 542345.09592715464532375 7351833.63482262007892132, 542328.43587589729577303 7351824.73461971245706081, 542315.6554699270054698 7351819.74199642799794674, 542310.33078294433653355 7351812.02111858408898115, 542308.2742118276655674 7351794.81411356199532747, 542304.5804569898173213 7351778.95180808380246162, 542303.49653352424502373 7351763.62634012475609779, 542308.09890468697994947 7351752.07818836439400911, 542315.59075893834233284 7351744.70501192100346088),(542419.74767032451927662 7351718.78214082680642605, 542402.33790969848632813 7351703.71623840369284153, 542398.57249857019633055 7351685.00008305720984936, 542399.65019534341990948 7351680.24548816867172718, 542413.71667060907930136 7351663.59255028236657381, 542426.87885986920446157 7351667.08940791804343462, 542441.87069978471845388 7351669.1981032257899642, 542448.21842800080776215 7351678.56153767462819815, 542447.12369487900286913 7351686.20231163315474987, 542448.54776989482343197 7351700.53588052839040756, 542449.75698146130889654 7351711.42715712357312441, 542445.23910444229841232 7351723.83873831387609243, 542419.74767032451927662 7351718.78214082680642605)),((542664.67228361871093512 7352414.72734025586396456, 542668.62173937074840069 7352370.42353593464940786, 542668.94639444630593061 7352337.88428390957415104, 542670.28666360024362803 7352285.92863135971128941, 542671.12891912367194891 7352246.67294010613113642, 542658.03377105854451656 7352194.74704049527645111, 542639.84606541600078344 7352144.1852188054472208, 542618.7483268678188324 7352108.90106985531747341, 542594.86180678941309452 7352083.4382819551974535, 542573.30482731387019157 7352073.23456121981143951, 542556.65558503288775682 7352070.73717487975955009, 542553.32573657762259245 7352066.57486430741846561, 542551.88330469932407141 7352054.74692292418330908, 542521.80785578582435846 7352031.66394654847681522, 542491.13125893380492926 7352008.26243195030838251, 542446.26825168076902628 7351970.43200421053916216, 542418.3804363589733839 7351941.45292655378580093, 542381.03501410409808159 7351905.68377212155610323, 542325.25938346423208714 7351874.03716430254280567, 542264.63369798567146063 7351851.120655189268291, 542180.55589147750288248 7351838.39149689394980669, 542205.61387718841433525 7351882.97893661074340343, 542305.72119683958590031 7351903.20610293466597795, 542321.67248831037431955 7351938.77317175548523664, 542323.3969522537663579 7351957.95783311873674393, 542315.20574852544814348 7352000.63831570092588663, 542313.59253584686666727 7352017.22613702435046434, 542364.13741290289908648 7352093.97492660209536552, 542402.07561964262276888 7352133.20648130308836699, 542421.04472301434725523 7352159.50455642957240343, 542462.43185763899236917 7352169.63578209187835455, 542464.26410057954490185 7352183.32371463906019926, 542474.71866323240101337 7352197.22720517497509718, 542483.77209893334656954 7352216.19630854763090611, 542496.382241515442729 7352234.62651693541556597, 542509.61211332399398088 7352264.56213318929076195, 542509.69294757209718227 7352292.12661152612417936, 542513.24965445324778557 7352309.9909801846370101, 542521.65641617588698864 7352326.15782964788377285, 542551.08008219860494137 7352361.40156147908419371, 542559.81018090900033712 7352380.80178083479404449, 542559.00183843541890383 7352394.86693986784666777, 542552.05009316559880972 7352406.99207696504890919, 542496.75629547517746687 7352331.03131764382123947, 542452.66394410002976656 7352325.06182333175092936, 542458.71460021752864122 7352350.27289048861712217, 542478.15736224967986345 7352448.01084157731384039, 542485.7766436068341136 7352495.13424659892916679, 542494.16254321485757828 7352535.3118286682292819, 542494.89005144033581018 7352549.13448495604097843, 542545.26999607216566801 7352557.13707544002681971, 542594.01304719597101212 7352547.86134556028991938, 542609.65447404887527227 7352542.04127975460141897, 542632.20722904615104198 7352530.94677931163460016, 542644.0641070082783699 7352507.77978475112468004, 542659.48878751043230295 7352470.01796541176736355, 542664.67228361871093512 7352414.72734025586396456)))</t>
  </si>
  <si>
    <t>47 ha</t>
  </si>
  <si>
    <t>MultiPolygon (((543322.61639062885660678 7353071.2815806120634079, 543751.38769579620566219 7353216.07765087950974703, 543747.93203172390349209 7353088.58183432463556528, 543744.0216750109102577 7353053.47956243436783552, 543340.61836384632624686 7353067.75691136717796326, 543322.61639062885660678 7353071.2815806120634079)))</t>
  </si>
  <si>
    <t>3.5 ha</t>
  </si>
  <si>
    <t>MultiPolygon (((543376.05593682173639536 7352706.94996832590550184, 542534.39674576371908188 7352943.50102483388036489, 542534.45624800305813551 7352949.58839453477412462, 542551.99178183171898127 7352972.41085168998688459, 542595.08867355901747942 7353040.01691354904323816, 542617.13175490871071815 7353060.61660545598715544, 542677.97657030541449785 7353137.77192843798547983, 542710.77251146547496319 7353195.16262142360210419, 542731.82165694795548916 7353227.2554679149761796, 542744.48367404192686081 7353255.01397714484483004, 542748.64465863816440105 7353257.32163246069103479, 542859.42029429413378239 7353207.35247423220425844, 542977.83375413622707129 7353161.65629622340202332, 543116.12776667345315218 7353115.68978838715702295, 543291.75406136747915298 7353071.75820661056786776, 543302.75880176352802664 7353045.42543494887650013, 543299.87790322175715119 7353019.13511161506175995, 543312.48804580152500421 7352981.66843799129128456, 543334.007733054459095 7352914.14423544332385063, 543370.66183221153914928 7352810.02215965930372477, 543388.33204491995275021 7352769.31263843458145857, 543376.05593682173639536 7352706.94996832590550184),(542977.01517194788902998 7353101.84845971968024969, 542958.09688513725996017 7353102.2298243660479784, 542946.88171680457890034 7353091.38705786969512701, 542934.6720523489639163 7353064.57618677709251642, 542917.19123000651597977 7353037.86457075085490942, 542940.28800145070999861 7353029.99958422686904669, 543003.31108840368688107 7353024.23451645113527775, 543013.2475846391171217 7353049.60443542990833521, 543011.37344563007354736 7353084.62388559151440859, 542991.86615556757897139 7353096.40283876284956932, 542977.01517194788902998 7353101.84845971968024969)))</t>
  </si>
  <si>
    <t>24 ha</t>
  </si>
  <si>
    <t>MultiPolygon (((542477.41234570741653442 7352586.86814265511929989, 542467.52028295397758484 7352567.30281338654458523, 542459.88836269360035658 7352553.87372836656868458, 542441.34824023395776749 7352520.17650569416582584, 542432.63910156954079866 7352485.37398102972656488, 542424.04499805346131325 7352449.07702072523534298, 542424.40834040101617575 7352388.15972282364964485, 542419.46265017800033092 7352332.20626422297209501, 542394.83713684231042862 7352271.83894875552505255, 542369.36361698992550373 7352243.2588159441947937, 542353.5730687091127038 7352215.3696312690153718, 542302.05151514895260334 7352167.8112741382792592, 542256.8447599345818162 7352172.23375357314944267, 542237.93906678631901741 7352199.69350427482277155, 542220.73437286820262671 7352179.07727429829537868, 542196.80827310867607594 7352176.10794212762266397, 542174.25952221732586622 7352175.41626433469355106, 542138.1367242056876421 7352173.59394936542958021, 542108.25810918305069208 7352196.81685074232518673, 542089.34518874622881413 7352207.35878838505595922, 542074.95106587279587984 7352205.64700947143137455, 542057.47138768807053566 7352178.42396422848105431, 541661.5157513115555048 7352126.90377038344740868, 541646.07614817190915346 7352144.05175287090241909, 541643.68226418271660805 7352186.23674939479678869, 541650.90163739770650864 7352451.79513673111796379, 541652.20469108875840902 7352451.58390106074512005, 542044.84067185781896114 7352683.15001438185572624, 542077.38649377971887589 7352690.70155680831521749, 542085.27299571968615055 7352689.51844712533056736, 542477.41234570741653442 7352586.86814265511929989),(542035.59110546857118607 7352562.66985573340207338, 542040.76449729700107127 7352536.80289659183472395, 542055.7098514677491039 7352520.70789979305118322, 542073.52931220980826765 7352514.38486533612012863, 542088.47466638055630028 7352504.03808167949318886, 542105.14448449411429465 7352509.78629482164978981, 542119.51501735055353492 7352526.45611293520778418, 542124.11358786467462778 7352549.44896550569683313, 542106.86894843692425638 7352601.182883788831532, 542068.35592038149479777 7352608.08073956053704023, 542045.93788912531454116 7352600.03324116114526987, 542035.59110546857118607 7352562.66985573340207338),(542083.82653013896197081 7352469.39868841413408518, 542083.38735026214271784 7352441.76382695138454437, 542078.74847743473947048 7352420.44621787592768669, 542075.44077249988913536 7352409.51134566217660904, 542074.99534496665000916 7352404.30736420024186373, 542073.7420885032042861 7352382.06435817666351795, 542072.12041576113551855 7352377.8847503773868084, 542078.13575038872659206 7352369.83985286206007004, 542088.03163222968578339 7352370.40479318983852863, 542089.81085568014532328 7352382.84605373162776232, 542089.59698978345841169 7352392.31052800547331572, 542096.21563671715557575 7352418.42390938941389322, 542096.51744591630995274 7352445.74364475905895233, 542099.31999005377292633 7352459.04310187976807356, 542091.89050346985459328 7352479.3418934540823102, 542095.98839344270527363 7352488.68626461364328861, 542091.69548581540584564 7352488.47408234141767025, 542083.82653013896197081 7352469.39868841413408518),(542292.89887079037725925 7352375.19495647866278887, 542313.44969220831990242 7352353.12204307410866022, 542322.8402623375877738 7352350.08762677758932114, 542347.41120331175625324 7352352.12181068770587444, 542356.11651446297764778 7352365.46879256144165993, 542359.65220174100250006 7352384.34509487356990576, 542364.20181960240006447 7352408.6345626562833786, 542365.57312306296080351 7352422.43932629935443401, 542363.5940961791202426 7352433.95249288063496351, 542357.87292585149407387 7352448.36282127816230059, 542332.01150098070502281 7352463.68622227944433689, 542318.10635969694703817 7352460.12651048973202705, 542305.08592522796243429 7352447.0706186331808567, 542299.92475657910108566 7352438.1119523961097002, 542291.62356433644890785 7352410.14816254191100597, 542289.44896732736378908 7352402.82271192874759436, 542288.83849419746547937 7352386.67712679877877235, 542292.89887079037725925 7352375.19495647866278887)))</t>
  </si>
  <si>
    <t>32 ha</t>
  </si>
  <si>
    <t>MultiPolygon (((543768.93883174157235771 7353632.57611010782420635, 543754.05121870886068791 7353279.28456766903400421, 543746.18146505567710847 7353265.91196434292942286, 543752.78296738362405449 7353249.18824088294059038, 543751.38769579620566219 7353216.07765087950974703, 543322.61639062885660678 7353071.2815806120634079, 543236.82394694513641298 7353088.88284259382635355, 542990.01004513469524682 7353164.11258209683001041, 542892.57783236738760024 7353201.18855686578899622, 542812.39025902817957103 7353233.09113980736583471, 542746.29788105038460344 7353261.13524190336465836, 542756.26117565296590328 7353279.98882223106920719, 542775.50536091346293688 7353429.1741474773734808, 542779.73641392588615417 7353489.39867860917001963, 542783.48330827080644667 7353502.31379530392587185, 542794.07155061326920986 7353538.81025686301290989, 542809.8732672818005085 7353603.29480324499309063, 542817.24867151631042361 7353655.90205473732203245, 542816.53663958178367466 7353673.64808141347020864, 542818.5472468170337379 7353702.86147530283778906, 543209.40994021180085838 7353676.76470840163528919, 543768.93883174157235771 7353632.57611010782420635)))</t>
  </si>
  <si>
    <t>51 ha</t>
  </si>
  <si>
    <t>MultiPolygon (((543791.80987158766947687 7354233.31602750159800053, 543773.66763520869426429 7353790.3999258279800415, 543585.0530862535815686 7353743.46265134215354919, 543290.09518487995956093 7353670.33318876009434462, 542818.5472468170337379 7353702.86147530283778906, 542820.59293185768183321 7353726.34343660715967417, 542813.13168440852314234 7353780.23175923526287079, 542826.83164419047534466 7353821.59731887187808752, 542862.84358271211385727 7353879.91418192069977522, 542914.53838946856558323 7353963.62750281952321529, 542939.37249438744038343 7354028.79781361483037472, 542966.00706026959232986 7354112.25157711841166019, 542975.88598244916647673 7354185.64262173045426607, 543012.93162127584218979 7354366.6927944365888834, 543026.21589222457259893 7354406.73317575361579657, 543078.02424031309783459 7354396.2963258633390069, 543386.59648991096764803 7354350.73139871936291456, 543771.94428224768489599 7354292.7008320651948452, 543794.12880405713804066 7354290.06166910938918591, 543791.80987158766947687 7354233.31602750159800053),(543176.96806306578218937 7354147.29213174339383841, 543182.86259606829844415 7354135.38097154535353184, 543194.43059799075126648 7354126.65459046699106693, 543219.65116018091794103 7354118.42374277394264936, 543239.48249552282504737 7354129.92016905918717384, 543254.14043903653509915 7354153.20043228752911091, 543248.40954316698480397 7354172.676833625882864, 543170.50393781159073114 7354189.55788041464984417, 543172.94692839728668332 7354166.2776171863079071, 543176.96806306578218937 7354147.29213174339383841),(543002.03199867310468107 7353851.90930124837905169, 542995.1478042418602854 7353829.87987906858325005, 543001.79433685692492872 7353797.59672065265476704, 543037.14139027241617441 7353786.50945415254682302, 543073.62762075790669769 7353792.01680969726294279, 543090.64374235610011965 7353804.19227849133312702, 543087.39600962039548904 7353831.25671795476227999, 543057.10555412294343114 7353853.28614013455808163, 543002.03199867310468107 7353851.90930124837905169)))</t>
  </si>
  <si>
    <t>54 ha</t>
  </si>
  <si>
    <t>MultiPolygon (((542477.41234570741653442 7352586.86814265511929989, 542085.27299571968615055 7352689.51844712533056736, 542077.38649377971887589 7352690.70155680831521749, 542044.84067185781896114 7352683.15001438185572624, 541651.48631723877042532 7352451.22561749070882797, 541657.74387198127806187 7352542.37234237231314182, 541661.099578021094203 7352674.16132034454494715, 541672.74535239581018686 7352896.22837492264807224, 541684.5651613837108016 7352936.5346561660990119, 541683.88892229460179806 7352939.87978036794811487, 541992.1425150316208601 7352933.59761661849915981, 542136.76987990736961365 7352946.58404390327632427, 542326.47224286943674088 7352949.83756446186453104, 542503.80271221231669188 7352953.01084036007523537, 542524.90458324179053307 7352949.79317868407815695, 542511.07042394299060106 7352904.08320534694939852, 542494.95567566808313131 7352827.88156483415514231, 542478.05623271595686674 7352764.29255206417292356, 542474.96328179445117712 7352704.82550523709505796, 542479.9312528595328331 7352651.2460619593039155, 542477.41234570741653442 7352586.86814265511929989),(542202.361139269429259 7352872.59434766788035631, 542194.69685507926624268 7352877.00131107680499554, 542178.12284051813185215 7352874.89363292418420315, 542169.31076176278293133 7352870.83724123518913984, 542160.71453612297773361 7352851.10512296296656132, 542158.77052293787710369 7352845.57774589769542217, 542165.28516449953895062 7352831.49462369829416275, 542176.78159078466705978 7352820.38141162227839231, 542194.93037033418659121 7352817.65332853328436613, 542209.72225531749427319 7352843.77847032528370619, 542201.40310374565888196 7352860.33149296324700117, 542202.361139269429259 7352872.59434766788035631),(542391.81277855497319251 7352750.42601662874221802, 542390.90253034653142095 7352755.52240666374564171, 542384.48369233729317784 7352759.45035231113433838, 542376.67570281866937876 7352757.77379014436155558, 542370.87958789989352226 7352757.58218303974717855, 542363.35900903830770403 7352742.92423952650278807, 542365.27508008596487343 7352738.51727611664682627, 542362.92789305234327912 7352727.16455516032874584, 542366.98394084256142378 7352721.57932422216981649, 542374.8929907123092562 7352720.01322838477790356, 542386.01654917537234724 7352736.07428553141653538, 542392.33958363218698651 7352742.10990933049470186, 542391.81277855497319251 7352750.42601662874221802)))</t>
  </si>
  <si>
    <t>27 ha</t>
  </si>
  <si>
    <t>MultiPolygon (((543376.7974284403026104 7352706.35404115170240402, 543402.8862193189561367 7352648.67359424661844969, 543409.14295202121138573 7352610.62477840762585402, 543397.70468432828783989 7352591.53320356458425522, 543387.94225456472486258 7352575.23876427300274372, 543344.20892579667270184 7352532.20893118344247341, 543329.99874179530888796 7352520.96510994248092175, 543316.06760730594396591 7352509.94208688661456108, 543266.68619349040091038 7352470.86899751145392656, 543227.45312984846532345 7352452.01852490194141865, 543205.13607659749686718 7352450.78642751090228558, 543170.95256263762712479 7352457.7182877017185092, 543113.21735486481338739 7352468.24572435952723026, 543086.58931630291044712 7352473.0466839037835598, 542531.11541119683533907 7352570.26229606755077839, 542493.47535196878015995 7352577.11090019904077053, 542492.36247147712856531 7352583.19541301298886538, 542487.08539961464703083 7352682.220465037971735, 542491.39284095820039511 7352762.97247254010289907, 542512.94147887546569109 7352890.68647839315235615, 542532.34896193444728851 7352934.64458483550697565, 542534.39674576371908188 7352943.50102483388036489, 543376.7974284403026104 7352706.35404115170240402)))</t>
  </si>
  <si>
    <t>MultiPolygon (((542862.0543591104215011 7355217.83926860149949789, 543617.07148962130304426 7355088.93390485737472773, 543784.85307417926378548 7355062.538997040130198, 543825.570800187648274 7355050.19409183505922556, 543794.12880405713804066 7354290.06166910938918591, 543771.94428224768489599 7354292.7008320651948452, 543386.59648991096764803 7354350.73139871936291456, 543078.02424031309783459 7354396.2963258633390069, 543026.21589222457259893 7354406.73317575361579657, 543043.89589986857026815 7354460.02283314522355795, 543038.57337910868227482 7354574.26740797515958548, 543020.4245956027880311 7354681.39537310134619474, 542997.04968726541846991 7354760.04321415163576603, 542958.88307063560932875 7354847.61432900745421648, 542918.84362047258764505 7354920.29917853605002165, 542890.03602726571261883 7354994.64540236722677946, 542855.16576559806708246 7355070.65526068489998579, 542846.98129805864300579 7355124.80915423762053251, 542852.98324092093389481 7355192.46741923037916422, 542862.0543591104215011 7355217.83926860149949789),(543455.39975169231183827 7354445.56892325356602669, 543459.56720622070133686 7354439.10218346863985062, 543457.26792096358258277 7354424.87535593938082457, 543472.2132751343306154 7354398.14616482611745596, 543483.85340674815233797 7354389.81125576980412006, 543492.76313711912371218 7354388.23049715533852577, 543521.21679217519704252 7354421.13901739660650492, 543520.78567618946544826 7354432.6354436818510294, 543527.82723728928249329 7354443.12593266647309065, 543512.4507671328028664 7354489.6864591222256422, 543476.23702433449216187 7354498.45248416624963284, 543455.39975169231183827 7354445.56892325356602669),(543670.14739227597601712 7354898.25367162749171257, 543691.2455250492785126 7354903.75753235071897507, 543711.42634770204313099 7354909.72004813421517611, 543718.30617360642645508 7354923.02104488294571638, 543712.3436578226974234 7354936.32204163167625666, 543699.95997119485400617 7354947.32976307813078165, 543677.48587324062827975 7354949.62303837947547436, 543660.51563600986264646 7354944.5778327165171504, 543649.96656962321139872 7354929.9008707869797945, 543653.6358101055957377 7354914.30659873783588409, 543670.14739227597601712 7354898.25367162749171257)))</t>
  </si>
  <si>
    <t>65 ha</t>
  </si>
  <si>
    <t>MultiPolygon (((543825.570800187648274 7355050.19409183505922556, 543784.85307417926378548 7355062.538997040130198, 543617.07148962130304426 7355088.93390485737472773, 542862.0543591104215011 7355217.83926860149949789, 542876.71819678542669863 7355252.75966344214975834, 542902.32875979412347078 7355284.44037320930510759, 542958.80158581607975066 7355349.64329793769866228, 543017.76385404798202217 7355410.03784799110144377, 543065.23376577638555318 7355457.23494413495063782, 543132.48280739213805646 7355496.92961170058697462, 543148.44251909398008138 7355517.9364117169752717, 543153.87302896822802722 7355551.50475754123181105, 543153.12619451398495585 7355557.10702839586883783, 543156.73317589715588838 7355555.05972879007458687, 543158.12747234886046499 7355578.36506371479481459, 543168.22164898074697703 7355600.73594165593385696, 543218.41971655574161559 7355715.59130279067903757, 543348.50089485279750079 7355761.35482486058026552, 543628.34297073155175894 7355868.02808855846524239, 543832.96776329097338021 7355936.19948280975222588, 543857.05705331079661846 7355936.3597031943500042, 543861.57607683376409113 7355936.20668033417314291, 543848.97988324810285121 7355638.4794371398165822, 543846.41876304219476879 7355629.11826643720269203, 543841.81761825969442725 7355610.71368730813264847, 543843.49076181720010936 7355582.27024683728814125, 543845.85075485787820071 7355564.51846131961792707, 543825.570800187648274 7355050.19409183505922556),(543620.06570252496749163 7355624.09197806380689144, 543632.9963018613634631 7355576.86718050483614206, 543692.83056066208519042 7355582.54111883696168661, 543678.29864517704118043 7355628.1184901287779212, 543675.63857746659778059 7355628.72305097430944443, 543620.06570252496749163 7355624.09197806380689144),(543253.64951981790363789 7355620.66310600191354752, 543237.80099038186017424 7355621.93598605785518885, 543231.79904751956928521 7355619.02595315501093864, 543231.44038462277967483 7355595.78571636695414782, 543236.64655333408154547 7355590.09146933909505606, 543245.43982675194274634 7355586.46996005345135927, 543256.71620425069704652 7355589.37999295722693205, 543262.35439300013240427 7355589.74374706950038671, 543263.85386757540982217 7355609.89314777031540871, 543264.26410209259483963 7355619.57158432435244322, 543260.85390728467609733 7355621.57223194651305676, 543253.64951981790363789 7355620.66310600191354752)))</t>
  </si>
  <si>
    <t>MultiPolygon (((543474.09341983334161341 7349380.38720730226486921, 543529.29300840944051743 7349388.27286281250417233, 543529.29300840944051743 7349380.64469356369227171, 543530.48131575994193554 7349379.42809317726641893, 543528.3180838831467554 7349350.87343240063637495, 543477.54234771884512156 7349341.68257214594632387, 543405.49807633575983346 7349342.25739345978945494, 543236.45808064355514944 7349361.6933158989995718, 543100.90037827007472515 7349377.27950293384492397, 543103.9084934713318944 7349381.44104637671262026, 543101.8008153191767633 7349403.85907763056457043, 543089.15474640624597669 7349424.16943073365837336, 543083.02331905451137573 7349442.3721056841313839, 543084.93939010181929916 7349466.13138667400926352, 543086.66385404451284558 7349499.47102289833128452, 543072.29332118877209723 7349517.86530495528131723, 543072.10171408369205892 7349527.63726729620248079, 543073.87156080198474228 7349565.28765646554529667, 543077.80956644553225487 7349580.43931077420711517, 543091.45403166278265417 7349596.42421789653599262, 543088.57992509170435369 7349610.794750751927495, 543088.38831798708997667 7349621.1415344076231122, 543074.59260644565802068 7349646.05045802425593138, 543071.91010697919409722 7349665.78598981257528067, 543057.34796701872255653 7349671.05518519319593906, 543021.42163487942889333 7349662.43286548089236021, 542972.33772969036363065 7349651.72556282021105289, 542954.91030225181020796 7349655.77747606672346592, 542953.9555119943106547 7349655.89169234503060579, 542934.58746224397327751 7349652.64591382909566164, 542924.568639523582533 7349650.2816072478890419, 542917.99682119616772979 7349651.3499232791364193, 542913.01896708877757192 7349649.31389769725501537, 542910.87863767822273076 7349646.51768848113715649, 542907.56827930198051035 7349637.34302165172994137, 542902.34538256016094238 7349621.90442421939224005, 542885.80469878390431404 7349603.06877431645989418, 542878.96175250271335244 7349591.05921896267682314, 542874.65059264632873237 7349585.98163068760186434, 542873.30934291274752468 7349580.32922109682112932, 542861.90872018039226532 7349562.60556390881538391, 542846.10466991364955902 7349529.83321886789053679, 542833.35869438434019685 7349514.84497265331447124, 542821.91427236492745578 7349505.62819752376526594, 542811.28665671625640243 7349499.65062336064875126, 542809.8609472531825304 7349501.10772689338773489, 542795.15855925448704511 7349516.13386092707514763, 542789.95811824477277696 7349519.50878105312585831, 542786.18993157986551523 7349522.74022535234689713, 542744.188826983445324 7349565.15499257482588291, 542743.01076835265848786 7349567.60846714396029711, 542741.93925382487941533 7349568.61390766594558954, 542701.77999735018238425 7349611.06018126755952835, 542682.61237191932741553 7349632.44635359570384026, 542700.24022555560804904 7349661.95384772587567568, 542714.03593709704000503 7349683.79705766681581736, 542725.14914917212445289 7349701.04169709328562021, 542741.97876639117021114 7349738.18333582580089569, 542752.54896515025757253 7349747.79383064992725849, 542788.76270794647280127 7349760.05668535362929106, 542808.70982939878012985 7349767.58390099555253983, 542833.10233003553003073 7349773.02999526541680098, 542862.53144327201880515 7349779.60061003547161818, 542896.6375079161953181 7349789.18096527270972729, 542932.671166185522452 7349794.35713943187147379, 542941.21734417497646064 7349785.71385449822992086, 542942.98822953156195581 7349771.49671274702996016, 542798.70277772506233305 7349742.28281137626618147, 542800.30807043612003326 7349735.40298547223210335, 542943.66566631686873734 7349766.05806886777281761, 542948.91230997035745531 7349723.93660896364599466, 542955.48756387829780579 7349725.92841756250709295, 542956.48011846514418721 7349717.28611058928072453, 542942.94979418662842363 7349712.01157739572227001, 542951.43491280195303261 7349698.93990817759186029, 542964.27725449006538838 7349698.48125311732292175, 542971.91618207271676511 7349718.32046970073133707, 542971.91618207271676511 7349718.32046970166265965, 543012.94249586411751807 7349726.86175243090838194, 543018.44448964460752904 7349740.13877760525792837, 543038.93597133620642126 7349745.8016657056286931, 543061.34398226079065353 7349800.9526568204164505, 543081.3166854721494019 7349850.10982570331543684, 543120.91986126964911819 7349938.58236394450068474, 543128.24883302522357553 7349943.32463978789746761, 543148.34412706305738539 7349944.55860959645360708, 543162.89429158018901944 7349937.76853282283991575, 543179.70781502197496593 7349918.52998195961117744, 543203.06891249597538263 7349889.75298991519957781, 543211.63734271179419011 7349876.65784184914082289, 543174.45358894614037126 7349869.86776507645845413, 543165.88515873067080975 7349863.40102528966963291, 543187.38706851680763066 7349836.56405518017709255, 543203.23058099090121686 7349838.98908259999006987, 543211.15233722783159465 7349855.31760055758059025, 543228.6125346478074789 7349861.46100335568189621, 543239.60599228285718709 7349848.68919227737933397, 543261.91624454222619534 7349832.19900582544505596, 543271.94217445724643767 7349816.89224259741604328, 543245.021886853617616 7349806.65538367535918951, 543243.40520190738607198 7349793.35814999230206013, 543239.9697463964112103 7349781.71801837813109159, 543203.05564268224406987 7349772.84748061839491129, 543194.41964803368318826 7349685.2423442080616951, 543252.62030610139481723 7349701.40919367130845785, 543255.08575064467731863 7349717.85896300245076418, 543261.21463935251813382 7349744.65539540257304907, 543273.83929602231364697 7349760.70111408084630966, 543271.05051448952872306 7349787.65933555644005537, 543268.54465282266028225 7349795.66192603949457407, 543281.73172065976541489 7349801.94637053366750479, 543318.82355465274304152 7349747.32304614502936602, 543339.6285670620854944 7349714.84038160648196936, 543295.62412569904699922 7349703.430049829185009, 543307.69537329860031605 7349689.63433828670531511, 543350.23360494745429605 7349698.8797098184004426, 543359.40234680578578264 7349685.08067570813000202, 543376.62004148412961513 7349656.06118092034012079, 543377.67088669934310019 7349642.96603285614401102, 543387.69433336658403277 7349635.20594511181116104, 543390.2810292806243524 7349618.95826140325516462, 543402.8911718619056046 7349611.68317914474755526, 543422.93806519638746977 7349583.39119258429855108, 543461.09182992961723357 7349521.55299338512122631, 543467.80107245675753802 7349502.07193978130817413, 543483.84667054913006723 7349482.99505741335451603, 543494.88054530753288418 7349463.31191819254308939, 543501.2664508456364274 7349443.58836184721440077, 543507.45027076511178166 7349423.98605686891824007, 543509.269041329738684 7349391.9756949320435524, 543474.09341983334161341 7349380.38720730226486921),(543335.11835662135854363 7349636.96299108490347862, 543277.17370872129686177 7349623.28289362136274576, 543277.65871420525945723 7349616.89698808267712593, 543287.52049237780738622 7349619.16034700721502304, 543298.675618507550098 7349620.77703195344656706, 543308.69906517444178462 7349616.57365109212696552, 543304.9806897978996858 7349604.44851399399340153, 543310.80075560451950878 7349586.3416425958275795, 543275.72111563489306718 7349576.44283425435423851, 543271.81716906221117824 7349562.90559965651482344, 543273.05116210761480033 7349553.68460667971521616, 543269.97946070949546993 7349546.24785592500120401, 543246.78003172972239554 7349532.91020511835813522, 543284.28712248429656029 7349539.29611065611243248, 543348.95452033751644194 7349554.25044640991836786, 543388.72497001709416509 7349563.38471635524183512, 543390.94791181804612279 7349557.7667361656203866, 543371.02226985467132181 7349544.02491412125527859, 543358.97796700452454388 7349533.35479347500950098, 543339.09274216473568231 7349528.66640713065862656, 543335.29353254090528935 7349526.56471670046448708, 543334.24268732569180429 7349522.36133584007620811, 543341.67943807889241725 7349522.52300433628261089, 543369.72892189770936966 7349529.23224686179310083, 543390.17998646828345954 7349532.54645100049674511, 543397.45506872690748423 7349523.97802078630775213, 543343.45779151935130358 7349511.93371793255209923, 543347.82284087443258613 7349496.97938217874616385, 543360.3521492084255442 7349493.98851502873003483, 543375.38731920928694308 7349481.78254368342459202, 543378.78235759655945003 7349471.43576002400368452, 543381.04571652144659311 7349455.99641878716647625, 543409.01436609262600541 7349461.00814212113618851, 543427.78812003170605749 7349447.04402589425444603, 543449.71440961642656475 7349426.06753871776163578, 543458.28283983177971095 7349411.5173741988837719, 543468.58920636470429599 7349402.54477274790406227, 543477.2788879512809217 7349399.91765971016138792, 543485.03897569363471121 7349400.24099669884890318, 543486.65566063998267055 7349403.47436659131199121, 543481.32060031709261239 7349406.54606798943132162, 543437.73073245398700237 7349448.41820811945945024, 543432.75942624418530613 7349463.57462949212640524, 543413.60170963010750711 7349485.76363037899136543, 543413.72296100098174065 7349516.56147860549390316, 543404.87161091971211135 7349558.39320159330964088, 543394.08023890282493085 7349577.79342094901949167, 543383.47464072075672448 7349583.22574479039758444, 543359.54380673647392541 7349595.96091803070157766, 543335.11835662135854363 7349636.96299108490347862),(542864.63444264186546206 7349647.68520519230514765, 542767.85822492057923228 7349624.06446958798915148, 542769.69284516177140176 7349613.51540320087224245, 542866.92771794332657009 7349636.21882868558168411, 542864.63444264186546206 7349647.68520519230514765)))</t>
  </si>
  <si>
    <t>20 ha</t>
  </si>
  <si>
    <t>MultiPolygon (((542182.77596141956746578 7352947.98227959591895342, 542136.76987990736961365 7352946.58404390327632427, 541992.1425150316208601 7352933.59761661849915981, 541683.88892229460179806 7352939.87978036794811487, 541679.14963294938206673 7352963.32342877145856619, 541681.19857015553861856 7353048.15868020243942738, 541713.01088844332844019 7353656.23438205290585756, 541722.26554980035871267 7353688.3351815827190876, 541723.19676662422716618 7353727.03043611440807581, 541738.00217065494507551 7353755.31027957983314991, 542004.3564537400379777 7353756.49262915179133415, 542286.44297471176832914 7353764.212642727419734, 542182.77596141956746578 7352947.98227959591895342),(542058.20386257779318839 7353473.42298823874443769, 542049.027553690248169 7353477.56983003206551075, 542040.18967598350718617 7353475.62980809528380632, 542036.30963211215566844 7353470.74382692389190197, 542032.4974256093846634 7353464.75321670435369015, 542042.96811118395999074 7353456.2840135907754302, 542055.56614614010322839 7353453.78659815341234207, 542063.3980865468038246 7353456.87626271788030863, 542068.93074169661849737 7353465.4267297675833106, 542058.20386257779318839 7353473.42298823874443769),(541766.71930975653231144 7353305.20241150259971619, 541744.28971878066658974 7353311.99155038688331842, 541737.21439613681286573 7353310.64792332146316767, 541725.11574310506694019 7353304.33305644989013672, 541723.82239514798857272 7353286.08247972186654806, 541726.98391237645410001 7353270.70600956492125988, 541731.64439705200493336 7353261.04442097526043653, 541744.8164260620251298 7353246.6819337010383606, 541755.09647641307674348 7353235.47279559262096882, 541794.77012867748271674 7353242.91014189086854458, 541799.70881445705890656 7353261.88505446631461382, 541796.2177774915471673 7353281.64323842339217663, 541789.49028810486197472 7353290.04041724279522896, 541779.98220350779592991 7353301.18790995515882969, 541766.71930975653231144 7353305.20241150259971619),(541854.78585124667733908 7352962.6496869008988142, 541869.92281252238899469 7352953.16513521503657103, 541915.14208924409467727 7352967.24825741443783045, 541913.85946112871170044 7353013.86696213949471712, 541906.26229882147163153 7353038.28647993411868811, 541900.26476805284619331 7353049.64423472061753273, 541889.89785319287329912 7353060.4651138773187995, 541874.37767770770005882 7353073.39859344623982906, 541860.58196616556961089 7353072.91957568470388651, 541831.56012712512165308 7353065.58340941928327084, 541827.57878890470601618 7353031.32956540491431952, 541836.48737274261657149 7353013.52137321047484875, 541843.28942496166564524 7352994.26485918369144201, 541844.72647824720479548 7352978.07405883353203535, 541854.78585124667733908 7352962.6496869008988142)))</t>
  </si>
  <si>
    <t>43 ha</t>
  </si>
  <si>
    <t>MultiPolygon (((542971.91618207271676511 7349718.32046970073133707, 542971.91618207271676511 7349718.32046970166265965, 542962.90128930925857276 7349738.61357089225202799, 542949.49218492524232715 7349777.34498990420252085, 542932.671166185522452 7349794.35713943187147379, 542896.6375079161953181 7349789.18096527270972729, 542862.53144327201880515 7349779.60061003547161818, 542833.10233003553003073 7349773.02999526541680098, 542840.04779663134831935 7349801.63118584360927343, 542845.79600977303925902 7349836.40787535067647696, 542847.99975233629811555 7349855.8924449672922492, 542877.26747672411147505 7349906.24866502080112696, 542935.44582659227307886 7349968.77484694123268127, 543040.39547858492005616 7349971.00138796400278807, 543097.92700870265252888 7349971.059768196195364, 543126.66807441122364253 7349960.13816322758793831, 543120.91986126953270286 7349946.12689369358122349, 543051.2227769261226058 7349817.4387719826772809, 543018.44448964460752904 7349740.13877760525792837, 543012.94249586411751807 7349726.86175243090838194, 542971.91618207271676511 7349718.32046970073133707)),((542909.54279535554815084 7349959.47801686078310013, 542893.57803151360712945 7349939.80385923571884632, 542860.59765861323103309 7349900.06933589372783899, 542840.6226179456571117 7349864.71782507281750441, 542833.72476217546500266 7349833.390063451603055, 542825.28207412350457162 7349808.16977829206734896, 542809.25408431969117373 7349769.8174038277938962, 542790.03834229940548539 7349764.26780042145401239, 542751.66901957849040627 7349753.48990078084170818, 542728.8198723403038457 7349752.0528474934399128, 542725.94576576945837587 7349754.71139607112854719, 542734.71179081045556813 7349763.4055684506893158, 542731.76583157537970692 7349774.32717341836541891, 542730.70008567871991545 7349778.64013757184147835, 542759.42910731991287321 7349828.43222961481660604, 542843.73473642836324871 7349962.73833157122135162, 542889.03784128942061216 7349974.18984987027943134, 542896.95959752518683672 7349965.75614340230822563, 542909.54279535554815084 7349959.47801686078310013)),((542941.36005325464066118 7349993.26348827593028545, 542941.2567650486016646 7350034.11497187428176403, 542963.63437917758710682 7350058.86372392997145653, 542963.31104218831751496 7350074.16834142245352268, 542958.21010859601665288 7350101.24707183893769979, 542978.81774529069662094 7350104.93475419376045465, 543025.66568240651395172 7350069.43953803554177284, 543042.04808986408170313 7350055.78753182105720043, 543092.91977618006058037 7350014.54410251975059509, 543119.57711460394784808 7349989.79085960425436497, 543108.79921498685143888 7349987.02453210204839706, 543061.73571987822651863 7349985.55155248381197453, 542941.36005325464066118 7349993.26348827593028545)),((542951.81910669628996402 7350100.23738617170602083, 542955.75304006517399102 7350078.70853163953870535, 542943.66832009295467287 7350071.31219801213592291, 542925.23811170738190413 7350063.87544726021587849, 542924.91477471811231226 7350045.01412288937717676, 542929.76482955645769835 7350031.54174833837896585, 542932.63444533594883978 7350021.69344253931194544, 542934.58135176682844758 7349998.7531280517578125, 542914.67577005946077406 7349995.54356353636831045, 542879.01439459365792572 7349997.69465275015681982, 542872.53418246423825622 7350002.44141930714249611, 542882.53355277236551046 7350015.274556003510952, 542895.80217139516025782 7350034.8716855151578784, 542909.32652252726256847 7350057.27063499949872494, 542922.59303548408206552 7350080.79225899651646614, 542931.03572353825438768 7350096.3842871468514204, 542951.81910669628996402 7350100.23738617170602083)))</t>
  </si>
  <si>
    <t>Abuelito 1;</t>
  </si>
  <si>
    <t>MultiPolygon (((542184.60011214204132557 7352947.40436391346156597, 542286.44297471176832914 7353764.212642727419734, 542284.15661938209086657 7353764.13584349118173122, 542359.59903637133538723 7353778.65982755087316036, 542467.36548723746091127 7353776.55676230229437351, 542551.92106958664953709 7353775.5065452428534627, 542683.19285716488957405 7353774.15774729941040277, 542804.54256812296807766 7353773.15663244854658842, 542811.71612174063920975 7353758.67687654122710228, 542813.6017595399171114 7353731.10472444631159306, 542815.90306488610804081 7353700.90508972108364105, 542815.07924954500049353 7353659.15638689789921045, 542812.06339746713638306 7353626.08181360643357038, 542798.06950764078646898 7353577.28231838159263134, 542777.95388990547508001 7353506.69281280320137739, 542771.70101668406277895 7353460.1368796294555068, 542766.06058274582028389 7353408.14634866546839476, 542758.33785488549619913 7353330.03951430227607489, 542753.8679700093343854 7353307.20978619530797005, 542746.55801484361290932 7353269.87453181110322475, 542718.60921680647879839 7353219.61307956371456385, 542699.18677411414682865 7353187.56522299256175756, 542674.31169513985514641 7353149.25847675930708647, 542645.99654720723628998 7353108.62524920050054789, 542600.35629500541836023 7353060.88455346971750259, 542524.90458324179053307 7352949.79317868407815695, 542503.80271221231669188 7352953.01084036007523537, 542326.47224286943674088 7352949.83756445907056332, 542184.60011214204132557 7352947.40436391346156597),(542694.84501345269382 7353643.40950185433030128, 542679.75024076295085251 7353642.39984190091490746, 542673.93017495586536825 7353636.14866010751575232, 542670.28134974651038647 7353614.37426234129816294, 542674.45024837180972099 7353600.69630434643477201, 542690.31258241238538176 7353599.14453800208866596, 542706.12016855448018759 7353600.5815912876278162, 542715.60472023976035416 7353599.86306464485824108, 542723.36480798234697431 7353607.76685771625488997, 542725.08927192515693605 7353613.51507085841149092, 542725.39017990697175264 7353621.26345926709473133, 542717.26719328667968512 7353632.12654141336679459, 542711.6569197615608573 7353638.63949502166360617, 542694.84501345269382 7353643.40950185433030128)))</t>
  </si>
  <si>
    <t>40 ha</t>
  </si>
  <si>
    <t>MultiPolygon (((542965.89762422442436218 7354111.4385708486661315, 542939.37249438744038343 7354028.79781361483037472, 542914.53838946856558323 7353963.62750281952321529, 542862.84358271211385727 7353879.91418192069977522, 542826.83164419047534466 7353821.59731887187808752, 542813.16236137039959431 7353780.27663389500230551, 542813.13168440852314234 7353780.23175923526287079, 542812.34255734737962484 7353785.7079389626160264, 542682.899308648891747 7353775.8476001163944602, 542457.40184563025832176 7353776.58954526763409376, 542360.56338915613014251 7353778.80546710453927517, 542307.02455309417564422 7353795.18825162574648857, 542290.93899292033165693 7353935.76064335182309151, 542309.98903101868927479 7354115.67766985390335321, 542293.05566382687538862 7354210.92786035407334566, 542284.58898021932691336 7354327.34475985262542963, 542276.12229662109166384 7354386.61154505610466003, 542288.82232201844453812 7354471.278381054289639, 542285.00911020021885633 7354561.14220231212675571, 542282.71583489887416363 7354607.46636340115219355, 543035.59811636479571462 7354569.39799339883029461, 543038.57337910868227482 7354574.26740797515958548, 543043.89589986857026815 7354460.02283314522355795, 543026.21589222457259893 7354406.73317575361579657, 543012.93162127584218979 7354366.6927944365888834, 543006.95043005608022213 7354337.46139939222484827, 542975.88598244916647673 7354185.64262173045426607, 542965.89762422442436218 7354111.4385708486661315),(542766.62011188012547791 7354052.24743897188454866, 542786.30774189333897084 7354008.56101908907294273, 542797.22934686427470297 7353989.59191571827977896, 542809.58800512086600065 7353986.43039848934859037, 542825.97041257726959884 7353991.0289690038189292, 542840.91576674813404679 7354016.89592814538627863, 542844.65210529090836644 7354044.63105655834078789, 542830.28157243435271084 7354080.98850468546152115, 542815.76733424933627248 7354085.01225388422608376, 542770.06903976562898606 7354072.22247964236885309, 542766.62011188012547791 7354052.24743897188454866),(542539.56569274712819606 7353999.22017273027449846, 542541.00274603278376162 7353988.58597841672599316, 542552.35546698945108801 7353973.20950826071202755, 542587.56327248783782125 7353965.5931258462369442, 542610.12500907259527594 7353971.19763366039842367, 542613.28652630106080323 7353992.60972761642187834, 542612.1463301416952163 7354007.92876347061246634, 542601.93380534439347684 7354016.46481215860694647, 542600.85601538012269884 7354025.23083720076829195, 542591.73072701622731984 7354035.5776208583265543, 542560.46756885433569551 7354028.17843828536570072, 542551.06211903237272054 7354030.83534501492977142, 542541.14645136136095971 7354012.0099469730630517, 542539.56569274712819606 7353999.22017273027449846)))</t>
  </si>
  <si>
    <t>53 ha</t>
  </si>
  <si>
    <t>MultiPolygon (((542282.71583489887416363 7354607.46636340115219355, 542285.92642032087314874 7354657.91842003352940083, 542297.39279682806227356 7354677.18193256482481956, 542304.27262273244559765 7354701.49065076094120741, 542301.70200387062504888 7354723.12085306644439697, 542307.02455309440847486 7354743.2282612444832921, 542324.22411785507574677 7354773.9581502852961421, 542332.25058141024783254 7354797.34955835994333029, 542318.94958466186653823 7354819.36500125285238028, 542280.71894379775039852 7354845.17068383656442165, 542284.58898021932691336 7355085.11294206883758307, 542290.26699563825968653 7355219.51026406418532133, 542288.7665099228033796 7355322.36173947621136904, 542251.93640599527861923 7355465.45351362321525812, 542234.20339299342595041 7355525.88216562289744616, 542234.06698520109057426 7355546.27513057459145784, 542257.93834885756950825 7355553.64115136116743088, 542407.5776970365550369 7355570.28290202654898167, 542578.49666081788018346 7355587.60669165104627609, 543047.87587420328054577 7355667.67806574981659651, 543077.24092188337817788 7355671.03406793344765902, 543101.63874467532150447 7355656.67314731888473034, 543099.8472430786350742 7355583.51445788610726595, 543153.12619451340287924 7355557.10702839586883783, 543153.87302896846085787 7355551.50475754123181105, 543148.44251909398008138 7355517.9364117169752717, 543132.48280739213805646 7355496.92961170058697462, 543065.23376577638555318 7355457.23494413495063782, 543017.76385404798202217 7355410.03784799110144377, 542958.80158581607975066 7355349.64329793769866228, 542902.32875979412347078 7355284.44037320930510759, 542876.71819678542669863 7355252.75966344214975834, 542862.0543591104215011 7355217.83926860149949789, 542852.98324092093389481 7355192.46741923037916422, 542846.98129805864300579 7355124.80915423762053251, 542855.16576559806708246 7355070.65526068489998579, 542890.03602726571261883 7354994.64540236722677946, 542918.84362047258764505 7354920.29917853605002165, 542958.88307063560932875 7354847.61432900745421648, 542997.04968726541846991 7354760.04321415163576603, 543020.4245956027880311 7354681.39537310134619474, 543038.57337910868227482 7354574.26740797515958548, 543035.59811636479571462 7354569.39799339883029461, 542282.71583489887416363 7354607.46636340115219355),(542497.48106687993276864 7355087.79287528246641159, 542477.30024422716815025 7355073.11591335386037827, 542469.96176326251588762 7355042.84467937424778938, 542482.04006732068955898 7355015.46719017624855042, 542482.0400673208059743 7355015.46719017624855042, 542507.53723013179842383 7355005.68614055402576923, 542526.60604411456733942 7355007.21504324581474066, 542537.18939861468970776 7355013.56505594681948423, 542541.54645259212702513 7355028.0885692099109292, 542539.90665995678864419 7355038.4874563030898571, 542535.09078182373195887 7355056.37500365450978279, 542519.47313470463268459 7355083.02374729048460722, 542497.48106687993276864 7355087.79287528246641159),(542809.25184411148075014 7355527.06975928228348494, 542826.22208134224638343 7355530.28034470416605473, 542827.59804652305319905 7355554.58906289935112, 542822.55284085986204445 7355575.68719567265361547, 542805.58260362921282649 7355573.85257543157786131, 542794.11622712190728635 7355566.05543940700590611, 542795.72151983296498656 7355548.16789205558598042, 542809.25184411148075014 7355527.06975928228348494)))</t>
  </si>
  <si>
    <t>69 ha</t>
  </si>
  <si>
    <t>MultiPolygon (((542271.30631250445730984 7350049.31391548924148083, 542357.51603725273162127 7350036.03689037077128887, 542370.06555414677131921 7350023.66925053205341101, 542422.44614639901556075 7350017.94012325350195169, 542437.03194081538822502 7350005.64909192640334368, 542459.09070875006727874 7349961.31599806435406208, 542468.19525846641045064 7349939.19789843261241913, 542510.32165838347282261 7349946.87361254263669252, 542541.60254254192113876 7349945.33314581029117107, 542561.337050024070777 7349815.23953157477080822, 542568.12966859864536673 7349617.31043717265129089, 542549.57820884266402572 7349616.03729777783155441, 542463.18660703767091036 7349671.32792293187230825, 542384.60242517234291881 7349725.48410124517977238, 542368.7542702869977802 7349725.31128936447203159, 542342.96044473862275481 7349706.15897570829838514, 542308.35053394827991724 7349690.47553214617073536, 542284.81207153503783047 7349688.29982471652328968, 542280.93202766368631274 7349690.31169931590557098, 542187.6971056591719389 7349748.33041136525571346, 542186.16583726811222732 7349750.49791254103183746, 542171.76387973036617041 7349844.7470257505774498, 542192.40894029813352972 7349851.22971182689070702, 542197.05601755785755813 7349876.55380513984709978, 542216.59994224261026829 7349879.8111259201541543, 542223.88101222331169993 7349875.21255540661513805, 542246.87386479368433356 7349878.27826908230781555, 542272.89696398901287466 7349871.29935276787728071, 542283.66242890630383044 7349878.27826908230781555, 542291.17736262595281005 7349896.65648042503744364, 542307.63593084097374231 7349948.54887671303004026, 542313.14231772057246417 7349970.7585644256323576, 542301.54819361190311611 7349975.4793474031612277, 542274.22040205216035247 7349988.21782059036195278, 542263.74692798731848598 7349984.99133490584790707, 542209.75885551690589637 7349971.60120725259184837, 542196.67001540528144687 7349954.79625893570482731, 542187.94013254065066576 7349953.91010328941047192, 542147.78904080437496305 7349951.37637940514832735, 542148.93868343287613243 7349992.76351402886211872, 542164.26725181227084249 7350001.96065505594015121, 542212.45336941175628453 7350010.06802284624427557, 542202.20545855129603297 7350034.15064865257591009, 542218.87527666380628943 7350045.07225362304598093, 542271.30631250445730984 7350049.31391548924148083)),((542361.11960100429132581 7350045.66204436309635639, 542274.30361938639543951 7350058.75719242822378874, 542299.73347486485727131 7350121.14027420431375504, 542383.65738674229942262 7350135.70241416431963444, 542396.11184855061583221 7350128.99616549722850323, 542427.15219951886683702 7350133.97795022279024124, 542418.72148691024631262 7350179.00561983697116375, 542410.09916719677858055 7350183.02936903666704893, 542365.45471179170999676 7350179.10142339020967484, 542337.76748515653889626 7350176.03570971265435219, 542304.61945603613276035 7350166.64696158282458782, 542305.96070576936472207 7350185.42445784714072943, 542309.02641944517381489 7350191.555885199457407, 542322.24730967241339386 7350202.86070437915623188, 542365.55051534413360059 7350190.02302836161106825, 542425.81094978575129062 7350192.41811716929078102, 542456.37228299211710691 7350194.04677755944430828, 542487.50843751279171556 7350200.27400846220552921, 542523.45693830656819046 7350198.58743813820183277, 542521.73588969884440303 7350155.21701322309672832, 542493.85490225360263139 7350145.92335074115544558, 542482.90986699878703803 7350079.75313958246260881, 542479.4609391133999452 7350048.90439571812748909, 542430.5053238517139107 7350037.12055877689272165, 542361.11960100429132581 7350045.66204436309635639)))</t>
  </si>
  <si>
    <t>MultiPolygon (((543464.35199798480607569 7348153.21529407799243927, 543442.02318069315515459 7348150.65280907973647118, 543408.65232389839366078 7348149.99671622738242149, 543382.52917466720100492 7348147.87450605817139149, 543365.47614234406501055 7348149.40736289974302053, 543346.8902531829662621 7348153.43111209757626057, 543335.6812375548761338 7348153.62271920219063759, 543307.9940109180752188 7348146.9164705378934741, 543288.73749689036048949 7348140.6892396342009306, 543261.81669867248274386 7348131.30049149878323078, 543245.91330897808074951 7348127.85156361386179924, 543241.506345568690449 7348130.48616130463778973, 543231.63857967394869775 7348127.18093874771147966, 543230.96795480733271688 7348121.62433270923793316, 543225.22655891568865627 7348118.7438055956736207, 543222.15930101706180722 7348119.67271966766566038, 543217.69916280324105173 7348125.02535881754010916, 543213.91492248419672251 7348135.5637495806440711, 543214.68883167405147105 7348143.51633182354271412, 543208.2625128939980641 7348157.79017373360693455, 543203.4723352751461789 7348164.6880295043811202, 543194.75421200890559703 7348165.35865436960011721, 543173.77323403849732131 7348160.08945898804813623, 543165.49220578174572438 7348146.03329128678888083, 543144.07413280173204839 7348138.34205259848386049, 543138.70913386857137084 7348143.51544442679733038, 543138.32591965910978615 7348156.25731689296662807, 543139.18815163057297468 7348162.10133358836174011, 543145.67884230404160917 7348169.55005978420376778, 543145.43933342327363789 7348176.80717887543141842, 543144.14598546619527042 7348191.84833659883588552, 543142.9484410616569221 7348202.53043268714100122, 543134.03871069103479385 7348219.53556323237717152, 543129.05477686494123191 7348234.26471468061208725, 543126.56603360618464649 7348252.92310123611241579, 543122.44648085406515747 7348265.28175949212163687, 543104.15994118642993271 7348285.75580272916704416, 543095.71728974254801869 7348291.34032573457807302, 543077.18895473645534366 7348297.17717918567359447, 543069.85033060237765312 7348304.7528230668976903, 543064.8685458789113909 7348313.99786587059497833, 543054.85707465629093349 7348326.16491702198982239, 543050.30640591855626553 7348334.02080831583589315, 543040.16439838649239391 7348337.47516936995089054, 543034.21140912012197077 7348355.67241115495562553, 543030.71457945881411433 7348371.1446848614141345, 543027.65861843503080308 7348384.28767162654548883, 543036.41489082481712103 7348394.95186762418597937, 543042.49841640016529709 7348397.73017064202576876, 543051.83926275640260428 7348397.53856353834271431, 543057.20426168921403587 7348392.65258236695080996, 543066.01818850729614496 7348394.76026051957160234, 543070.42515191645361483 7348396.3889209097251296, 543074.92791887780185789 7348406.83150811865925789, 543084.53401294176001102 7348414.74820233974605799, 543089.10684462892822921 7348421.96846939250826836, 543096.00470039958599955 7348439.88373368512839079, 543101.94625023182015866 7348448.61995742470026016, 543107.35230958519969136 7348454.23677344620227814, 543115.06960732163861394 7348459.04444416053593159, 543123.02130216837394983 7348465.0800679586827755, 543129.44014017726294696 7348478.7799759479239583, 543151.37915367027744651 7348486.061045927926898, 543164.69584744982421398 7348477.6303333193063736, 543177.4574825243325904 7348477.94088653847575188, 543189.4965074525680393 7348458.64893336035311222, 543193.86550679651554674 7348450.18093609251081944, 543192.05091698234900832 7348438.58617976866662502, 543180.52664004149846733 7348420.63304443750530481, 543176.99928058648947626 7348413.53797030542045832, 543177.80426169361453503 7348406.17637982964515686, 543186.49676733394153416 7348395.95130638964474201, 543202.97447135660331696 7348388.53324015811085701, 543225.56693240709137172 7348375.72351814061403275, 543233.32931576925329864 7348368.13111434131860733, 543257.95388267328962684 7348347.72971919365227222, 543278.63055163901299238 7348317.3223231565207243, 543321.13792467629536986 7348279.31127659045159817, 543352.40833737049251795 7348265.42592776287347078, 543425.88583453570026904 7348234.62605518847703934, 543445.6371559799881652 7348227.77466258499771357, 543464.37874758546240628 7348218.31557231210172176, 543465.75070093723479658 7348180.7888103760778904, 543464.35199798480607569 7348153.21529407799243927)))</t>
  </si>
  <si>
    <t>MultiPolygon (((543522.22272945859003812 7349325.7522377735003829, 543521.85149068955797702 7349304.8940080413594842, 543512.65434966189786792 7349299.52900910843163729, 543507.28935072931926697 7349262.93205210100859404, 543502.88238731981255114 7349190.31295940466225147, 543500.39149495831225067 7349106.58065463230013847, 543496.17613865400198847 7348989.89192784298211336, 543492.91881787346210331 7348797.32678757514804602, 543486.07710482564289123 7348781.36279046349227428, 543470.70456364762503654 7348789.10988139733672142, 543458.14356963697355241 7348791.8763041440397501, 543419.06920444441493601 7348819.44532380439341068, 543408.54586295073386282 7348839.0026154387742281, 543377.31972835958003998 7348842.25231916829943657, 543372.63733573339413851 7348822.2306151557713747, 543379.82060270174406469 7348789.4406604366376996, 543380.67173340322915465 7348783.25888432376086712, 543362.72653050138615072 7348773.39710615202784538, 543391.41113725199829787 7348750.56815229170024395, 543404.76033910003025085 7348713.90310013480484486, 543379.70172243542037904 7348712.12474669422954321, 543358.19981265219394118 7348715.19644809234887362, 543320.36938491323962808 7348723.84571255370974541, 543295.92688253230880946 7348734.19115458521991968, 543280.4828515665140003 7348760.46180103905498981, 543255.74750084383413196 7348754.28084542881697416, 543233.51900308683980256 7348748.726310970261693, 543233.51900308660697192 7348732.33483582641929388, 543170.94946383440401405 7348717.16646267473697662, 543127.57329421385657042 7348779.87734798341989517, 543115.50521408661734313 7348825.469081143848598, 543114.37353462388273329 7348878.53676450438797474, 543110.41265650547575206 7348938.75827875640243292, 543105.40093317197170109 7348969.96029821969568729, 543091.53785975696519017 7349022.46214184910058975, 543081.43357884290162474 7349077.71234989538788795, 543077.63506205833982676 7349106.23280643112957478, 543071.00596093875356019 7349155.51531292870640755, 543067.44925405690446496 7349230.04448895435780287, 543071.00596093886997551 7349262.37818788085132837, 543090.27911578502971679 7349285.52997570857405663, 543093.63955018715932965 7349308.29204035643488169, 543108.02804620948154479 7349317.18380756210535765, 543165.42036180419381708 7349333.3506570253521204, 543171.07875911635346711 7349345.96079960372298956, 543200.34075664484407753 7349352.58920788299292326, 543304.13193019921891391 7349347.41581605467945337, 543398.869668054045178 7349339.00905433297157288, 543449.79524386313278228 7349329.79395013954490423, 543522.22272945859003812 7349325.7522377735003829)),((543503.40024096460547298 7348772.63268466107547283, 543505.37327968154568225 7348824.91821066383272409, 543507.48095783370081335 7348874.54445079155266285, 543507.6725649384316057 7348914.20712147373706102, 543507.28935072897002101 7348955.01943478360772133, 543512.07952834758907557 7349079.37244575936347246, 543524.53399015590548515 7349287.45776150934398174, 543534.11434539302717894 7349305.08561514597386122, 543558.93462889292277396 7349313.55371186975389719, 543536.8537282234756276 7348772.56306628417223692, 543511.3692468989174813 7348768.6166528994217515, 543503.40024096460547298 7348772.63268466107547283)))</t>
  </si>
  <si>
    <t>25,5 ha</t>
  </si>
  <si>
    <t>MultiPolygon (((542927.82614335871767253 7350273.07399229891598225, 542813.00574701046571136 7350246.91561880894005299, 542802.27574914367869496 7350249.2149040661752224, 542775.64236158132553101 7350325.2829246586188674, 542639.86887057463172823 7350711.07006365992128849, 542672.05534477438777685 7350791.35891475528478622, 542708.13684267457574606 7350795.04684234224259853, 542708.88227672502398491 7350797.4322313042357564, 542714.73488036170601845 7350803.28483493812382221, 542732.6948243509978056 7350821.24477893020957708, 543645.11688662623055279 7351058.16025923378765583, 543639.65969681274145842 7350883.96686569694429636, 543633.38653522578533739 7350839.79889633692800999, 543621.8908232469111681 7350711.00362021755427122, 543574.51667568495031446 7350704.6168705141171813, 543562.25239759695250541 7350677.98669639974832535, 543574.66912909795064479 7350650.87511092331260443, 543616.7077355346409604 7350657.64341083727777004, 543616.95023827662225813 7350596.936891108751297, 543506.73734935978427529 7350565.69455873966217041, 543506.96700154209975153 7350551.36113764438778162, 543548.56446505628991872 7350561.20815380103886127, 543589.30492569820489734 7350499.7741258479654789, 543589.8999524851096794 7350465.12398357689380646, 543580.17796703812200576 7350413.54550475534051657, 542927.82614335871767253 7350273.07399229891598225),(543233.41867955855559558 7350507.26476609520614147, 543203.88723454310093075 7350577.96778773702681065, 543206.63559895160142332 7350584.11119053140282631, 543210.03063733852468431 7350589.23069286067038774, 543201.00970924098510295 7350605.43656584434211254, 543178.02027540549170226 7350633.25841289199888706, 543167.24237576453015208 7350637.67735174484550953, 543172.41576759214513004 7350610.0859286654740572, 543170.07399771921336651 7350594.23497753217816353, 543161.70424360223114491 7350576.58595025353133678, 543146.54880845453590155 7350546.71187877561897039, 543136.95647777407430112 7350519.33601368870586157, 543132.75309691438451409 7350496.16352946311235428, 543205.82725647836923599 7350517.39599175751209259, 543211.71637642884161323 7350512.47827303595840931, 543221.99410593940410763 7350498.64244638290256262, 543231.47865762328729033 7350498.85800437536090612, 543233.41867955855559558 7350507.26476609520614147),(543333.62620147003326565 7350636.06066678930073977, 543340.49711249105166644 7350641.2340586157515645, 543344.21548786712810397 7350669.20270818378776312, 543352.29891259770374745 7350689.24960151500999928, 543370.08244700485374779 7350693.61465087067335844, 543391.09935130423400551 7350698.46470570843666792, 543410.41935556801036 7350684.92964738421142101, 543424.34334522695280612 7350678.27080048434436321, 543438.20799149782396853 7350671.7327669458463788, 543453.74589296593330801 7350667.82852598186582327, 543486.64543161925394088 7350675.10360824223607779, 543488.50461930735036731 7350681.97451926209032536, 543484.30123844754416496 7350692.15963442251086235, 543483.33122747985180467 7350701.21307012066245079, 543485.99875764106400311 7350717.62242232169955969, 543475.97531097522005439 7350747.28859108313918114, 543474.55967903207056224 7350762.91145548969507217, 543471.75883297168184072 7350770.2141170222312212, 543461.09694840793963522 7350775.4618307389318943, 543458.25152793829329312 7350779.31242219358682632, 543439.27656269865110517 7350795.46580247860401869, 543437.3365407632663846 7350803.38755871448665857, 543435.30844072881154716 7350809.92278159782290459, 543426.24484903423581272 7350816.3256417028605938, 543415.3788141468539834 7350821.7688205735757947, 543395.30273216473869979 7350826.26365070044994354, 543387.46181017614435405 7350829.57785484008491039, 543372.21324582968372852 7350843.58695132471621037, 543354.20460299390833825 7350856.1416746973991394, 543337.0445543653331697 7350867.2925214497372508, 543333.37641044775955379 7350872.66750954370945692, 543326.98038486507721245 7350878.46833887044340372, 543305.65755190304480493 7350879.77592241857200861, 543290.2048960862448439 7350884.11949137784540653, 543275.61896208359394222 7350878.06920046918094158, 543267.53450112871360034 7350869.54377382434904575, 543257.70922170684207231 7350866.61301095969974995, 543251.00614266039337963 7350863.92341043055057526, 543248.27352443640120327 7350859.94118196424096823, 543248.50997393077705055 7350856.33049820922315121, 543250.05238906387239695 7350853.07780134957283735, 543248.67975616885814816 7350836.2477758452296257, 543248.68033074762206525 7350825.11161770671606064, 543250.39054741233121604 7350820.93968018796294928, 543259.09213194821495563 7350804.75675730966031551, 543261.43171706795692444 7350797.17711110599339008, 543279.40120716451201588 7350785.78264052048325539, 543293.69756431330461055 7350778.11126406863331795, 543307.9761887266067788 7350767.39605792891234159, 543309.65179978229571134 7350765.89689805824309587, 543313.2243203172693029 7350759.9282767977565527, 543316.86766795499715954 7350740.68883764185011387, 543317.81683193519711494 7350735.86030315514653921, 543320.59002923127263784 7350719.37041508965194225, 543324.74821899773087353 7350703.99924309737980366, 543324.64789585606195033 7350693.36451088450849056, 543313.74097663385327905 7350687.06707684975117445, 543312.12429168785456568 7350672.11274109967052937, 543310.18426975246984512 7350655.13754916470497847, 543308.60800192994065583 7350643.82075454108417034, 543320.24813354189973325 7350646.32661620806902647, 543323.60275480523705482 7350642.12323534674942493, 543317.12607808515895158 7350628.93148385547101498, 543318.30107868113555014 7350622.16789832804352045, 543318.32364433584734797 7350621.16557051707059145, 543316.10853619687259197 7350602.13869630917906761, 543316.40573353273794055 7350584.74681862816214561, 543314.93906280829105526 7350576.34344383701682091, 543314.53674710483755916 7350561.71916024200618267, 543309.12139100814238191 7350550.47868856973946095, 543305.32441578770522028 7350548.48456849623471498, 543293.66043573385104537 7350542.35880379937589169, 543299.66754602955188602 7350533.64527321793138981, 543312.85179991368204355 7350504.54334643669426441, 543321.49273807788267732 7350501.98704338725656271, 543339.20376453513745219 7350506.40253412630409002, 543362.88819899561349303 7350512.86927391029894352, 543402.82031716441269964 7350526.44942745938897133, 543388.80136451486032456 7350530.31364417262375355, 543373.39665114518720657 7350530.32947132922708988, 543371.89997342345304787 7350542.25257261469960213, 543368.70826480153482407 7350557.40894417650997639, 543371.16486518457531929 7350572.75861263368278742, 543367.12028512731194496 7350583.35946603398770094, 543355.41931164520792663 7350586.20669044367969036, 543330.23116308427415788 7350576.56666078697890043, 543327.56363292317837477 7350583.84174304455518723, 543327.72530141775496304 7350590.22764858137816191, 543326.10861647175624967 7350597.90690207574516535, 543324.81526851502712816 7350619.24714336358010769, 543327.07862743828445673 7350629.43225851003080606, 543333.62620147003326565 7350636.06066678930073977)))</t>
  </si>
  <si>
    <t>50 ha</t>
  </si>
  <si>
    <t>Sum of area</t>
  </si>
  <si>
    <t>Area_3</t>
  </si>
  <si>
    <t>Sum of Area_3</t>
  </si>
  <si>
    <t>Average bTREE, i tCO2e 2020</t>
  </si>
  <si>
    <t>Average bTREE, i t CO2e 2022</t>
  </si>
  <si>
    <t>Stand_id_GIS</t>
  </si>
  <si>
    <t>Applies</t>
  </si>
  <si>
    <t>Error_Carga</t>
  </si>
  <si>
    <t>Plantation year</t>
  </si>
  <si>
    <t>Vol_ha_19</t>
  </si>
  <si>
    <t>Vol_ha_192</t>
  </si>
  <si>
    <t>Vol_ha_20</t>
  </si>
  <si>
    <t>Spacing2</t>
  </si>
  <si>
    <t>area (ha)</t>
  </si>
  <si>
    <t>Forestal Azul</t>
  </si>
  <si>
    <t>Yes</t>
  </si>
  <si>
    <t>Plantation clon G 7</t>
  </si>
  <si>
    <t>G 7</t>
  </si>
  <si>
    <t>5 X 2</t>
  </si>
  <si>
    <t>5 x 2.5</t>
  </si>
  <si>
    <t>Plantation clon G 0</t>
  </si>
  <si>
    <t>G 0</t>
  </si>
  <si>
    <t>Plantation clon G 1</t>
  </si>
  <si>
    <t>Aguaray 3-1</t>
  </si>
  <si>
    <t>G 1</t>
  </si>
  <si>
    <t>Aguaray 3-2</t>
  </si>
  <si>
    <t>Aguaray 3-4</t>
  </si>
  <si>
    <t>Aguaray 3-5</t>
  </si>
  <si>
    <t>Aguaray 3-7</t>
  </si>
  <si>
    <t>Plantation clon G 2</t>
  </si>
  <si>
    <t>Aguaray 4-1</t>
  </si>
  <si>
    <t>G 2</t>
  </si>
  <si>
    <t>Aguaray 4-3</t>
  </si>
  <si>
    <t>Aguaray 4-4</t>
  </si>
  <si>
    <t>Aguaray 4-7</t>
  </si>
  <si>
    <t>Aviacion kue-3</t>
  </si>
  <si>
    <t xml:space="preserve">Plantation clon  Corymbia </t>
  </si>
  <si>
    <t xml:space="preserve"> Corymbia </t>
  </si>
  <si>
    <t>Vol_2020</t>
  </si>
  <si>
    <t>Average of Vol_ha_22</t>
  </si>
  <si>
    <t>Average of Vol_2020</t>
  </si>
  <si>
    <t>vs 60 de inventario</t>
  </si>
  <si>
    <t>Area</t>
  </si>
  <si>
    <t>SSP_34</t>
  </si>
  <si>
    <t>SSP_25</t>
  </si>
  <si>
    <t>PP_bajo dosel</t>
  </si>
  <si>
    <t>EP</t>
  </si>
  <si>
    <t>Santa Ana</t>
  </si>
  <si>
    <t>Estancia</t>
  </si>
  <si>
    <t>Area total</t>
  </si>
  <si>
    <t>Area inventario</t>
  </si>
  <si>
    <t>Area para cálculo de IMA</t>
  </si>
  <si>
    <t>Volumen en pie (m3)</t>
  </si>
  <si>
    <t>Vol /ha (m3)</t>
  </si>
  <si>
    <t>Vol en pie proyectado 31.12.2021</t>
  </si>
  <si>
    <t>IMA PBP</t>
  </si>
  <si>
    <t>IMA medio ponderado (met ima periodico)</t>
  </si>
  <si>
    <t>Total Biomass Volume Standing in 2022</t>
  </si>
  <si>
    <t>Target Biomass Volume in 2022 (According to LTA)</t>
  </si>
  <si>
    <t>Stratum: Year_Density</t>
  </si>
  <si>
    <t>2018_1000</t>
  </si>
  <si>
    <t>2019_500</t>
  </si>
  <si>
    <t>2019_714</t>
  </si>
  <si>
    <t>2019_1000</t>
  </si>
  <si>
    <t>Total Biomass Volume Standing in 2022 (m³)</t>
  </si>
  <si>
    <t>Target Biomass Volume in 2022 (According to LTA) (m³)</t>
  </si>
  <si>
    <t xml:space="preserve"> Standing Volume per ha 2022 (m³/ha)</t>
  </si>
  <si>
    <t>Target Volume 2022 per ha (According to LTA) - (m³/ha)</t>
  </si>
  <si>
    <t>Diferencia</t>
  </si>
  <si>
    <t>Ano plantacion</t>
  </si>
  <si>
    <t>BD</t>
  </si>
  <si>
    <t>BND</t>
  </si>
  <si>
    <t>Campo natural</t>
  </si>
  <si>
    <t>Agricultura</t>
  </si>
  <si>
    <t>Pastura</t>
  </si>
  <si>
    <t>Deforestacion</t>
  </si>
  <si>
    <t>parcela_id</t>
  </si>
  <si>
    <t>Aguaray_4_2a_P1</t>
  </si>
  <si>
    <t>Aguaray_4_2a_P2</t>
  </si>
  <si>
    <t>Aguaray_4_2a_P3</t>
  </si>
  <si>
    <t>Aguaray_4_2a_P4</t>
  </si>
  <si>
    <t>Aguaray_4_2a_P5</t>
  </si>
  <si>
    <t>Aguaray_4_2b_P1</t>
  </si>
  <si>
    <t>Aguaray_4_2b_P2</t>
  </si>
  <si>
    <t>Aguaray_4_2b_P3</t>
  </si>
  <si>
    <t>Aguaray_4_2b_P4</t>
  </si>
  <si>
    <t>Aguaray_4_2b_P5</t>
  </si>
  <si>
    <t>Aguaray_4_2c_P1</t>
  </si>
  <si>
    <t>Aguaray_4_2c_P2</t>
  </si>
  <si>
    <t>Aguaray_4_2c_P3</t>
  </si>
  <si>
    <t>Aguaray_4_2c_P4</t>
  </si>
  <si>
    <t>F_3_2_P1</t>
  </si>
  <si>
    <t>F_3_2_P2</t>
  </si>
  <si>
    <t>F_3_2_P3</t>
  </si>
  <si>
    <t>blq_strat</t>
  </si>
  <si>
    <t>Aguaray_4_2a</t>
  </si>
  <si>
    <t>Aguaray_4_2b</t>
  </si>
  <si>
    <t>Aguaray_4_2c</t>
  </si>
  <si>
    <t>F_3_2</t>
  </si>
  <si>
    <t>Densidad_plantac</t>
  </si>
  <si>
    <t>Average of Year</t>
  </si>
  <si>
    <t>Average of Densidad_plantac</t>
  </si>
  <si>
    <t>Tabla reportada 2022</t>
  </si>
  <si>
    <t>2020_476</t>
  </si>
  <si>
    <t>2020_500</t>
  </si>
  <si>
    <t>2020_800</t>
  </si>
  <si>
    <t>2020_1000</t>
  </si>
  <si>
    <t>Information from literature &amp; Basleine Canopy cover assessment</t>
  </si>
  <si>
    <t>Agriculture_tree baseline</t>
  </si>
  <si>
    <t>Agriculture_shrub baseline</t>
  </si>
  <si>
    <t>Agriculture_dead wood baseline</t>
  </si>
  <si>
    <t>Agriculture_litter baseline</t>
  </si>
  <si>
    <t>Pasture_tree baseline</t>
  </si>
  <si>
    <t>Pasture_shrub baseline</t>
  </si>
  <si>
    <t>Pasture_dead wood baseline</t>
  </si>
  <si>
    <t>Pasture_litter baseline</t>
  </si>
  <si>
    <t>Open Bushland_tree baseline</t>
  </si>
  <si>
    <t>Open Bushland_shrub baseline</t>
  </si>
  <si>
    <t>Open Bushland_dead wood baseline</t>
  </si>
  <si>
    <t>Open Bushland_litter baseline</t>
  </si>
  <si>
    <t>Dense Bushland_tree baseline</t>
  </si>
  <si>
    <t>Dense Bushland_shrub baseline</t>
  </si>
  <si>
    <t>Dense Bushland_dead wood baseline</t>
  </si>
  <si>
    <t>Dense Bushland_litter baseline</t>
  </si>
  <si>
    <t>Value</t>
  </si>
  <si>
    <t>Unit</t>
  </si>
  <si>
    <t>t CO2/ha</t>
  </si>
  <si>
    <t>Source</t>
  </si>
  <si>
    <t>Baseline canopy cover assessement, according to CDM AR Tool 14</t>
  </si>
  <si>
    <t>Comment</t>
  </si>
  <si>
    <t>Total emission</t>
  </si>
  <si>
    <t>Baseline</t>
  </si>
  <si>
    <t>CTREE_BSL</t>
  </si>
  <si>
    <t>CDW_BSL + CLI_BSL</t>
  </si>
  <si>
    <t>CSHRUB_BSL</t>
  </si>
  <si>
    <t>CBSL_TOTAL</t>
  </si>
  <si>
    <t>Pre-existing biomass of trees (t CO2-e)</t>
  </si>
  <si>
    <t>Pre-existing shrub biomass (t CO2-e)</t>
  </si>
  <si>
    <t>(t CO2-e)</t>
  </si>
  <si>
    <t>(t CO2e)</t>
  </si>
  <si>
    <t>Tree</t>
  </si>
  <si>
    <t>Shrub</t>
  </si>
  <si>
    <t>Litter</t>
  </si>
  <si>
    <t>Buffer</t>
  </si>
  <si>
    <t>TOTAL SIN BUFFER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</si>
</sst>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0.0"/>
    <numFmt numFmtId="165" formatCode="0.00000"/>
    <numFmt numFmtId="166" formatCode="_-* #,##0_-;\-* #,##0_-;_-* &quot;-&quot;??_-;_-@_-"/>
    <numFmt numFmtId="167" formatCode="0.0%"/>
    <numFmt numFmtId="168" formatCode="_-* #,##0.0_-;\-* #,##0.0_-;_-* &quot;-&quot;??_-;_-@_-"/>
    <numFmt numFmtId="169" formatCode="_-* #,##0.00\ _€_-;\-* #,##0.00\ _€_-;_-* &quot;-&quot;??\ _€_-;_-@_-"/>
    <numFmt numFmtId="170" formatCode="0.000"/>
  </numFmts>
  <fonts count="38" x14ac:knownFonts="1">
    <font>
      <sz val="11"/>
      <color theme="1"/>
      <name val="Calibri"/>
    </font>
    <font>
      <sz val="11"/>
      <color theme="1"/>
      <name val="Calibri"/>
      <family val="2"/>
      <scheme val="minor"/>
    </font>
    <font>
      <sz val="11"/>
      <name val="Calibri"/>
      <family val="2"/>
    </font>
    <font>
      <sz val="11"/>
      <color theme="1"/>
      <name val="Calibri"/>
      <family val="2"/>
      <scheme val="minor"/>
    </font>
    <font>
      <sz val="11"/>
      <color indexed="2"/>
      <name val="Calibri"/>
      <family val="2"/>
    </font>
    <font>
      <b/>
      <sz val="11"/>
      <name val="Calibri"/>
      <family val="2"/>
    </font>
    <font>
      <b/>
      <sz val="11"/>
      <color theme="1"/>
      <name val="Calibri"/>
      <family val="2"/>
      <scheme val="minor"/>
    </font>
    <font>
      <b/>
      <sz val="12"/>
      <color theme="1"/>
      <name val="Calibri"/>
      <family val="2"/>
      <scheme val="minor"/>
    </font>
    <font>
      <b/>
      <sz val="9"/>
      <color theme="1"/>
      <name val="Calibri"/>
      <family val="2"/>
      <scheme val="minor"/>
    </font>
    <font>
      <b/>
      <sz val="14"/>
      <color theme="1"/>
      <name val="Calibri"/>
      <family val="2"/>
      <scheme val="minor"/>
    </font>
    <font>
      <sz val="10"/>
      <name val="Arial"/>
      <family val="2"/>
    </font>
    <font>
      <b/>
      <sz val="10"/>
      <name val="Arial"/>
      <family val="2"/>
    </font>
    <font>
      <i/>
      <sz val="10"/>
      <color rgb="FF7F7F7F"/>
      <name val="Arial"/>
      <family val="2"/>
    </font>
    <font>
      <sz val="10"/>
      <color indexed="64"/>
      <name val="Arial"/>
      <family val="2"/>
    </font>
    <font>
      <sz val="11"/>
      <name val="Arial"/>
      <family val="2"/>
    </font>
    <font>
      <vertAlign val="subscript"/>
      <sz val="10"/>
      <name val="Arial"/>
      <family val="2"/>
    </font>
    <font>
      <b/>
      <vertAlign val="subscript"/>
      <sz val="10"/>
      <name val="Arial"/>
      <family val="2"/>
    </font>
    <font>
      <b/>
      <vertAlign val="superscript"/>
      <sz val="10"/>
      <name val="Arial"/>
      <family val="2"/>
    </font>
    <font>
      <vertAlign val="subscript"/>
      <sz val="10"/>
      <color indexed="64"/>
      <name val="Arial"/>
      <family val="2"/>
    </font>
    <font>
      <sz val="11"/>
      <name val="Calibri"/>
      <family val="2"/>
    </font>
    <font>
      <sz val="11"/>
      <name val="Arial"/>
      <family val="2"/>
    </font>
    <font>
      <sz val="11"/>
      <color rgb="FF9C6500"/>
      <name val="Calibri"/>
      <family val="2"/>
      <scheme val="minor"/>
    </font>
    <font>
      <b/>
      <sz val="11"/>
      <color theme="1"/>
      <name val="Calibri"/>
      <family val="2"/>
    </font>
    <font>
      <sz val="11"/>
      <color theme="0"/>
      <name val="Calibri"/>
      <family val="2"/>
      <scheme val="minor"/>
    </font>
    <font>
      <b/>
      <sz val="11"/>
      <color theme="1"/>
      <name val="Calibri"/>
      <family val="2"/>
    </font>
    <font>
      <b/>
      <sz val="11"/>
      <color theme="0"/>
      <name val="Arial"/>
      <family val="2"/>
    </font>
    <font>
      <sz val="10"/>
      <color theme="0"/>
      <name val="Arial"/>
      <family val="2"/>
    </font>
    <font>
      <vertAlign val="subscript"/>
      <sz val="10"/>
      <color theme="0"/>
      <name val="Arial"/>
      <family val="2"/>
    </font>
    <font>
      <b/>
      <sz val="11"/>
      <name val="Calibri"/>
      <family val="2"/>
    </font>
    <font>
      <i/>
      <sz val="9"/>
      <name val="Calibri"/>
      <family val="2"/>
      <scheme val="minor"/>
    </font>
    <font>
      <sz val="9"/>
      <color theme="1"/>
      <name val="Calibri"/>
      <family val="2"/>
      <scheme val="minor"/>
    </font>
    <font>
      <sz val="11"/>
      <color theme="0"/>
      <name val="Calibri"/>
      <family val="2"/>
    </font>
    <font>
      <sz val="11"/>
      <color theme="1"/>
      <name val="Calibri"/>
      <family val="2"/>
    </font>
    <font>
      <b/>
      <sz val="11"/>
      <color theme="3"/>
      <name val="Calibri"/>
      <family val="2"/>
      <scheme val="minor"/>
    </font>
    <font>
      <sz val="11"/>
      <color rgb="FF3F3F76"/>
      <name val="Calibri"/>
      <family val="2"/>
      <scheme val="minor"/>
    </font>
    <font>
      <sz val="11"/>
      <color rgb="FFFF0000"/>
      <name val="Calibri"/>
      <family val="2"/>
      <scheme val="minor"/>
    </font>
    <font>
      <b/>
      <sz val="12"/>
      <color theme="3"/>
      <name val="Calibri"/>
      <family val="2"/>
      <scheme val="minor"/>
    </font>
    <font>
      <b/>
      <sz val="14"/>
      <color theme="3"/>
      <name val="Calibri"/>
      <family val="2"/>
      <scheme val="minor"/>
    </font>
  </fonts>
  <fills count="28">
    <fill>
      <patternFill patternType="none"/>
    </fill>
    <fill>
      <patternFill patternType="gray125"/>
    </fill>
    <fill>
      <patternFill patternType="solid">
        <fgColor indexed="5"/>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59999389629810485"/>
        <bgColor theme="0" tint="-0.14999847407452621"/>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B8CCE4"/>
        <bgColor indexed="64"/>
      </patternFill>
    </fill>
    <fill>
      <patternFill patternType="solid">
        <fgColor indexed="65"/>
        <bgColor indexed="64"/>
      </patternFill>
    </fill>
    <fill>
      <patternFill patternType="solid">
        <fgColor theme="8" tint="0.59999389629810485"/>
        <bgColor indexed="64"/>
      </patternFill>
    </fill>
    <fill>
      <patternFill patternType="solid">
        <fgColor rgb="FFFFEB9C"/>
      </patternFill>
    </fill>
    <fill>
      <patternFill patternType="solid">
        <fgColor rgb="FFFFFF00"/>
        <bgColor indexed="64"/>
      </patternFill>
    </fill>
    <fill>
      <patternFill patternType="solid">
        <fgColor theme="9"/>
      </patternFill>
    </fill>
    <fill>
      <patternFill patternType="solid">
        <fgColor theme="9" tint="0.39997558519241921"/>
        <bgColor indexed="64"/>
      </patternFill>
    </fill>
    <fill>
      <patternFill patternType="solid">
        <fgColor theme="0" tint="-0.14999847407452621"/>
        <bgColor indexed="64"/>
      </patternFill>
    </fill>
    <fill>
      <patternFill patternType="solid">
        <fgColor rgb="FF2B3A57"/>
        <bgColor indexed="64"/>
      </patternFill>
    </fill>
    <fill>
      <patternFill patternType="solid">
        <fgColor theme="0" tint="-0.14999847407452621"/>
        <bgColor theme="0" tint="-0.14999847407452621"/>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4" tint="-0.249977111117893"/>
        <bgColor indexed="64"/>
      </patternFill>
    </fill>
    <fill>
      <patternFill patternType="solid">
        <fgColor theme="4"/>
        <bgColor indexed="64"/>
      </patternFill>
    </fill>
    <fill>
      <patternFill patternType="solid">
        <fgColor rgb="FFFFFFFF"/>
        <bgColor indexed="64"/>
      </patternFill>
    </fill>
    <fill>
      <patternFill patternType="solid">
        <fgColor rgb="FFFFC000"/>
        <bgColor indexed="64"/>
      </patternFill>
    </fill>
    <fill>
      <patternFill patternType="solid">
        <fgColor rgb="FFFFCC99"/>
      </patternFill>
    </fill>
    <fill>
      <patternFill patternType="solid">
        <fgColor theme="0"/>
        <bgColor indexed="64"/>
      </patternFill>
    </fill>
  </fills>
  <borders count="4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thin">
        <color theme="0" tint="-0.34998626667073579"/>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rgb="FFFFFFFF"/>
      </right>
      <top style="medium">
        <color rgb="FFFFFFFF"/>
      </top>
      <bottom style="medium">
        <color rgb="FFFFFFFF"/>
      </bottom>
      <diagonal/>
    </border>
    <border>
      <left/>
      <right style="medium">
        <color rgb="FFFFFFFF"/>
      </right>
      <top/>
      <bottom style="medium">
        <color rgb="FFFFFFFF"/>
      </bottom>
      <diagonal/>
    </border>
    <border>
      <left/>
      <right style="medium">
        <color rgb="FFFFFFFF"/>
      </right>
      <top style="medium">
        <color rgb="FFFFFFFF"/>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style="medium">
        <color theme="4" tint="0.39997558519241921"/>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style="medium">
        <color indexed="64"/>
      </bottom>
      <diagonal/>
    </border>
  </borders>
  <cellStyleXfs count="23">
    <xf numFmtId="0" fontId="0" fillId="0" borderId="0"/>
    <xf numFmtId="43" fontId="2" fillId="0" borderId="0" applyFont="0" applyFill="0" applyBorder="0"/>
    <xf numFmtId="9" fontId="2" fillId="0" borderId="0" applyFont="0" applyFill="0" applyBorder="0"/>
    <xf numFmtId="9" fontId="2" fillId="0" borderId="0" applyFont="0" applyFill="0" applyBorder="0"/>
    <xf numFmtId="9" fontId="3" fillId="0" borderId="0" applyFont="0" applyFill="0" applyBorder="0"/>
    <xf numFmtId="0" fontId="3" fillId="0" borderId="0"/>
    <xf numFmtId="0" fontId="3" fillId="0" borderId="0"/>
    <xf numFmtId="0" fontId="2" fillId="0" borderId="0"/>
    <xf numFmtId="0" fontId="1" fillId="0" borderId="0"/>
    <xf numFmtId="9" fontId="1"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 fillId="0" borderId="0"/>
    <xf numFmtId="9"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21" fillId="12" borderId="0" applyNumberFormat="0" applyBorder="0" applyAlignment="0" applyProtection="0"/>
    <xf numFmtId="0" fontId="1" fillId="0" borderId="0"/>
    <xf numFmtId="169" fontId="1" fillId="0" borderId="0" applyFont="0" applyFill="0" applyBorder="0" applyAlignment="0" applyProtection="0"/>
    <xf numFmtId="9" fontId="1" fillId="0" borderId="0" applyFont="0" applyFill="0" applyBorder="0" applyAlignment="0" applyProtection="0"/>
    <xf numFmtId="0" fontId="23" fillId="14" borderId="0" applyNumberFormat="0" applyBorder="0" applyAlignment="0" applyProtection="0"/>
    <xf numFmtId="0" fontId="33" fillId="0" borderId="36" applyNumberFormat="0" applyFill="0" applyAlignment="0" applyProtection="0"/>
    <xf numFmtId="0" fontId="34" fillId="26" borderId="37" applyNumberFormat="0" applyAlignment="0" applyProtection="0"/>
  </cellStyleXfs>
  <cellXfs count="266">
    <xf numFmtId="0" fontId="0" fillId="0" borderId="0" xfId="0"/>
    <xf numFmtId="0" fontId="4" fillId="2" borderId="0" xfId="0" applyFont="1" applyFill="1"/>
    <xf numFmtId="0" fontId="0" fillId="3" borderId="0" xfId="0" applyFill="1"/>
    <xf numFmtId="0" fontId="5" fillId="0" borderId="0" xfId="0" applyFont="1"/>
    <xf numFmtId="14" fontId="0" fillId="0" borderId="0" xfId="0" applyNumberFormat="1"/>
    <xf numFmtId="164" fontId="0" fillId="0" borderId="0" xfId="0" applyNumberFormat="1"/>
    <xf numFmtId="1" fontId="0" fillId="0" borderId="0" xfId="0" applyNumberFormat="1"/>
    <xf numFmtId="0" fontId="2" fillId="0" borderId="0" xfId="0" applyFont="1"/>
    <xf numFmtId="0" fontId="3" fillId="0" borderId="0" xfId="5"/>
    <xf numFmtId="0" fontId="3" fillId="0" borderId="0" xfId="5" applyAlignment="1">
      <alignment horizontal="left"/>
    </xf>
    <xf numFmtId="164" fontId="3" fillId="0" borderId="0" xfId="5" applyNumberFormat="1"/>
    <xf numFmtId="0" fontId="6" fillId="4" borderId="1" xfId="5" applyFont="1" applyFill="1" applyBorder="1"/>
    <xf numFmtId="0" fontId="6" fillId="4" borderId="2" xfId="5" applyFont="1" applyFill="1" applyBorder="1"/>
    <xf numFmtId="0" fontId="3" fillId="4" borderId="3" xfId="5" applyFill="1" applyBorder="1"/>
    <xf numFmtId="0" fontId="6" fillId="4" borderId="4" xfId="5" applyFont="1" applyFill="1" applyBorder="1"/>
    <xf numFmtId="1" fontId="3" fillId="0" borderId="0" xfId="5" applyNumberFormat="1"/>
    <xf numFmtId="2" fontId="3" fillId="4" borderId="0" xfId="5" applyNumberFormat="1" applyFill="1"/>
    <xf numFmtId="0" fontId="3" fillId="4" borderId="1" xfId="5" applyFill="1" applyBorder="1"/>
    <xf numFmtId="0" fontId="3" fillId="4" borderId="5" xfId="5" applyFill="1" applyBorder="1"/>
    <xf numFmtId="165" fontId="3" fillId="4" borderId="6" xfId="5" applyNumberFormat="1" applyFill="1" applyBorder="1"/>
    <xf numFmtId="0" fontId="3" fillId="4" borderId="0" xfId="5" applyFill="1"/>
    <xf numFmtId="0" fontId="3" fillId="0" borderId="0" xfId="5" applyAlignment="1">
      <alignment horizontal="left" indent="1"/>
    </xf>
    <xf numFmtId="0" fontId="7" fillId="5" borderId="0" xfId="5" applyFont="1" applyFill="1" applyAlignment="1">
      <alignment wrapText="1"/>
    </xf>
    <xf numFmtId="0" fontId="0" fillId="0" borderId="0" xfId="0" pivotButton="1"/>
    <xf numFmtId="0" fontId="6" fillId="6" borderId="8" xfId="5" applyFont="1" applyFill="1" applyBorder="1" applyAlignment="1">
      <alignment wrapText="1"/>
    </xf>
    <xf numFmtId="0" fontId="8" fillId="7" borderId="9" xfId="5" applyFont="1" applyFill="1" applyBorder="1"/>
    <xf numFmtId="2" fontId="0" fillId="0" borderId="0" xfId="0" applyNumberFormat="1"/>
    <xf numFmtId="2" fontId="3" fillId="0" borderId="0" xfId="5" applyNumberFormat="1"/>
    <xf numFmtId="0" fontId="0" fillId="0" borderId="0" xfId="0" applyAlignment="1">
      <alignment horizontal="left"/>
    </xf>
    <xf numFmtId="166" fontId="3" fillId="0" borderId="0" xfId="1" applyNumberFormat="1" applyFont="1"/>
    <xf numFmtId="167" fontId="0" fillId="0" borderId="0" xfId="4" applyNumberFormat="1" applyFont="1"/>
    <xf numFmtId="0" fontId="3" fillId="0" borderId="0" xfId="6"/>
    <xf numFmtId="0" fontId="9" fillId="0" borderId="0" xfId="6" applyFont="1"/>
    <xf numFmtId="2" fontId="3" fillId="0" borderId="10" xfId="6" applyNumberFormat="1" applyBorder="1"/>
    <xf numFmtId="0" fontId="7" fillId="0" borderId="0" xfId="6" applyFont="1"/>
    <xf numFmtId="0" fontId="3" fillId="8" borderId="10" xfId="6" applyFill="1" applyBorder="1" applyAlignment="1">
      <alignment horizontal="center" vertical="center" wrapText="1"/>
    </xf>
    <xf numFmtId="0" fontId="3" fillId="0" borderId="10" xfId="6" applyBorder="1"/>
    <xf numFmtId="1" fontId="3" fillId="0" borderId="10" xfId="6" applyNumberFormat="1" applyBorder="1"/>
    <xf numFmtId="2" fontId="3" fillId="0" borderId="0" xfId="6" applyNumberFormat="1"/>
    <xf numFmtId="0" fontId="10" fillId="0" borderId="0" xfId="0" applyFont="1" applyAlignment="1">
      <alignment vertical="center"/>
    </xf>
    <xf numFmtId="0" fontId="10" fillId="9" borderId="11" xfId="0" applyFont="1" applyFill="1" applyBorder="1" applyAlignment="1">
      <alignment horizontal="center" vertical="center" wrapText="1"/>
    </xf>
    <xf numFmtId="0" fontId="10" fillId="9" borderId="12"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0" fillId="9" borderId="14" xfId="0" applyFont="1" applyFill="1" applyBorder="1" applyAlignment="1">
      <alignment horizontal="center" vertical="center" wrapText="1"/>
    </xf>
    <xf numFmtId="0" fontId="10" fillId="9" borderId="15" xfId="0" applyFont="1" applyFill="1" applyBorder="1" applyAlignment="1">
      <alignment horizontal="center" vertical="center" wrapText="1"/>
    </xf>
    <xf numFmtId="0" fontId="0" fillId="9" borderId="16" xfId="0" applyFill="1" applyBorder="1" applyAlignment="1">
      <alignment vertical="center" wrapText="1"/>
    </xf>
    <xf numFmtId="0" fontId="10" fillId="9" borderId="16" xfId="0" applyFont="1" applyFill="1" applyBorder="1" applyAlignment="1">
      <alignment horizontal="center" vertical="center" wrapText="1"/>
    </xf>
    <xf numFmtId="0" fontId="10" fillId="0" borderId="15" xfId="0" applyFont="1" applyBorder="1" applyAlignment="1">
      <alignment horizontal="center" vertical="center" wrapText="1"/>
    </xf>
    <xf numFmtId="1" fontId="10" fillId="0" borderId="16" xfId="0" applyNumberFormat="1" applyFont="1" applyBorder="1" applyAlignment="1">
      <alignment horizontal="right" vertical="center" wrapText="1"/>
    </xf>
    <xf numFmtId="0" fontId="11" fillId="9" borderId="12" xfId="0" applyFont="1" applyFill="1" applyBorder="1" applyAlignment="1">
      <alignment horizontal="center" vertical="center" wrapText="1"/>
    </xf>
    <xf numFmtId="0" fontId="11" fillId="9" borderId="12" xfId="0" applyFont="1" applyFill="1" applyBorder="1" applyAlignment="1">
      <alignment horizontal="center" vertical="center"/>
    </xf>
    <xf numFmtId="0" fontId="11" fillId="9" borderId="16" xfId="0" applyFont="1" applyFill="1" applyBorder="1" applyAlignment="1">
      <alignment horizontal="center" vertical="center" wrapText="1"/>
    </xf>
    <xf numFmtId="0" fontId="11" fillId="9" borderId="16" xfId="0" applyFont="1" applyFill="1" applyBorder="1" applyAlignment="1">
      <alignment horizontal="center" vertical="center"/>
    </xf>
    <xf numFmtId="0" fontId="11" fillId="10" borderId="15" xfId="0" applyFont="1" applyFill="1" applyBorder="1" applyAlignment="1">
      <alignment horizontal="center" vertical="center" wrapText="1"/>
    </xf>
    <xf numFmtId="1" fontId="11" fillId="10" borderId="16" xfId="0" applyNumberFormat="1" applyFont="1" applyFill="1" applyBorder="1" applyAlignment="1">
      <alignment horizontal="center" vertical="center" wrapText="1"/>
    </xf>
    <xf numFmtId="2" fontId="11" fillId="10" borderId="16" xfId="0" applyNumberFormat="1" applyFont="1" applyFill="1" applyBorder="1" applyAlignment="1">
      <alignment horizontal="center" vertical="center" wrapText="1"/>
    </xf>
    <xf numFmtId="164" fontId="10" fillId="10" borderId="16" xfId="0" applyNumberFormat="1" applyFont="1" applyFill="1" applyBorder="1" applyAlignment="1">
      <alignment horizontal="right" vertical="center" wrapText="1"/>
    </xf>
    <xf numFmtId="0" fontId="10" fillId="10" borderId="16" xfId="0" applyFont="1" applyFill="1" applyBorder="1" applyAlignment="1">
      <alignment horizontal="right" vertical="center" wrapText="1"/>
    </xf>
    <xf numFmtId="0" fontId="12" fillId="0" borderId="0" xfId="0" applyFont="1" applyAlignment="1">
      <alignment horizontal="left" vertical="center" indent="5"/>
    </xf>
    <xf numFmtId="1" fontId="13" fillId="0" borderId="16" xfId="0" applyNumberFormat="1" applyFont="1" applyBorder="1" applyAlignment="1">
      <alignment horizontal="right" vertical="center" wrapText="1"/>
    </xf>
    <xf numFmtId="1" fontId="13" fillId="0" borderId="16" xfId="0" applyNumberFormat="1" applyFont="1" applyBorder="1" applyAlignment="1">
      <alignment horizontal="right" vertical="center"/>
    </xf>
    <xf numFmtId="0" fontId="10" fillId="0" borderId="17" xfId="0" applyFont="1" applyBorder="1" applyAlignment="1">
      <alignment vertical="center" wrapText="1"/>
    </xf>
    <xf numFmtId="1" fontId="10" fillId="0" borderId="18" xfId="0" applyNumberFormat="1" applyFont="1" applyBorder="1" applyAlignment="1">
      <alignment vertical="center" wrapText="1"/>
    </xf>
    <xf numFmtId="0" fontId="10" fillId="11" borderId="12" xfId="0" applyFont="1" applyFill="1" applyBorder="1" applyAlignment="1">
      <alignment horizontal="center" vertical="center" wrapText="1"/>
    </xf>
    <xf numFmtId="0" fontId="13" fillId="11" borderId="12" xfId="0" applyFont="1" applyFill="1" applyBorder="1" applyAlignment="1">
      <alignment horizontal="center" vertical="center" wrapText="1"/>
    </xf>
    <xf numFmtId="0" fontId="10" fillId="11" borderId="16" xfId="0" applyFont="1" applyFill="1" applyBorder="1" applyAlignment="1">
      <alignment horizontal="center" vertical="center" wrapText="1"/>
    </xf>
    <xf numFmtId="0" fontId="13" fillId="11" borderId="16" xfId="0" applyFont="1" applyFill="1" applyBorder="1" applyAlignment="1">
      <alignment horizontal="center" vertical="center" wrapText="1"/>
    </xf>
    <xf numFmtId="0" fontId="13" fillId="0" borderId="16" xfId="0" applyFont="1" applyBorder="1" applyAlignment="1">
      <alignment horizontal="right" vertical="center"/>
    </xf>
    <xf numFmtId="0" fontId="13" fillId="0" borderId="16" xfId="0" applyFont="1" applyBorder="1" applyAlignment="1">
      <alignment horizontal="right" vertical="center" wrapText="1"/>
    </xf>
    <xf numFmtId="0" fontId="13" fillId="0" borderId="15" xfId="0" applyFont="1" applyBorder="1" applyAlignment="1">
      <alignment horizontal="center" vertical="center"/>
    </xf>
    <xf numFmtId="0" fontId="10" fillId="11" borderId="19" xfId="0" applyFont="1" applyFill="1" applyBorder="1" applyAlignment="1">
      <alignment horizontal="center" vertical="center" wrapText="1"/>
    </xf>
    <xf numFmtId="0" fontId="13" fillId="11" borderId="20" xfId="0" applyFont="1" applyFill="1" applyBorder="1" applyAlignment="1">
      <alignment horizontal="center" vertical="center" wrapText="1"/>
    </xf>
    <xf numFmtId="0" fontId="13" fillId="10" borderId="15" xfId="0" applyFont="1" applyFill="1" applyBorder="1" applyAlignment="1">
      <alignment horizontal="center" vertical="center" wrapText="1"/>
    </xf>
    <xf numFmtId="0" fontId="13" fillId="10" borderId="16" xfId="0" applyFont="1" applyFill="1" applyBorder="1" applyAlignment="1">
      <alignment horizontal="center" vertical="center" wrapText="1"/>
    </xf>
    <xf numFmtId="0" fontId="14" fillId="11" borderId="12" xfId="0" applyFont="1" applyFill="1" applyBorder="1" applyAlignment="1">
      <alignment horizontal="center" vertical="center" wrapText="1"/>
    </xf>
    <xf numFmtId="0" fontId="14" fillId="11" borderId="16" xfId="0" applyFont="1" applyFill="1" applyBorder="1" applyAlignment="1">
      <alignment horizontal="center" vertical="center" wrapText="1"/>
    </xf>
    <xf numFmtId="166" fontId="0" fillId="0" borderId="0" xfId="1" applyNumberFormat="1" applyFont="1"/>
    <xf numFmtId="0" fontId="13" fillId="0" borderId="15" xfId="0" applyFont="1" applyBorder="1" applyAlignment="1">
      <alignment horizontal="center" vertical="center" wrapText="1"/>
    </xf>
    <xf numFmtId="166" fontId="13" fillId="0" borderId="16" xfId="1" applyNumberFormat="1" applyFont="1" applyBorder="1"/>
    <xf numFmtId="166" fontId="13" fillId="0" borderId="21" xfId="1" applyNumberFormat="1" applyFont="1" applyBorder="1"/>
    <xf numFmtId="164" fontId="0" fillId="10" borderId="0" xfId="0" applyNumberFormat="1" applyFill="1"/>
    <xf numFmtId="166" fontId="0" fillId="9" borderId="16" xfId="1" applyNumberFormat="1" applyFont="1" applyFill="1" applyBorder="1"/>
    <xf numFmtId="166" fontId="10" fillId="0" borderId="16" xfId="1" applyNumberFormat="1" applyFont="1" applyFill="1" applyBorder="1"/>
    <xf numFmtId="0" fontId="2" fillId="0" borderId="0" xfId="7"/>
    <xf numFmtId="0" fontId="19" fillId="0" borderId="0" xfId="7" applyFont="1"/>
    <xf numFmtId="0" fontId="20" fillId="11" borderId="19" xfId="7" applyFont="1" applyFill="1" applyBorder="1" applyAlignment="1">
      <alignment horizontal="center" vertical="center" wrapText="1"/>
    </xf>
    <xf numFmtId="0" fontId="20" fillId="11" borderId="20" xfId="7" applyFont="1" applyFill="1" applyBorder="1" applyAlignment="1">
      <alignment horizontal="center" vertical="center" wrapText="1"/>
    </xf>
    <xf numFmtId="0" fontId="2" fillId="0" borderId="16" xfId="7" applyBorder="1"/>
    <xf numFmtId="0" fontId="2" fillId="0" borderId="11" xfId="7" applyBorder="1"/>
    <xf numFmtId="0" fontId="2" fillId="0" borderId="13" xfId="7" applyBorder="1"/>
    <xf numFmtId="0" fontId="2" fillId="0" borderId="15" xfId="7" applyBorder="1"/>
    <xf numFmtId="0" fontId="2" fillId="0" borderId="20" xfId="7" applyBorder="1"/>
    <xf numFmtId="168" fontId="2" fillId="0" borderId="20" xfId="15" applyNumberFormat="1" applyFont="1" applyBorder="1"/>
    <xf numFmtId="0" fontId="22" fillId="7" borderId="9" xfId="7" applyFont="1" applyFill="1" applyBorder="1" applyAlignment="1">
      <alignment wrapText="1"/>
    </xf>
    <xf numFmtId="170" fontId="0" fillId="0" borderId="0" xfId="0" applyNumberFormat="1"/>
    <xf numFmtId="0" fontId="0" fillId="13" borderId="0" xfId="0" applyFill="1"/>
    <xf numFmtId="0" fontId="5" fillId="13" borderId="0" xfId="0" applyFont="1" applyFill="1"/>
    <xf numFmtId="0" fontId="6" fillId="4" borderId="0" xfId="5" applyFont="1" applyFill="1"/>
    <xf numFmtId="0" fontId="23" fillId="14" borderId="4" xfId="20" applyBorder="1"/>
    <xf numFmtId="43" fontId="3" fillId="0" borderId="0" xfId="1" applyFont="1"/>
    <xf numFmtId="168" fontId="3" fillId="0" borderId="0" xfId="1" applyNumberFormat="1" applyFont="1"/>
    <xf numFmtId="43" fontId="3" fillId="0" borderId="0" xfId="1" applyFont="1" applyAlignment="1">
      <alignment horizontal="right"/>
    </xf>
    <xf numFmtId="166" fontId="3" fillId="0" borderId="0" xfId="5" applyNumberFormat="1"/>
    <xf numFmtId="167" fontId="3" fillId="0" borderId="0" xfId="2" applyNumberFormat="1" applyFont="1"/>
    <xf numFmtId="166" fontId="3" fillId="15" borderId="0" xfId="1" applyNumberFormat="1" applyFont="1" applyFill="1"/>
    <xf numFmtId="168" fontId="0" fillId="0" borderId="0" xfId="1" applyNumberFormat="1" applyFont="1"/>
    <xf numFmtId="1" fontId="24" fillId="0" borderId="9" xfId="0" applyNumberFormat="1" applyFont="1" applyBorder="1"/>
    <xf numFmtId="1" fontId="10" fillId="15" borderId="16" xfId="0" applyNumberFormat="1" applyFont="1" applyFill="1" applyBorder="1" applyAlignment="1">
      <alignment horizontal="right" vertical="center" wrapText="1"/>
    </xf>
    <xf numFmtId="166" fontId="10" fillId="15" borderId="16" xfId="1" applyNumberFormat="1" applyFont="1" applyFill="1" applyBorder="1"/>
    <xf numFmtId="166" fontId="10" fillId="10" borderId="16" xfId="1" applyNumberFormat="1" applyFont="1" applyFill="1" applyBorder="1"/>
    <xf numFmtId="166" fontId="10" fillId="0" borderId="18" xfId="1" applyNumberFormat="1" applyFont="1" applyBorder="1"/>
    <xf numFmtId="166" fontId="13" fillId="0" borderId="19" xfId="1" applyNumberFormat="1" applyFont="1" applyBorder="1"/>
    <xf numFmtId="166" fontId="13" fillId="0" borderId="15" xfId="1" applyNumberFormat="1" applyFont="1" applyBorder="1"/>
    <xf numFmtId="166" fontId="11" fillId="10" borderId="16" xfId="1" applyNumberFormat="1" applyFont="1" applyFill="1" applyBorder="1"/>
    <xf numFmtId="166" fontId="3" fillId="0" borderId="10" xfId="1" applyNumberFormat="1" applyFont="1" applyBorder="1"/>
    <xf numFmtId="1" fontId="11" fillId="15" borderId="16" xfId="0" applyNumberFormat="1" applyFont="1" applyFill="1" applyBorder="1" applyAlignment="1">
      <alignment horizontal="center" vertical="center" wrapText="1"/>
    </xf>
    <xf numFmtId="43" fontId="0" fillId="0" borderId="0" xfId="1" applyFont="1"/>
    <xf numFmtId="0" fontId="19" fillId="0" borderId="22" xfId="7" applyFont="1" applyBorder="1"/>
    <xf numFmtId="0" fontId="19" fillId="0" borderId="23" xfId="7" applyFont="1" applyBorder="1"/>
    <xf numFmtId="0" fontId="19" fillId="0" borderId="17" xfId="7" applyFont="1" applyBorder="1" applyAlignment="1">
      <alignment wrapText="1"/>
    </xf>
    <xf numFmtId="0" fontId="2" fillId="0" borderId="19" xfId="7" applyBorder="1" applyAlignment="1">
      <alignment wrapText="1"/>
    </xf>
    <xf numFmtId="0" fontId="10" fillId="9" borderId="11" xfId="0" applyFont="1" applyFill="1" applyBorder="1" applyAlignment="1">
      <alignment horizontal="center" vertical="center"/>
    </xf>
    <xf numFmtId="0" fontId="10" fillId="9" borderId="13" xfId="0" applyFont="1" applyFill="1" applyBorder="1" applyAlignment="1">
      <alignment horizontal="center" vertical="center"/>
    </xf>
    <xf numFmtId="0" fontId="10" fillId="9" borderId="15" xfId="0" applyFont="1" applyFill="1" applyBorder="1" applyAlignment="1">
      <alignment horizontal="center" vertical="center"/>
    </xf>
    <xf numFmtId="1" fontId="10" fillId="16" borderId="16" xfId="0" applyNumberFormat="1" applyFont="1" applyFill="1" applyBorder="1" applyAlignment="1">
      <alignment horizontal="right" vertical="center" wrapText="1"/>
    </xf>
    <xf numFmtId="166" fontId="10" fillId="16" borderId="16" xfId="1" applyNumberFormat="1" applyFont="1" applyFill="1" applyBorder="1"/>
    <xf numFmtId="0" fontId="25" fillId="17" borderId="24" xfId="0" applyFont="1" applyFill="1" applyBorder="1" applyAlignment="1">
      <alignment vertical="center" wrapText="1"/>
    </xf>
    <xf numFmtId="166" fontId="0" fillId="0" borderId="0" xfId="0" applyNumberFormat="1"/>
    <xf numFmtId="0" fontId="28" fillId="0" borderId="0" xfId="0" applyFont="1"/>
    <xf numFmtId="0" fontId="19" fillId="0" borderId="0" xfId="0" applyFont="1"/>
    <xf numFmtId="0" fontId="0" fillId="0" borderId="0" xfId="5" applyFont="1"/>
    <xf numFmtId="0" fontId="0" fillId="10" borderId="0" xfId="0" applyFill="1"/>
    <xf numFmtId="164" fontId="0" fillId="10" borderId="0" xfId="0" applyNumberFormat="1" applyFill="1" applyAlignment="1">
      <alignment horizontal="right"/>
    </xf>
    <xf numFmtId="170" fontId="0" fillId="10" borderId="0" xfId="0" applyNumberFormat="1" applyFill="1"/>
    <xf numFmtId="1" fontId="0" fillId="10" borderId="0" xfId="0" applyNumberFormat="1" applyFill="1"/>
    <xf numFmtId="0" fontId="0" fillId="0" borderId="27" xfId="0" applyBorder="1" applyAlignment="1">
      <alignment vertical="center"/>
    </xf>
    <xf numFmtId="14" fontId="0" fillId="0" borderId="27" xfId="0" applyNumberFormat="1" applyBorder="1" applyAlignment="1">
      <alignment vertical="center"/>
    </xf>
    <xf numFmtId="2" fontId="0" fillId="0" borderId="27" xfId="0" applyNumberFormat="1" applyBorder="1" applyAlignment="1">
      <alignment vertical="center"/>
    </xf>
    <xf numFmtId="1" fontId="2" fillId="0" borderId="10" xfId="7" applyNumberFormat="1" applyBorder="1"/>
    <xf numFmtId="168" fontId="2" fillId="0" borderId="10" xfId="15" applyNumberFormat="1" applyFont="1" applyFill="1" applyBorder="1"/>
    <xf numFmtId="168" fontId="3" fillId="0" borderId="10" xfId="5" applyNumberFormat="1" applyBorder="1"/>
    <xf numFmtId="0" fontId="20" fillId="0" borderId="28" xfId="7" applyFont="1" applyBorder="1" applyAlignment="1">
      <alignment horizontal="center" vertical="center" wrapText="1"/>
    </xf>
    <xf numFmtId="0" fontId="20" fillId="0" borderId="29" xfId="7" applyFont="1" applyBorder="1" applyAlignment="1">
      <alignment horizontal="center" vertical="center" wrapText="1"/>
    </xf>
    <xf numFmtId="0" fontId="20" fillId="0" borderId="30" xfId="7" applyFont="1" applyBorder="1" applyAlignment="1">
      <alignment horizontal="center" vertical="center" wrapText="1"/>
    </xf>
    <xf numFmtId="1" fontId="2" fillId="0" borderId="31" xfId="7" applyNumberFormat="1" applyBorder="1"/>
    <xf numFmtId="168" fontId="2" fillId="0" borderId="32" xfId="15" applyNumberFormat="1" applyFont="1" applyFill="1" applyBorder="1"/>
    <xf numFmtId="1" fontId="2" fillId="0" borderId="33" xfId="7" applyNumberFormat="1" applyBorder="1"/>
    <xf numFmtId="1" fontId="2" fillId="0" borderId="34" xfId="7" applyNumberFormat="1" applyBorder="1"/>
    <xf numFmtId="168" fontId="2" fillId="0" borderId="34" xfId="15" applyNumberFormat="1" applyFont="1" applyFill="1" applyBorder="1"/>
    <xf numFmtId="168" fontId="3" fillId="0" borderId="34" xfId="5" applyNumberFormat="1" applyBorder="1"/>
    <xf numFmtId="168" fontId="2" fillId="0" borderId="35" xfId="15" applyNumberFormat="1" applyFont="1" applyFill="1" applyBorder="1"/>
    <xf numFmtId="168" fontId="2" fillId="0" borderId="10" xfId="1" applyNumberFormat="1" applyBorder="1"/>
    <xf numFmtId="164" fontId="19" fillId="0" borderId="0" xfId="0" applyNumberFormat="1" applyFont="1"/>
    <xf numFmtId="1" fontId="19" fillId="0" borderId="0" xfId="0" applyNumberFormat="1" applyFont="1"/>
    <xf numFmtId="0" fontId="19" fillId="18" borderId="0" xfId="0" applyFont="1" applyFill="1"/>
    <xf numFmtId="0" fontId="19" fillId="19" borderId="0" xfId="0" applyFont="1" applyFill="1"/>
    <xf numFmtId="166" fontId="19" fillId="19" borderId="0" xfId="1" applyNumberFormat="1" applyFont="1" applyFill="1" applyBorder="1"/>
    <xf numFmtId="166" fontId="19" fillId="19" borderId="0" xfId="0" applyNumberFormat="1" applyFont="1" applyFill="1"/>
    <xf numFmtId="168" fontId="19" fillId="19" borderId="0" xfId="0" applyNumberFormat="1" applyFont="1" applyFill="1"/>
    <xf numFmtId="0" fontId="29" fillId="20" borderId="0" xfId="0" applyFont="1" applyFill="1" applyAlignment="1">
      <alignment horizontal="left" indent="1"/>
    </xf>
    <xf numFmtId="166" fontId="29" fillId="20" borderId="0" xfId="1" applyNumberFormat="1" applyFont="1" applyFill="1" applyBorder="1"/>
    <xf numFmtId="168" fontId="29" fillId="20" borderId="0" xfId="1" applyNumberFormat="1" applyFont="1" applyFill="1" applyBorder="1"/>
    <xf numFmtId="0" fontId="30" fillId="21" borderId="0" xfId="0" applyFont="1" applyFill="1" applyAlignment="1">
      <alignment horizontal="center"/>
    </xf>
    <xf numFmtId="166" fontId="29" fillId="21" borderId="0" xfId="1" applyNumberFormat="1" applyFont="1" applyFill="1" applyBorder="1"/>
    <xf numFmtId="168" fontId="29" fillId="21" borderId="0" xfId="1" applyNumberFormat="1" applyFont="1" applyFill="1" applyBorder="1"/>
    <xf numFmtId="0" fontId="19" fillId="19" borderId="7" xfId="0" applyFont="1" applyFill="1" applyBorder="1"/>
    <xf numFmtId="166" fontId="19" fillId="19" borderId="7" xfId="1" applyNumberFormat="1" applyFont="1" applyFill="1" applyBorder="1"/>
    <xf numFmtId="168" fontId="19" fillId="19" borderId="7" xfId="1" applyNumberFormat="1" applyFont="1" applyFill="1" applyBorder="1"/>
    <xf numFmtId="0" fontId="23" fillId="22" borderId="0" xfId="0" applyFont="1" applyFill="1" applyAlignment="1">
      <alignment vertical="center" wrapText="1"/>
    </xf>
    <xf numFmtId="0" fontId="31" fillId="22" borderId="0" xfId="0" applyFont="1" applyFill="1" applyAlignment="1">
      <alignment vertical="center" wrapText="1"/>
    </xf>
    <xf numFmtId="43" fontId="31" fillId="22" borderId="0" xfId="1" applyFont="1" applyFill="1"/>
    <xf numFmtId="43" fontId="19" fillId="19" borderId="0" xfId="1" applyFont="1" applyFill="1" applyBorder="1"/>
    <xf numFmtId="43" fontId="29" fillId="20" borderId="0" xfId="1" applyFont="1" applyFill="1" applyBorder="1"/>
    <xf numFmtId="43" fontId="29" fillId="21" borderId="0" xfId="1" applyFont="1" applyFill="1" applyBorder="1"/>
    <xf numFmtId="43" fontId="19" fillId="19" borderId="7" xfId="1" applyFont="1" applyFill="1" applyBorder="1"/>
    <xf numFmtId="2" fontId="0" fillId="13" borderId="0" xfId="0" applyNumberFormat="1" applyFill="1"/>
    <xf numFmtId="168" fontId="0" fillId="0" borderId="10" xfId="1" applyNumberFormat="1" applyFont="1" applyBorder="1"/>
    <xf numFmtId="0" fontId="0" fillId="0" borderId="31" xfId="0" applyBorder="1"/>
    <xf numFmtId="0" fontId="0" fillId="0" borderId="33" xfId="0" applyBorder="1"/>
    <xf numFmtId="168" fontId="0" fillId="0" borderId="34" xfId="1" applyNumberFormat="1" applyFont="1" applyBorder="1"/>
    <xf numFmtId="166" fontId="0" fillId="0" borderId="10" xfId="1" applyNumberFormat="1" applyFont="1" applyBorder="1"/>
    <xf numFmtId="166" fontId="0" fillId="0" borderId="32" xfId="1" applyNumberFormat="1" applyFont="1" applyBorder="1"/>
    <xf numFmtId="166" fontId="0" fillId="0" borderId="34" xfId="1" applyNumberFormat="1" applyFont="1" applyBorder="1"/>
    <xf numFmtId="166" fontId="0" fillId="0" borderId="35" xfId="1" applyNumberFormat="1" applyFont="1" applyBorder="1"/>
    <xf numFmtId="0" fontId="0" fillId="0" borderId="28" xfId="0" applyBorder="1" applyAlignment="1">
      <alignment vertical="center" wrapText="1"/>
    </xf>
    <xf numFmtId="0" fontId="0" fillId="0" borderId="29" xfId="0" applyBorder="1" applyAlignment="1">
      <alignment vertical="center" wrapText="1"/>
    </xf>
    <xf numFmtId="43" fontId="0" fillId="0" borderId="29" xfId="1" applyFont="1" applyBorder="1" applyAlignment="1">
      <alignment vertical="center" wrapText="1"/>
    </xf>
    <xf numFmtId="43" fontId="0" fillId="0" borderId="30" xfId="1" applyFont="1" applyBorder="1" applyAlignment="1">
      <alignment vertical="center" wrapText="1"/>
    </xf>
    <xf numFmtId="0" fontId="23" fillId="23" borderId="10" xfId="0" applyFont="1" applyFill="1" applyBorder="1"/>
    <xf numFmtId="0" fontId="0" fillId="0" borderId="10" xfId="0" applyBorder="1"/>
    <xf numFmtId="0" fontId="6" fillId="0" borderId="0" xfId="0" applyFont="1"/>
    <xf numFmtId="166" fontId="11" fillId="0" borderId="16" xfId="1" applyNumberFormat="1" applyFont="1" applyFill="1" applyBorder="1" applyAlignment="1">
      <alignment horizontal="center" vertical="center" wrapText="1"/>
    </xf>
    <xf numFmtId="0" fontId="11" fillId="24" borderId="15" xfId="0" applyFont="1" applyFill="1" applyBorder="1" applyAlignment="1">
      <alignment horizontal="center" vertical="center" wrapText="1"/>
    </xf>
    <xf numFmtId="166" fontId="11" fillId="25" borderId="16" xfId="1" applyNumberFormat="1" applyFont="1" applyFill="1" applyBorder="1" applyAlignment="1">
      <alignment horizontal="center" vertical="center" wrapText="1"/>
    </xf>
    <xf numFmtId="0" fontId="11" fillId="24" borderId="23" xfId="0" applyFont="1" applyFill="1" applyBorder="1" applyAlignment="1">
      <alignment horizontal="center" vertical="center" wrapText="1"/>
    </xf>
    <xf numFmtId="0" fontId="32" fillId="0" borderId="0" xfId="5" applyFont="1"/>
    <xf numFmtId="0" fontId="32" fillId="10" borderId="0" xfId="0" applyFont="1" applyFill="1"/>
    <xf numFmtId="164" fontId="32" fillId="10" borderId="0" xfId="0" applyNumberFormat="1" applyFont="1" applyFill="1"/>
    <xf numFmtId="170" fontId="32" fillId="10" borderId="0" xfId="0" applyNumberFormat="1" applyFont="1" applyFill="1"/>
    <xf numFmtId="1" fontId="32" fillId="10" borderId="0" xfId="0" applyNumberFormat="1" applyFont="1" applyFill="1"/>
    <xf numFmtId="43" fontId="0" fillId="0" borderId="0" xfId="0" applyNumberFormat="1"/>
    <xf numFmtId="2" fontId="0" fillId="0" borderId="10" xfId="0" applyNumberFormat="1" applyBorder="1"/>
    <xf numFmtId="0" fontId="36" fillId="27" borderId="36" xfId="21" applyFont="1" applyFill="1"/>
    <xf numFmtId="0" fontId="0" fillId="27" borderId="0" xfId="0" applyFill="1"/>
    <xf numFmtId="0" fontId="0" fillId="27" borderId="7" xfId="0" applyFill="1" applyBorder="1"/>
    <xf numFmtId="2" fontId="0" fillId="27" borderId="0" xfId="0" applyNumberFormat="1" applyFill="1"/>
    <xf numFmtId="2" fontId="0" fillId="27" borderId="7" xfId="0" applyNumberFormat="1" applyFill="1" applyBorder="1"/>
    <xf numFmtId="2" fontId="35" fillId="27" borderId="0" xfId="0" applyNumberFormat="1" applyFont="1" applyFill="1"/>
    <xf numFmtId="2" fontId="21" fillId="27" borderId="0" xfId="16" applyNumberFormat="1" applyFill="1"/>
    <xf numFmtId="2" fontId="21" fillId="27" borderId="7" xfId="16" applyNumberFormat="1" applyFill="1" applyBorder="1"/>
    <xf numFmtId="2" fontId="35" fillId="27" borderId="0" xfId="16" applyNumberFormat="1" applyFont="1" applyFill="1"/>
    <xf numFmtId="0" fontId="37" fillId="27" borderId="38" xfId="21" applyFont="1" applyFill="1" applyBorder="1"/>
    <xf numFmtId="0" fontId="0" fillId="27" borderId="13" xfId="0" applyFill="1" applyBorder="1"/>
    <xf numFmtId="2" fontId="34" fillId="26" borderId="39" xfId="22" applyNumberFormat="1" applyBorder="1"/>
    <xf numFmtId="2" fontId="34" fillId="26" borderId="40" xfId="22" applyNumberFormat="1" applyBorder="1"/>
    <xf numFmtId="0" fontId="0" fillId="13" borderId="10" xfId="0" applyFill="1" applyBorder="1"/>
    <xf numFmtId="164" fontId="0" fillId="13" borderId="10" xfId="0" applyNumberFormat="1" applyFill="1" applyBorder="1"/>
    <xf numFmtId="168" fontId="10" fillId="0" borderId="16" xfId="1" applyNumberFormat="1" applyFont="1" applyBorder="1"/>
    <xf numFmtId="0" fontId="14" fillId="11" borderId="14" xfId="0" applyFont="1" applyFill="1" applyBorder="1" applyAlignment="1">
      <alignment horizontal="center" vertical="center" wrapText="1"/>
    </xf>
    <xf numFmtId="0" fontId="13" fillId="11" borderId="11" xfId="0" applyFont="1" applyFill="1" applyBorder="1" applyAlignment="1">
      <alignment vertical="center" wrapText="1"/>
    </xf>
    <xf numFmtId="0" fontId="13" fillId="11" borderId="15" xfId="0" applyFont="1" applyFill="1" applyBorder="1" applyAlignment="1">
      <alignment vertical="center" wrapText="1"/>
    </xf>
    <xf numFmtId="0" fontId="10" fillId="11" borderId="11" xfId="0" applyFont="1" applyFill="1" applyBorder="1" applyAlignment="1">
      <alignment horizontal="center" vertical="center" wrapText="1"/>
    </xf>
    <xf numFmtId="0" fontId="10" fillId="11" borderId="15" xfId="0" applyFont="1" applyFill="1" applyBorder="1" applyAlignment="1">
      <alignment horizontal="center" vertical="center" wrapText="1"/>
    </xf>
    <xf numFmtId="0" fontId="14" fillId="11" borderId="11" xfId="0" applyFont="1" applyFill="1" applyBorder="1" applyAlignment="1">
      <alignment horizontal="center" vertical="center" wrapText="1"/>
    </xf>
    <xf numFmtId="0" fontId="14" fillId="11" borderId="15" xfId="0" applyFont="1" applyFill="1" applyBorder="1" applyAlignment="1">
      <alignment horizontal="center" vertical="center" wrapText="1"/>
    </xf>
    <xf numFmtId="167" fontId="10" fillId="0" borderId="11" xfId="2" applyNumberFormat="1" applyFont="1" applyBorder="1" applyAlignment="1">
      <alignment horizontal="center" vertical="center" wrapText="1"/>
    </xf>
    <xf numFmtId="167" fontId="10" fillId="0" borderId="13" xfId="2" applyNumberFormat="1" applyFont="1" applyBorder="1" applyAlignment="1">
      <alignment horizontal="center" vertical="center" wrapText="1"/>
    </xf>
    <xf numFmtId="167" fontId="10" fillId="0" borderId="15" xfId="2" applyNumberFormat="1" applyFont="1" applyBorder="1" applyAlignment="1">
      <alignment horizontal="center" vertical="center" wrapText="1"/>
    </xf>
    <xf numFmtId="1" fontId="10" fillId="0" borderId="11" xfId="0" applyNumberFormat="1" applyFont="1" applyBorder="1" applyAlignment="1">
      <alignment horizontal="center" vertical="center" wrapText="1"/>
    </xf>
    <xf numFmtId="1" fontId="10" fillId="0" borderId="13" xfId="0" applyNumberFormat="1" applyFont="1" applyBorder="1" applyAlignment="1">
      <alignment horizontal="center" vertical="center" wrapText="1"/>
    </xf>
    <xf numFmtId="1" fontId="10" fillId="0" borderId="15" xfId="0" applyNumberFormat="1"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5" xfId="0" applyFont="1" applyBorder="1" applyAlignment="1">
      <alignment horizontal="center" vertical="center"/>
    </xf>
    <xf numFmtId="0" fontId="10" fillId="9" borderId="11" xfId="0" applyFont="1" applyFill="1" applyBorder="1" applyAlignment="1">
      <alignment horizontal="center" vertical="center"/>
    </xf>
    <xf numFmtId="0" fontId="10" fillId="9" borderId="13" xfId="0" applyFont="1" applyFill="1" applyBorder="1" applyAlignment="1">
      <alignment horizontal="center" vertical="center"/>
    </xf>
    <xf numFmtId="0" fontId="10" fillId="9" borderId="15" xfId="0" applyFont="1" applyFill="1" applyBorder="1" applyAlignment="1">
      <alignment horizontal="center" vertical="center"/>
    </xf>
    <xf numFmtId="0" fontId="10" fillId="9" borderId="11"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0" fillId="9" borderId="15" xfId="0" applyFont="1" applyFill="1" applyBorder="1" applyAlignment="1">
      <alignment horizontal="center" vertical="center" wrapText="1"/>
    </xf>
    <xf numFmtId="0" fontId="13" fillId="11" borderId="11" xfId="0" applyFont="1" applyFill="1" applyBorder="1" applyAlignment="1">
      <alignment horizontal="center" vertical="center" wrapText="1"/>
    </xf>
    <xf numFmtId="0" fontId="13" fillId="11" borderId="15" xfId="0" applyFont="1" applyFill="1" applyBorder="1" applyAlignment="1">
      <alignment horizontal="center" vertical="center" wrapText="1"/>
    </xf>
    <xf numFmtId="1" fontId="11" fillId="0" borderId="11" xfId="0" applyNumberFormat="1" applyFont="1" applyBorder="1" applyAlignment="1">
      <alignment horizontal="center" vertical="center" wrapText="1"/>
    </xf>
    <xf numFmtId="1" fontId="11" fillId="0" borderId="13" xfId="0" applyNumberFormat="1" applyFont="1" applyBorder="1" applyAlignment="1">
      <alignment horizontal="center" vertical="center" wrapText="1"/>
    </xf>
    <xf numFmtId="1" fontId="11" fillId="0" borderId="15" xfId="0" applyNumberFormat="1" applyFont="1" applyBorder="1" applyAlignment="1">
      <alignment horizontal="center" vertical="center" wrapText="1"/>
    </xf>
    <xf numFmtId="1" fontId="11" fillId="0" borderId="11" xfId="0" applyNumberFormat="1" applyFont="1" applyBorder="1" applyAlignment="1">
      <alignment horizontal="center" vertical="center"/>
    </xf>
    <xf numFmtId="1" fontId="11" fillId="0" borderId="13" xfId="0" applyNumberFormat="1" applyFont="1" applyBorder="1" applyAlignment="1">
      <alignment horizontal="center" vertical="center"/>
    </xf>
    <xf numFmtId="1" fontId="11" fillId="0" borderId="15" xfId="0" applyNumberFormat="1" applyFont="1" applyBorder="1" applyAlignment="1">
      <alignment horizontal="center" vertical="center"/>
    </xf>
    <xf numFmtId="0" fontId="11" fillId="9" borderId="11" xfId="0" applyFont="1" applyFill="1" applyBorder="1" applyAlignment="1">
      <alignment horizontal="center" vertical="center" wrapText="1"/>
    </xf>
    <xf numFmtId="0" fontId="11" fillId="9" borderId="15" xfId="0" applyFont="1" applyFill="1" applyBorder="1" applyAlignment="1">
      <alignment horizontal="center" vertical="center" wrapText="1"/>
    </xf>
    <xf numFmtId="164" fontId="11" fillId="0" borderId="11" xfId="0" applyNumberFormat="1" applyFont="1" applyBorder="1" applyAlignment="1">
      <alignment horizontal="center" vertical="center" wrapText="1"/>
    </xf>
    <xf numFmtId="164" fontId="11" fillId="0" borderId="13" xfId="0" applyNumberFormat="1" applyFont="1" applyBorder="1" applyAlignment="1">
      <alignment horizontal="center" vertical="center" wrapText="1"/>
    </xf>
    <xf numFmtId="164" fontId="11" fillId="0" borderId="15" xfId="0" applyNumberFormat="1" applyFont="1" applyBorder="1" applyAlignment="1">
      <alignment horizontal="center" vertical="center" wrapText="1"/>
    </xf>
    <xf numFmtId="0" fontId="23" fillId="23" borderId="10" xfId="0" applyFont="1" applyFill="1" applyBorder="1" applyAlignment="1">
      <alignment horizontal="center"/>
    </xf>
    <xf numFmtId="0" fontId="10" fillId="8" borderId="10" xfId="6" applyFont="1" applyFill="1" applyBorder="1" applyAlignment="1">
      <alignment horizontal="center"/>
    </xf>
    <xf numFmtId="0" fontId="10" fillId="0" borderId="10" xfId="6" applyFont="1" applyBorder="1" applyAlignment="1">
      <alignment horizontal="left"/>
    </xf>
    <xf numFmtId="0" fontId="3" fillId="0" borderId="0" xfId="6" applyAlignment="1">
      <alignment horizontal="center" wrapText="1"/>
    </xf>
    <xf numFmtId="0" fontId="3" fillId="0" borderId="7" xfId="6" applyBorder="1" applyAlignment="1">
      <alignment horizontal="center" wrapText="1"/>
    </xf>
    <xf numFmtId="166" fontId="11" fillId="0" borderId="11" xfId="1" applyNumberFormat="1" applyFont="1" applyBorder="1" applyAlignment="1">
      <alignment horizontal="center" vertical="center"/>
    </xf>
    <xf numFmtId="166" fontId="11" fillId="0" borderId="13" xfId="1" applyNumberFormat="1" applyFont="1" applyBorder="1" applyAlignment="1">
      <alignment horizontal="center" vertical="center"/>
    </xf>
    <xf numFmtId="166" fontId="11" fillId="0" borderId="15" xfId="1" applyNumberFormat="1" applyFont="1" applyBorder="1" applyAlignment="1">
      <alignment horizontal="center" vertical="center"/>
    </xf>
    <xf numFmtId="43" fontId="11" fillId="0" borderId="11" xfId="1" applyFont="1" applyBorder="1"/>
    <xf numFmtId="43" fontId="11" fillId="0" borderId="13" xfId="1" applyFont="1" applyBorder="1"/>
    <xf numFmtId="43" fontId="11" fillId="0" borderId="15" xfId="1" applyFont="1" applyBorder="1"/>
    <xf numFmtId="0" fontId="25" fillId="17" borderId="26" xfId="0" applyFont="1" applyFill="1" applyBorder="1" applyAlignment="1">
      <alignment horizontal="center" vertical="center" wrapText="1"/>
    </xf>
    <xf numFmtId="0" fontId="25" fillId="17" borderId="25" xfId="0" applyFont="1" applyFill="1" applyBorder="1" applyAlignment="1">
      <alignment horizontal="center" vertical="center" wrapText="1"/>
    </xf>
  </cellXfs>
  <cellStyles count="23">
    <cellStyle name="Accent6" xfId="20" builtinId="49"/>
    <cellStyle name="Comma" xfId="1" builtinId="3"/>
    <cellStyle name="Comma 2" xfId="15" xr:uid="{2933FFCF-9C7D-4551-8EE4-086C6732C1B4}"/>
    <cellStyle name="Comma 3" xfId="18" xr:uid="{DA16227F-4863-4DC1-A029-AE78CCDEDCF2}"/>
    <cellStyle name="Comma 4" xfId="10" xr:uid="{D4B73C1B-C8CF-4DBC-BB6D-8C6F9FF71D31}"/>
    <cellStyle name="Heading 3" xfId="21" builtinId="18"/>
    <cellStyle name="Input" xfId="22" builtinId="20"/>
    <cellStyle name="Neutral 2" xfId="16" xr:uid="{FB12F618-3F91-4DB0-BF82-C6953CF4FA4E}"/>
    <cellStyle name="Normal" xfId="0" builtinId="0"/>
    <cellStyle name="Normal 2" xfId="17" xr:uid="{C939555C-75A4-46EA-9248-C1DCEB1F26BC}"/>
    <cellStyle name="Normal 3" xfId="7" xr:uid="{E5E9312F-7AC2-4C5A-A4BD-321848C28986}"/>
    <cellStyle name="Percent" xfId="2" builtinId="5"/>
    <cellStyle name="Percent 2" xfId="3" xr:uid="{00000000-0005-0000-0000-000003000000}"/>
    <cellStyle name="Percent 2 2" xfId="14" xr:uid="{801337B2-68D4-43ED-87CB-7F4FA5C8AF7E}"/>
    <cellStyle name="Percent 3" xfId="19" xr:uid="{7B19414B-4C8E-4B3F-86D1-ABB9A8061E50}"/>
    <cellStyle name="Percent 4" xfId="11" xr:uid="{D7D59387-EEFE-40AB-A492-416E43FB97E1}"/>
    <cellStyle name="Prozent 2" xfId="4" xr:uid="{00000000-0005-0000-0000-000004000000}"/>
    <cellStyle name="Prozent 2 2" xfId="9" xr:uid="{422B4235-F50B-4065-9C03-53895D691904}"/>
    <cellStyle name="Prozent 3" xfId="13" xr:uid="{9D0599DD-24F9-4260-89F3-ED5EA1F646A4}"/>
    <cellStyle name="Standard 2" xfId="5" xr:uid="{00000000-0005-0000-0000-000005000000}"/>
    <cellStyle name="Standard 2 2" xfId="8" xr:uid="{9764B8C6-4B6C-47DF-BCFD-FDBA566D2A68}"/>
    <cellStyle name="Standard 3" xfId="6" xr:uid="{00000000-0005-0000-0000-000006000000}"/>
    <cellStyle name="Standard 3 2" xfId="12" xr:uid="{8FDA22C1-9F52-430E-8B96-44E3994F2D08}"/>
  </cellStyles>
  <dxfs count="84">
    <dxf>
      <numFmt numFmtId="2" formatCode="0.00"/>
    </dxf>
    <dxf>
      <numFmt numFmtId="2" formatCode="0.00"/>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1"/>
        <color auto="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4" formatCode="0.0"/>
      <fill>
        <patternFill patternType="none">
          <fgColor indexed="64"/>
          <bgColor indexed="65"/>
        </patternFill>
      </fill>
    </dxf>
    <dxf>
      <numFmt numFmtId="164" formatCode="0.0"/>
    </dxf>
    <dxf>
      <numFmt numFmtId="164" formatCode="0.0"/>
    </dxf>
    <dxf>
      <font>
        <b val="0"/>
        <i val="0"/>
        <strike val="0"/>
        <condense val="0"/>
        <extend val="0"/>
        <outline val="0"/>
        <shadow val="0"/>
        <u val="none"/>
        <vertAlign val="baseline"/>
        <sz val="11"/>
        <color auto="1"/>
        <name val="Calibri"/>
        <scheme val="none"/>
      </font>
      <numFmt numFmtId="1" formatCode="0"/>
      <fill>
        <patternFill patternType="none">
          <fgColor indexed="64"/>
          <bgColor indexed="65"/>
        </patternFill>
      </fill>
    </dxf>
    <dxf>
      <numFmt numFmtId="164" formatCode="0.0"/>
    </dxf>
    <dxf>
      <numFmt numFmtId="1" formatCode="0"/>
    </dxf>
    <dxf>
      <font>
        <b val="0"/>
        <i val="0"/>
        <strike val="0"/>
        <condense val="0"/>
        <extend val="0"/>
        <outline val="0"/>
        <shadow val="0"/>
        <u val="none"/>
        <vertAlign val="baseline"/>
        <sz val="11"/>
        <color auto="1"/>
        <name val="Calibri"/>
        <scheme val="none"/>
      </font>
      <numFmt numFmtId="1" formatCode="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4" formatCode="0.0"/>
      <fill>
        <patternFill patternType="none">
          <fgColor indexed="64"/>
          <bgColor indexed="65"/>
        </patternFill>
      </fill>
    </dxf>
    <dxf>
      <numFmt numFmtId="164" formatCode="0.0"/>
    </dxf>
    <dxf>
      <font>
        <b val="0"/>
        <i val="0"/>
        <strike val="0"/>
        <condense val="0"/>
        <extend val="0"/>
        <outline val="0"/>
        <shadow val="0"/>
        <u val="none"/>
        <vertAlign val="baseline"/>
        <sz val="11"/>
        <color auto="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4" formatCode="0.0"/>
      <fill>
        <patternFill patternType="none">
          <fgColor indexed="64"/>
          <bgColor indexed="65"/>
        </patternFill>
      </fill>
    </dxf>
    <dxf>
      <numFmt numFmtId="164" formatCode="0.0"/>
    </dxf>
    <dxf>
      <numFmt numFmtId="164" formatCode="0.0"/>
    </dxf>
    <dxf>
      <numFmt numFmtId="164" formatCode="0.0"/>
    </dxf>
    <dxf>
      <numFmt numFmtId="164" formatCode="0.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4" formatCode="0.0"/>
      <fill>
        <patternFill patternType="none">
          <fgColor indexed="64"/>
          <bgColor indexed="65"/>
        </patternFill>
      </fill>
    </dxf>
    <dxf>
      <numFmt numFmtId="164" formatCode="0.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4" formatCode="0.0"/>
      <fill>
        <patternFill patternType="none">
          <fgColor indexed="64"/>
          <bgColor indexed="65"/>
        </patternFill>
      </fill>
    </dxf>
    <dxf>
      <numFmt numFmtId="164" formatCode="0.0"/>
    </dxf>
    <dxf>
      <numFmt numFmtId="164" formatCode="0.0"/>
    </dxf>
    <dxf>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4" formatCode="0.0"/>
      <fill>
        <patternFill patternType="none">
          <fgColor indexed="64"/>
          <bgColor indexed="65"/>
        </patternFill>
      </fill>
    </dxf>
    <dxf>
      <numFmt numFmtId="164" formatCode="0.0"/>
      <fill>
        <patternFill patternType="none">
          <fgColor indexed="64"/>
          <bgColor indexed="65"/>
        </patternFill>
      </fill>
    </dxf>
    <dxf>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dxf>
    <dxf>
      <numFmt numFmtId="19" formatCode="dd/mm/yyyy"/>
    </dxf>
    <dxf>
      <numFmt numFmtId="0" formatCode="General"/>
    </dxf>
    <dxf>
      <font>
        <b/>
        <i val="0"/>
        <strike val="0"/>
        <condense val="0"/>
        <extend val="0"/>
        <outline val="0"/>
        <shadow val="0"/>
        <u val="none"/>
        <vertAlign val="baseline"/>
        <sz val="11"/>
        <color auto="1"/>
        <name val="Calibri"/>
        <scheme val="none"/>
      </font>
      <fill>
        <patternFill patternType="none">
          <fgColor indexed="64"/>
          <bgColor indexed="65"/>
        </patternFill>
      </fill>
    </dxf>
    <dxf>
      <numFmt numFmtId="35" formatCode="_-* #,##0.00_-;\-* #,##0.00_-;_-* &quot;-&quot;??_-;_-@_-"/>
      <alignment horizontal="general" vertical="bottom" textRotation="0" wrapText="0" indent="0" justifyLastLine="0" shrinkToFit="0" readingOrder="0"/>
      <protection locked="1" hidden="0"/>
    </dxf>
    <dxf>
      <numFmt numFmtId="0" formatCode="General"/>
    </dxf>
    <dxf>
      <numFmt numFmtId="0" formatCode="General"/>
    </dxf>
    <dxf>
      <font>
        <b val="0"/>
        <i val="0"/>
        <strike val="0"/>
        <u val="none"/>
        <vertAlign val="baseline"/>
        <sz val="11"/>
        <name val="Calibri"/>
        <scheme val="none"/>
      </font>
      <numFmt numFmtId="164" formatCode="0.0"/>
      <fill>
        <patternFill patternType="solid">
          <fgColor indexed="64"/>
          <bgColor indexed="65"/>
        </patternFill>
      </fill>
    </dxf>
    <dxf>
      <font>
        <b val="0"/>
        <i val="0"/>
        <strike val="0"/>
        <u val="none"/>
        <vertAlign val="baseline"/>
        <sz val="11"/>
        <name val="Calibri"/>
        <scheme val="none"/>
      </font>
      <numFmt numFmtId="164" formatCode="0.0"/>
      <fill>
        <patternFill patternType="solid">
          <fgColor indexed="64"/>
          <bgColor indexed="65"/>
        </patternFill>
      </fill>
    </dxf>
    <dxf>
      <numFmt numFmtId="164" formatCode="0.0"/>
    </dxf>
    <dxf>
      <numFmt numFmtId="164" formatCode="0.0"/>
    </dxf>
    <dxf>
      <font>
        <b val="0"/>
        <i val="0"/>
        <strike val="0"/>
        <u val="none"/>
        <vertAlign val="baseline"/>
        <sz val="11"/>
        <name val="Calibri"/>
        <scheme val="none"/>
      </font>
      <numFmt numFmtId="1" formatCode="0"/>
      <fill>
        <patternFill patternType="solid">
          <fgColor indexed="64"/>
          <bgColor indexed="65"/>
        </patternFill>
      </fill>
    </dxf>
    <dxf>
      <numFmt numFmtId="164" formatCode="0.0"/>
    </dxf>
    <dxf>
      <numFmt numFmtId="1" formatCode="0"/>
    </dxf>
    <dxf>
      <font>
        <b val="0"/>
        <i val="0"/>
        <strike val="0"/>
        <u val="none"/>
        <vertAlign val="baseline"/>
        <sz val="11"/>
        <name val="Calibri"/>
        <scheme val="none"/>
      </font>
      <numFmt numFmtId="1" formatCode="0"/>
      <fill>
        <patternFill patternType="solid">
          <fgColor indexed="64"/>
          <bgColor indexed="65"/>
        </patternFill>
      </fill>
    </dxf>
    <dxf>
      <font>
        <b val="0"/>
        <i val="0"/>
        <strike val="0"/>
        <u val="none"/>
        <vertAlign val="baseline"/>
        <sz val="11"/>
        <name val="Calibri"/>
        <scheme val="none"/>
      </font>
      <numFmt numFmtId="164" formatCode="0.0"/>
      <fill>
        <patternFill patternType="solid">
          <fgColor indexed="64"/>
          <bgColor indexed="65"/>
        </patternFill>
      </fill>
    </dxf>
    <dxf>
      <font>
        <b val="0"/>
        <i val="0"/>
        <strike val="0"/>
        <u val="none"/>
        <vertAlign val="baseline"/>
        <sz val="11"/>
        <name val="Calibri"/>
        <scheme val="none"/>
      </font>
      <numFmt numFmtId="164" formatCode="0.0"/>
      <fill>
        <patternFill patternType="solid">
          <fgColor indexed="64"/>
          <bgColor indexed="65"/>
        </patternFill>
      </fill>
    </dxf>
    <dxf>
      <font>
        <b val="0"/>
        <i val="0"/>
        <strike val="0"/>
        <u val="none"/>
        <vertAlign val="baseline"/>
        <sz val="11"/>
        <name val="Calibri"/>
        <scheme val="none"/>
      </font>
      <numFmt numFmtId="164" formatCode="0.0"/>
      <fill>
        <patternFill patternType="solid">
          <fgColor indexed="64"/>
          <bgColor indexed="65"/>
        </patternFill>
      </fill>
    </dxf>
    <dxf>
      <font>
        <b val="0"/>
        <i val="0"/>
        <strike val="0"/>
        <u val="none"/>
        <vertAlign val="baseline"/>
        <sz val="11"/>
        <name val="Calibri"/>
        <scheme val="none"/>
      </font>
      <numFmt numFmtId="164" formatCode="0.0"/>
      <fill>
        <patternFill patternType="solid">
          <fgColor indexed="64"/>
          <bgColor indexed="65"/>
        </patternFill>
      </fill>
    </dxf>
    <dxf>
      <numFmt numFmtId="164" formatCode="0.0"/>
    </dxf>
    <dxf>
      <font>
        <b val="0"/>
        <i val="0"/>
        <strike val="0"/>
        <u val="none"/>
        <vertAlign val="baseline"/>
        <sz val="11"/>
        <name val="Calibri"/>
        <scheme val="none"/>
      </font>
      <numFmt numFmtId="164" formatCode="0.0"/>
      <fill>
        <patternFill patternType="solid">
          <fgColor indexed="64"/>
          <bgColor indexed="65"/>
        </patternFill>
      </fill>
    </dxf>
    <dxf>
      <font>
        <b val="0"/>
        <i val="0"/>
        <strike val="0"/>
        <u val="none"/>
        <vertAlign val="baseline"/>
        <sz val="11"/>
        <name val="Calibri"/>
        <scheme val="none"/>
      </font>
      <numFmt numFmtId="164" formatCode="0.0"/>
      <fill>
        <patternFill patternType="solid">
          <fgColor indexed="64"/>
          <bgColor indexed="65"/>
        </patternFill>
      </fill>
    </dxf>
    <dxf>
      <font>
        <b val="0"/>
        <i val="0"/>
        <strike val="0"/>
        <u val="none"/>
        <vertAlign val="baseline"/>
        <sz val="11"/>
        <name val="Calibri"/>
        <scheme val="none"/>
      </font>
      <numFmt numFmtId="164" formatCode="0.0"/>
      <fill>
        <patternFill patternType="solid">
          <fgColor indexed="64"/>
          <bgColor indexed="65"/>
        </patternFill>
      </fill>
    </dxf>
    <dxf>
      <font>
        <b val="0"/>
        <i val="0"/>
        <strike val="0"/>
        <u val="none"/>
        <vertAlign val="baseline"/>
        <sz val="11"/>
        <name val="Calibri"/>
        <scheme val="none"/>
      </font>
      <numFmt numFmtId="164" formatCode="0.0"/>
      <fill>
        <patternFill patternType="solid">
          <fgColor indexed="64"/>
          <bgColor indexed="65"/>
        </patternFill>
      </fill>
    </dxf>
    <dxf>
      <numFmt numFmtId="164" formatCode="0.0"/>
    </dxf>
    <dxf>
      <numFmt numFmtId="164" formatCode="0.0"/>
    </dxf>
    <dxf>
      <font>
        <b val="0"/>
        <i val="0"/>
        <strike val="0"/>
        <u val="none"/>
        <vertAlign val="baseline"/>
        <sz val="11"/>
        <name val="Calibri"/>
        <scheme val="none"/>
      </font>
      <numFmt numFmtId="170" formatCode="0.000"/>
      <fill>
        <patternFill patternType="solid">
          <fgColor indexed="64"/>
          <bgColor indexed="65"/>
        </patternFill>
      </fill>
    </dxf>
    <dxf>
      <numFmt numFmtId="170" formatCode="0.000"/>
    </dxf>
    <dxf>
      <font>
        <b val="0"/>
        <i val="0"/>
        <strike val="0"/>
        <u val="none"/>
        <vertAlign val="baseline"/>
        <sz val="11"/>
        <name val="Calibri"/>
        <scheme val="none"/>
      </font>
      <numFmt numFmtId="164" formatCode="0.0"/>
      <fill>
        <patternFill patternType="solid">
          <fgColor indexed="64"/>
          <bgColor indexed="65"/>
        </patternFill>
      </fill>
    </dxf>
    <dxf>
      <font>
        <b val="0"/>
        <i val="0"/>
        <strike val="0"/>
        <u val="none"/>
        <vertAlign val="baseline"/>
        <sz val="11"/>
        <name val="Calibri"/>
        <scheme val="none"/>
      </font>
      <numFmt numFmtId="164" formatCode="0.0"/>
      <fill>
        <patternFill patternType="solid">
          <fgColor indexed="64"/>
          <bgColor indexed="65"/>
        </patternFill>
      </fill>
    </dxf>
    <dxf>
      <numFmt numFmtId="164" formatCode="0.0"/>
    </dxf>
    <dxf>
      <numFmt numFmtId="164" formatCode="0.0"/>
    </dxf>
    <dxf>
      <numFmt numFmtId="0" formatCode="General"/>
    </dxf>
    <dxf>
      <font>
        <b val="0"/>
        <i val="0"/>
        <strike val="0"/>
        <u val="none"/>
        <vertAlign val="baseline"/>
        <sz val="11"/>
        <name val="Calibri"/>
        <scheme val="none"/>
      </font>
      <numFmt numFmtId="164" formatCode="0.0"/>
      <fill>
        <patternFill patternType="solid">
          <fgColor indexed="64"/>
          <bgColor indexed="65"/>
        </patternFill>
      </fill>
    </dxf>
    <dxf>
      <numFmt numFmtId="164" formatCode="0.0"/>
      <fill>
        <patternFill patternType="solid">
          <fgColor indexed="64"/>
          <bgColor indexed="65"/>
        </patternFill>
      </fill>
    </dxf>
    <dxf>
      <numFmt numFmtId="0" formatCode="General"/>
    </dxf>
    <dxf>
      <font>
        <b val="0"/>
        <i val="0"/>
        <strike val="0"/>
        <condense val="0"/>
        <extend val="0"/>
        <outline val="0"/>
        <shadow val="0"/>
        <u val="none"/>
        <vertAlign val="baseline"/>
        <sz val="11"/>
        <color theme="1"/>
        <name val="Calibri"/>
        <family val="2"/>
        <scheme val="none"/>
      </font>
      <fill>
        <patternFill patternType="none">
          <fgColor indexed="64"/>
          <bgColor indexed="65"/>
        </patternFill>
      </fill>
    </dxf>
    <dxf>
      <font>
        <b val="0"/>
        <i val="0"/>
        <strike val="0"/>
        <u val="none"/>
        <vertAlign val="baseline"/>
        <sz val="11"/>
        <name val="Calibri"/>
        <scheme val="none"/>
      </font>
      <numFmt numFmtId="0" formatCode="General"/>
      <fill>
        <patternFill patternType="solid">
          <fgColor indexed="64"/>
          <bgColor indexed="65"/>
        </patternFill>
      </fill>
    </dxf>
    <dxf>
      <numFmt numFmtId="19" formatCode="dd/mm/yyyy"/>
    </dxf>
    <dxf>
      <numFmt numFmtId="0" formatCode="General"/>
      <fill>
        <patternFill patternType="solid">
          <fgColor indexed="64"/>
          <bgColor rgb="FFFFFF00"/>
        </patternFill>
      </fill>
    </dxf>
    <dxf>
      <numFmt numFmtId="164" formatCode="0.0"/>
    </dxf>
    <dxf>
      <numFmt numFmtId="1" formatCode="0"/>
    </dxf>
    <dxf>
      <font>
        <b val="0"/>
        <i val="0"/>
        <strike val="0"/>
        <condense val="0"/>
        <extend val="0"/>
        <outline val="0"/>
        <shadow val="0"/>
        <u val="none"/>
        <vertAlign val="baseline"/>
        <sz val="11"/>
        <color theme="1"/>
        <name val="Calibri"/>
        <scheme val="none"/>
      </font>
    </dxf>
    <dxf>
      <font>
        <b val="0"/>
        <i val="0"/>
        <strike val="0"/>
        <condense val="0"/>
        <extend val="0"/>
        <outline val="0"/>
        <shadow val="0"/>
        <u val="none"/>
        <vertAlign val="baseline"/>
        <sz val="11"/>
        <color theme="1"/>
        <name val="Calibri"/>
        <scheme val="none"/>
      </font>
    </dxf>
    <dxf>
      <font>
        <b/>
        <i val="0"/>
      </font>
      <fill>
        <patternFill patternType="solid">
          <fgColor theme="0" tint="-0.14996795556505021"/>
          <bgColor theme="0" tint="-0.14996795556505021"/>
        </patternFill>
      </fill>
    </dxf>
    <dxf>
      <font>
        <b/>
        <i val="0"/>
      </font>
      <fill>
        <patternFill patternType="solid">
          <fgColor theme="0" tint="-0.14996795556505021"/>
          <bgColor theme="0" tint="-0.14996795556505021"/>
        </patternFill>
      </fill>
      <border>
        <left/>
        <right/>
        <top/>
        <bottom style="medium">
          <color theme="0" tint="-0.499984740745262"/>
        </bottom>
        <vertical/>
        <horizontal/>
      </border>
    </dxf>
    <dxf>
      <border>
        <left style="medium">
          <color theme="0" tint="-0.499984740745262"/>
        </left>
        <right style="medium">
          <color theme="0" tint="-0.499984740745262"/>
        </right>
        <top style="medium">
          <color theme="0" tint="-0.499984740745262"/>
        </top>
        <bottom style="medium">
          <color theme="0" tint="-0.499984740745262"/>
        </bottom>
        <vertical style="thin">
          <color theme="0" tint="-0.499984740745262"/>
        </vertical>
        <horizontal style="thin">
          <color theme="0" tint="-0.499984740745262"/>
        </horizontal>
      </border>
    </dxf>
  </dxfs>
  <tableStyles count="1" defaultTableStyle="TableStyleMedium9" defaultPivotStyle="PivotStyleMedium4">
    <tableStyle name="Tablas" pivot="0" count="3" xr9:uid="{00000000-0011-0000-FFFF-FFFF00000000}">
      <tableStyleElement type="wholeTable" dxfId="83"/>
      <tableStyleElement type="headerRow" dxfId="82"/>
      <tableStyleElement type="totalRow" dxfId="8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0</xdr:colOff>
      <xdr:row>79</xdr:row>
      <xdr:rowOff>0</xdr:rowOff>
    </xdr:from>
    <xdr:to>
      <xdr:col>2</xdr:col>
      <xdr:colOff>409575</xdr:colOff>
      <xdr:row>80</xdr:row>
      <xdr:rowOff>9525</xdr:rowOff>
    </xdr:to>
    <xdr:pic>
      <xdr:nvPicPr>
        <xdr:cNvPr id="2" name="Grafik 1">
          <a:extLst>
            <a:ext uri="{FF2B5EF4-FFF2-40B4-BE49-F238E27FC236}">
              <a16:creationId xmlns:a16="http://schemas.microsoft.com/office/drawing/2014/main" id="{5EB2039C-C6E5-4B79-B9B4-1E581ACDF2C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blip>
        <a:stretch/>
      </xdr:blipFill>
      <xdr:spPr bwMode="auto">
        <a:xfrm>
          <a:off x="1485900" y="17354550"/>
          <a:ext cx="407670" cy="192405"/>
        </a:xfrm>
        <a:prstGeom prst="rect">
          <a:avLst/>
        </a:prstGeom>
        <a:noFill/>
      </xdr:spPr>
    </xdr:pic>
    <xdr:clientData/>
  </xdr:twoCellAnchor>
  <xdr:twoCellAnchor>
    <xdr:from>
      <xdr:col>3</xdr:col>
      <xdr:colOff>57150</xdr:colOff>
      <xdr:row>78</xdr:row>
      <xdr:rowOff>171450</xdr:rowOff>
    </xdr:from>
    <xdr:to>
      <xdr:col>3</xdr:col>
      <xdr:colOff>685800</xdr:colOff>
      <xdr:row>79</xdr:row>
      <xdr:rowOff>171450</xdr:rowOff>
    </xdr:to>
    <xdr:pic>
      <xdr:nvPicPr>
        <xdr:cNvPr id="3" name="Grafik 2">
          <a:extLst>
            <a:ext uri="{FF2B5EF4-FFF2-40B4-BE49-F238E27FC236}">
              <a16:creationId xmlns:a16="http://schemas.microsoft.com/office/drawing/2014/main" id="{05DB82B6-FAE0-4EAF-A4A1-09635C97F1B5}"/>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tretch/>
      </xdr:blipFill>
      <xdr:spPr bwMode="auto">
        <a:xfrm>
          <a:off x="2282190" y="17341215"/>
          <a:ext cx="632460" cy="180975"/>
        </a:xfrm>
        <a:prstGeom prst="rect">
          <a:avLst/>
        </a:prstGeom>
        <a:noFill/>
      </xdr:spPr>
    </xdr:pic>
    <xdr:clientData/>
  </xdr:twoCellAnchor>
  <xdr:twoCellAnchor>
    <xdr:from>
      <xdr:col>4</xdr:col>
      <xdr:colOff>0</xdr:colOff>
      <xdr:row>79</xdr:row>
      <xdr:rowOff>0</xdr:rowOff>
    </xdr:from>
    <xdr:to>
      <xdr:col>4</xdr:col>
      <xdr:colOff>209550</xdr:colOff>
      <xdr:row>80</xdr:row>
      <xdr:rowOff>0</xdr:rowOff>
    </xdr:to>
    <xdr:pic>
      <xdr:nvPicPr>
        <xdr:cNvPr id="4" name="Grafik 3">
          <a:extLst>
            <a:ext uri="{FF2B5EF4-FFF2-40B4-BE49-F238E27FC236}">
              <a16:creationId xmlns:a16="http://schemas.microsoft.com/office/drawing/2014/main" id="{1CA27317-BD9B-4FB1-84A6-D5EED59F7F96}"/>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tretch/>
      </xdr:blipFill>
      <xdr:spPr bwMode="auto">
        <a:xfrm>
          <a:off x="3000375" y="17354550"/>
          <a:ext cx="205740" cy="180975"/>
        </a:xfrm>
        <a:prstGeom prst="rect">
          <a:avLst/>
        </a:prstGeom>
        <a:noFill/>
      </xdr:spPr>
    </xdr:pic>
    <xdr:clientData/>
  </xdr:twoCellAnchor>
  <xdr:twoCellAnchor>
    <xdr:from>
      <xdr:col>5</xdr:col>
      <xdr:colOff>66675</xdr:colOff>
      <xdr:row>79</xdr:row>
      <xdr:rowOff>9525</xdr:rowOff>
    </xdr:from>
    <xdr:to>
      <xdr:col>5</xdr:col>
      <xdr:colOff>733425</xdr:colOff>
      <xdr:row>80</xdr:row>
      <xdr:rowOff>19050</xdr:rowOff>
    </xdr:to>
    <xdr:pic>
      <xdr:nvPicPr>
        <xdr:cNvPr id="5" name="Grafik 4">
          <a:extLst>
            <a:ext uri="{FF2B5EF4-FFF2-40B4-BE49-F238E27FC236}">
              <a16:creationId xmlns:a16="http://schemas.microsoft.com/office/drawing/2014/main" id="{C287AD60-4326-4654-B483-25A7B3A5BB6E}"/>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tretch/>
      </xdr:blipFill>
      <xdr:spPr bwMode="auto">
        <a:xfrm>
          <a:off x="3836670" y="17365980"/>
          <a:ext cx="670560" cy="18478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764242</xdr:colOff>
      <xdr:row>65</xdr:row>
      <xdr:rowOff>21291</xdr:rowOff>
    </xdr:from>
    <xdr:ext cx="5444223" cy="1299556"/>
    <xdr:pic>
      <xdr:nvPicPr>
        <xdr:cNvPr id="4" name="Grafik 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xdr:blipFill>
      <xdr:spPr bwMode="auto">
        <a:xfrm>
          <a:off x="11489392" y="6307791"/>
          <a:ext cx="5444223" cy="1299556"/>
        </a:xfrm>
        <a:prstGeom prst="rect">
          <a:avLst/>
        </a:prstGeom>
      </xdr:spPr>
    </xdr:pic>
    <xdr:clientData/>
  </xdr:oneCellAnchor>
  <xdr:twoCellAnchor editAs="oneCell">
    <xdr:from>
      <xdr:col>29</xdr:col>
      <xdr:colOff>165652</xdr:colOff>
      <xdr:row>15</xdr:row>
      <xdr:rowOff>72886</xdr:rowOff>
    </xdr:from>
    <xdr:to>
      <xdr:col>34</xdr:col>
      <xdr:colOff>478523</xdr:colOff>
      <xdr:row>21</xdr:row>
      <xdr:rowOff>16979</xdr:rowOff>
    </xdr:to>
    <xdr:pic>
      <xdr:nvPicPr>
        <xdr:cNvPr id="2" name="Grafik 3">
          <a:extLst>
            <a:ext uri="{FF2B5EF4-FFF2-40B4-BE49-F238E27FC236}">
              <a16:creationId xmlns:a16="http://schemas.microsoft.com/office/drawing/2014/main" id="{18D0C78F-149F-318C-6D35-6D0159A3A0E5}"/>
            </a:ext>
          </a:extLst>
        </xdr:cNvPr>
        <xdr:cNvPicPr>
          <a:picLocks noChangeAspect="1"/>
        </xdr:cNvPicPr>
      </xdr:nvPicPr>
      <xdr:blipFill>
        <a:blip xmlns:r="http://schemas.openxmlformats.org/officeDocument/2006/relationships" r:embed="rId2"/>
        <a:stretch>
          <a:fillRect/>
        </a:stretch>
      </xdr:blipFill>
      <xdr:spPr>
        <a:xfrm>
          <a:off x="29850522" y="3465443"/>
          <a:ext cx="3220085" cy="1047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419100</xdr:colOff>
      <xdr:row>6</xdr:row>
      <xdr:rowOff>114300</xdr:rowOff>
    </xdr:from>
    <xdr:to>
      <xdr:col>9</xdr:col>
      <xdr:colOff>200025</xdr:colOff>
      <xdr:row>19</xdr:row>
      <xdr:rowOff>66675</xdr:rowOff>
    </xdr:to>
    <xdr:sp macro="" textlink="">
      <xdr:nvSpPr>
        <xdr:cNvPr id="4" name="Rounded Rectangle 1">
          <a:extLst>
            <a:ext uri="{FF2B5EF4-FFF2-40B4-BE49-F238E27FC236}">
              <a16:creationId xmlns:a16="http://schemas.microsoft.com/office/drawing/2014/main" id="{00000000-0008-0000-0200-000004000000}"/>
            </a:ext>
          </a:extLst>
        </xdr:cNvPr>
        <xdr:cNvSpPr/>
      </xdr:nvSpPr>
      <xdr:spPr bwMode="auto">
        <a:xfrm>
          <a:off x="419100" y="1314450"/>
          <a:ext cx="6026150" cy="2520950"/>
        </a:xfrm>
        <a:prstGeom prst="roundRect">
          <a:avLst>
            <a:gd name="adj" fmla="val 16667"/>
          </a:avLst>
        </a:prstGeom>
        <a:noFill/>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defRPr/>
          </a:pP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107</xdr:row>
      <xdr:rowOff>0</xdr:rowOff>
    </xdr:from>
    <xdr:to>
      <xdr:col>2</xdr:col>
      <xdr:colOff>409575</xdr:colOff>
      <xdr:row>108</xdr:row>
      <xdr:rowOff>9525</xdr:rowOff>
    </xdr:to>
    <xdr:pic>
      <xdr:nvPicPr>
        <xdr:cNvPr id="4" name="Grafik 1">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blip>
        <a:stretch/>
      </xdr:blipFill>
      <xdr:spPr bwMode="auto">
        <a:xfrm>
          <a:off x="1524000" y="15792450"/>
          <a:ext cx="406400" cy="187325"/>
        </a:xfrm>
        <a:prstGeom prst="rect">
          <a:avLst/>
        </a:prstGeom>
        <a:noFill/>
      </xdr:spPr>
    </xdr:pic>
    <xdr:clientData/>
  </xdr:twoCellAnchor>
  <xdr:twoCellAnchor>
    <xdr:from>
      <xdr:col>3</xdr:col>
      <xdr:colOff>57150</xdr:colOff>
      <xdr:row>106</xdr:row>
      <xdr:rowOff>171450</xdr:rowOff>
    </xdr:from>
    <xdr:to>
      <xdr:col>3</xdr:col>
      <xdr:colOff>685800</xdr:colOff>
      <xdr:row>107</xdr:row>
      <xdr:rowOff>171450</xdr:rowOff>
    </xdr:to>
    <xdr:pic>
      <xdr:nvPicPr>
        <xdr:cNvPr id="5" name="Grafik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tretch/>
      </xdr:blipFill>
      <xdr:spPr bwMode="auto">
        <a:xfrm>
          <a:off x="2343150" y="15773400"/>
          <a:ext cx="628650" cy="190500"/>
        </a:xfrm>
        <a:prstGeom prst="rect">
          <a:avLst/>
        </a:prstGeom>
        <a:noFill/>
      </xdr:spPr>
    </xdr:pic>
    <xdr:clientData/>
  </xdr:twoCellAnchor>
  <xdr:twoCellAnchor>
    <xdr:from>
      <xdr:col>4</xdr:col>
      <xdr:colOff>0</xdr:colOff>
      <xdr:row>107</xdr:row>
      <xdr:rowOff>0</xdr:rowOff>
    </xdr:from>
    <xdr:to>
      <xdr:col>4</xdr:col>
      <xdr:colOff>209550</xdr:colOff>
      <xdr:row>108</xdr:row>
      <xdr:rowOff>0</xdr:rowOff>
    </xdr:to>
    <xdr:pic>
      <xdr:nvPicPr>
        <xdr:cNvPr id="6" name="Grafik 3">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tretch/>
      </xdr:blipFill>
      <xdr:spPr bwMode="auto">
        <a:xfrm>
          <a:off x="3048000" y="15792450"/>
          <a:ext cx="209550" cy="180975"/>
        </a:xfrm>
        <a:prstGeom prst="rect">
          <a:avLst/>
        </a:prstGeom>
        <a:noFill/>
      </xdr:spPr>
    </xdr:pic>
    <xdr:clientData/>
  </xdr:twoCellAnchor>
  <xdr:twoCellAnchor>
    <xdr:from>
      <xdr:col>5</xdr:col>
      <xdr:colOff>66675</xdr:colOff>
      <xdr:row>107</xdr:row>
      <xdr:rowOff>9525</xdr:rowOff>
    </xdr:from>
    <xdr:to>
      <xdr:col>5</xdr:col>
      <xdr:colOff>733425</xdr:colOff>
      <xdr:row>108</xdr:row>
      <xdr:rowOff>19050</xdr:rowOff>
    </xdr:to>
    <xdr:pic>
      <xdr:nvPicPr>
        <xdr:cNvPr id="7" name="Grafik 4">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tretch/>
      </xdr:blipFill>
      <xdr:spPr bwMode="auto">
        <a:xfrm>
          <a:off x="3873500" y="15798800"/>
          <a:ext cx="666750" cy="193675"/>
        </a:xfrm>
        <a:prstGeom prst="rect">
          <a:avLst/>
        </a:prstGeom>
        <a:noFill/>
      </xdr:spPr>
    </xdr:pic>
    <xdr:clientData/>
  </xdr:twoCellAnchor>
  <xdr:twoCellAnchor>
    <xdr:from>
      <xdr:col>2</xdr:col>
      <xdr:colOff>0</xdr:colOff>
      <xdr:row>108</xdr:row>
      <xdr:rowOff>0</xdr:rowOff>
    </xdr:from>
    <xdr:to>
      <xdr:col>2</xdr:col>
      <xdr:colOff>409575</xdr:colOff>
      <xdr:row>109</xdr:row>
      <xdr:rowOff>9525</xdr:rowOff>
    </xdr:to>
    <xdr:pic>
      <xdr:nvPicPr>
        <xdr:cNvPr id="3" name="Grafik 1">
          <a:extLst>
            <a:ext uri="{FF2B5EF4-FFF2-40B4-BE49-F238E27FC236}">
              <a16:creationId xmlns:a16="http://schemas.microsoft.com/office/drawing/2014/main" id="{6EEB92E6-CFC5-422B-B26F-D19CBBB17C4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blip>
        <a:stretch/>
      </xdr:blipFill>
      <xdr:spPr bwMode="auto">
        <a:xfrm>
          <a:off x="1638300" y="27096720"/>
          <a:ext cx="409575" cy="192405"/>
        </a:xfrm>
        <a:prstGeom prst="rect">
          <a:avLst/>
        </a:prstGeom>
        <a:noFill/>
      </xdr:spPr>
    </xdr:pic>
    <xdr:clientData/>
  </xdr:twoCellAnchor>
  <xdr:twoCellAnchor>
    <xdr:from>
      <xdr:col>3</xdr:col>
      <xdr:colOff>57150</xdr:colOff>
      <xdr:row>107</xdr:row>
      <xdr:rowOff>171450</xdr:rowOff>
    </xdr:from>
    <xdr:to>
      <xdr:col>3</xdr:col>
      <xdr:colOff>685800</xdr:colOff>
      <xdr:row>108</xdr:row>
      <xdr:rowOff>171450</xdr:rowOff>
    </xdr:to>
    <xdr:pic>
      <xdr:nvPicPr>
        <xdr:cNvPr id="8" name="Grafik 2">
          <a:extLst>
            <a:ext uri="{FF2B5EF4-FFF2-40B4-BE49-F238E27FC236}">
              <a16:creationId xmlns:a16="http://schemas.microsoft.com/office/drawing/2014/main" id="{723E26BB-7AD6-4E09-A4AE-ED63BF5F17A2}"/>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tretch/>
      </xdr:blipFill>
      <xdr:spPr bwMode="auto">
        <a:xfrm>
          <a:off x="2434590" y="27077670"/>
          <a:ext cx="628650" cy="190500"/>
        </a:xfrm>
        <a:prstGeom prst="rect">
          <a:avLst/>
        </a:prstGeom>
        <a:noFill/>
      </xdr:spPr>
    </xdr:pic>
    <xdr:clientData/>
  </xdr:twoCellAnchor>
  <xdr:twoCellAnchor>
    <xdr:from>
      <xdr:col>4</xdr:col>
      <xdr:colOff>0</xdr:colOff>
      <xdr:row>108</xdr:row>
      <xdr:rowOff>0</xdr:rowOff>
    </xdr:from>
    <xdr:to>
      <xdr:col>4</xdr:col>
      <xdr:colOff>209550</xdr:colOff>
      <xdr:row>109</xdr:row>
      <xdr:rowOff>0</xdr:rowOff>
    </xdr:to>
    <xdr:pic>
      <xdr:nvPicPr>
        <xdr:cNvPr id="9" name="Grafik 3">
          <a:extLst>
            <a:ext uri="{FF2B5EF4-FFF2-40B4-BE49-F238E27FC236}">
              <a16:creationId xmlns:a16="http://schemas.microsoft.com/office/drawing/2014/main" id="{D30993AA-BF1E-4CA0-BCA9-942B8B627514}"/>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blip>
        <a:stretch/>
      </xdr:blipFill>
      <xdr:spPr bwMode="auto">
        <a:xfrm>
          <a:off x="3147060" y="27096720"/>
          <a:ext cx="209550" cy="182880"/>
        </a:xfrm>
        <a:prstGeom prst="rect">
          <a:avLst/>
        </a:prstGeom>
        <a:noFill/>
      </xdr:spPr>
    </xdr:pic>
    <xdr:clientData/>
  </xdr:twoCellAnchor>
  <xdr:twoCellAnchor>
    <xdr:from>
      <xdr:col>5</xdr:col>
      <xdr:colOff>66675</xdr:colOff>
      <xdr:row>108</xdr:row>
      <xdr:rowOff>9525</xdr:rowOff>
    </xdr:from>
    <xdr:to>
      <xdr:col>5</xdr:col>
      <xdr:colOff>733425</xdr:colOff>
      <xdr:row>109</xdr:row>
      <xdr:rowOff>19050</xdr:rowOff>
    </xdr:to>
    <xdr:pic>
      <xdr:nvPicPr>
        <xdr:cNvPr id="10" name="Grafik 4">
          <a:extLst>
            <a:ext uri="{FF2B5EF4-FFF2-40B4-BE49-F238E27FC236}">
              <a16:creationId xmlns:a16="http://schemas.microsoft.com/office/drawing/2014/main" id="{EE8B7C8C-1944-4A48-8AD6-278B5F9446B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blip>
        <a:stretch/>
      </xdr:blipFill>
      <xdr:spPr bwMode="auto">
        <a:xfrm>
          <a:off x="3990975" y="27106245"/>
          <a:ext cx="666750" cy="19240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calo\AppData\Local\Microsoft\Windows\INetCache\Content.Outlook\HGHXWN3R\20220507_Ex_Ante_FASA%20-%201st%20project%20instance_uncert%20(002).xlsx" TargetMode="External"/><Relationship Id="rId1" Type="http://schemas.openxmlformats.org/officeDocument/2006/relationships/externalLinkPath" Target="file:///C:\Users\i.calo\AppData\Local\Microsoft\Windows\INetCache\Content.Outlook\HGHXWN3R\20220507_Ex_Ante_FASA%20-%201st%20project%20instance_uncert%20(0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calo\AppData\Local\Microsoft\Windows\INetCache\Content.Outlook\HGHXWN3R\2022-12-08_FASA%20Carbon%20Inventory%20M1%20(003).xlsx" TargetMode="External"/><Relationship Id="rId1" Type="http://schemas.openxmlformats.org/officeDocument/2006/relationships/externalLinkPath" Target="file:///C:\Users\i.calo\AppData\Local\Microsoft\Windows\INetCache\Content.Outlook\HGHXWN3R\2022-12-08_FASA%20Carbon%20Inventory%20M1%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amp; Cover Sheet"/>
      <sheetName val="Auxiliary"/>
      <sheetName val="Planting schedule"/>
      <sheetName val="Ex-Ante - 1ha model"/>
      <sheetName val="SOC"/>
      <sheetName val="Tree CO2 fixation"/>
      <sheetName val="Ex Ante - Summary"/>
      <sheetName val="Baseline calculation "/>
      <sheetName val="Tables - VCS"/>
      <sheetName val="Baseline - CDM"/>
      <sheetName val="Other emissions"/>
    </sheetNames>
    <sheetDataSet>
      <sheetData sheetId="0" refreshError="1"/>
      <sheetData sheetId="1" refreshError="1"/>
      <sheetData sheetId="2" refreshError="1"/>
      <sheetData sheetId="3">
        <row r="64">
          <cell r="AL64">
            <v>18.328640589665405</v>
          </cell>
        </row>
        <row r="65">
          <cell r="AL65">
            <v>47.235809042131038</v>
          </cell>
        </row>
        <row r="66">
          <cell r="AL66">
            <v>103.186592454861</v>
          </cell>
        </row>
        <row r="115">
          <cell r="AL115">
            <v>14.662912471732325</v>
          </cell>
        </row>
        <row r="116">
          <cell r="AL116">
            <v>37.359230787867276</v>
          </cell>
        </row>
        <row r="117">
          <cell r="AL117">
            <v>82.26064013884023</v>
          </cell>
        </row>
        <row r="177">
          <cell r="AL177">
            <v>9.7033979592346267</v>
          </cell>
        </row>
        <row r="178">
          <cell r="AL178">
            <v>29.05717950167455</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elle1"/>
      <sheetName val="Tabelle2"/>
      <sheetName val="Plots"/>
      <sheetName val="Sheet1"/>
      <sheetName val="Carbon_Calculations"/>
      <sheetName val="SOC"/>
      <sheetName val="VCS Tables"/>
      <sheetName val="VCS Tables_PAYCO"/>
      <sheetName val="VCS Table_Apepu"/>
    </sheetNames>
    <sheetDataSet>
      <sheetData sheetId="0"/>
      <sheetData sheetId="1">
        <row r="2">
          <cell r="A2" t="str">
            <v>Forestal Azul</v>
          </cell>
          <cell r="B2" t="str">
            <v>Abuelito_1</v>
          </cell>
          <cell r="D2">
            <v>0</v>
          </cell>
          <cell r="E2" t="str">
            <v>Abuelito_1_0</v>
          </cell>
          <cell r="H2" t="str">
            <v>Plantation clon G 7</v>
          </cell>
          <cell r="I2">
            <v>43374</v>
          </cell>
          <cell r="K2" t="str">
            <v>2020-12-03 16:03:33</v>
          </cell>
          <cell r="L2">
            <v>2.1666666666666665</v>
          </cell>
          <cell r="M2" t="str">
            <v>Abuelito-1</v>
          </cell>
          <cell r="N2">
            <v>1</v>
          </cell>
          <cell r="O2">
            <v>1</v>
          </cell>
          <cell r="P2">
            <v>20</v>
          </cell>
          <cell r="Q2">
            <v>279.99999999999994</v>
          </cell>
          <cell r="R2" t="str">
            <v>G 7</v>
          </cell>
          <cell r="S2">
            <v>7</v>
          </cell>
          <cell r="T2">
            <v>714</v>
          </cell>
          <cell r="U2">
            <v>542879.68229999999</v>
          </cell>
          <cell r="V2">
            <v>7349861.8295</v>
          </cell>
          <cell r="W2" t="str">
            <v>NaN</v>
          </cell>
          <cell r="X2">
            <v>1</v>
          </cell>
          <cell r="Y2">
            <v>2.8983716723462485</v>
          </cell>
          <cell r="Z2">
            <v>2.8983716723462485</v>
          </cell>
          <cell r="AA2">
            <v>12.879683893696438</v>
          </cell>
          <cell r="AB2">
            <v>0</v>
          </cell>
          <cell r="AC2">
            <v>10.482352941176471</v>
          </cell>
          <cell r="AD2">
            <v>1.918409267504481</v>
          </cell>
          <cell r="AE2">
            <v>11.109413620571184</v>
          </cell>
          <cell r="AF2">
            <v>7.3</v>
          </cell>
          <cell r="AG2">
            <v>12.7</v>
          </cell>
          <cell r="AH2">
            <v>7.6411764705882339</v>
          </cell>
          <cell r="AI2">
            <v>1.5949368418253376</v>
          </cell>
          <cell r="AJ2">
            <v>8.19460848358157</v>
          </cell>
          <cell r="AK2">
            <v>4.3</v>
          </cell>
          <cell r="AL2">
            <v>9.6999999999999993</v>
          </cell>
          <cell r="AM2">
            <v>607.14285714285734</v>
          </cell>
          <cell r="AN2">
            <v>607.14285714285734</v>
          </cell>
          <cell r="AO2">
            <v>0</v>
          </cell>
          <cell r="AP2">
            <v>0.41176470588235292</v>
          </cell>
          <cell r="AQ2">
            <v>41.17647058823529</v>
          </cell>
          <cell r="AR2">
            <v>0</v>
          </cell>
          <cell r="AS2" t="e">
            <v>#DIV/0!</v>
          </cell>
          <cell r="AT2">
            <v>0</v>
          </cell>
          <cell r="AU2">
            <v>1</v>
          </cell>
        </row>
        <row r="3">
          <cell r="A3" t="str">
            <v>Forestal Azul</v>
          </cell>
          <cell r="B3" t="str">
            <v>Abuelito_1</v>
          </cell>
          <cell r="D3">
            <v>0</v>
          </cell>
          <cell r="E3" t="str">
            <v>Abuelito_1_0</v>
          </cell>
          <cell r="H3" t="str">
            <v>Plantation clon G 7</v>
          </cell>
          <cell r="I3">
            <v>43374</v>
          </cell>
          <cell r="K3" t="str">
            <v>2020-12-03 16:03:55</v>
          </cell>
          <cell r="L3">
            <v>2.1666666666666665</v>
          </cell>
          <cell r="M3" t="str">
            <v>Abuelito-2</v>
          </cell>
          <cell r="N3">
            <v>2</v>
          </cell>
          <cell r="O3">
            <v>2</v>
          </cell>
          <cell r="P3">
            <v>20</v>
          </cell>
          <cell r="Q3">
            <v>279.99999999999994</v>
          </cell>
          <cell r="R3" t="str">
            <v>G 7</v>
          </cell>
          <cell r="S3">
            <v>7</v>
          </cell>
          <cell r="T3">
            <v>714</v>
          </cell>
          <cell r="U3">
            <v>542987.28469999996</v>
          </cell>
          <cell r="V3">
            <v>7350012.5635000002</v>
          </cell>
          <cell r="W3" t="str">
            <v>NaN</v>
          </cell>
          <cell r="X3">
            <v>1</v>
          </cell>
          <cell r="Y3">
            <v>3.6015274280622211</v>
          </cell>
          <cell r="Z3">
            <v>3.4479259872492056</v>
          </cell>
          <cell r="AA3">
            <v>15.381786288692631</v>
          </cell>
          <cell r="AB3">
            <v>0</v>
          </cell>
          <cell r="AC3">
            <v>10.927777777777777</v>
          </cell>
          <cell r="AD3">
            <v>1.2111276007752052</v>
          </cell>
          <cell r="AE3">
            <v>10.677265823967849</v>
          </cell>
          <cell r="AF3">
            <v>8.9</v>
          </cell>
          <cell r="AG3">
            <v>12.6</v>
          </cell>
          <cell r="AH3">
            <v>8.1736842105263143</v>
          </cell>
          <cell r="AI3">
            <v>0.90635014659640012</v>
          </cell>
          <cell r="AJ3">
            <v>8.0463772518049499</v>
          </cell>
          <cell r="AK3">
            <v>7</v>
          </cell>
          <cell r="AL3">
            <v>9.5</v>
          </cell>
          <cell r="AM3">
            <v>678.57142857142867</v>
          </cell>
          <cell r="AN3">
            <v>642.857142857143</v>
          </cell>
          <cell r="AO3">
            <v>0</v>
          </cell>
          <cell r="AP3">
            <v>0.47368421052631576</v>
          </cell>
          <cell r="AQ3">
            <v>50</v>
          </cell>
          <cell r="AR3">
            <v>0</v>
          </cell>
          <cell r="AS3" t="e">
            <v>#DIV/0!</v>
          </cell>
          <cell r="AT3">
            <v>0</v>
          </cell>
          <cell r="AU3">
            <v>1</v>
          </cell>
        </row>
        <row r="4">
          <cell r="A4" t="str">
            <v>Forestal Azul</v>
          </cell>
          <cell r="B4" t="str">
            <v>Abuelito_1</v>
          </cell>
          <cell r="D4">
            <v>0</v>
          </cell>
          <cell r="E4" t="str">
            <v>Abuelito_1_0</v>
          </cell>
          <cell r="H4" t="str">
            <v>Plantation clon G 7</v>
          </cell>
          <cell r="I4">
            <v>43374</v>
          </cell>
          <cell r="K4" t="str">
            <v>2020-12-03 16:03:48</v>
          </cell>
          <cell r="L4">
            <v>2.1666666666666665</v>
          </cell>
          <cell r="M4" t="str">
            <v>Abuelito-3</v>
          </cell>
          <cell r="N4">
            <v>3</v>
          </cell>
          <cell r="O4">
            <v>3</v>
          </cell>
          <cell r="P4">
            <v>20</v>
          </cell>
          <cell r="Q4">
            <v>279.99999999999994</v>
          </cell>
          <cell r="R4" t="str">
            <v>G 7</v>
          </cell>
          <cell r="S4">
            <v>7</v>
          </cell>
          <cell r="T4">
            <v>714</v>
          </cell>
          <cell r="U4" t="e">
            <v>#N/A</v>
          </cell>
          <cell r="V4" t="e">
            <v>#N/A</v>
          </cell>
          <cell r="W4" t="str">
            <v>NaN</v>
          </cell>
          <cell r="X4">
            <v>1</v>
          </cell>
          <cell r="Y4">
            <v>4.126986849309521</v>
          </cell>
          <cell r="Z4">
            <v>4.126986849309521</v>
          </cell>
          <cell r="AA4">
            <v>19.650900809245837</v>
          </cell>
          <cell r="AB4">
            <v>0</v>
          </cell>
          <cell r="AC4">
            <v>11.595999999999998</v>
          </cell>
          <cell r="AD4">
            <v>1.5123018356483304</v>
          </cell>
          <cell r="AE4">
            <v>11.903903214844016</v>
          </cell>
          <cell r="AF4">
            <v>8.6</v>
          </cell>
          <cell r="AG4">
            <v>14</v>
          </cell>
          <cell r="AH4">
            <v>8.49</v>
          </cell>
          <cell r="AI4">
            <v>1.2502210330893206</v>
          </cell>
          <cell r="AJ4">
            <v>8.8525793515938282</v>
          </cell>
          <cell r="AK4">
            <v>6.6</v>
          </cell>
          <cell r="AL4">
            <v>12</v>
          </cell>
          <cell r="AM4">
            <v>714.28571428571445</v>
          </cell>
          <cell r="AN4">
            <v>714.28571428571445</v>
          </cell>
          <cell r="AO4">
            <v>0</v>
          </cell>
          <cell r="AP4">
            <v>0.5</v>
          </cell>
          <cell r="AQ4">
            <v>50</v>
          </cell>
          <cell r="AR4">
            <v>0</v>
          </cell>
          <cell r="AS4" t="e">
            <v>#DIV/0!</v>
          </cell>
          <cell r="AT4">
            <v>0</v>
          </cell>
          <cell r="AU4">
            <v>1</v>
          </cell>
        </row>
        <row r="5">
          <cell r="A5" t="str">
            <v>Forestal Azul</v>
          </cell>
          <cell r="B5" t="str">
            <v>Abuelito_2</v>
          </cell>
          <cell r="D5">
            <v>0</v>
          </cell>
          <cell r="E5" t="str">
            <v>Abuelito_2_0</v>
          </cell>
          <cell r="H5" t="str">
            <v>Plantation clon G 7</v>
          </cell>
          <cell r="I5">
            <v>43770</v>
          </cell>
          <cell r="K5" t="str">
            <v>2020-12-03 16:03:10</v>
          </cell>
          <cell r="L5">
            <v>1.0833333333333333</v>
          </cell>
          <cell r="M5" t="str">
            <v>Abuelito-5</v>
          </cell>
          <cell r="N5">
            <v>2</v>
          </cell>
          <cell r="O5">
            <v>2</v>
          </cell>
          <cell r="P5">
            <v>20</v>
          </cell>
          <cell r="Q5">
            <v>279.99999999999994</v>
          </cell>
          <cell r="R5" t="str">
            <v>G 7</v>
          </cell>
          <cell r="S5">
            <v>20.5</v>
          </cell>
          <cell r="T5">
            <v>714</v>
          </cell>
          <cell r="U5" t="e">
            <v>#N/A</v>
          </cell>
          <cell r="V5" t="e">
            <v>#N/A</v>
          </cell>
          <cell r="W5" t="str">
            <v>NaN</v>
          </cell>
          <cell r="X5">
            <v>1</v>
          </cell>
          <cell r="Y5">
            <v>0.90893007452610408</v>
          </cell>
          <cell r="Z5">
            <v>0.86480752770381186</v>
          </cell>
          <cell r="AA5">
            <v>1.980862805881092</v>
          </cell>
          <cell r="AB5">
            <v>0</v>
          </cell>
          <cell r="AC5">
            <v>5.5764705882352947</v>
          </cell>
          <cell r="AD5">
            <v>0.63985292427703444</v>
          </cell>
          <cell r="AE5">
            <v>5.4483366251080119</v>
          </cell>
          <cell r="AF5">
            <v>4.4000000000000004</v>
          </cell>
          <cell r="AG5">
            <v>6.6</v>
          </cell>
          <cell r="AH5">
            <v>4.0631578947368432</v>
          </cell>
          <cell r="AI5">
            <v>0.60749001444225992</v>
          </cell>
          <cell r="AJ5">
            <v>4.1637729909887673</v>
          </cell>
          <cell r="AK5">
            <v>2.9</v>
          </cell>
          <cell r="AL5">
            <v>5.3</v>
          </cell>
          <cell r="AM5">
            <v>678.57142857142867</v>
          </cell>
          <cell r="AN5">
            <v>607.14285714285734</v>
          </cell>
          <cell r="AO5">
            <v>0</v>
          </cell>
          <cell r="AP5">
            <v>0.89473684210526316</v>
          </cell>
          <cell r="AQ5">
            <v>88.235294117647058</v>
          </cell>
          <cell r="AR5">
            <v>0</v>
          </cell>
          <cell r="AS5" t="e">
            <v>#DIV/0!</v>
          </cell>
          <cell r="AT5">
            <v>0</v>
          </cell>
          <cell r="AU5">
            <v>1</v>
          </cell>
        </row>
        <row r="6">
          <cell r="A6" t="str">
            <v>Forestal Azul</v>
          </cell>
          <cell r="B6" t="str">
            <v>Abuelito_2</v>
          </cell>
          <cell r="D6">
            <v>0</v>
          </cell>
          <cell r="E6" t="str">
            <v>Abuelito_2_0</v>
          </cell>
          <cell r="H6" t="str">
            <v>Plantation clon G 7</v>
          </cell>
          <cell r="I6">
            <v>43770</v>
          </cell>
          <cell r="K6" t="str">
            <v>2020-12-03 16:03:21</v>
          </cell>
          <cell r="L6">
            <v>1.0833333333333333</v>
          </cell>
          <cell r="M6" t="str">
            <v>Abuelito-4</v>
          </cell>
          <cell r="N6">
            <v>1</v>
          </cell>
          <cell r="O6">
            <v>1</v>
          </cell>
          <cell r="P6">
            <v>20</v>
          </cell>
          <cell r="Q6">
            <v>279.99999999999994</v>
          </cell>
          <cell r="R6" t="str">
            <v>G 7</v>
          </cell>
          <cell r="S6">
            <v>20.5</v>
          </cell>
          <cell r="T6">
            <v>714</v>
          </cell>
          <cell r="U6" t="e">
            <v>#N/A</v>
          </cell>
          <cell r="V6" t="e">
            <v>#N/A</v>
          </cell>
          <cell r="W6" t="str">
            <v>NaN</v>
          </cell>
          <cell r="X6">
            <v>1</v>
          </cell>
          <cell r="Y6">
            <v>1.0192224166146318</v>
          </cell>
          <cell r="Z6">
            <v>0.86792107042299482</v>
          </cell>
          <cell r="AA6">
            <v>2.2957940054349528</v>
          </cell>
          <cell r="AB6">
            <v>0</v>
          </cell>
          <cell r="AC6">
            <v>6.4636363636363647</v>
          </cell>
          <cell r="AD6">
            <v>0.5886811144800338</v>
          </cell>
          <cell r="AE6">
            <v>5.6312389916336416</v>
          </cell>
          <cell r="AF6">
            <v>5</v>
          </cell>
          <cell r="AG6">
            <v>7.3</v>
          </cell>
          <cell r="AH6">
            <v>4.7733333333333325</v>
          </cell>
          <cell r="AI6">
            <v>0.88348483549264212</v>
          </cell>
          <cell r="AJ6">
            <v>4.6766512549537644</v>
          </cell>
          <cell r="AK6">
            <v>3.5</v>
          </cell>
          <cell r="AL6">
            <v>6.4</v>
          </cell>
          <cell r="AM6">
            <v>535.71428571428578</v>
          </cell>
          <cell r="AN6">
            <v>392.85714285714295</v>
          </cell>
          <cell r="AO6">
            <v>0</v>
          </cell>
          <cell r="AP6">
            <v>0.73333333333333328</v>
          </cell>
          <cell r="AQ6">
            <v>81.818181818181827</v>
          </cell>
          <cell r="AR6">
            <v>0</v>
          </cell>
          <cell r="AS6" t="e">
            <v>#DIV/0!</v>
          </cell>
          <cell r="AT6">
            <v>0</v>
          </cell>
          <cell r="AU6">
            <v>1</v>
          </cell>
        </row>
        <row r="7">
          <cell r="A7" t="str">
            <v>Forestal Azul</v>
          </cell>
          <cell r="B7" t="str">
            <v>Abuelito_2</v>
          </cell>
          <cell r="D7">
            <v>0</v>
          </cell>
          <cell r="E7" t="str">
            <v>Abuelito_2_0</v>
          </cell>
          <cell r="H7" t="str">
            <v>Plantation clon G 7</v>
          </cell>
          <cell r="I7">
            <v>43770</v>
          </cell>
          <cell r="K7" t="str">
            <v>2020-12-03 16:03:13</v>
          </cell>
          <cell r="L7">
            <v>1.0833333333333333</v>
          </cell>
          <cell r="M7" t="str">
            <v>Abuelito-6</v>
          </cell>
          <cell r="N7">
            <v>3</v>
          </cell>
          <cell r="O7">
            <v>3</v>
          </cell>
          <cell r="P7">
            <v>20</v>
          </cell>
          <cell r="Q7">
            <v>279.99999999999994</v>
          </cell>
          <cell r="R7" t="str">
            <v>G 7</v>
          </cell>
          <cell r="S7">
            <v>20.5</v>
          </cell>
          <cell r="T7">
            <v>714</v>
          </cell>
          <cell r="U7" t="e">
            <v>#N/A</v>
          </cell>
          <cell r="V7" t="e">
            <v>#N/A</v>
          </cell>
          <cell r="W7" t="str">
            <v>NaN</v>
          </cell>
          <cell r="X7">
            <v>1</v>
          </cell>
          <cell r="Y7">
            <v>1.0352108792266512</v>
          </cell>
          <cell r="Z7">
            <v>0.96289814832527187</v>
          </cell>
          <cell r="AA7">
            <v>2.6235743189419964</v>
          </cell>
          <cell r="AB7">
            <v>0</v>
          </cell>
          <cell r="AC7">
            <v>6.7384615384615376</v>
          </cell>
          <cell r="AD7">
            <v>0.44071620032711439</v>
          </cell>
          <cell r="AE7">
            <v>6.3358451200346826</v>
          </cell>
          <cell r="AF7">
            <v>6</v>
          </cell>
          <cell r="AG7">
            <v>7.3</v>
          </cell>
          <cell r="AH7">
            <v>4.8933333333333326</v>
          </cell>
          <cell r="AI7">
            <v>0.58660256060007587</v>
          </cell>
          <cell r="AJ7">
            <v>4.8626673169674302</v>
          </cell>
          <cell r="AK7">
            <v>4.2</v>
          </cell>
          <cell r="AL7">
            <v>5.8</v>
          </cell>
          <cell r="AM7">
            <v>535.71428571428578</v>
          </cell>
          <cell r="AN7">
            <v>464.28571428571439</v>
          </cell>
          <cell r="AO7">
            <v>0</v>
          </cell>
          <cell r="AP7">
            <v>0.8</v>
          </cell>
          <cell r="AQ7">
            <v>84.615384615384613</v>
          </cell>
          <cell r="AR7">
            <v>0</v>
          </cell>
          <cell r="AS7" t="e">
            <v>#DIV/0!</v>
          </cell>
          <cell r="AT7">
            <v>0</v>
          </cell>
          <cell r="AU7">
            <v>1</v>
          </cell>
        </row>
        <row r="8">
          <cell r="A8" t="str">
            <v>Forestal Azul</v>
          </cell>
          <cell r="B8" t="str">
            <v>Aguaray_1</v>
          </cell>
          <cell r="D8">
            <v>0</v>
          </cell>
          <cell r="E8" t="str">
            <v>Aguaray_1_0</v>
          </cell>
          <cell r="H8" t="str">
            <v>Plantation clon G 7</v>
          </cell>
          <cell r="I8">
            <v>43313</v>
          </cell>
          <cell r="K8" t="str">
            <v>2020-11-04 17:22:49</v>
          </cell>
          <cell r="L8">
            <v>2.25</v>
          </cell>
          <cell r="M8" t="str">
            <v>Aguaray 1-1</v>
          </cell>
          <cell r="N8">
            <v>1</v>
          </cell>
          <cell r="O8">
            <v>1</v>
          </cell>
          <cell r="P8">
            <v>20</v>
          </cell>
          <cell r="Q8">
            <v>200</v>
          </cell>
          <cell r="R8" t="str">
            <v>G 7</v>
          </cell>
          <cell r="S8">
            <v>15.5</v>
          </cell>
          <cell r="T8">
            <v>1000</v>
          </cell>
          <cell r="U8">
            <v>541185.75060000003</v>
          </cell>
          <cell r="V8">
            <v>7354888.8874999993</v>
          </cell>
          <cell r="W8" t="str">
            <v>NaN</v>
          </cell>
          <cell r="X8">
            <v>1</v>
          </cell>
          <cell r="Y8">
            <v>4.183619666877358</v>
          </cell>
          <cell r="Z8">
            <v>4.183619666877358</v>
          </cell>
          <cell r="AA8">
            <v>24.686033456915435</v>
          </cell>
          <cell r="AB8">
            <v>0</v>
          </cell>
          <cell r="AC8">
            <v>14.700000000000001</v>
          </cell>
          <cell r="AD8">
            <v>0.77459666924148329</v>
          </cell>
          <cell r="AE8">
            <v>14.75159994368048</v>
          </cell>
          <cell r="AF8">
            <v>13.9</v>
          </cell>
          <cell r="AG8">
            <v>16</v>
          </cell>
          <cell r="AH8">
            <v>11.512499999999998</v>
          </cell>
          <cell r="AI8">
            <v>0.8492643875731517</v>
          </cell>
          <cell r="AJ8">
            <v>11.61580231848688</v>
          </cell>
          <cell r="AK8">
            <v>9.6</v>
          </cell>
          <cell r="AL8">
            <v>12.3</v>
          </cell>
          <cell r="AM8">
            <v>400</v>
          </cell>
          <cell r="AN8">
            <v>400</v>
          </cell>
          <cell r="AO8">
            <v>0</v>
          </cell>
          <cell r="AP8">
            <v>0.875</v>
          </cell>
          <cell r="AQ8">
            <v>87.5</v>
          </cell>
          <cell r="AR8">
            <v>0</v>
          </cell>
          <cell r="AS8" t="e">
            <v>#DIV/0!</v>
          </cell>
          <cell r="AT8">
            <v>0</v>
          </cell>
          <cell r="AU8">
            <v>1</v>
          </cell>
        </row>
        <row r="9">
          <cell r="A9" t="str">
            <v>Forestal Azul</v>
          </cell>
          <cell r="B9" t="str">
            <v>Aguaray_1</v>
          </cell>
          <cell r="D9">
            <v>0</v>
          </cell>
          <cell r="E9" t="str">
            <v>Aguaray_1_0</v>
          </cell>
          <cell r="H9" t="str">
            <v>Plantation clon G 7</v>
          </cell>
          <cell r="I9">
            <v>43313</v>
          </cell>
          <cell r="K9" t="str">
            <v>2020-11-04 17:22:56</v>
          </cell>
          <cell r="L9">
            <v>2.25</v>
          </cell>
          <cell r="M9" t="str">
            <v>Aguaray 1-2</v>
          </cell>
          <cell r="N9">
            <v>2</v>
          </cell>
          <cell r="O9">
            <v>2</v>
          </cell>
          <cell r="P9">
            <v>20</v>
          </cell>
          <cell r="Q9">
            <v>200</v>
          </cell>
          <cell r="R9" t="str">
            <v>G 7</v>
          </cell>
          <cell r="S9">
            <v>15.5</v>
          </cell>
          <cell r="T9">
            <v>1000</v>
          </cell>
          <cell r="U9">
            <v>541152.99225000001</v>
          </cell>
          <cell r="V9">
            <v>7354707.1364999991</v>
          </cell>
          <cell r="W9" t="str">
            <v>NaN</v>
          </cell>
          <cell r="X9">
            <v>1</v>
          </cell>
          <cell r="Y9">
            <v>5.2156328535816039</v>
          </cell>
          <cell r="Z9">
            <v>5.2156328535816039</v>
          </cell>
          <cell r="AA9">
            <v>31.365753730423783</v>
          </cell>
          <cell r="AB9">
            <v>0</v>
          </cell>
          <cell r="AC9">
            <v>14.97777777777778</v>
          </cell>
          <cell r="AD9">
            <v>0.60575939484620855</v>
          </cell>
          <cell r="AE9">
            <v>15.034490833113734</v>
          </cell>
          <cell r="AF9">
            <v>14.3</v>
          </cell>
          <cell r="AG9">
            <v>16.100000000000001</v>
          </cell>
          <cell r="AH9">
            <v>12.122222222222222</v>
          </cell>
          <cell r="AI9">
            <v>0.83782124850378703</v>
          </cell>
          <cell r="AJ9">
            <v>12.224770545495616</v>
          </cell>
          <cell r="AK9">
            <v>10.8</v>
          </cell>
          <cell r="AL9">
            <v>13.4</v>
          </cell>
          <cell r="AM9">
            <v>450</v>
          </cell>
          <cell r="AN9">
            <v>450</v>
          </cell>
          <cell r="AO9">
            <v>0</v>
          </cell>
          <cell r="AP9">
            <v>0.66666666666666663</v>
          </cell>
          <cell r="AQ9">
            <v>55.555555555555557</v>
          </cell>
          <cell r="AR9">
            <v>0</v>
          </cell>
          <cell r="AS9" t="e">
            <v>#DIV/0!</v>
          </cell>
          <cell r="AT9">
            <v>0</v>
          </cell>
          <cell r="AU9">
            <v>1</v>
          </cell>
        </row>
        <row r="10">
          <cell r="A10" t="str">
            <v>Forestal Azul</v>
          </cell>
          <cell r="B10" t="str">
            <v>Aguaray_1</v>
          </cell>
          <cell r="D10">
            <v>0</v>
          </cell>
          <cell r="E10" t="str">
            <v>Aguaray_1_0</v>
          </cell>
          <cell r="H10" t="str">
            <v>Plantation clon G 7</v>
          </cell>
          <cell r="I10">
            <v>43313</v>
          </cell>
          <cell r="K10" t="str">
            <v>2020-11-04 17:22:35</v>
          </cell>
          <cell r="L10">
            <v>2.25</v>
          </cell>
          <cell r="M10" t="str">
            <v>Aguaray 1-3</v>
          </cell>
          <cell r="N10">
            <v>3</v>
          </cell>
          <cell r="O10">
            <v>3</v>
          </cell>
          <cell r="P10">
            <v>20</v>
          </cell>
          <cell r="Q10">
            <v>200</v>
          </cell>
          <cell r="R10" t="str">
            <v>G 7</v>
          </cell>
          <cell r="S10">
            <v>15.5</v>
          </cell>
          <cell r="T10">
            <v>1000</v>
          </cell>
          <cell r="U10">
            <v>541283.32345000003</v>
          </cell>
          <cell r="V10">
            <v>7354790.5360000003</v>
          </cell>
          <cell r="W10" t="str">
            <v>NaN</v>
          </cell>
          <cell r="X10">
            <v>1</v>
          </cell>
          <cell r="Y10">
            <v>6.3297986881772239</v>
          </cell>
          <cell r="Z10">
            <v>6.3297986881772239</v>
          </cell>
          <cell r="AA10">
            <v>36.446654670667201</v>
          </cell>
          <cell r="AB10">
            <v>0</v>
          </cell>
          <cell r="AC10">
            <v>14.363636363636363</v>
          </cell>
          <cell r="AD10">
            <v>1.170702974518069</v>
          </cell>
          <cell r="AE10">
            <v>14.394871174474371</v>
          </cell>
          <cell r="AF10">
            <v>12.1</v>
          </cell>
          <cell r="AG10">
            <v>16</v>
          </cell>
          <cell r="AH10">
            <v>12.1</v>
          </cell>
          <cell r="AI10">
            <v>0.36878177829171549</v>
          </cell>
          <cell r="AJ10">
            <v>12.120742367560663</v>
          </cell>
          <cell r="AK10">
            <v>11.7</v>
          </cell>
          <cell r="AL10">
            <v>12.9</v>
          </cell>
          <cell r="AM10">
            <v>550</v>
          </cell>
          <cell r="AN10">
            <v>550</v>
          </cell>
          <cell r="AO10">
            <v>0</v>
          </cell>
          <cell r="AP10">
            <v>1.0909090909090908</v>
          </cell>
          <cell r="AQ10">
            <v>100</v>
          </cell>
          <cell r="AR10">
            <v>0</v>
          </cell>
          <cell r="AS10" t="e">
            <v>#DIV/0!</v>
          </cell>
          <cell r="AT10">
            <v>0</v>
          </cell>
          <cell r="AU10">
            <v>1</v>
          </cell>
        </row>
        <row r="11">
          <cell r="A11" t="str">
            <v>Forestal Azul</v>
          </cell>
          <cell r="B11" t="str">
            <v>Aguaray_2</v>
          </cell>
          <cell r="C11" t="str">
            <v>Tormenta</v>
          </cell>
          <cell r="D11" t="str">
            <v>Tormenta</v>
          </cell>
          <cell r="E11" t="str">
            <v>Aguaray_2_Tormenta</v>
          </cell>
          <cell r="H11" t="str">
            <v>Plantation clon G 0</v>
          </cell>
          <cell r="I11">
            <v>43313</v>
          </cell>
          <cell r="K11" t="str">
            <v>2020-11-06 20:57:26</v>
          </cell>
          <cell r="L11">
            <v>2.25</v>
          </cell>
          <cell r="M11" t="str">
            <v>Aguaray 2-3</v>
          </cell>
          <cell r="N11">
            <v>4</v>
          </cell>
          <cell r="O11">
            <v>1</v>
          </cell>
          <cell r="P11">
            <v>20</v>
          </cell>
          <cell r="Q11">
            <v>200</v>
          </cell>
          <cell r="R11" t="str">
            <v>G 0</v>
          </cell>
          <cell r="S11">
            <v>42</v>
          </cell>
          <cell r="T11">
            <v>1000</v>
          </cell>
          <cell r="U11">
            <v>541351.12745000003</v>
          </cell>
          <cell r="V11">
            <v>7355477.2754999995</v>
          </cell>
          <cell r="W11" t="str">
            <v>NaN</v>
          </cell>
          <cell r="X11">
            <v>1</v>
          </cell>
          <cell r="Y11">
            <v>5.5379602598399167</v>
          </cell>
          <cell r="Z11">
            <v>5.5379602598399167</v>
          </cell>
          <cell r="AA11">
            <v>32.163854923716016</v>
          </cell>
          <cell r="AB11">
            <v>13.237963013084006</v>
          </cell>
          <cell r="AC11">
            <v>14.262499999999999</v>
          </cell>
          <cell r="AD11">
            <v>1.4510464204448161</v>
          </cell>
          <cell r="AE11">
            <v>14.519720896591338</v>
          </cell>
          <cell r="AF11">
            <v>12</v>
          </cell>
          <cell r="AG11">
            <v>15.6</v>
          </cell>
          <cell r="AH11">
            <v>13.1875</v>
          </cell>
          <cell r="AI11">
            <v>1.6452854724072221</v>
          </cell>
          <cell r="AJ11">
            <v>13.536455046339963</v>
          </cell>
          <cell r="AK11">
            <v>10.9</v>
          </cell>
          <cell r="AL11">
            <v>15.6</v>
          </cell>
          <cell r="AM11">
            <v>400</v>
          </cell>
          <cell r="AN11">
            <v>400</v>
          </cell>
          <cell r="AO11">
            <v>200</v>
          </cell>
          <cell r="AP11">
            <v>1</v>
          </cell>
          <cell r="AQ11">
            <v>100</v>
          </cell>
          <cell r="AR11">
            <v>0</v>
          </cell>
          <cell r="AS11" t="e">
            <v>#DIV/0!</v>
          </cell>
          <cell r="AT11">
            <v>0</v>
          </cell>
          <cell r="AU11">
            <v>1</v>
          </cell>
        </row>
        <row r="12">
          <cell r="A12" t="str">
            <v>Forestal Azul</v>
          </cell>
          <cell r="B12" t="str">
            <v>Aguaray_2</v>
          </cell>
          <cell r="D12">
            <v>0</v>
          </cell>
          <cell r="E12" t="str">
            <v>Aguaray_2_0</v>
          </cell>
          <cell r="H12" t="str">
            <v>Plantation clon G 0</v>
          </cell>
          <cell r="I12">
            <v>43313</v>
          </cell>
          <cell r="K12" t="str">
            <v>2020-11-06 20:58:08</v>
          </cell>
          <cell r="L12">
            <v>2.25</v>
          </cell>
          <cell r="M12" t="str">
            <v>Aguaray 2-1</v>
          </cell>
          <cell r="N12">
            <v>1</v>
          </cell>
          <cell r="O12">
            <v>1</v>
          </cell>
          <cell r="P12">
            <v>20</v>
          </cell>
          <cell r="Q12">
            <v>200</v>
          </cell>
          <cell r="R12" t="str">
            <v>G 0</v>
          </cell>
          <cell r="S12">
            <v>42</v>
          </cell>
          <cell r="T12">
            <v>1000</v>
          </cell>
          <cell r="U12">
            <v>541592.70689999999</v>
          </cell>
          <cell r="V12">
            <v>7355446.5915000001</v>
          </cell>
          <cell r="W12" t="str">
            <v>NaN</v>
          </cell>
          <cell r="X12">
            <v>1</v>
          </cell>
          <cell r="Y12">
            <v>5.9677694047591707</v>
          </cell>
          <cell r="Z12">
            <v>5.9677694047591707</v>
          </cell>
          <cell r="AA12">
            <v>31.855155746388981</v>
          </cell>
          <cell r="AB12">
            <v>11.801268710300242</v>
          </cell>
          <cell r="AC12">
            <v>13.1</v>
          </cell>
          <cell r="AD12">
            <v>1.2319812408384216</v>
          </cell>
          <cell r="AE12">
            <v>13.344665982312067</v>
          </cell>
          <cell r="AF12">
            <v>10.5</v>
          </cell>
          <cell r="AG12">
            <v>14.7</v>
          </cell>
          <cell r="AH12">
            <v>12.239999999999998</v>
          </cell>
          <cell r="AI12">
            <v>1.5457468529268783</v>
          </cell>
          <cell r="AJ12">
            <v>12.59736260265319</v>
          </cell>
          <cell r="AK12">
            <v>10.1</v>
          </cell>
          <cell r="AL12">
            <v>15.1</v>
          </cell>
          <cell r="AM12">
            <v>500</v>
          </cell>
          <cell r="AN12">
            <v>500</v>
          </cell>
          <cell r="AO12">
            <v>200</v>
          </cell>
          <cell r="AP12">
            <v>1</v>
          </cell>
          <cell r="AQ12">
            <v>100</v>
          </cell>
          <cell r="AR12">
            <v>0</v>
          </cell>
          <cell r="AS12" t="e">
            <v>#DIV/0!</v>
          </cell>
          <cell r="AT12">
            <v>0</v>
          </cell>
          <cell r="AU12">
            <v>1</v>
          </cell>
        </row>
        <row r="13">
          <cell r="A13" t="str">
            <v>Forestal Azul</v>
          </cell>
          <cell r="B13" t="str">
            <v>Aguaray_2</v>
          </cell>
          <cell r="D13">
            <v>0</v>
          </cell>
          <cell r="E13" t="str">
            <v>Aguaray_2_0</v>
          </cell>
          <cell r="H13" t="str">
            <v>Plantation clon G 0</v>
          </cell>
          <cell r="I13">
            <v>43313</v>
          </cell>
          <cell r="K13" t="str">
            <v>2020-11-06 20:58:00</v>
          </cell>
          <cell r="L13">
            <v>2.25</v>
          </cell>
          <cell r="M13" t="str">
            <v>Aguaray 2-4</v>
          </cell>
          <cell r="N13">
            <v>3</v>
          </cell>
          <cell r="O13">
            <v>3</v>
          </cell>
          <cell r="P13">
            <v>20</v>
          </cell>
          <cell r="Q13">
            <v>200</v>
          </cell>
          <cell r="R13" t="str">
            <v>G 0</v>
          </cell>
          <cell r="S13">
            <v>42</v>
          </cell>
          <cell r="T13">
            <v>1000</v>
          </cell>
          <cell r="U13">
            <v>541797.80135000008</v>
          </cell>
          <cell r="V13">
            <v>7355720.6989999991</v>
          </cell>
          <cell r="W13" t="str">
            <v>NaN</v>
          </cell>
          <cell r="X13">
            <v>1</v>
          </cell>
          <cell r="Y13">
            <v>7.3710010333932203</v>
          </cell>
          <cell r="Z13">
            <v>7.3710010333932203</v>
          </cell>
          <cell r="AA13">
            <v>41.620408523380135</v>
          </cell>
          <cell r="AB13">
            <v>17.41050699506113</v>
          </cell>
          <cell r="AC13">
            <v>13.966666666666669</v>
          </cell>
          <cell r="AD13">
            <v>1.1251935860378011</v>
          </cell>
          <cell r="AE13">
            <v>14.116267361388593</v>
          </cell>
          <cell r="AF13">
            <v>12.4</v>
          </cell>
          <cell r="AG13">
            <v>15.8</v>
          </cell>
          <cell r="AH13">
            <v>12.45833333333333</v>
          </cell>
          <cell r="AI13">
            <v>1.1476920186604811</v>
          </cell>
          <cell r="AJ13">
            <v>12.651363072120022</v>
          </cell>
          <cell r="AK13">
            <v>10.7</v>
          </cell>
          <cell r="AL13">
            <v>14.3</v>
          </cell>
          <cell r="AM13">
            <v>600</v>
          </cell>
          <cell r="AN13">
            <v>600</v>
          </cell>
          <cell r="AO13">
            <v>250</v>
          </cell>
          <cell r="AP13">
            <v>1</v>
          </cell>
          <cell r="AQ13">
            <v>100</v>
          </cell>
          <cell r="AR13">
            <v>0</v>
          </cell>
          <cell r="AS13" t="e">
            <v>#DIV/0!</v>
          </cell>
          <cell r="AT13">
            <v>0</v>
          </cell>
          <cell r="AU13">
            <v>1</v>
          </cell>
        </row>
        <row r="14">
          <cell r="A14" t="str">
            <v>Forestal Azul</v>
          </cell>
          <cell r="B14" t="str">
            <v>Aguaray_2</v>
          </cell>
          <cell r="C14" t="str">
            <v>Tormenta</v>
          </cell>
          <cell r="D14" t="str">
            <v>Tormenta</v>
          </cell>
          <cell r="E14" t="str">
            <v>Aguaray_2_Tormenta</v>
          </cell>
          <cell r="H14" t="str">
            <v>Plantation clon G 0</v>
          </cell>
          <cell r="I14">
            <v>43313</v>
          </cell>
          <cell r="K14" t="str">
            <v>2020-11-06 20:57:08</v>
          </cell>
          <cell r="L14">
            <v>2.25</v>
          </cell>
          <cell r="M14" t="str">
            <v>Aguaray 2-5</v>
          </cell>
          <cell r="N14">
            <v>5</v>
          </cell>
          <cell r="O14">
            <v>2</v>
          </cell>
          <cell r="P14">
            <v>20</v>
          </cell>
          <cell r="Q14">
            <v>200</v>
          </cell>
          <cell r="R14" t="str">
            <v>G 0</v>
          </cell>
          <cell r="S14">
            <v>42</v>
          </cell>
          <cell r="T14">
            <v>1000</v>
          </cell>
          <cell r="U14">
            <v>541219.55839999998</v>
          </cell>
          <cell r="V14">
            <v>7355212.8000000007</v>
          </cell>
          <cell r="W14" t="str">
            <v>NaN</v>
          </cell>
          <cell r="X14">
            <v>1</v>
          </cell>
          <cell r="Y14">
            <v>7.5750082063357098</v>
          </cell>
          <cell r="Z14">
            <v>7.5750082063357098</v>
          </cell>
          <cell r="AA14">
            <v>46.366343430119848</v>
          </cell>
          <cell r="AB14">
            <v>9.9873523820256658</v>
          </cell>
          <cell r="AC14">
            <v>15.260000000000002</v>
          </cell>
          <cell r="AD14">
            <v>0.63280679867116185</v>
          </cell>
          <cell r="AE14">
            <v>15.302406996516259</v>
          </cell>
          <cell r="AF14">
            <v>14.3</v>
          </cell>
          <cell r="AG14">
            <v>16</v>
          </cell>
          <cell r="AH14">
            <v>13.86</v>
          </cell>
          <cell r="AI14">
            <v>0.94068532936837523</v>
          </cell>
          <cell r="AJ14">
            <v>13.974933642999336</v>
          </cell>
          <cell r="AK14">
            <v>12.6</v>
          </cell>
          <cell r="AL14">
            <v>15.1</v>
          </cell>
          <cell r="AM14">
            <v>500</v>
          </cell>
          <cell r="AN14">
            <v>500</v>
          </cell>
          <cell r="AO14">
            <v>100</v>
          </cell>
          <cell r="AP14">
            <v>1</v>
          </cell>
          <cell r="AQ14">
            <v>100</v>
          </cell>
          <cell r="AR14">
            <v>0</v>
          </cell>
          <cell r="AS14" t="e">
            <v>#DIV/0!</v>
          </cell>
          <cell r="AT14">
            <v>0</v>
          </cell>
          <cell r="AU14">
            <v>1</v>
          </cell>
        </row>
        <row r="15">
          <cell r="A15" t="str">
            <v>Forestal Azul</v>
          </cell>
          <cell r="B15" t="str">
            <v>Aguaray_2</v>
          </cell>
          <cell r="D15">
            <v>0</v>
          </cell>
          <cell r="E15" t="str">
            <v>Aguaray_2_0</v>
          </cell>
          <cell r="H15" t="str">
            <v>Plantation clon G 0</v>
          </cell>
          <cell r="I15">
            <v>43313</v>
          </cell>
          <cell r="K15" t="str">
            <v>2020-11-06 20:57:43</v>
          </cell>
          <cell r="L15">
            <v>2.25</v>
          </cell>
          <cell r="M15" t="str">
            <v>Aguaray 2-2</v>
          </cell>
          <cell r="N15">
            <v>2</v>
          </cell>
          <cell r="O15">
            <v>2</v>
          </cell>
          <cell r="P15">
            <v>20</v>
          </cell>
          <cell r="Q15">
            <v>200</v>
          </cell>
          <cell r="R15" t="str">
            <v>G 0</v>
          </cell>
          <cell r="S15">
            <v>42</v>
          </cell>
          <cell r="T15">
            <v>1000</v>
          </cell>
          <cell r="U15">
            <v>541571.28064999997</v>
          </cell>
          <cell r="V15">
            <v>7355643.5115</v>
          </cell>
          <cell r="W15" t="str">
            <v>NaN</v>
          </cell>
          <cell r="X15">
            <v>1</v>
          </cell>
          <cell r="Y15">
            <v>10.056238084140928</v>
          </cell>
          <cell r="Z15">
            <v>10.056238084140928</v>
          </cell>
          <cell r="AA15">
            <v>56.157707554451321</v>
          </cell>
          <cell r="AB15">
            <v>24.112981824159426</v>
          </cell>
          <cell r="AC15">
            <v>13.80625</v>
          </cell>
          <cell r="AD15">
            <v>1.0748449500586894</v>
          </cell>
          <cell r="AE15">
            <v>13.960913386441735</v>
          </cell>
          <cell r="AF15">
            <v>11.3</v>
          </cell>
          <cell r="AG15">
            <v>15.4</v>
          </cell>
          <cell r="AH15">
            <v>12.5625</v>
          </cell>
          <cell r="AI15">
            <v>1.5435349040433171</v>
          </cell>
          <cell r="AJ15">
            <v>12.920185098406749</v>
          </cell>
          <cell r="AK15">
            <v>10.199999999999999</v>
          </cell>
          <cell r="AL15">
            <v>15.3</v>
          </cell>
          <cell r="AM15">
            <v>800</v>
          </cell>
          <cell r="AN15">
            <v>800</v>
          </cell>
          <cell r="AO15">
            <v>350</v>
          </cell>
          <cell r="AP15">
            <v>1</v>
          </cell>
          <cell r="AQ15">
            <v>100</v>
          </cell>
          <cell r="AR15">
            <v>0</v>
          </cell>
          <cell r="AS15" t="e">
            <v>#DIV/0!</v>
          </cell>
          <cell r="AT15">
            <v>0</v>
          </cell>
          <cell r="AU15">
            <v>1</v>
          </cell>
        </row>
        <row r="16">
          <cell r="A16" t="str">
            <v>Forestal Azul</v>
          </cell>
          <cell r="B16" t="str">
            <v>Aguaray_3</v>
          </cell>
          <cell r="D16">
            <v>0</v>
          </cell>
          <cell r="E16" t="str">
            <v>Aguaray_3_0</v>
          </cell>
          <cell r="H16" t="str">
            <v>Plantation clon G 1</v>
          </cell>
          <cell r="I16">
            <v>43344</v>
          </cell>
          <cell r="K16" t="str">
            <v>2020-11-05 21:12:22</v>
          </cell>
          <cell r="L16">
            <v>2.1666666666666665</v>
          </cell>
          <cell r="M16" t="str">
            <v>Aguaray 3-8</v>
          </cell>
          <cell r="N16">
            <v>8</v>
          </cell>
          <cell r="O16">
            <v>8</v>
          </cell>
          <cell r="P16">
            <v>20</v>
          </cell>
          <cell r="Q16">
            <v>200</v>
          </cell>
          <cell r="R16" t="str">
            <v>G 1</v>
          </cell>
          <cell r="S16">
            <v>71</v>
          </cell>
          <cell r="T16">
            <v>1000</v>
          </cell>
          <cell r="U16">
            <v>542630.01120000007</v>
          </cell>
          <cell r="V16">
            <v>7356309.2685000002</v>
          </cell>
          <cell r="W16" t="str">
            <v>NaN</v>
          </cell>
          <cell r="X16">
            <v>1</v>
          </cell>
          <cell r="Y16">
            <v>6.7608644701579124</v>
          </cell>
          <cell r="Z16">
            <v>6.7608644701579124</v>
          </cell>
          <cell r="AA16">
            <v>35.862761401663661</v>
          </cell>
          <cell r="AB16">
            <v>22.470783379533739</v>
          </cell>
          <cell r="AC16">
            <v>11.99375</v>
          </cell>
          <cell r="AD16">
            <v>2.9474211892206084</v>
          </cell>
          <cell r="AE16">
            <v>13.26115970818522</v>
          </cell>
          <cell r="AF16">
            <v>7.1</v>
          </cell>
          <cell r="AG16">
            <v>15.4</v>
          </cell>
          <cell r="AH16">
            <v>9.9999999999999982</v>
          </cell>
          <cell r="AI16">
            <v>2.8476891216095499</v>
          </cell>
          <cell r="AJ16">
            <v>11.270776701284824</v>
          </cell>
          <cell r="AK16">
            <v>4.5</v>
          </cell>
          <cell r="AL16">
            <v>12.6</v>
          </cell>
          <cell r="AM16">
            <v>800</v>
          </cell>
          <cell r="AN16">
            <v>800</v>
          </cell>
          <cell r="AO16">
            <v>600</v>
          </cell>
          <cell r="AP16">
            <v>0.75</v>
          </cell>
          <cell r="AQ16">
            <v>75</v>
          </cell>
          <cell r="AR16">
            <v>0</v>
          </cell>
          <cell r="AS16" t="e">
            <v>#DIV/0!</v>
          </cell>
          <cell r="AT16">
            <v>0</v>
          </cell>
          <cell r="AU16">
            <v>1</v>
          </cell>
        </row>
        <row r="17">
          <cell r="A17" t="str">
            <v>Forestal Azul</v>
          </cell>
          <cell r="B17" t="str">
            <v>Aguaray_3</v>
          </cell>
          <cell r="D17">
            <v>0</v>
          </cell>
          <cell r="E17" t="str">
            <v>Aguaray_3_0</v>
          </cell>
          <cell r="H17" t="str">
            <v>Plantation clon G 1</v>
          </cell>
          <cell r="I17">
            <v>43344</v>
          </cell>
          <cell r="K17" t="str">
            <v>2020-11-06 15:47:31</v>
          </cell>
          <cell r="L17">
            <v>2.1666666666666665</v>
          </cell>
          <cell r="M17" t="str">
            <v>Aguaray 3-3</v>
          </cell>
          <cell r="N17">
            <v>3</v>
          </cell>
          <cell r="O17">
            <v>3</v>
          </cell>
          <cell r="P17">
            <v>20</v>
          </cell>
          <cell r="Q17">
            <v>200</v>
          </cell>
          <cell r="R17" t="str">
            <v>G 1</v>
          </cell>
          <cell r="S17">
            <v>71</v>
          </cell>
          <cell r="T17">
            <v>1000</v>
          </cell>
          <cell r="U17">
            <v>542711.27870000002</v>
          </cell>
          <cell r="V17">
            <v>7355804.8784999996</v>
          </cell>
          <cell r="W17" t="str">
            <v>NaN</v>
          </cell>
          <cell r="X17">
            <v>1</v>
          </cell>
          <cell r="Y17">
            <v>9.1614339565822132</v>
          </cell>
          <cell r="Z17">
            <v>9.1614339565822132</v>
          </cell>
          <cell r="AA17">
            <v>54.302732180990631</v>
          </cell>
          <cell r="AB17">
            <v>29.356230847962404</v>
          </cell>
          <cell r="AC17">
            <v>14.072222222222225</v>
          </cell>
          <cell r="AD17">
            <v>2.6267415635783524</v>
          </cell>
          <cell r="AE17">
            <v>14.81829494114722</v>
          </cell>
          <cell r="AF17">
            <v>4.9000000000000004</v>
          </cell>
          <cell r="AG17">
            <v>16.399999999999999</v>
          </cell>
          <cell r="AH17">
            <v>11.111111111111107</v>
          </cell>
          <cell r="AI17">
            <v>2.5520208575786421</v>
          </cell>
          <cell r="AJ17">
            <v>11.925761485507557</v>
          </cell>
          <cell r="AK17">
            <v>2.7</v>
          </cell>
          <cell r="AL17">
            <v>13.5</v>
          </cell>
          <cell r="AM17">
            <v>900</v>
          </cell>
          <cell r="AN17">
            <v>900</v>
          </cell>
          <cell r="AO17">
            <v>500</v>
          </cell>
          <cell r="AP17">
            <v>0.88888888888888884</v>
          </cell>
          <cell r="AQ17">
            <v>88.888888888888886</v>
          </cell>
          <cell r="AR17">
            <v>0</v>
          </cell>
          <cell r="AS17" t="e">
            <v>#DIV/0!</v>
          </cell>
          <cell r="AT17">
            <v>0</v>
          </cell>
          <cell r="AU17">
            <v>1</v>
          </cell>
        </row>
        <row r="18">
          <cell r="A18" t="str">
            <v>Forestal Azul</v>
          </cell>
          <cell r="B18" t="str">
            <v>Aguaray_3</v>
          </cell>
          <cell r="D18">
            <v>0</v>
          </cell>
          <cell r="E18" t="str">
            <v>Aguaray_3_0</v>
          </cell>
          <cell r="H18" t="str">
            <v>Plantation clon G 1</v>
          </cell>
          <cell r="I18">
            <v>43344</v>
          </cell>
          <cell r="K18" t="str">
            <v>2020-11-06 15:47:39</v>
          </cell>
          <cell r="L18">
            <v>2.1666666666666665</v>
          </cell>
          <cell r="M18" t="str">
            <v>Aguaray 3-2</v>
          </cell>
          <cell r="N18">
            <v>2</v>
          </cell>
          <cell r="O18">
            <v>2</v>
          </cell>
          <cell r="P18">
            <v>20</v>
          </cell>
          <cell r="Q18">
            <v>200</v>
          </cell>
          <cell r="R18" t="str">
            <v>G 1</v>
          </cell>
          <cell r="S18">
            <v>71</v>
          </cell>
          <cell r="T18">
            <v>1000</v>
          </cell>
          <cell r="U18">
            <v>542424.86239999998</v>
          </cell>
          <cell r="V18">
            <v>7356075.0079999994</v>
          </cell>
          <cell r="W18" t="str">
            <v>NaN</v>
          </cell>
          <cell r="X18">
            <v>1</v>
          </cell>
          <cell r="Y18">
            <v>9.7875533724426607</v>
          </cell>
          <cell r="Z18">
            <v>9.7875533724426607</v>
          </cell>
          <cell r="AA18">
            <v>57.673037492150755</v>
          </cell>
          <cell r="AB18">
            <v>27.651085882133074</v>
          </cell>
          <cell r="AC18">
            <v>14.33888888888889</v>
          </cell>
          <cell r="AD18">
            <v>2.0779341802656526</v>
          </cell>
          <cell r="AE18">
            <v>14.731219155987452</v>
          </cell>
          <cell r="AF18">
            <v>7.4</v>
          </cell>
          <cell r="AG18">
            <v>17.2</v>
          </cell>
          <cell r="AH18">
            <v>11.644444444444444</v>
          </cell>
          <cell r="AI18">
            <v>1.743971877209253</v>
          </cell>
          <cell r="AJ18">
            <v>12.058886686620818</v>
          </cell>
          <cell r="AK18">
            <v>5.9</v>
          </cell>
          <cell r="AL18">
            <v>14.1</v>
          </cell>
          <cell r="AM18">
            <v>900</v>
          </cell>
          <cell r="AN18">
            <v>900</v>
          </cell>
          <cell r="AO18">
            <v>500</v>
          </cell>
          <cell r="AP18">
            <v>0.94444444444444442</v>
          </cell>
          <cell r="AQ18">
            <v>94.444444444444443</v>
          </cell>
          <cell r="AR18">
            <v>0</v>
          </cell>
          <cell r="AS18" t="e">
            <v>#DIV/0!</v>
          </cell>
          <cell r="AT18">
            <v>0</v>
          </cell>
          <cell r="AU18">
            <v>1</v>
          </cell>
        </row>
        <row r="19">
          <cell r="A19" t="str">
            <v>Forestal Azul</v>
          </cell>
          <cell r="B19" t="str">
            <v>Aguaray_3</v>
          </cell>
          <cell r="D19">
            <v>0</v>
          </cell>
          <cell r="E19" t="str">
            <v>Aguaray_3_0</v>
          </cell>
          <cell r="H19" t="str">
            <v>Plantation clon G 1</v>
          </cell>
          <cell r="I19">
            <v>43344</v>
          </cell>
          <cell r="K19" t="str">
            <v>2020-11-05 21:12:17</v>
          </cell>
          <cell r="L19">
            <v>2.1666666666666665</v>
          </cell>
          <cell r="M19" t="str">
            <v>Aguaray 3-4</v>
          </cell>
          <cell r="N19">
            <v>4</v>
          </cell>
          <cell r="O19">
            <v>4</v>
          </cell>
          <cell r="P19">
            <v>20</v>
          </cell>
          <cell r="Q19">
            <v>200</v>
          </cell>
          <cell r="R19" t="str">
            <v>G 1</v>
          </cell>
          <cell r="S19">
            <v>71</v>
          </cell>
          <cell r="T19">
            <v>1000</v>
          </cell>
          <cell r="U19">
            <v>542760.73234999995</v>
          </cell>
          <cell r="V19">
            <v>7356461.3080000002</v>
          </cell>
          <cell r="W19" t="str">
            <v>NaN</v>
          </cell>
          <cell r="X19">
            <v>1</v>
          </cell>
          <cell r="Y19">
            <v>10.123311087295068</v>
          </cell>
          <cell r="Z19">
            <v>10.123311087295068</v>
          </cell>
          <cell r="AA19">
            <v>63.163831450686004</v>
          </cell>
          <cell r="AB19">
            <v>26.651734263451871</v>
          </cell>
          <cell r="AC19">
            <v>14.930000000000001</v>
          </cell>
          <cell r="AD19">
            <v>2.2909662406481481</v>
          </cell>
          <cell r="AE19">
            <v>15.598609710304592</v>
          </cell>
          <cell r="AF19">
            <v>11.5</v>
          </cell>
          <cell r="AG19">
            <v>18.5</v>
          </cell>
          <cell r="AH19">
            <v>11.17</v>
          </cell>
          <cell r="AI19">
            <v>2.0837971413541645</v>
          </cell>
          <cell r="AJ19">
            <v>11.8540925101246</v>
          </cell>
          <cell r="AK19">
            <v>7.5</v>
          </cell>
          <cell r="AL19">
            <v>13.4</v>
          </cell>
          <cell r="AM19">
            <v>1000</v>
          </cell>
          <cell r="AN19">
            <v>1000</v>
          </cell>
          <cell r="AO19">
            <v>550</v>
          </cell>
          <cell r="AP19">
            <v>0.35</v>
          </cell>
          <cell r="AQ19">
            <v>35</v>
          </cell>
          <cell r="AR19">
            <v>0</v>
          </cell>
          <cell r="AS19" t="e">
            <v>#DIV/0!</v>
          </cell>
          <cell r="AT19">
            <v>0</v>
          </cell>
          <cell r="AU19">
            <v>1</v>
          </cell>
        </row>
        <row r="20">
          <cell r="A20" t="str">
            <v>Forestal Azul</v>
          </cell>
          <cell r="B20" t="str">
            <v>Aguaray_3</v>
          </cell>
          <cell r="D20">
            <v>0</v>
          </cell>
          <cell r="E20" t="str">
            <v>Aguaray_3_0</v>
          </cell>
          <cell r="H20" t="str">
            <v>Plantation clon G 1</v>
          </cell>
          <cell r="I20">
            <v>43344</v>
          </cell>
          <cell r="K20" t="str">
            <v>2020-11-06 15:48:38</v>
          </cell>
          <cell r="L20">
            <v>2.1666666666666665</v>
          </cell>
          <cell r="M20" t="str">
            <v>Aguaray 3-7</v>
          </cell>
          <cell r="N20">
            <v>7</v>
          </cell>
          <cell r="O20">
            <v>7</v>
          </cell>
          <cell r="P20">
            <v>20</v>
          </cell>
          <cell r="Q20">
            <v>200</v>
          </cell>
          <cell r="R20" t="str">
            <v>G 1</v>
          </cell>
          <cell r="S20">
            <v>71</v>
          </cell>
          <cell r="T20">
            <v>1000</v>
          </cell>
          <cell r="U20">
            <v>542153.44369999995</v>
          </cell>
          <cell r="V20">
            <v>7355658.7350000003</v>
          </cell>
          <cell r="W20" t="str">
            <v>NaN</v>
          </cell>
          <cell r="X20">
            <v>1</v>
          </cell>
          <cell r="Y20">
            <v>10.392663387432224</v>
          </cell>
          <cell r="Z20">
            <v>10.392663387432224</v>
          </cell>
          <cell r="AA20">
            <v>58.75532872768305</v>
          </cell>
          <cell r="AB20">
            <v>35.343382308597903</v>
          </cell>
          <cell r="AC20">
            <v>14.06842105263158</v>
          </cell>
          <cell r="AD20">
            <v>0.87689644110410925</v>
          </cell>
          <cell r="AE20">
            <v>14.133847729239328</v>
          </cell>
          <cell r="AF20">
            <v>12.3</v>
          </cell>
          <cell r="AG20">
            <v>16</v>
          </cell>
          <cell r="AH20">
            <v>11.752631578947367</v>
          </cell>
          <cell r="AI20">
            <v>1.1082360463831358</v>
          </cell>
          <cell r="AJ20">
            <v>11.943763201547721</v>
          </cell>
          <cell r="AK20">
            <v>9.5</v>
          </cell>
          <cell r="AL20">
            <v>13.4</v>
          </cell>
          <cell r="AM20">
            <v>950</v>
          </cell>
          <cell r="AN20">
            <v>950</v>
          </cell>
          <cell r="AO20">
            <v>600</v>
          </cell>
          <cell r="AP20">
            <v>1</v>
          </cell>
          <cell r="AQ20">
            <v>100</v>
          </cell>
          <cell r="AR20">
            <v>0</v>
          </cell>
          <cell r="AS20" t="e">
            <v>#DIV/0!</v>
          </cell>
          <cell r="AT20">
            <v>0</v>
          </cell>
          <cell r="AU20">
            <v>1</v>
          </cell>
        </row>
        <row r="21">
          <cell r="A21" t="str">
            <v>Forestal Azul</v>
          </cell>
          <cell r="B21" t="str">
            <v>Aguaray_3</v>
          </cell>
          <cell r="D21">
            <v>0</v>
          </cell>
          <cell r="E21" t="str">
            <v>Aguaray_3_0</v>
          </cell>
          <cell r="H21" t="str">
            <v>Plantation clon G 1</v>
          </cell>
          <cell r="I21">
            <v>43344</v>
          </cell>
          <cell r="K21" t="str">
            <v>2020-11-06 15:48:55</v>
          </cell>
          <cell r="L21">
            <v>2.1666666666666665</v>
          </cell>
          <cell r="M21" t="str">
            <v>Aguaray 3-1</v>
          </cell>
          <cell r="N21">
            <v>1</v>
          </cell>
          <cell r="O21">
            <v>1</v>
          </cell>
          <cell r="P21">
            <v>20</v>
          </cell>
          <cell r="Q21">
            <v>200</v>
          </cell>
          <cell r="R21" t="str">
            <v>G 1</v>
          </cell>
          <cell r="S21">
            <v>71</v>
          </cell>
          <cell r="T21">
            <v>1000</v>
          </cell>
          <cell r="U21">
            <v>542387.52594999992</v>
          </cell>
          <cell r="V21">
            <v>7355786.1840000004</v>
          </cell>
          <cell r="W21" t="str">
            <v>NaN</v>
          </cell>
          <cell r="X21">
            <v>1</v>
          </cell>
          <cell r="Y21">
            <v>10.523746340903259</v>
          </cell>
          <cell r="Z21">
            <v>10.523746340903259</v>
          </cell>
          <cell r="AA21">
            <v>61.746698274559819</v>
          </cell>
          <cell r="AB21">
            <v>27.195702602217281</v>
          </cell>
          <cell r="AC21">
            <v>14.305000000000001</v>
          </cell>
          <cell r="AD21">
            <v>1.6181454622011051</v>
          </cell>
          <cell r="AE21">
            <v>14.66842136686755</v>
          </cell>
          <cell r="AF21">
            <v>10.6</v>
          </cell>
          <cell r="AG21">
            <v>16.100000000000001</v>
          </cell>
          <cell r="AH21">
            <v>11.424999999999999</v>
          </cell>
          <cell r="AI21">
            <v>1.9089470782000362</v>
          </cell>
          <cell r="AJ21">
            <v>11.961615388921022</v>
          </cell>
          <cell r="AK21">
            <v>6.7</v>
          </cell>
          <cell r="AL21">
            <v>13.3</v>
          </cell>
          <cell r="AM21">
            <v>1000</v>
          </cell>
          <cell r="AN21">
            <v>1000</v>
          </cell>
          <cell r="AO21">
            <v>550</v>
          </cell>
          <cell r="AP21">
            <v>1</v>
          </cell>
          <cell r="AQ21">
            <v>100</v>
          </cell>
          <cell r="AR21">
            <v>0</v>
          </cell>
          <cell r="AS21" t="e">
            <v>#DIV/0!</v>
          </cell>
          <cell r="AT21">
            <v>0</v>
          </cell>
          <cell r="AU21">
            <v>1</v>
          </cell>
        </row>
        <row r="22">
          <cell r="A22" t="str">
            <v>Forestal Azul</v>
          </cell>
          <cell r="B22" t="str">
            <v>Aguaray_3</v>
          </cell>
          <cell r="D22">
            <v>0</v>
          </cell>
          <cell r="E22" t="str">
            <v>Aguaray_3_0</v>
          </cell>
          <cell r="H22" t="str">
            <v>Plantation clon G 1</v>
          </cell>
          <cell r="I22">
            <v>43344</v>
          </cell>
          <cell r="K22" t="str">
            <v>2020-11-06 15:48:24</v>
          </cell>
          <cell r="L22">
            <v>2.1666666666666665</v>
          </cell>
          <cell r="M22" t="str">
            <v>Aguaray 3-6</v>
          </cell>
          <cell r="N22">
            <v>6</v>
          </cell>
          <cell r="O22">
            <v>6</v>
          </cell>
          <cell r="P22">
            <v>20</v>
          </cell>
          <cell r="Q22">
            <v>200</v>
          </cell>
          <cell r="R22" t="str">
            <v>G 1</v>
          </cell>
          <cell r="S22">
            <v>71</v>
          </cell>
          <cell r="T22">
            <v>1000</v>
          </cell>
          <cell r="U22">
            <v>542225.88434999995</v>
          </cell>
          <cell r="V22">
            <v>7355979.852</v>
          </cell>
          <cell r="W22" t="str">
            <v>NaN</v>
          </cell>
          <cell r="X22">
            <v>1</v>
          </cell>
          <cell r="Y22">
            <v>10.597691577987129</v>
          </cell>
          <cell r="Z22">
            <v>10.597691577987129</v>
          </cell>
          <cell r="AA22">
            <v>57.429317446474236</v>
          </cell>
          <cell r="AB22">
            <v>25.409320762755083</v>
          </cell>
          <cell r="AC22">
            <v>13.194736842105263</v>
          </cell>
          <cell r="AD22">
            <v>2.9362624928470904</v>
          </cell>
          <cell r="AE22">
            <v>13.547600678850397</v>
          </cell>
          <cell r="AF22">
            <v>6.6</v>
          </cell>
          <cell r="AG22">
            <v>17.8</v>
          </cell>
          <cell r="AH22">
            <v>11.799999999999999</v>
          </cell>
          <cell r="AI22">
            <v>1.7178798302300295</v>
          </cell>
          <cell r="AJ22">
            <v>12.236530451924642</v>
          </cell>
          <cell r="AK22">
            <v>7.6</v>
          </cell>
          <cell r="AL22">
            <v>13.8</v>
          </cell>
          <cell r="AM22">
            <v>950</v>
          </cell>
          <cell r="AN22">
            <v>950</v>
          </cell>
          <cell r="AO22">
            <v>550</v>
          </cell>
          <cell r="AP22">
            <v>1</v>
          </cell>
          <cell r="AQ22">
            <v>100</v>
          </cell>
          <cell r="AR22">
            <v>0</v>
          </cell>
          <cell r="AS22" t="e">
            <v>#DIV/0!</v>
          </cell>
          <cell r="AT22">
            <v>0</v>
          </cell>
          <cell r="AU22">
            <v>1</v>
          </cell>
        </row>
        <row r="23">
          <cell r="A23" t="str">
            <v>Forestal Azul</v>
          </cell>
          <cell r="B23" t="str">
            <v>Aguaray_3</v>
          </cell>
          <cell r="D23">
            <v>0</v>
          </cell>
          <cell r="E23" t="str">
            <v>Aguaray_3_0</v>
          </cell>
          <cell r="H23" t="str">
            <v>Plantation clon G 1</v>
          </cell>
          <cell r="I23">
            <v>43344</v>
          </cell>
          <cell r="K23" t="str">
            <v>2020-11-06 15:48:09</v>
          </cell>
          <cell r="L23">
            <v>2.1666666666666665</v>
          </cell>
          <cell r="M23" t="str">
            <v>Aguaray 3-5</v>
          </cell>
          <cell r="N23">
            <v>5</v>
          </cell>
          <cell r="O23">
            <v>5</v>
          </cell>
          <cell r="P23">
            <v>20</v>
          </cell>
          <cell r="Q23">
            <v>200</v>
          </cell>
          <cell r="R23" t="str">
            <v>G 1</v>
          </cell>
          <cell r="S23">
            <v>71</v>
          </cell>
          <cell r="T23">
            <v>1000</v>
          </cell>
          <cell r="U23">
            <v>542416.755</v>
          </cell>
          <cell r="V23">
            <v>7356252.8574999999</v>
          </cell>
          <cell r="W23" t="str">
            <v>NaN</v>
          </cell>
          <cell r="X23">
            <v>1</v>
          </cell>
          <cell r="Y23">
            <v>10.89260858834287</v>
          </cell>
          <cell r="Z23">
            <v>10.89260858834287</v>
          </cell>
          <cell r="AA23">
            <v>66.38249208445734</v>
          </cell>
          <cell r="AB23">
            <v>26.857147299106842</v>
          </cell>
          <cell r="AC23">
            <v>14.615000000000004</v>
          </cell>
          <cell r="AD23">
            <v>2.7143429950425819</v>
          </cell>
          <cell r="AE23">
            <v>15.235673701591326</v>
          </cell>
          <cell r="AF23">
            <v>5.4</v>
          </cell>
          <cell r="AG23">
            <v>18</v>
          </cell>
          <cell r="AH23">
            <v>11.610000000000001</v>
          </cell>
          <cell r="AI23">
            <v>2.0253394777172438</v>
          </cell>
          <cell r="AJ23">
            <v>12.156425527619351</v>
          </cell>
          <cell r="AK23">
            <v>4.8</v>
          </cell>
          <cell r="AL23">
            <v>14</v>
          </cell>
          <cell r="AM23">
            <v>1000</v>
          </cell>
          <cell r="AN23">
            <v>1000</v>
          </cell>
          <cell r="AO23">
            <v>450</v>
          </cell>
          <cell r="AP23">
            <v>0.95</v>
          </cell>
          <cell r="AQ23">
            <v>95</v>
          </cell>
          <cell r="AR23">
            <v>0</v>
          </cell>
          <cell r="AS23" t="e">
            <v>#DIV/0!</v>
          </cell>
          <cell r="AT23">
            <v>0</v>
          </cell>
          <cell r="AU23">
            <v>1</v>
          </cell>
        </row>
        <row r="24">
          <cell r="A24" t="str">
            <v>Forestal Azul</v>
          </cell>
          <cell r="B24" t="str">
            <v>Aguaray_4</v>
          </cell>
          <cell r="D24">
            <v>0</v>
          </cell>
          <cell r="E24" t="str">
            <v>Aguaray_4_0</v>
          </cell>
          <cell r="H24" t="str">
            <v>Plantation clon G 2</v>
          </cell>
          <cell r="I24">
            <v>43374</v>
          </cell>
          <cell r="K24" t="str">
            <v>2020-11-05 10:51:33</v>
          </cell>
          <cell r="L24">
            <v>2.0833333333333335</v>
          </cell>
          <cell r="M24" t="str">
            <v>Aguaray 4-5</v>
          </cell>
          <cell r="N24">
            <v>5</v>
          </cell>
          <cell r="O24">
            <v>5</v>
          </cell>
          <cell r="P24">
            <v>20</v>
          </cell>
          <cell r="Q24">
            <v>200</v>
          </cell>
          <cell r="R24" t="str">
            <v>G 2</v>
          </cell>
          <cell r="S24">
            <v>56</v>
          </cell>
          <cell r="T24">
            <v>1000</v>
          </cell>
          <cell r="U24">
            <v>543601.37400000007</v>
          </cell>
          <cell r="V24">
            <v>7355966.8375000004</v>
          </cell>
          <cell r="W24" t="str">
            <v>NaN</v>
          </cell>
          <cell r="X24">
            <v>1</v>
          </cell>
          <cell r="Y24">
            <v>4.9774608605313286</v>
          </cell>
          <cell r="Z24">
            <v>4.9774608605313286</v>
          </cell>
          <cell r="AA24">
            <v>26.782702548791054</v>
          </cell>
          <cell r="AB24">
            <v>0</v>
          </cell>
          <cell r="AC24">
            <v>13.4</v>
          </cell>
          <cell r="AD24">
            <v>0.87891979156234734</v>
          </cell>
          <cell r="AE24">
            <v>13.451990532544379</v>
          </cell>
          <cell r="AF24">
            <v>12.6</v>
          </cell>
          <cell r="AG24">
            <v>14.9</v>
          </cell>
          <cell r="AH24">
            <v>11.844444444444445</v>
          </cell>
          <cell r="AI24">
            <v>0.78120277635053081</v>
          </cell>
          <cell r="AJ24">
            <v>11.936680078895463</v>
          </cell>
          <cell r="AK24">
            <v>11</v>
          </cell>
          <cell r="AL24">
            <v>13.1</v>
          </cell>
          <cell r="AM24">
            <v>450</v>
          </cell>
          <cell r="AN24">
            <v>450</v>
          </cell>
          <cell r="AO24">
            <v>0</v>
          </cell>
          <cell r="AP24">
            <v>0.88888888888888884</v>
          </cell>
          <cell r="AQ24">
            <v>88.888888888888886</v>
          </cell>
          <cell r="AR24">
            <v>0</v>
          </cell>
          <cell r="AS24" t="e">
            <v>#DIV/0!</v>
          </cell>
          <cell r="AT24">
            <v>0</v>
          </cell>
          <cell r="AU24">
            <v>1</v>
          </cell>
        </row>
        <row r="25">
          <cell r="A25" t="str">
            <v>Forestal Azul</v>
          </cell>
          <cell r="B25" t="str">
            <v>Aguaray_4</v>
          </cell>
          <cell r="D25">
            <v>0</v>
          </cell>
          <cell r="E25" t="str">
            <v>Aguaray_4_0</v>
          </cell>
          <cell r="H25" t="str">
            <v>Plantation clon G 2</v>
          </cell>
          <cell r="I25">
            <v>43374</v>
          </cell>
          <cell r="K25" t="str">
            <v>2020-11-05 10:51:24</v>
          </cell>
          <cell r="L25">
            <v>2.0833333333333335</v>
          </cell>
          <cell r="M25" t="str">
            <v>Aguaray 4-2</v>
          </cell>
          <cell r="N25">
            <v>2</v>
          </cell>
          <cell r="O25">
            <v>2</v>
          </cell>
          <cell r="P25">
            <v>20</v>
          </cell>
          <cell r="Q25">
            <v>200</v>
          </cell>
          <cell r="R25" t="str">
            <v>G 2</v>
          </cell>
          <cell r="S25">
            <v>56</v>
          </cell>
          <cell r="T25">
            <v>1000</v>
          </cell>
          <cell r="U25">
            <v>543466.42100000009</v>
          </cell>
          <cell r="V25">
            <v>7356331.0630000001</v>
          </cell>
          <cell r="W25" t="str">
            <v>NaN</v>
          </cell>
          <cell r="X25">
            <v>1</v>
          </cell>
          <cell r="Y25">
            <v>6.2514944912864996</v>
          </cell>
          <cell r="Z25">
            <v>6.2514944912864996</v>
          </cell>
          <cell r="AA25">
            <v>34.315068347243269</v>
          </cell>
          <cell r="AB25">
            <v>0</v>
          </cell>
          <cell r="AC25">
            <v>13.554545454545456</v>
          </cell>
          <cell r="AD25">
            <v>1.824480000637771</v>
          </cell>
          <cell r="AE25">
            <v>13.722745975011463</v>
          </cell>
          <cell r="AF25">
            <v>10.6</v>
          </cell>
          <cell r="AG25">
            <v>15.8</v>
          </cell>
          <cell r="AH25">
            <v>11.990909090909089</v>
          </cell>
          <cell r="AI25">
            <v>1.0163213521859562</v>
          </cell>
          <cell r="AJ25">
            <v>12.141092259081741</v>
          </cell>
          <cell r="AK25">
            <v>9.8000000000000007</v>
          </cell>
          <cell r="AL25">
            <v>13.1</v>
          </cell>
          <cell r="AM25">
            <v>550</v>
          </cell>
          <cell r="AN25">
            <v>550</v>
          </cell>
          <cell r="AO25">
            <v>0</v>
          </cell>
          <cell r="AP25">
            <v>0.90909090909090906</v>
          </cell>
          <cell r="AQ25">
            <v>90.909090909090907</v>
          </cell>
          <cell r="AR25">
            <v>0</v>
          </cell>
          <cell r="AS25" t="e">
            <v>#DIV/0!</v>
          </cell>
          <cell r="AT25">
            <v>0</v>
          </cell>
          <cell r="AU25">
            <v>1</v>
          </cell>
        </row>
        <row r="26">
          <cell r="A26" t="str">
            <v>Forestal Azul</v>
          </cell>
          <cell r="B26" t="str">
            <v>Aguaray_4</v>
          </cell>
          <cell r="D26">
            <v>0</v>
          </cell>
          <cell r="E26" t="str">
            <v>Aguaray_4_0</v>
          </cell>
          <cell r="H26" t="str">
            <v>Plantation clon G 2</v>
          </cell>
          <cell r="I26">
            <v>43374</v>
          </cell>
          <cell r="K26" t="str">
            <v>2020-11-05 21:12:04</v>
          </cell>
          <cell r="L26">
            <v>2.0833333333333335</v>
          </cell>
          <cell r="M26" t="str">
            <v>Aguaray 4-7</v>
          </cell>
          <cell r="N26">
            <v>7</v>
          </cell>
          <cell r="O26">
            <v>7</v>
          </cell>
          <cell r="P26">
            <v>20</v>
          </cell>
          <cell r="Q26">
            <v>200</v>
          </cell>
          <cell r="R26" t="str">
            <v>G 2</v>
          </cell>
          <cell r="S26">
            <v>56</v>
          </cell>
          <cell r="T26">
            <v>1000</v>
          </cell>
          <cell r="U26">
            <v>543063.95124999993</v>
          </cell>
          <cell r="V26">
            <v>7355856.3894999996</v>
          </cell>
          <cell r="W26" t="str">
            <v>NaN</v>
          </cell>
          <cell r="X26">
            <v>1</v>
          </cell>
          <cell r="Y26">
            <v>6.3019563232847853</v>
          </cell>
          <cell r="Z26">
            <v>6.3019563232847853</v>
          </cell>
          <cell r="AA26">
            <v>38.348241854329181</v>
          </cell>
          <cell r="AB26">
            <v>14.662274728423641</v>
          </cell>
          <cell r="AC26">
            <v>15.036363636363633</v>
          </cell>
          <cell r="AD26">
            <v>1.5213630252327863</v>
          </cell>
          <cell r="AE26">
            <v>15.212832288537992</v>
          </cell>
          <cell r="AF26">
            <v>13</v>
          </cell>
          <cell r="AG26">
            <v>17.3</v>
          </cell>
          <cell r="AH26">
            <v>12.036363636363633</v>
          </cell>
          <cell r="AI26">
            <v>1.0566671446323361</v>
          </cell>
          <cell r="AJ26">
            <v>12.20313313974501</v>
          </cell>
          <cell r="AK26">
            <v>10.5</v>
          </cell>
          <cell r="AL26">
            <v>13.6</v>
          </cell>
          <cell r="AM26">
            <v>550</v>
          </cell>
          <cell r="AN26">
            <v>550</v>
          </cell>
          <cell r="AO26">
            <v>200</v>
          </cell>
          <cell r="AP26">
            <v>1</v>
          </cell>
          <cell r="AQ26">
            <v>100</v>
          </cell>
          <cell r="AR26">
            <v>0</v>
          </cell>
          <cell r="AS26" t="e">
            <v>#DIV/0!</v>
          </cell>
          <cell r="AT26">
            <v>0</v>
          </cell>
          <cell r="AU26">
            <v>1</v>
          </cell>
        </row>
        <row r="27">
          <cell r="A27" t="str">
            <v>Forestal Azul</v>
          </cell>
          <cell r="B27" t="str">
            <v>Aguaray_4</v>
          </cell>
          <cell r="D27">
            <v>0</v>
          </cell>
          <cell r="E27" t="str">
            <v>Aguaray_4_0</v>
          </cell>
          <cell r="H27" t="str">
            <v>Plantation clon G 2</v>
          </cell>
          <cell r="I27">
            <v>43374</v>
          </cell>
          <cell r="K27" t="str">
            <v>2020-11-05 10:51:13</v>
          </cell>
          <cell r="L27">
            <v>2.0833333333333335</v>
          </cell>
          <cell r="M27" t="str">
            <v>Aguaray 4-6</v>
          </cell>
          <cell r="N27">
            <v>6</v>
          </cell>
          <cell r="O27">
            <v>6</v>
          </cell>
          <cell r="P27">
            <v>20</v>
          </cell>
          <cell r="Q27">
            <v>200</v>
          </cell>
          <cell r="R27" t="str">
            <v>G 2</v>
          </cell>
          <cell r="S27">
            <v>56</v>
          </cell>
          <cell r="T27">
            <v>1000</v>
          </cell>
          <cell r="U27">
            <v>543035.56550000003</v>
          </cell>
          <cell r="V27">
            <v>7356422.1705</v>
          </cell>
          <cell r="W27" t="str">
            <v>NaN</v>
          </cell>
          <cell r="X27">
            <v>1</v>
          </cell>
          <cell r="Y27">
            <v>6.3203739102164551</v>
          </cell>
          <cell r="Z27">
            <v>6.3203739102164551</v>
          </cell>
          <cell r="AA27">
            <v>38.247013455845213</v>
          </cell>
          <cell r="AB27">
            <v>2.2433170661488635</v>
          </cell>
          <cell r="AC27">
            <v>14.887500000000001</v>
          </cell>
          <cell r="AD27">
            <v>1.1801180328376357</v>
          </cell>
          <cell r="AE27">
            <v>15.128461543240943</v>
          </cell>
          <cell r="AF27">
            <v>13.3</v>
          </cell>
          <cell r="AG27">
            <v>16.7</v>
          </cell>
          <cell r="AH27">
            <v>14.012499999999999</v>
          </cell>
          <cell r="AI27">
            <v>2.3503419204143925</v>
          </cell>
          <cell r="AJ27">
            <v>14.64987169689401</v>
          </cell>
          <cell r="AK27">
            <v>10.1</v>
          </cell>
          <cell r="AL27">
            <v>16.399999999999999</v>
          </cell>
          <cell r="AM27">
            <v>400</v>
          </cell>
          <cell r="AN27">
            <v>400</v>
          </cell>
          <cell r="AO27">
            <v>50</v>
          </cell>
          <cell r="AP27">
            <v>0.5</v>
          </cell>
          <cell r="AQ27">
            <v>50</v>
          </cell>
          <cell r="AR27">
            <v>0</v>
          </cell>
          <cell r="AS27" t="e">
            <v>#DIV/0!</v>
          </cell>
          <cell r="AT27">
            <v>0</v>
          </cell>
          <cell r="AU27">
            <v>1</v>
          </cell>
        </row>
        <row r="28">
          <cell r="A28" t="str">
            <v>Forestal Azul</v>
          </cell>
          <cell r="B28" t="str">
            <v>Aguaray_4</v>
          </cell>
          <cell r="D28">
            <v>0</v>
          </cell>
          <cell r="E28" t="str">
            <v>Aguaray_4_0</v>
          </cell>
          <cell r="H28" t="str">
            <v>Plantation clon G 2</v>
          </cell>
          <cell r="I28">
            <v>43374</v>
          </cell>
          <cell r="K28" t="str">
            <v>2020-11-05 21:11:40</v>
          </cell>
          <cell r="L28">
            <v>2.0833333333333335</v>
          </cell>
          <cell r="M28" t="str">
            <v>Aguaray 4-4</v>
          </cell>
          <cell r="N28">
            <v>4</v>
          </cell>
          <cell r="O28">
            <v>4</v>
          </cell>
          <cell r="P28">
            <v>20</v>
          </cell>
          <cell r="Q28">
            <v>200</v>
          </cell>
          <cell r="R28" t="str">
            <v>G 2</v>
          </cell>
          <cell r="S28">
            <v>56</v>
          </cell>
          <cell r="T28">
            <v>1000</v>
          </cell>
          <cell r="U28">
            <v>543213.64295000001</v>
          </cell>
          <cell r="V28">
            <v>7355873.4945</v>
          </cell>
          <cell r="W28" t="str">
            <v>NaN</v>
          </cell>
          <cell r="X28">
            <v>1</v>
          </cell>
          <cell r="Y28">
            <v>9.552954941035841</v>
          </cell>
          <cell r="Z28">
            <v>9.552954941035841</v>
          </cell>
          <cell r="AA28">
            <v>58.153699597353672</v>
          </cell>
          <cell r="AB28">
            <v>30.660800759310476</v>
          </cell>
          <cell r="AC28">
            <v>14.935294117647059</v>
          </cell>
          <cell r="AD28">
            <v>1.5296818200489395</v>
          </cell>
          <cell r="AE28">
            <v>15.218772609181794</v>
          </cell>
          <cell r="AF28">
            <v>11.7</v>
          </cell>
          <cell r="AG28">
            <v>18.100000000000001</v>
          </cell>
          <cell r="AH28">
            <v>11.858823529411765</v>
          </cell>
          <cell r="AI28">
            <v>1.6182779518400854</v>
          </cell>
          <cell r="AJ28">
            <v>12.225929853985797</v>
          </cell>
          <cell r="AK28">
            <v>7.1</v>
          </cell>
          <cell r="AL28">
            <v>14.1</v>
          </cell>
          <cell r="AM28">
            <v>850</v>
          </cell>
          <cell r="AN28">
            <v>850</v>
          </cell>
          <cell r="AO28">
            <v>500</v>
          </cell>
          <cell r="AP28">
            <v>1.1764705882352942</v>
          </cell>
          <cell r="AQ28">
            <v>100</v>
          </cell>
          <cell r="AR28">
            <v>0</v>
          </cell>
          <cell r="AS28" t="e">
            <v>#DIV/0!</v>
          </cell>
          <cell r="AT28">
            <v>0</v>
          </cell>
          <cell r="AU28">
            <v>1</v>
          </cell>
        </row>
        <row r="29">
          <cell r="A29" t="str">
            <v>Forestal Azul</v>
          </cell>
          <cell r="B29" t="str">
            <v>Aguaray_4</v>
          </cell>
          <cell r="D29">
            <v>0</v>
          </cell>
          <cell r="E29" t="str">
            <v>Aguaray_4_0</v>
          </cell>
          <cell r="H29" t="str">
            <v>Plantation clon G 2</v>
          </cell>
          <cell r="I29">
            <v>43374</v>
          </cell>
          <cell r="K29" t="str">
            <v>2020-11-05 21:11:52</v>
          </cell>
          <cell r="L29">
            <v>2.0833333333333335</v>
          </cell>
          <cell r="M29" t="str">
            <v>Aguaray 4-3</v>
          </cell>
          <cell r="N29">
            <v>3</v>
          </cell>
          <cell r="O29">
            <v>3</v>
          </cell>
          <cell r="P29">
            <v>20</v>
          </cell>
          <cell r="Q29">
            <v>200</v>
          </cell>
          <cell r="R29" t="str">
            <v>G 2</v>
          </cell>
          <cell r="S29">
            <v>56</v>
          </cell>
          <cell r="T29">
            <v>1000</v>
          </cell>
          <cell r="U29">
            <v>543258.69594999996</v>
          </cell>
          <cell r="V29">
            <v>7356179.0729999999</v>
          </cell>
          <cell r="W29" t="str">
            <v>NaN</v>
          </cell>
          <cell r="X29">
            <v>1</v>
          </cell>
          <cell r="Y29">
            <v>10.754771210666618</v>
          </cell>
          <cell r="Z29">
            <v>10.754771210666618</v>
          </cell>
          <cell r="AA29">
            <v>68.083879705472981</v>
          </cell>
          <cell r="AB29">
            <v>38.22152728544296</v>
          </cell>
          <cell r="AC29">
            <v>15.783333333333331</v>
          </cell>
          <cell r="AD29">
            <v>0.75712303763499822</v>
          </cell>
          <cell r="AE29">
            <v>15.826436093300421</v>
          </cell>
          <cell r="AF29">
            <v>14.3</v>
          </cell>
          <cell r="AG29">
            <v>17.5</v>
          </cell>
          <cell r="AH29">
            <v>12.288888888888891</v>
          </cell>
          <cell r="AI29">
            <v>1.0948483047698965</v>
          </cell>
          <cell r="AJ29">
            <v>12.475217988227906</v>
          </cell>
          <cell r="AK29">
            <v>10.6</v>
          </cell>
          <cell r="AL29">
            <v>14.6</v>
          </cell>
          <cell r="AM29">
            <v>900</v>
          </cell>
          <cell r="AN29">
            <v>900</v>
          </cell>
          <cell r="AO29">
            <v>500</v>
          </cell>
          <cell r="AP29">
            <v>1</v>
          </cell>
          <cell r="AQ29">
            <v>94.444444444444443</v>
          </cell>
          <cell r="AR29">
            <v>0</v>
          </cell>
          <cell r="AS29" t="e">
            <v>#DIV/0!</v>
          </cell>
          <cell r="AT29">
            <v>0</v>
          </cell>
          <cell r="AU29">
            <v>1</v>
          </cell>
        </row>
        <row r="30">
          <cell r="A30" t="str">
            <v>Forestal Azul</v>
          </cell>
          <cell r="B30" t="str">
            <v>Aguaray_4</v>
          </cell>
          <cell r="D30">
            <v>0</v>
          </cell>
          <cell r="E30" t="str">
            <v>Aguaray_4_0</v>
          </cell>
          <cell r="H30" t="str">
            <v>Plantation clon G 2</v>
          </cell>
          <cell r="I30">
            <v>43374</v>
          </cell>
          <cell r="K30" t="str">
            <v>2020-11-05 10:52:10</v>
          </cell>
          <cell r="L30">
            <v>2.0833333333333335</v>
          </cell>
          <cell r="M30" t="str">
            <v>Aguaray 4-1</v>
          </cell>
          <cell r="N30">
            <v>1</v>
          </cell>
          <cell r="O30">
            <v>1</v>
          </cell>
          <cell r="P30">
            <v>20</v>
          </cell>
          <cell r="Q30">
            <v>200</v>
          </cell>
          <cell r="R30" t="str">
            <v>G 2</v>
          </cell>
          <cell r="S30">
            <v>56</v>
          </cell>
          <cell r="T30">
            <v>1000</v>
          </cell>
          <cell r="U30">
            <v>543384.36924999999</v>
          </cell>
          <cell r="V30">
            <v>7356066.1799999997</v>
          </cell>
          <cell r="W30" t="str">
            <v>NaN</v>
          </cell>
          <cell r="X30">
            <v>1</v>
          </cell>
          <cell r="Y30">
            <v>11.264887317793264</v>
          </cell>
          <cell r="Z30">
            <v>11.264887317793264</v>
          </cell>
          <cell r="AA30">
            <v>66.322778262094232</v>
          </cell>
          <cell r="AB30">
            <v>28.027781690854418</v>
          </cell>
          <cell r="AC30">
            <v>14.560000000000002</v>
          </cell>
          <cell r="AD30">
            <v>1.2725440743065171</v>
          </cell>
          <cell r="AE30">
            <v>14.718917373752864</v>
          </cell>
          <cell r="AF30">
            <v>12.5</v>
          </cell>
          <cell r="AG30">
            <v>17.399999999999999</v>
          </cell>
          <cell r="AH30">
            <v>11.910000000000002</v>
          </cell>
          <cell r="AI30">
            <v>1.2900020399820473</v>
          </cell>
          <cell r="AJ30">
            <v>12.158162575211428</v>
          </cell>
          <cell r="AK30">
            <v>8.8000000000000007</v>
          </cell>
          <cell r="AL30">
            <v>13.6</v>
          </cell>
          <cell r="AM30">
            <v>1000</v>
          </cell>
          <cell r="AN30">
            <v>1000</v>
          </cell>
          <cell r="AO30">
            <v>500</v>
          </cell>
          <cell r="AP30">
            <v>0.95</v>
          </cell>
          <cell r="AQ30">
            <v>95</v>
          </cell>
          <cell r="AR30">
            <v>0</v>
          </cell>
          <cell r="AS30" t="e">
            <v>#DIV/0!</v>
          </cell>
          <cell r="AT30">
            <v>0</v>
          </cell>
          <cell r="AU30">
            <v>1</v>
          </cell>
        </row>
        <row r="31">
          <cell r="A31" t="str">
            <v>Forestal Azul</v>
          </cell>
          <cell r="B31" t="str">
            <v>Aviacion_kue_1</v>
          </cell>
          <cell r="D31">
            <v>0</v>
          </cell>
          <cell r="E31" t="str">
            <v>Aviacion_kue_1_0</v>
          </cell>
          <cell r="H31" t="str">
            <v>Plantation clon G 0</v>
          </cell>
          <cell r="I31">
            <v>43344</v>
          </cell>
          <cell r="K31" t="str">
            <v>2020-12-01 20:35:45</v>
          </cell>
          <cell r="L31">
            <v>2.25</v>
          </cell>
          <cell r="M31" t="str">
            <v>Aviacion kue-6</v>
          </cell>
          <cell r="N31">
            <v>5</v>
          </cell>
          <cell r="O31">
            <v>5</v>
          </cell>
          <cell r="P31">
            <v>20</v>
          </cell>
          <cell r="Q31">
            <v>279.99999999999994</v>
          </cell>
          <cell r="R31" t="str">
            <v>G 0</v>
          </cell>
          <cell r="S31">
            <v>42.5</v>
          </cell>
          <cell r="T31">
            <v>714</v>
          </cell>
          <cell r="U31">
            <v>541672.255</v>
          </cell>
          <cell r="V31">
            <v>7349506.1780000003</v>
          </cell>
          <cell r="W31" t="str">
            <v>NaN</v>
          </cell>
          <cell r="X31">
            <v>1</v>
          </cell>
          <cell r="Y31">
            <v>6.0666117636227401</v>
          </cell>
          <cell r="Z31">
            <v>6.0666117636227401</v>
          </cell>
          <cell r="AA31">
            <v>29.26163210757543</v>
          </cell>
          <cell r="AB31">
            <v>0</v>
          </cell>
          <cell r="AC31">
            <v>11.663157894736841</v>
          </cell>
          <cell r="AD31">
            <v>1.6351046607058504</v>
          </cell>
          <cell r="AE31">
            <v>12.058474008109901</v>
          </cell>
          <cell r="AF31">
            <v>8.1999999999999993</v>
          </cell>
          <cell r="AG31">
            <v>14.2</v>
          </cell>
          <cell r="AH31">
            <v>10.542105263157895</v>
          </cell>
          <cell r="AI31">
            <v>1.6866521045068608</v>
          </cell>
          <cell r="AJ31">
            <v>11.046042842809522</v>
          </cell>
          <cell r="AK31">
            <v>7.6</v>
          </cell>
          <cell r="AL31">
            <v>13.6</v>
          </cell>
          <cell r="AM31">
            <v>678.57142857142867</v>
          </cell>
          <cell r="AN31">
            <v>678.57142857142867</v>
          </cell>
          <cell r="AO31">
            <v>0</v>
          </cell>
          <cell r="AP31">
            <v>0.94736842105263153</v>
          </cell>
          <cell r="AQ31">
            <v>94.73684210526315</v>
          </cell>
          <cell r="AR31">
            <v>0</v>
          </cell>
          <cell r="AS31" t="e">
            <v>#DIV/0!</v>
          </cell>
          <cell r="AT31">
            <v>0</v>
          </cell>
          <cell r="AU31">
            <v>1</v>
          </cell>
        </row>
        <row r="32">
          <cell r="A32" t="str">
            <v>Forestal Azul</v>
          </cell>
          <cell r="B32" t="str">
            <v>Aviacion_kue_1</v>
          </cell>
          <cell r="D32">
            <v>0</v>
          </cell>
          <cell r="E32" t="str">
            <v>Aviacion_kue_1_0</v>
          </cell>
          <cell r="H32" t="str">
            <v>Plantation clon G 0</v>
          </cell>
          <cell r="I32">
            <v>43344</v>
          </cell>
          <cell r="K32" t="str">
            <v>2020-12-01 20:35:25</v>
          </cell>
          <cell r="L32">
            <v>2.25</v>
          </cell>
          <cell r="M32" t="str">
            <v>Aviacion kue-1</v>
          </cell>
          <cell r="N32">
            <v>1</v>
          </cell>
          <cell r="O32">
            <v>1</v>
          </cell>
          <cell r="P32">
            <v>20</v>
          </cell>
          <cell r="Q32">
            <v>279.99999999999994</v>
          </cell>
          <cell r="R32" t="str">
            <v>G 0</v>
          </cell>
          <cell r="S32">
            <v>42.5</v>
          </cell>
          <cell r="T32">
            <v>714</v>
          </cell>
          <cell r="U32">
            <v>541785.8382</v>
          </cell>
          <cell r="V32">
            <v>7349719.3535000002</v>
          </cell>
          <cell r="W32" t="str">
            <v>NaN</v>
          </cell>
          <cell r="X32">
            <v>1</v>
          </cell>
          <cell r="Y32">
            <v>6.378330684688307</v>
          </cell>
          <cell r="Z32">
            <v>6.378330684688307</v>
          </cell>
          <cell r="AA32">
            <v>38.345159054338126</v>
          </cell>
          <cell r="AB32">
            <v>0</v>
          </cell>
          <cell r="AC32">
            <v>15.023076923076927</v>
          </cell>
          <cell r="AD32">
            <v>0.58900176308995633</v>
          </cell>
          <cell r="AE32">
            <v>15.029464976780186</v>
          </cell>
          <cell r="AF32">
            <v>14.3</v>
          </cell>
          <cell r="AG32">
            <v>16.3</v>
          </cell>
          <cell r="AH32">
            <v>13.200000000000005</v>
          </cell>
          <cell r="AI32">
            <v>0.85634883857767508</v>
          </cell>
          <cell r="AJ32">
            <v>13.299702716014638</v>
          </cell>
          <cell r="AK32">
            <v>11.3</v>
          </cell>
          <cell r="AL32">
            <v>14.3</v>
          </cell>
          <cell r="AM32">
            <v>464.28571428571439</v>
          </cell>
          <cell r="AN32">
            <v>464.28571428571439</v>
          </cell>
          <cell r="AO32">
            <v>0</v>
          </cell>
          <cell r="AP32">
            <v>1</v>
          </cell>
          <cell r="AQ32">
            <v>100</v>
          </cell>
          <cell r="AR32">
            <v>0</v>
          </cell>
          <cell r="AS32" t="e">
            <v>#DIV/0!</v>
          </cell>
          <cell r="AT32">
            <v>0</v>
          </cell>
          <cell r="AU32">
            <v>1</v>
          </cell>
        </row>
        <row r="33">
          <cell r="A33" t="str">
            <v>Forestal Azul</v>
          </cell>
          <cell r="B33" t="str">
            <v>Aviacion_kue_1</v>
          </cell>
          <cell r="D33">
            <v>0</v>
          </cell>
          <cell r="E33" t="str">
            <v>Aviacion_kue_1_0</v>
          </cell>
          <cell r="H33" t="str">
            <v>Plantation clon G 0</v>
          </cell>
          <cell r="I33">
            <v>43344</v>
          </cell>
          <cell r="K33" t="str">
            <v>2020-12-03 20:41:36</v>
          </cell>
          <cell r="L33">
            <v>2.25</v>
          </cell>
          <cell r="M33" t="str">
            <v>Aviacion kue-4</v>
          </cell>
          <cell r="N33">
            <v>4</v>
          </cell>
          <cell r="O33">
            <v>4</v>
          </cell>
          <cell r="P33">
            <v>20</v>
          </cell>
          <cell r="Q33">
            <v>279.99999999999994</v>
          </cell>
          <cell r="R33" t="str">
            <v>G 0</v>
          </cell>
          <cell r="S33">
            <v>42.5</v>
          </cell>
          <cell r="T33">
            <v>714</v>
          </cell>
          <cell r="U33">
            <v>541578.63549999997</v>
          </cell>
          <cell r="V33">
            <v>7349768.5815000003</v>
          </cell>
          <cell r="W33" t="str">
            <v>NaN</v>
          </cell>
          <cell r="X33">
            <v>1</v>
          </cell>
          <cell r="Y33">
            <v>7.7928608269015198</v>
          </cell>
          <cell r="Z33">
            <v>7.5234692568561945</v>
          </cell>
          <cell r="AA33">
            <v>41.113318443177334</v>
          </cell>
          <cell r="AB33">
            <v>0</v>
          </cell>
          <cell r="AC33">
            <v>13.535294117647057</v>
          </cell>
          <cell r="AD33">
            <v>0.90894250125529685</v>
          </cell>
          <cell r="AE33">
            <v>13.189417646614183</v>
          </cell>
          <cell r="AF33">
            <v>11.1</v>
          </cell>
          <cell r="AG33">
            <v>15.1</v>
          </cell>
          <cell r="AH33">
            <v>12.338888888888889</v>
          </cell>
          <cell r="AI33">
            <v>1.3900909830570354</v>
          </cell>
          <cell r="AJ33">
            <v>12.333382645660334</v>
          </cell>
          <cell r="AK33">
            <v>10.3</v>
          </cell>
          <cell r="AL33">
            <v>14.7</v>
          </cell>
          <cell r="AM33">
            <v>642.857142857143</v>
          </cell>
          <cell r="AN33">
            <v>607.14285714285734</v>
          </cell>
          <cell r="AO33">
            <v>0</v>
          </cell>
          <cell r="AP33">
            <v>0.1111111111111111</v>
          </cell>
          <cell r="AQ33">
            <v>5.8823529411764701</v>
          </cell>
          <cell r="AR33">
            <v>0</v>
          </cell>
          <cell r="AS33" t="e">
            <v>#DIV/0!</v>
          </cell>
          <cell r="AT33">
            <v>0</v>
          </cell>
          <cell r="AU33">
            <v>1</v>
          </cell>
        </row>
        <row r="34">
          <cell r="A34" t="str">
            <v>Forestal Azul</v>
          </cell>
          <cell r="B34" t="str">
            <v>Aviacion_kue_1</v>
          </cell>
          <cell r="D34">
            <v>0</v>
          </cell>
          <cell r="E34" t="str">
            <v>Aviacion_kue_1_0</v>
          </cell>
          <cell r="H34" t="str">
            <v>Plantation clon G 0</v>
          </cell>
          <cell r="I34">
            <v>43344</v>
          </cell>
          <cell r="K34" t="str">
            <v>2020-12-01 20:34:30</v>
          </cell>
          <cell r="L34">
            <v>2.25</v>
          </cell>
          <cell r="M34" t="str">
            <v>Aviacion kue-3</v>
          </cell>
          <cell r="N34">
            <v>3</v>
          </cell>
          <cell r="O34">
            <v>3</v>
          </cell>
          <cell r="P34">
            <v>20</v>
          </cell>
          <cell r="Q34">
            <v>279.99999999999994</v>
          </cell>
          <cell r="R34" t="str">
            <v>G 0</v>
          </cell>
          <cell r="S34">
            <v>42.5</v>
          </cell>
          <cell r="T34">
            <v>714</v>
          </cell>
          <cell r="U34">
            <v>541624.41280000005</v>
          </cell>
          <cell r="V34">
            <v>7350159.1665000003</v>
          </cell>
          <cell r="W34" t="str">
            <v>NaN</v>
          </cell>
          <cell r="X34">
            <v>1</v>
          </cell>
          <cell r="Y34">
            <v>8.0027023862006708</v>
          </cell>
          <cell r="Z34">
            <v>7.8094663880704935</v>
          </cell>
          <cell r="AA34">
            <v>42.027615031154184</v>
          </cell>
          <cell r="AB34">
            <v>0</v>
          </cell>
          <cell r="AC34">
            <v>13.310526315789474</v>
          </cell>
          <cell r="AD34">
            <v>2.1110541697460796</v>
          </cell>
          <cell r="AE34">
            <v>13.129194677920241</v>
          </cell>
          <cell r="AF34">
            <v>7.1</v>
          </cell>
          <cell r="AG34">
            <v>15.4</v>
          </cell>
          <cell r="AH34">
            <v>11.859999999999998</v>
          </cell>
          <cell r="AI34">
            <v>1.2130624336101818</v>
          </cell>
          <cell r="AJ34">
            <v>11.972055926702232</v>
          </cell>
          <cell r="AK34">
            <v>9</v>
          </cell>
          <cell r="AL34">
            <v>14</v>
          </cell>
          <cell r="AM34">
            <v>714.28571428571445</v>
          </cell>
          <cell r="AN34">
            <v>678.57142857142867</v>
          </cell>
          <cell r="AO34">
            <v>0</v>
          </cell>
          <cell r="AP34">
            <v>1</v>
          </cell>
          <cell r="AQ34">
            <v>100</v>
          </cell>
          <cell r="AR34">
            <v>0.05</v>
          </cell>
          <cell r="AS34" t="e">
            <v>#DIV/0!</v>
          </cell>
          <cell r="AT34">
            <v>0</v>
          </cell>
          <cell r="AU34">
            <v>1</v>
          </cell>
        </row>
        <row r="35">
          <cell r="A35" t="str">
            <v>Forestal Azul</v>
          </cell>
          <cell r="B35" t="str">
            <v>Aviacion_kue_1</v>
          </cell>
          <cell r="D35">
            <v>0</v>
          </cell>
          <cell r="E35" t="str">
            <v>Aviacion_kue_1_0</v>
          </cell>
          <cell r="H35" t="str">
            <v>Plantation clon G 0</v>
          </cell>
          <cell r="I35">
            <v>43344</v>
          </cell>
          <cell r="K35" t="str">
            <v>2020-12-01 20:34:52</v>
          </cell>
          <cell r="L35">
            <v>2.25</v>
          </cell>
          <cell r="M35" t="str">
            <v>Aviacion kue-2</v>
          </cell>
          <cell r="N35">
            <v>2</v>
          </cell>
          <cell r="O35">
            <v>2</v>
          </cell>
          <cell r="P35">
            <v>20</v>
          </cell>
          <cell r="Q35">
            <v>279.99999999999994</v>
          </cell>
          <cell r="R35" t="str">
            <v>G 0</v>
          </cell>
          <cell r="S35">
            <v>42.5</v>
          </cell>
          <cell r="T35">
            <v>714</v>
          </cell>
          <cell r="U35">
            <v>541688.85759999999</v>
          </cell>
          <cell r="V35">
            <v>7350008.3219999997</v>
          </cell>
          <cell r="W35" t="str">
            <v>NaN</v>
          </cell>
          <cell r="X35">
            <v>1</v>
          </cell>
          <cell r="Y35">
            <v>9.1091039989524187</v>
          </cell>
          <cell r="Z35">
            <v>8.787960299926084</v>
          </cell>
          <cell r="AA35">
            <v>53.091816288238768</v>
          </cell>
          <cell r="AB35">
            <v>0</v>
          </cell>
          <cell r="AC35">
            <v>15.016666666666667</v>
          </cell>
          <cell r="AD35">
            <v>0.66177124179778934</v>
          </cell>
          <cell r="AE35">
            <v>14.571086325928572</v>
          </cell>
          <cell r="AF35">
            <v>14</v>
          </cell>
          <cell r="AG35">
            <v>16.2</v>
          </cell>
          <cell r="AH35">
            <v>13.010526315789473</v>
          </cell>
          <cell r="AI35">
            <v>1.2276897907135262</v>
          </cell>
          <cell r="AJ35">
            <v>12.880003756782228</v>
          </cell>
          <cell r="AK35">
            <v>10.8</v>
          </cell>
          <cell r="AL35">
            <v>15.2</v>
          </cell>
          <cell r="AM35">
            <v>678.57142857142867</v>
          </cell>
          <cell r="AN35">
            <v>642.857142857143</v>
          </cell>
          <cell r="AO35">
            <v>0</v>
          </cell>
          <cell r="AP35">
            <v>1</v>
          </cell>
          <cell r="AQ35">
            <v>100</v>
          </cell>
          <cell r="AR35">
            <v>5.2631578947368418E-2</v>
          </cell>
          <cell r="AS35" t="e">
            <v>#DIV/0!</v>
          </cell>
          <cell r="AT35">
            <v>0</v>
          </cell>
          <cell r="AU35">
            <v>1</v>
          </cell>
        </row>
        <row r="36">
          <cell r="A36" t="str">
            <v>Forestal Azul</v>
          </cell>
          <cell r="B36" t="str">
            <v>Aviacion_kue_2</v>
          </cell>
          <cell r="D36">
            <v>0</v>
          </cell>
          <cell r="E36" t="str">
            <v>Aviacion_kue_2_0</v>
          </cell>
          <cell r="H36" t="str">
            <v>Plantation clon G 0</v>
          </cell>
          <cell r="I36">
            <v>43556</v>
          </cell>
          <cell r="K36" t="str">
            <v>2020-12-04 15:28:28</v>
          </cell>
          <cell r="L36">
            <v>1.6666666666666667</v>
          </cell>
          <cell r="M36" t="str">
            <v>Aviacion kue-8</v>
          </cell>
          <cell r="N36">
            <v>3</v>
          </cell>
          <cell r="O36">
            <v>3</v>
          </cell>
          <cell r="P36">
            <v>20</v>
          </cell>
          <cell r="Q36">
            <v>279.99999999999994</v>
          </cell>
          <cell r="R36" t="str">
            <v>G 0</v>
          </cell>
          <cell r="S36">
            <v>11.5</v>
          </cell>
          <cell r="T36">
            <v>714</v>
          </cell>
          <cell r="U36" t="e">
            <v>#N/A</v>
          </cell>
          <cell r="V36" t="e">
            <v>#N/A</v>
          </cell>
          <cell r="W36" t="str">
            <v>NaN</v>
          </cell>
          <cell r="X36">
            <v>1</v>
          </cell>
          <cell r="Y36">
            <v>3.8066565983809904</v>
          </cell>
          <cell r="Z36">
            <v>3.7056768345156041</v>
          </cell>
          <cell r="AA36">
            <v>15.199489764981202</v>
          </cell>
          <cell r="AB36">
            <v>0</v>
          </cell>
          <cell r="AC36">
            <v>10.178571428571429</v>
          </cell>
          <cell r="AD36">
            <v>0.71594861378622521</v>
          </cell>
          <cell r="AE36">
            <v>9.9821781740476005</v>
          </cell>
          <cell r="AF36">
            <v>8.5</v>
          </cell>
          <cell r="AG36">
            <v>11.2</v>
          </cell>
          <cell r="AH36">
            <v>9.4266666666666694</v>
          </cell>
          <cell r="AI36">
            <v>0.94415495096333169</v>
          </cell>
          <cell r="AJ36">
            <v>9.5803861174563387</v>
          </cell>
          <cell r="AK36">
            <v>8.1999999999999993</v>
          </cell>
          <cell r="AL36">
            <v>11</v>
          </cell>
          <cell r="AM36">
            <v>535.71428571428578</v>
          </cell>
          <cell r="AN36">
            <v>500.00000000000011</v>
          </cell>
          <cell r="AO36">
            <v>0</v>
          </cell>
          <cell r="AP36">
            <v>0.26666666666666666</v>
          </cell>
          <cell r="AQ36">
            <v>28.571428571428569</v>
          </cell>
          <cell r="AR36">
            <v>6.6666666666666666E-2</v>
          </cell>
          <cell r="AS36" t="e">
            <v>#DIV/0!</v>
          </cell>
          <cell r="AT36">
            <v>0</v>
          </cell>
          <cell r="AU36">
            <v>1</v>
          </cell>
        </row>
        <row r="37">
          <cell r="A37" t="str">
            <v>Forestal Azul</v>
          </cell>
          <cell r="B37" t="str">
            <v>Aviacion_kue_2</v>
          </cell>
          <cell r="D37">
            <v>0</v>
          </cell>
          <cell r="E37" t="str">
            <v>Aviacion_kue_2_0</v>
          </cell>
          <cell r="H37" t="str">
            <v>Plantation clon G 0</v>
          </cell>
          <cell r="I37">
            <v>43556</v>
          </cell>
          <cell r="K37" t="str">
            <v>2020-12-04 15:28:17</v>
          </cell>
          <cell r="L37">
            <v>1.6666666666666667</v>
          </cell>
          <cell r="M37" t="str">
            <v>Aviacion kue-5</v>
          </cell>
          <cell r="N37">
            <v>1</v>
          </cell>
          <cell r="O37">
            <v>1</v>
          </cell>
          <cell r="P37">
            <v>20</v>
          </cell>
          <cell r="Q37">
            <v>279.99999999999994</v>
          </cell>
          <cell r="R37" t="str">
            <v>G 0</v>
          </cell>
          <cell r="S37">
            <v>11.5</v>
          </cell>
          <cell r="T37">
            <v>714</v>
          </cell>
          <cell r="U37" t="e">
            <v>#N/A</v>
          </cell>
          <cell r="V37" t="e">
            <v>#N/A</v>
          </cell>
          <cell r="W37" t="str">
            <v>NaN</v>
          </cell>
          <cell r="X37">
            <v>1</v>
          </cell>
          <cell r="Y37">
            <v>4.1097361396491836</v>
          </cell>
          <cell r="Z37">
            <v>3.51067369051778</v>
          </cell>
          <cell r="AA37">
            <v>14.53698173021318</v>
          </cell>
          <cell r="AB37">
            <v>0</v>
          </cell>
          <cell r="AC37">
            <v>10.34</v>
          </cell>
          <cell r="AD37">
            <v>1.3911968126144381</v>
          </cell>
          <cell r="AE37">
            <v>8.8430140258676602</v>
          </cell>
          <cell r="AF37">
            <v>8.9</v>
          </cell>
          <cell r="AG37">
            <v>13.2</v>
          </cell>
          <cell r="AH37">
            <v>8.7000000000000011</v>
          </cell>
          <cell r="AI37">
            <v>0.89639489597152966</v>
          </cell>
          <cell r="AJ37">
            <v>7.909046855270792</v>
          </cell>
          <cell r="AK37">
            <v>7.8</v>
          </cell>
          <cell r="AL37">
            <v>10.6</v>
          </cell>
          <cell r="AM37">
            <v>678.57142857142867</v>
          </cell>
          <cell r="AN37">
            <v>535.71428571428578</v>
          </cell>
          <cell r="AO37">
            <v>0</v>
          </cell>
          <cell r="AP37">
            <v>0.42105263157894735</v>
          </cell>
          <cell r="AQ37">
            <v>40</v>
          </cell>
          <cell r="AR37">
            <v>0</v>
          </cell>
          <cell r="AS37" t="e">
            <v>#DIV/0!</v>
          </cell>
          <cell r="AT37">
            <v>0</v>
          </cell>
          <cell r="AU37">
            <v>1</v>
          </cell>
        </row>
        <row r="38">
          <cell r="A38" t="str">
            <v>Forestal Azul</v>
          </cell>
          <cell r="B38" t="str">
            <v>Aviacion_kue_2</v>
          </cell>
          <cell r="D38">
            <v>0</v>
          </cell>
          <cell r="E38" t="str">
            <v>Aviacion_kue_2_0</v>
          </cell>
          <cell r="H38" t="str">
            <v>Plantation clon G 0</v>
          </cell>
          <cell r="I38">
            <v>43556</v>
          </cell>
          <cell r="K38" t="str">
            <v>2020-12-04 15:28:32</v>
          </cell>
          <cell r="L38">
            <v>1.6666666666666667</v>
          </cell>
          <cell r="M38" t="str">
            <v>Aviacion kue-7</v>
          </cell>
          <cell r="N38">
            <v>2</v>
          </cell>
          <cell r="O38">
            <v>2</v>
          </cell>
          <cell r="P38">
            <v>20</v>
          </cell>
          <cell r="Q38">
            <v>279.99999999999994</v>
          </cell>
          <cell r="R38" t="str">
            <v>G 0</v>
          </cell>
          <cell r="S38">
            <v>11.5</v>
          </cell>
          <cell r="T38">
            <v>714</v>
          </cell>
          <cell r="U38" t="e">
            <v>#N/A</v>
          </cell>
          <cell r="V38" t="e">
            <v>#N/A</v>
          </cell>
          <cell r="W38" t="str">
            <v>NaN</v>
          </cell>
          <cell r="X38">
            <v>1</v>
          </cell>
          <cell r="Y38">
            <v>4.4447645562070113</v>
          </cell>
          <cell r="Z38">
            <v>4.1928761452316863</v>
          </cell>
          <cell r="AA38">
            <v>16.310744016385367</v>
          </cell>
          <cell r="AB38">
            <v>0</v>
          </cell>
          <cell r="AC38">
            <v>9.6666666666666643</v>
          </cell>
          <cell r="AD38">
            <v>0.80877539963751588</v>
          </cell>
          <cell r="AE38">
            <v>9.1741327409613813</v>
          </cell>
          <cell r="AF38">
            <v>8.4</v>
          </cell>
          <cell r="AG38">
            <v>11.3</v>
          </cell>
          <cell r="AH38">
            <v>8.8550000000000004</v>
          </cell>
          <cell r="AI38">
            <v>0.59554445897378583</v>
          </cell>
          <cell r="AJ38">
            <v>8.6482213064578186</v>
          </cell>
          <cell r="AK38">
            <v>8.1</v>
          </cell>
          <cell r="AL38">
            <v>10.1</v>
          </cell>
          <cell r="AM38">
            <v>714.28571428571445</v>
          </cell>
          <cell r="AN38">
            <v>642.857142857143</v>
          </cell>
          <cell r="AO38">
            <v>0</v>
          </cell>
          <cell r="AP38">
            <v>0.25</v>
          </cell>
          <cell r="AQ38">
            <v>27.777777777777779</v>
          </cell>
          <cell r="AR38">
            <v>0</v>
          </cell>
          <cell r="AS38" t="e">
            <v>#DIV/0!</v>
          </cell>
          <cell r="AT38">
            <v>0</v>
          </cell>
          <cell r="AU38">
            <v>1</v>
          </cell>
        </row>
        <row r="39">
          <cell r="A39" t="str">
            <v>Forestal Azul</v>
          </cell>
          <cell r="B39" t="str">
            <v>Chavez</v>
          </cell>
          <cell r="D39">
            <v>0</v>
          </cell>
          <cell r="E39" t="str">
            <v>Chavez_0</v>
          </cell>
          <cell r="H39" t="str">
            <v>Plantation clon G 0</v>
          </cell>
          <cell r="I39">
            <v>43374</v>
          </cell>
          <cell r="K39" t="str">
            <v>2020-12-01 20:40:48</v>
          </cell>
          <cell r="L39">
            <v>2.1666666666666665</v>
          </cell>
          <cell r="M39" t="str">
            <v>Chavez-2</v>
          </cell>
          <cell r="N39">
            <v>2</v>
          </cell>
          <cell r="O39">
            <v>2</v>
          </cell>
          <cell r="P39">
            <v>20</v>
          </cell>
          <cell r="Q39">
            <v>279.99999999999994</v>
          </cell>
          <cell r="R39" t="str">
            <v>G 0</v>
          </cell>
          <cell r="S39">
            <v>25.5</v>
          </cell>
          <cell r="T39">
            <v>714</v>
          </cell>
          <cell r="U39">
            <v>543490.70155</v>
          </cell>
          <cell r="V39">
            <v>7348891.5480000004</v>
          </cell>
          <cell r="W39" t="str">
            <v>NaN</v>
          </cell>
          <cell r="X39">
            <v>1</v>
          </cell>
          <cell r="Y39">
            <v>2.7889769281587466</v>
          </cell>
          <cell r="Z39">
            <v>2.7889769281587466</v>
          </cell>
          <cell r="AA39">
            <v>11.43184838136567</v>
          </cell>
          <cell r="AB39">
            <v>0</v>
          </cell>
          <cell r="AC39">
            <v>10.045454545454545</v>
          </cell>
          <cell r="AD39">
            <v>0.85248300436271041</v>
          </cell>
          <cell r="AE39">
            <v>10.247349364873427</v>
          </cell>
          <cell r="AF39">
            <v>8.3000000000000007</v>
          </cell>
          <cell r="AG39">
            <v>10.9</v>
          </cell>
          <cell r="AH39">
            <v>9.4090909090909083</v>
          </cell>
          <cell r="AI39">
            <v>1.4300031786360072</v>
          </cell>
          <cell r="AJ39">
            <v>9.7809703406450836</v>
          </cell>
          <cell r="AK39">
            <v>6.8</v>
          </cell>
          <cell r="AL39">
            <v>11.3</v>
          </cell>
          <cell r="AM39">
            <v>392.85714285714295</v>
          </cell>
          <cell r="AN39">
            <v>392.85714285714295</v>
          </cell>
          <cell r="AO39">
            <v>0</v>
          </cell>
          <cell r="AP39">
            <v>1</v>
          </cell>
          <cell r="AQ39">
            <v>100</v>
          </cell>
          <cell r="AR39">
            <v>0</v>
          </cell>
          <cell r="AS39" t="e">
            <v>#DIV/0!</v>
          </cell>
          <cell r="AT39">
            <v>0</v>
          </cell>
          <cell r="AU39">
            <v>1</v>
          </cell>
        </row>
        <row r="40">
          <cell r="A40" t="str">
            <v>Forestal Azul</v>
          </cell>
          <cell r="B40" t="str">
            <v>Chavez</v>
          </cell>
          <cell r="D40">
            <v>0</v>
          </cell>
          <cell r="E40" t="str">
            <v>Chavez_0</v>
          </cell>
          <cell r="H40" t="str">
            <v>Plantation clon G 0</v>
          </cell>
          <cell r="I40">
            <v>43374</v>
          </cell>
          <cell r="K40" t="str">
            <v>2020-12-01 20:40:14</v>
          </cell>
          <cell r="L40">
            <v>2.1666666666666665</v>
          </cell>
          <cell r="M40" t="str">
            <v>Chavez-1</v>
          </cell>
          <cell r="N40">
            <v>1</v>
          </cell>
          <cell r="O40">
            <v>1</v>
          </cell>
          <cell r="P40">
            <v>20</v>
          </cell>
          <cell r="Q40">
            <v>279.99999999999994</v>
          </cell>
          <cell r="R40" t="str">
            <v>G 0</v>
          </cell>
          <cell r="S40">
            <v>25.5</v>
          </cell>
          <cell r="T40">
            <v>714</v>
          </cell>
          <cell r="U40">
            <v>543431.56535000005</v>
          </cell>
          <cell r="V40">
            <v>7349052.2604999999</v>
          </cell>
          <cell r="W40" t="str">
            <v>NaN</v>
          </cell>
          <cell r="X40">
            <v>1</v>
          </cell>
          <cell r="Y40">
            <v>3.5251755066062263</v>
          </cell>
          <cell r="Z40">
            <v>3.5251755066062263</v>
          </cell>
          <cell r="AA40">
            <v>14.178116479396239</v>
          </cell>
          <cell r="AB40">
            <v>0</v>
          </cell>
          <cell r="AC40">
            <v>9.7733333333333334</v>
          </cell>
          <cell r="AD40">
            <v>1.2360459230180476</v>
          </cell>
          <cell r="AE40">
            <v>10.054901133877063</v>
          </cell>
          <cell r="AF40">
            <v>7.1</v>
          </cell>
          <cell r="AG40">
            <v>11.2</v>
          </cell>
          <cell r="AH40">
            <v>8.9666666666666668</v>
          </cell>
          <cell r="AI40">
            <v>1.9036306164299599</v>
          </cell>
          <cell r="AJ40">
            <v>9.6961965386910691</v>
          </cell>
          <cell r="AK40">
            <v>5.6</v>
          </cell>
          <cell r="AL40">
            <v>13</v>
          </cell>
          <cell r="AM40">
            <v>535.71428571428578</v>
          </cell>
          <cell r="AN40">
            <v>535.71428571428578</v>
          </cell>
          <cell r="AO40">
            <v>0</v>
          </cell>
          <cell r="AP40">
            <v>1</v>
          </cell>
          <cell r="AQ40">
            <v>100</v>
          </cell>
          <cell r="AR40">
            <v>0</v>
          </cell>
          <cell r="AS40" t="e">
            <v>#DIV/0!</v>
          </cell>
          <cell r="AT40">
            <v>0</v>
          </cell>
          <cell r="AU40">
            <v>1</v>
          </cell>
        </row>
        <row r="41">
          <cell r="A41" t="str">
            <v>Forestal Azul</v>
          </cell>
          <cell r="B41" t="str">
            <v>Chavez</v>
          </cell>
          <cell r="D41">
            <v>0</v>
          </cell>
          <cell r="E41" t="str">
            <v>Chavez_0</v>
          </cell>
          <cell r="H41" t="str">
            <v>Plantation clon G 0</v>
          </cell>
          <cell r="I41">
            <v>43374</v>
          </cell>
          <cell r="K41" t="str">
            <v>2020-12-01 20:43:38</v>
          </cell>
          <cell r="L41">
            <v>2.1666666666666665</v>
          </cell>
          <cell r="M41" t="str">
            <v>Chavez-4</v>
          </cell>
          <cell r="N41">
            <v>4</v>
          </cell>
          <cell r="O41">
            <v>4</v>
          </cell>
          <cell r="P41">
            <v>20</v>
          </cell>
          <cell r="Q41">
            <v>279.99999999999994</v>
          </cell>
          <cell r="R41" t="str">
            <v>G 0</v>
          </cell>
          <cell r="S41">
            <v>25.5</v>
          </cell>
          <cell r="T41">
            <v>714</v>
          </cell>
          <cell r="U41">
            <v>543294.13699999999</v>
          </cell>
          <cell r="V41">
            <v>7349279.4840000002</v>
          </cell>
          <cell r="W41" t="str">
            <v>NaN</v>
          </cell>
          <cell r="X41">
            <v>1</v>
          </cell>
          <cell r="Y41">
            <v>4.483753965032812</v>
          </cell>
          <cell r="Z41">
            <v>4.483753965032812</v>
          </cell>
          <cell r="AA41">
            <v>22.605667660115621</v>
          </cell>
          <cell r="AB41">
            <v>0</v>
          </cell>
          <cell r="AC41">
            <v>12.469230769230766</v>
          </cell>
          <cell r="AD41">
            <v>1.3155383026126881</v>
          </cell>
          <cell r="AE41">
            <v>12.60420834662713</v>
          </cell>
          <cell r="AF41">
            <v>8.9</v>
          </cell>
          <cell r="AG41">
            <v>14</v>
          </cell>
          <cell r="AH41">
            <v>11.023076923076925</v>
          </cell>
          <cell r="AI41">
            <v>1.2544280543696902</v>
          </cell>
          <cell r="AJ41">
            <v>11.28522730827218</v>
          </cell>
          <cell r="AK41">
            <v>8.6999999999999993</v>
          </cell>
          <cell r="AL41">
            <v>13.5</v>
          </cell>
          <cell r="AM41">
            <v>464.28571428571439</v>
          </cell>
          <cell r="AN41">
            <v>464.28571428571439</v>
          </cell>
          <cell r="AO41">
            <v>0</v>
          </cell>
          <cell r="AP41">
            <v>1</v>
          </cell>
          <cell r="AQ41">
            <v>100</v>
          </cell>
          <cell r="AR41">
            <v>0</v>
          </cell>
          <cell r="AS41" t="e">
            <v>#DIV/0!</v>
          </cell>
          <cell r="AT41">
            <v>0</v>
          </cell>
          <cell r="AU41">
            <v>1</v>
          </cell>
        </row>
        <row r="42">
          <cell r="A42" t="str">
            <v>Forestal Azul</v>
          </cell>
          <cell r="B42" t="str">
            <v>Chavez</v>
          </cell>
          <cell r="D42">
            <v>0</v>
          </cell>
          <cell r="E42" t="str">
            <v>Chavez_0</v>
          </cell>
          <cell r="H42" t="str">
            <v>Plantation clon G 0</v>
          </cell>
          <cell r="I42">
            <v>43374</v>
          </cell>
          <cell r="K42" t="str">
            <v>2020-12-01 20:41:16</v>
          </cell>
          <cell r="L42">
            <v>2.1666666666666665</v>
          </cell>
          <cell r="M42" t="str">
            <v>Chavez-3</v>
          </cell>
          <cell r="N42">
            <v>3</v>
          </cell>
          <cell r="O42">
            <v>3</v>
          </cell>
          <cell r="P42">
            <v>20</v>
          </cell>
          <cell r="Q42">
            <v>279.99999999999994</v>
          </cell>
          <cell r="R42" t="str">
            <v>G 0</v>
          </cell>
          <cell r="S42">
            <v>25.5</v>
          </cell>
          <cell r="T42">
            <v>714</v>
          </cell>
          <cell r="U42">
            <v>543199.66940000001</v>
          </cell>
          <cell r="V42">
            <v>7348937.2785</v>
          </cell>
          <cell r="W42" t="str">
            <v>NaN</v>
          </cell>
          <cell r="X42">
            <v>1</v>
          </cell>
          <cell r="Y42">
            <v>4.8110966995631061</v>
          </cell>
          <cell r="Z42">
            <v>4.6997665099015178</v>
          </cell>
          <cell r="AA42">
            <v>21.994396757532893</v>
          </cell>
          <cell r="AB42">
            <v>0</v>
          </cell>
          <cell r="AC42">
            <v>11.593333333333332</v>
          </cell>
          <cell r="AD42">
            <v>0.7704049646282205</v>
          </cell>
          <cell r="AE42">
            <v>11.428993289373185</v>
          </cell>
          <cell r="AF42">
            <v>10.5</v>
          </cell>
          <cell r="AG42">
            <v>12.7</v>
          </cell>
          <cell r="AH42">
            <v>10.24375</v>
          </cell>
          <cell r="AI42">
            <v>1.1847041020963025</v>
          </cell>
          <cell r="AJ42">
            <v>10.495278074149219</v>
          </cell>
          <cell r="AK42">
            <v>7.9</v>
          </cell>
          <cell r="AL42">
            <v>12.3</v>
          </cell>
          <cell r="AM42">
            <v>571.42857142857156</v>
          </cell>
          <cell r="AN42">
            <v>535.71428571428578</v>
          </cell>
          <cell r="AO42">
            <v>0</v>
          </cell>
          <cell r="AP42">
            <v>0.9375</v>
          </cell>
          <cell r="AQ42">
            <v>93.333333333333329</v>
          </cell>
          <cell r="AR42">
            <v>6.25E-2</v>
          </cell>
          <cell r="AS42" t="e">
            <v>#DIV/0!</v>
          </cell>
          <cell r="AT42">
            <v>0</v>
          </cell>
          <cell r="AU42">
            <v>1</v>
          </cell>
        </row>
        <row r="43">
          <cell r="A43" t="str">
            <v>Forestal Azul</v>
          </cell>
          <cell r="B43" t="str">
            <v>Diaz_de_espada</v>
          </cell>
          <cell r="D43">
            <v>0</v>
          </cell>
          <cell r="E43" t="str">
            <v>Diaz_de_espada_0</v>
          </cell>
          <cell r="H43" t="str">
            <v>Plantation clon G 0</v>
          </cell>
          <cell r="I43">
            <v>43556</v>
          </cell>
          <cell r="K43" t="str">
            <v>2020-12-03 20:41:14</v>
          </cell>
          <cell r="L43">
            <v>1.6666666666666667</v>
          </cell>
          <cell r="M43" t="str">
            <v>Diaz de espada-3</v>
          </cell>
          <cell r="N43">
            <v>3</v>
          </cell>
          <cell r="O43">
            <v>3</v>
          </cell>
          <cell r="P43">
            <v>20</v>
          </cell>
          <cell r="Q43">
            <v>279.99999999999994</v>
          </cell>
          <cell r="R43" t="str">
            <v>G 0</v>
          </cell>
          <cell r="S43">
            <v>29.5</v>
          </cell>
          <cell r="T43">
            <v>714</v>
          </cell>
          <cell r="U43" t="e">
            <v>#N/A</v>
          </cell>
          <cell r="V43" t="e">
            <v>#N/A</v>
          </cell>
          <cell r="W43" t="str">
            <v>NaN</v>
          </cell>
          <cell r="X43">
            <v>1</v>
          </cell>
          <cell r="Y43">
            <v>3.8187741700448368</v>
          </cell>
          <cell r="Z43">
            <v>3.5905038038402495</v>
          </cell>
          <cell r="AA43">
            <v>13.574993521760071</v>
          </cell>
          <cell r="AB43">
            <v>0</v>
          </cell>
          <cell r="AC43">
            <v>9.4117647058823533</v>
          </cell>
          <cell r="AD43">
            <v>0.48461628240956839</v>
          </cell>
          <cell r="AE43">
            <v>8.8870098867359069</v>
          </cell>
          <cell r="AF43">
            <v>8.6</v>
          </cell>
          <cell r="AG43">
            <v>10.3</v>
          </cell>
          <cell r="AH43">
            <v>8.3999999999999986</v>
          </cell>
          <cell r="AI43">
            <v>0.5842290042541235</v>
          </cell>
          <cell r="AJ43">
            <v>8.2090346843736679</v>
          </cell>
          <cell r="AK43">
            <v>7.3</v>
          </cell>
          <cell r="AL43">
            <v>9.5</v>
          </cell>
          <cell r="AM43">
            <v>678.57142857142867</v>
          </cell>
          <cell r="AN43">
            <v>607.14285714285734</v>
          </cell>
          <cell r="AO43">
            <v>0</v>
          </cell>
          <cell r="AP43">
            <v>5.2631578947368418E-2</v>
          </cell>
          <cell r="AQ43">
            <v>5.8823529411764701</v>
          </cell>
          <cell r="AR43">
            <v>0</v>
          </cell>
          <cell r="AS43" t="e">
            <v>#DIV/0!</v>
          </cell>
          <cell r="AT43">
            <v>0</v>
          </cell>
          <cell r="AU43">
            <v>1</v>
          </cell>
        </row>
        <row r="44">
          <cell r="A44" t="str">
            <v>Forestal Azul</v>
          </cell>
          <cell r="B44" t="str">
            <v>Diaz_de_espada</v>
          </cell>
          <cell r="D44">
            <v>0</v>
          </cell>
          <cell r="E44" t="str">
            <v>Diaz_de_espada_0</v>
          </cell>
          <cell r="H44" t="str">
            <v>Plantation clon G 0</v>
          </cell>
          <cell r="I44">
            <v>43556</v>
          </cell>
          <cell r="K44" t="str">
            <v>2020-12-03 20:41:16</v>
          </cell>
          <cell r="L44">
            <v>1.6666666666666667</v>
          </cell>
          <cell r="M44" t="str">
            <v>Diaz de espada-1</v>
          </cell>
          <cell r="N44">
            <v>1</v>
          </cell>
          <cell r="O44">
            <v>1</v>
          </cell>
          <cell r="P44">
            <v>20</v>
          </cell>
          <cell r="Q44">
            <v>279.99999999999994</v>
          </cell>
          <cell r="R44" t="str">
            <v>G 0</v>
          </cell>
          <cell r="S44">
            <v>29.5</v>
          </cell>
          <cell r="T44">
            <v>714</v>
          </cell>
          <cell r="U44" t="e">
            <v>#N/A</v>
          </cell>
          <cell r="V44" t="e">
            <v>#N/A</v>
          </cell>
          <cell r="W44" t="str">
            <v>NaN</v>
          </cell>
          <cell r="X44">
            <v>1</v>
          </cell>
          <cell r="Y44">
            <v>4.1711935459350347</v>
          </cell>
          <cell r="Z44">
            <v>3.5466337064276203</v>
          </cell>
          <cell r="AA44">
            <v>13.830431932433948</v>
          </cell>
          <cell r="AB44">
            <v>0</v>
          </cell>
          <cell r="AC44">
            <v>9.7176470588235286</v>
          </cell>
          <cell r="AD44">
            <v>0.62172672264191664</v>
          </cell>
          <cell r="AE44">
            <v>8.2892532917299917</v>
          </cell>
          <cell r="AF44">
            <v>9</v>
          </cell>
          <cell r="AG44">
            <v>10.7</v>
          </cell>
          <cell r="AH44">
            <v>8.6000000000000014</v>
          </cell>
          <cell r="AI44">
            <v>0.66520673478250369</v>
          </cell>
          <cell r="AJ44">
            <v>7.392321762403669</v>
          </cell>
          <cell r="AK44">
            <v>7.3</v>
          </cell>
          <cell r="AL44">
            <v>9.5</v>
          </cell>
          <cell r="AM44">
            <v>714.28571428571445</v>
          </cell>
          <cell r="AN44">
            <v>607.14285714285734</v>
          </cell>
          <cell r="AO44">
            <v>0</v>
          </cell>
          <cell r="AP44">
            <v>0.1</v>
          </cell>
          <cell r="AQ44">
            <v>11.76470588235294</v>
          </cell>
          <cell r="AR44">
            <v>0</v>
          </cell>
          <cell r="AS44" t="e">
            <v>#DIV/0!</v>
          </cell>
          <cell r="AT44">
            <v>0</v>
          </cell>
          <cell r="AU44">
            <v>1</v>
          </cell>
        </row>
        <row r="45">
          <cell r="A45" t="str">
            <v>Forestal Azul</v>
          </cell>
          <cell r="B45" t="str">
            <v>Diaz_de_espada</v>
          </cell>
          <cell r="D45">
            <v>0</v>
          </cell>
          <cell r="E45" t="str">
            <v>Diaz_de_espada_0</v>
          </cell>
          <cell r="H45" t="str">
            <v>Plantation clon G 0</v>
          </cell>
          <cell r="I45">
            <v>43556</v>
          </cell>
          <cell r="K45" t="str">
            <v>2020-12-03 20:40:55</v>
          </cell>
          <cell r="L45">
            <v>1.6666666666666667</v>
          </cell>
          <cell r="M45" t="str">
            <v>Diaz de espada-4</v>
          </cell>
          <cell r="N45">
            <v>4</v>
          </cell>
          <cell r="O45">
            <v>4</v>
          </cell>
          <cell r="P45">
            <v>20</v>
          </cell>
          <cell r="Q45">
            <v>279.99999999999994</v>
          </cell>
          <cell r="R45" t="str">
            <v>G 0</v>
          </cell>
          <cell r="S45">
            <v>29.5</v>
          </cell>
          <cell r="T45">
            <v>714</v>
          </cell>
          <cell r="U45" t="e">
            <v>#N/A</v>
          </cell>
          <cell r="V45" t="e">
            <v>#N/A</v>
          </cell>
          <cell r="W45" t="str">
            <v>NaN</v>
          </cell>
          <cell r="X45">
            <v>1</v>
          </cell>
          <cell r="Y45">
            <v>5.7971079938397869</v>
          </cell>
          <cell r="Z45">
            <v>5.2690399286926315</v>
          </cell>
          <cell r="AA45">
            <v>23.509861783716442</v>
          </cell>
          <cell r="AB45">
            <v>0</v>
          </cell>
          <cell r="AC45">
            <v>11.017647058823528</v>
          </cell>
          <cell r="AD45">
            <v>1.2171869690590167</v>
          </cell>
          <cell r="AE45">
            <v>10.138616448364793</v>
          </cell>
          <cell r="AF45">
            <v>8.8000000000000007</v>
          </cell>
          <cell r="AG45">
            <v>13.5</v>
          </cell>
          <cell r="AH45">
            <v>10.394736842105264</v>
          </cell>
          <cell r="AI45">
            <v>0.88708047250848809</v>
          </cell>
          <cell r="AJ45">
            <v>9.6495042845875822</v>
          </cell>
          <cell r="AK45">
            <v>9.1999999999999993</v>
          </cell>
          <cell r="AL45">
            <v>11.6</v>
          </cell>
          <cell r="AM45">
            <v>678.57142857142867</v>
          </cell>
          <cell r="AN45">
            <v>607.14285714285734</v>
          </cell>
          <cell r="AO45">
            <v>0</v>
          </cell>
          <cell r="AP45">
            <v>0.47368421052631576</v>
          </cell>
          <cell r="AQ45">
            <v>47.058823529411761</v>
          </cell>
          <cell r="AR45">
            <v>0</v>
          </cell>
          <cell r="AS45" t="e">
            <v>#DIV/0!</v>
          </cell>
          <cell r="AT45">
            <v>0</v>
          </cell>
          <cell r="AU45">
            <v>1</v>
          </cell>
        </row>
        <row r="46">
          <cell r="A46" t="str">
            <v>Forestal Azul</v>
          </cell>
          <cell r="B46" t="str">
            <v>Diaz_de_espada</v>
          </cell>
          <cell r="D46">
            <v>0</v>
          </cell>
          <cell r="E46" t="str">
            <v>Diaz_de_espada_0</v>
          </cell>
          <cell r="H46" t="str">
            <v>Plantation clon G 0</v>
          </cell>
          <cell r="I46">
            <v>43556</v>
          </cell>
          <cell r="K46" t="str">
            <v>2020-12-03 20:41:30</v>
          </cell>
          <cell r="L46">
            <v>1.6666666666666667</v>
          </cell>
          <cell r="M46" t="str">
            <v>Diaz de espada-2</v>
          </cell>
          <cell r="N46">
            <v>2</v>
          </cell>
          <cell r="O46">
            <v>2</v>
          </cell>
          <cell r="P46">
            <v>20</v>
          </cell>
          <cell r="Q46">
            <v>279.99999999999994</v>
          </cell>
          <cell r="R46" t="str">
            <v>G 0</v>
          </cell>
          <cell r="S46">
            <v>29.5</v>
          </cell>
          <cell r="T46">
            <v>714</v>
          </cell>
          <cell r="U46" t="e">
            <v>#N/A</v>
          </cell>
          <cell r="V46" t="e">
            <v>#N/A</v>
          </cell>
          <cell r="W46" t="str">
            <v>NaN</v>
          </cell>
          <cell r="X46">
            <v>1</v>
          </cell>
          <cell r="Y46">
            <v>5.9694748407711202</v>
          </cell>
          <cell r="Z46">
            <v>5.1964747483815898</v>
          </cell>
          <cell r="AA46">
            <v>26.437678033208464</v>
          </cell>
          <cell r="AB46">
            <v>0</v>
          </cell>
          <cell r="AC46">
            <v>12.378571428571428</v>
          </cell>
          <cell r="AD46">
            <v>2.3069055435394845</v>
          </cell>
          <cell r="AE46">
            <v>11.07202841891587</v>
          </cell>
          <cell r="AF46">
            <v>9.8000000000000007</v>
          </cell>
          <cell r="AG46">
            <v>19.2</v>
          </cell>
          <cell r="AH46">
            <v>11.082352941176469</v>
          </cell>
          <cell r="AI46">
            <v>1.2226794571534814</v>
          </cell>
          <cell r="AJ46">
            <v>10.164549657920459</v>
          </cell>
          <cell r="AK46">
            <v>9</v>
          </cell>
          <cell r="AL46">
            <v>13.2</v>
          </cell>
          <cell r="AM46">
            <v>607.14285714285734</v>
          </cell>
          <cell r="AN46">
            <v>500.00000000000011</v>
          </cell>
          <cell r="AO46">
            <v>0</v>
          </cell>
          <cell r="AP46">
            <v>0.11764705882352941</v>
          </cell>
          <cell r="AQ46">
            <v>14.285714285714285</v>
          </cell>
          <cell r="AR46">
            <v>0</v>
          </cell>
          <cell r="AS46" t="e">
            <v>#DIV/0!</v>
          </cell>
          <cell r="AT46">
            <v>0</v>
          </cell>
          <cell r="AU46">
            <v>1</v>
          </cell>
        </row>
        <row r="47">
          <cell r="A47" t="str">
            <v>Forestal Azul</v>
          </cell>
          <cell r="B47" t="str">
            <v>F_1</v>
          </cell>
          <cell r="D47">
            <v>0</v>
          </cell>
          <cell r="E47" t="str">
            <v>F_1_0</v>
          </cell>
          <cell r="H47" t="str">
            <v>Plantation clon G 2</v>
          </cell>
          <cell r="I47">
            <v>43617</v>
          </cell>
          <cell r="K47" t="str">
            <v>2020-11-13 22:31:00</v>
          </cell>
          <cell r="L47">
            <v>1.4166666666666667</v>
          </cell>
          <cell r="M47" t="str">
            <v>F-1-3</v>
          </cell>
          <cell r="N47">
            <v>3</v>
          </cell>
          <cell r="O47">
            <v>3</v>
          </cell>
          <cell r="P47">
            <v>20</v>
          </cell>
          <cell r="Q47">
            <v>200</v>
          </cell>
          <cell r="R47" t="str">
            <v>G 2</v>
          </cell>
          <cell r="S47">
            <v>69</v>
          </cell>
          <cell r="T47">
            <v>1000</v>
          </cell>
          <cell r="U47" t="e">
            <v>#N/A</v>
          </cell>
          <cell r="V47" t="e">
            <v>#N/A</v>
          </cell>
          <cell r="W47" t="str">
            <v>NaN</v>
          </cell>
          <cell r="X47">
            <v>1</v>
          </cell>
          <cell r="Y47">
            <v>2.4400750140431922</v>
          </cell>
          <cell r="Z47">
            <v>2.1917713846850888</v>
          </cell>
          <cell r="AA47">
            <v>6.4542623059271467</v>
          </cell>
          <cell r="AB47">
            <v>0</v>
          </cell>
          <cell r="AC47">
            <v>7.0687500000000014</v>
          </cell>
          <cell r="AD47">
            <v>1.2552390210633095</v>
          </cell>
          <cell r="AE47">
            <v>6.6127703746620314</v>
          </cell>
          <cell r="AF47">
            <v>4.0999999999999996</v>
          </cell>
          <cell r="AG47">
            <v>9.1999999999999993</v>
          </cell>
          <cell r="AH47">
            <v>5.6105263157894729</v>
          </cell>
          <cell r="AI47">
            <v>1.045765270029563</v>
          </cell>
          <cell r="AJ47">
            <v>5.5049456031929953</v>
          </cell>
          <cell r="AK47">
            <v>3.3</v>
          </cell>
          <cell r="AL47">
            <v>7.2</v>
          </cell>
          <cell r="AM47">
            <v>950</v>
          </cell>
          <cell r="AN47">
            <v>800</v>
          </cell>
          <cell r="AO47">
            <v>0</v>
          </cell>
          <cell r="AP47">
            <v>1</v>
          </cell>
          <cell r="AQ47">
            <v>100</v>
          </cell>
          <cell r="AR47">
            <v>0</v>
          </cell>
          <cell r="AS47" t="e">
            <v>#DIV/0!</v>
          </cell>
          <cell r="AT47">
            <v>0</v>
          </cell>
          <cell r="AU47">
            <v>1</v>
          </cell>
        </row>
        <row r="48">
          <cell r="A48" t="str">
            <v>Forestal Azul</v>
          </cell>
          <cell r="B48" t="str">
            <v>F_1</v>
          </cell>
          <cell r="D48">
            <v>0</v>
          </cell>
          <cell r="E48" t="str">
            <v>F_1_0</v>
          </cell>
          <cell r="H48" t="str">
            <v>Plantation clon G 2</v>
          </cell>
          <cell r="I48">
            <v>43617</v>
          </cell>
          <cell r="K48" t="str">
            <v>2020-11-13 22:30:42</v>
          </cell>
          <cell r="L48">
            <v>1.4166666666666667</v>
          </cell>
          <cell r="M48" t="str">
            <v>F-1-4</v>
          </cell>
          <cell r="N48">
            <v>4</v>
          </cell>
          <cell r="O48">
            <v>4</v>
          </cell>
          <cell r="P48">
            <v>20</v>
          </cell>
          <cell r="Q48">
            <v>200</v>
          </cell>
          <cell r="R48" t="str">
            <v>G 2</v>
          </cell>
          <cell r="S48">
            <v>69</v>
          </cell>
          <cell r="T48">
            <v>1000</v>
          </cell>
          <cell r="U48" t="e">
            <v>#N/A</v>
          </cell>
          <cell r="V48" t="e">
            <v>#N/A</v>
          </cell>
          <cell r="W48" t="str">
            <v>NaN</v>
          </cell>
          <cell r="X48">
            <v>1</v>
          </cell>
          <cell r="Y48">
            <v>4.6085200732753773</v>
          </cell>
          <cell r="Z48">
            <v>3.4638807899399353</v>
          </cell>
          <cell r="AA48">
            <v>14.51439053744121</v>
          </cell>
          <cell r="AB48">
            <v>0</v>
          </cell>
          <cell r="AC48">
            <v>10.416666666666666</v>
          </cell>
          <cell r="AD48">
            <v>0.43029236008964306</v>
          </cell>
          <cell r="AE48">
            <v>7.8736721912146903</v>
          </cell>
          <cell r="AF48">
            <v>9.4</v>
          </cell>
          <cell r="AG48">
            <v>10.9</v>
          </cell>
          <cell r="AH48">
            <v>7.9611111111111121</v>
          </cell>
          <cell r="AI48">
            <v>1.1024421925338279</v>
          </cell>
          <cell r="AJ48">
            <v>6.5765898342635607</v>
          </cell>
          <cell r="AK48">
            <v>5.9</v>
          </cell>
          <cell r="AL48">
            <v>9.6999999999999993</v>
          </cell>
          <cell r="AM48">
            <v>900</v>
          </cell>
          <cell r="AN48">
            <v>600</v>
          </cell>
          <cell r="AO48">
            <v>0</v>
          </cell>
          <cell r="AP48">
            <v>1</v>
          </cell>
          <cell r="AQ48">
            <v>100</v>
          </cell>
          <cell r="AR48">
            <v>0</v>
          </cell>
          <cell r="AS48" t="e">
            <v>#DIV/0!</v>
          </cell>
          <cell r="AT48">
            <v>0</v>
          </cell>
          <cell r="AU48">
            <v>1</v>
          </cell>
        </row>
        <row r="49">
          <cell r="A49" t="str">
            <v>Forestal Azul</v>
          </cell>
          <cell r="B49" t="str">
            <v>F_1</v>
          </cell>
          <cell r="D49">
            <v>0</v>
          </cell>
          <cell r="E49" t="str">
            <v>F_1_0</v>
          </cell>
          <cell r="H49" t="str">
            <v>Plantation clon G 2</v>
          </cell>
          <cell r="I49">
            <v>43617</v>
          </cell>
          <cell r="K49" t="str">
            <v>2020-11-13 22:30:01</v>
          </cell>
          <cell r="L49">
            <v>1.4166666666666667</v>
          </cell>
          <cell r="M49" t="str">
            <v>F-1-2</v>
          </cell>
          <cell r="N49">
            <v>2</v>
          </cell>
          <cell r="O49">
            <v>2</v>
          </cell>
          <cell r="P49">
            <v>20</v>
          </cell>
          <cell r="Q49">
            <v>200</v>
          </cell>
          <cell r="R49" t="str">
            <v>G 2</v>
          </cell>
          <cell r="S49">
            <v>69</v>
          </cell>
          <cell r="T49">
            <v>1000</v>
          </cell>
          <cell r="U49" t="e">
            <v>#N/A</v>
          </cell>
          <cell r="V49" t="e">
            <v>#N/A</v>
          </cell>
          <cell r="W49" t="str">
            <v>NaN</v>
          </cell>
          <cell r="X49">
            <v>1</v>
          </cell>
          <cell r="Y49">
            <v>4.8791290104739691</v>
          </cell>
          <cell r="Z49">
            <v>4.2062391339832059</v>
          </cell>
          <cell r="AA49">
            <v>15.489884901511047</v>
          </cell>
          <cell r="AB49">
            <v>0</v>
          </cell>
          <cell r="AC49">
            <v>9.15</v>
          </cell>
          <cell r="AD49">
            <v>0.53166405433005015</v>
          </cell>
          <cell r="AE49">
            <v>7.9368084284403491</v>
          </cell>
          <cell r="AF49">
            <v>8.3000000000000007</v>
          </cell>
          <cell r="AG49">
            <v>10</v>
          </cell>
          <cell r="AH49">
            <v>7.8200000000000021</v>
          </cell>
          <cell r="AI49">
            <v>0.66929689475847221</v>
          </cell>
          <cell r="AJ49">
            <v>7.1212489738100206</v>
          </cell>
          <cell r="AK49">
            <v>7</v>
          </cell>
          <cell r="AL49">
            <v>9.5</v>
          </cell>
          <cell r="AM49">
            <v>1000</v>
          </cell>
          <cell r="AN49">
            <v>800</v>
          </cell>
          <cell r="AO49">
            <v>0</v>
          </cell>
          <cell r="AP49">
            <v>1</v>
          </cell>
          <cell r="AQ49">
            <v>100</v>
          </cell>
          <cell r="AR49">
            <v>0</v>
          </cell>
          <cell r="AS49" t="e">
            <v>#DIV/0!</v>
          </cell>
          <cell r="AT49">
            <v>0</v>
          </cell>
          <cell r="AU49">
            <v>1</v>
          </cell>
        </row>
        <row r="50">
          <cell r="A50" t="str">
            <v>Forestal Azul</v>
          </cell>
          <cell r="B50" t="str">
            <v>F_1</v>
          </cell>
          <cell r="D50">
            <v>0</v>
          </cell>
          <cell r="E50" t="str">
            <v>F_1_0</v>
          </cell>
          <cell r="H50" t="str">
            <v>Plantation clon G 2</v>
          </cell>
          <cell r="I50">
            <v>43617</v>
          </cell>
          <cell r="K50" t="str">
            <v>2020-11-13 22:30:52</v>
          </cell>
          <cell r="L50">
            <v>1.4166666666666667</v>
          </cell>
          <cell r="M50" t="str">
            <v>F-1-7</v>
          </cell>
          <cell r="N50">
            <v>7</v>
          </cell>
          <cell r="O50">
            <v>7</v>
          </cell>
          <cell r="P50">
            <v>20</v>
          </cell>
          <cell r="Q50">
            <v>200</v>
          </cell>
          <cell r="R50" t="str">
            <v>G 2</v>
          </cell>
          <cell r="S50">
            <v>69</v>
          </cell>
          <cell r="T50">
            <v>1000</v>
          </cell>
          <cell r="U50" t="e">
            <v>#N/A</v>
          </cell>
          <cell r="V50" t="e">
            <v>#N/A</v>
          </cell>
          <cell r="W50" t="str">
            <v>NaN</v>
          </cell>
          <cell r="X50">
            <v>1</v>
          </cell>
          <cell r="Y50">
            <v>5.1081118450124929</v>
          </cell>
          <cell r="Z50">
            <v>4.5067324712990668</v>
          </cell>
          <cell r="AA50">
            <v>18.01683437720396</v>
          </cell>
          <cell r="AB50">
            <v>0</v>
          </cell>
          <cell r="AC50">
            <v>9.9647058823529395</v>
          </cell>
          <cell r="AD50">
            <v>0.3920159060398381</v>
          </cell>
          <cell r="AE50">
            <v>8.8177564058211715</v>
          </cell>
          <cell r="AF50">
            <v>9.3000000000000007</v>
          </cell>
          <cell r="AG50">
            <v>10.7</v>
          </cell>
          <cell r="AH50">
            <v>8.0350000000000001</v>
          </cell>
          <cell r="AI50">
            <v>0.62196321056322756</v>
          </cell>
          <cell r="AJ50">
            <v>7.3099802424717684</v>
          </cell>
          <cell r="AK50">
            <v>7.2</v>
          </cell>
          <cell r="AL50">
            <v>9.8000000000000007</v>
          </cell>
          <cell r="AM50">
            <v>1000</v>
          </cell>
          <cell r="AN50">
            <v>850</v>
          </cell>
          <cell r="AO50">
            <v>0</v>
          </cell>
          <cell r="AP50">
            <v>1</v>
          </cell>
          <cell r="AQ50">
            <v>100</v>
          </cell>
          <cell r="AR50">
            <v>0</v>
          </cell>
          <cell r="AS50" t="e">
            <v>#DIV/0!</v>
          </cell>
          <cell r="AT50">
            <v>0</v>
          </cell>
          <cell r="AU50">
            <v>1</v>
          </cell>
        </row>
        <row r="51">
          <cell r="A51" t="str">
            <v>Forestal Azul</v>
          </cell>
          <cell r="B51" t="str">
            <v>F_1</v>
          </cell>
          <cell r="D51">
            <v>0</v>
          </cell>
          <cell r="E51" t="str">
            <v>F_1_0</v>
          </cell>
          <cell r="H51" t="str">
            <v>Plantation clon G 2</v>
          </cell>
          <cell r="I51">
            <v>43617</v>
          </cell>
          <cell r="K51" t="str">
            <v>2020-11-13 22:30:20</v>
          </cell>
          <cell r="L51">
            <v>1.4166666666666667</v>
          </cell>
          <cell r="M51" t="str">
            <v>F-1-5</v>
          </cell>
          <cell r="N51">
            <v>5</v>
          </cell>
          <cell r="O51">
            <v>5</v>
          </cell>
          <cell r="P51">
            <v>20</v>
          </cell>
          <cell r="Q51">
            <v>200</v>
          </cell>
          <cell r="R51" t="str">
            <v>G 2</v>
          </cell>
          <cell r="S51">
            <v>69</v>
          </cell>
          <cell r="T51">
            <v>1000</v>
          </cell>
          <cell r="U51" t="e">
            <v>#N/A</v>
          </cell>
          <cell r="V51" t="e">
            <v>#N/A</v>
          </cell>
          <cell r="W51" t="str">
            <v>NaN</v>
          </cell>
          <cell r="X51">
            <v>1</v>
          </cell>
          <cell r="Y51">
            <v>5.3269630432431931</v>
          </cell>
          <cell r="Z51">
            <v>4.4289387832145515</v>
          </cell>
          <cell r="AA51">
            <v>17.519151123003905</v>
          </cell>
          <cell r="AB51">
            <v>0</v>
          </cell>
          <cell r="AC51">
            <v>9.8600000000000012</v>
          </cell>
          <cell r="AD51">
            <v>0.59257308168938738</v>
          </cell>
          <cell r="AE51">
            <v>8.2219225949133783</v>
          </cell>
          <cell r="AF51">
            <v>8.5</v>
          </cell>
          <cell r="AG51">
            <v>10.8</v>
          </cell>
          <cell r="AH51">
            <v>8.06</v>
          </cell>
          <cell r="AI51">
            <v>0.57429045247986132</v>
          </cell>
          <cell r="AJ51">
            <v>7.2539683007740514</v>
          </cell>
          <cell r="AK51">
            <v>7.5</v>
          </cell>
          <cell r="AL51">
            <v>10</v>
          </cell>
          <cell r="AM51">
            <v>1000</v>
          </cell>
          <cell r="AN51">
            <v>750</v>
          </cell>
          <cell r="AO51">
            <v>0</v>
          </cell>
          <cell r="AP51">
            <v>0.95</v>
          </cell>
          <cell r="AQ51">
            <v>100</v>
          </cell>
          <cell r="AR51">
            <v>0</v>
          </cell>
          <cell r="AS51" t="e">
            <v>#DIV/0!</v>
          </cell>
          <cell r="AT51">
            <v>0</v>
          </cell>
          <cell r="AU51">
            <v>1</v>
          </cell>
        </row>
        <row r="52">
          <cell r="A52" t="str">
            <v>Forestal Azul</v>
          </cell>
          <cell r="B52" t="str">
            <v>F_1</v>
          </cell>
          <cell r="D52">
            <v>0</v>
          </cell>
          <cell r="E52" t="str">
            <v>F_1_0</v>
          </cell>
          <cell r="H52" t="str">
            <v>Plantation clon G 2</v>
          </cell>
          <cell r="I52">
            <v>43617</v>
          </cell>
          <cell r="K52" t="str">
            <v>2020-11-13 22:31:39</v>
          </cell>
          <cell r="L52">
            <v>1.4166666666666667</v>
          </cell>
          <cell r="M52" t="str">
            <v>F-1-6</v>
          </cell>
          <cell r="N52">
            <v>6</v>
          </cell>
          <cell r="O52">
            <v>6</v>
          </cell>
          <cell r="P52">
            <v>20</v>
          </cell>
          <cell r="Q52">
            <v>200</v>
          </cell>
          <cell r="R52" t="str">
            <v>G 2</v>
          </cell>
          <cell r="S52">
            <v>69</v>
          </cell>
          <cell r="T52">
            <v>1000</v>
          </cell>
          <cell r="U52" t="e">
            <v>#N/A</v>
          </cell>
          <cell r="V52" t="e">
            <v>#N/A</v>
          </cell>
          <cell r="W52" t="str">
            <v>NaN</v>
          </cell>
          <cell r="X52">
            <v>1</v>
          </cell>
          <cell r="Y52">
            <v>5.8287539298378235</v>
          </cell>
          <cell r="Z52">
            <v>5.5201709914389658</v>
          </cell>
          <cell r="AA52">
            <v>22.573362662858752</v>
          </cell>
          <cell r="AB52">
            <v>0</v>
          </cell>
          <cell r="AC52">
            <v>10.182352941176473</v>
          </cell>
          <cell r="AD52">
            <v>1.4862853419337119</v>
          </cell>
          <cell r="AE52">
            <v>9.6818989678497314</v>
          </cell>
          <cell r="AF52">
            <v>4.5999999999999996</v>
          </cell>
          <cell r="AG52">
            <v>11.3</v>
          </cell>
          <cell r="AH52">
            <v>8.6736842105263143</v>
          </cell>
          <cell r="AI52">
            <v>0.45993925430110733</v>
          </cell>
          <cell r="AJ52">
            <v>8.6435861158272012</v>
          </cell>
          <cell r="AK52">
            <v>8.4</v>
          </cell>
          <cell r="AL52">
            <v>10.199999999999999</v>
          </cell>
          <cell r="AM52">
            <v>950</v>
          </cell>
          <cell r="AN52">
            <v>850</v>
          </cell>
          <cell r="AO52">
            <v>0</v>
          </cell>
          <cell r="AP52">
            <v>1</v>
          </cell>
          <cell r="AQ52">
            <v>100</v>
          </cell>
          <cell r="AR52">
            <v>0</v>
          </cell>
          <cell r="AS52" t="e">
            <v>#DIV/0!</v>
          </cell>
          <cell r="AT52">
            <v>0</v>
          </cell>
          <cell r="AU52">
            <v>1</v>
          </cell>
        </row>
        <row r="53">
          <cell r="A53" t="str">
            <v>Forestal Azul</v>
          </cell>
          <cell r="B53" t="str">
            <v>F_1</v>
          </cell>
          <cell r="D53">
            <v>0</v>
          </cell>
          <cell r="E53" t="str">
            <v>F_1_0</v>
          </cell>
          <cell r="H53" t="str">
            <v>Plantation clon G 2</v>
          </cell>
          <cell r="I53">
            <v>43617</v>
          </cell>
          <cell r="K53" t="str">
            <v>2020-11-13 22:30:05</v>
          </cell>
          <cell r="L53">
            <v>1.4166666666666667</v>
          </cell>
          <cell r="M53" t="str">
            <v>F-1-1</v>
          </cell>
          <cell r="N53">
            <v>1</v>
          </cell>
          <cell r="O53">
            <v>1</v>
          </cell>
          <cell r="P53">
            <v>20</v>
          </cell>
          <cell r="Q53">
            <v>200</v>
          </cell>
          <cell r="R53" t="str">
            <v>G 2</v>
          </cell>
          <cell r="S53">
            <v>69</v>
          </cell>
          <cell r="T53">
            <v>1000</v>
          </cell>
          <cell r="U53" t="e">
            <v>#N/A</v>
          </cell>
          <cell r="V53" t="e">
            <v>#N/A</v>
          </cell>
          <cell r="W53" t="str">
            <v>NaN</v>
          </cell>
          <cell r="X53">
            <v>1</v>
          </cell>
          <cell r="Y53">
            <v>5.8442655435649229</v>
          </cell>
          <cell r="Z53">
            <v>5.2217589592561051</v>
          </cell>
          <cell r="AA53">
            <v>20.868423471348226</v>
          </cell>
          <cell r="AB53">
            <v>0</v>
          </cell>
          <cell r="AC53">
            <v>9.9823529411764707</v>
          </cell>
          <cell r="AD53">
            <v>0.31471275418555689</v>
          </cell>
          <cell r="AE53">
            <v>8.9268802537242209</v>
          </cell>
          <cell r="AF53">
            <v>9.6</v>
          </cell>
          <cell r="AG53">
            <v>10.7</v>
          </cell>
          <cell r="AH53">
            <v>8.5849999999999991</v>
          </cell>
          <cell r="AI53">
            <v>0.70465886615230999</v>
          </cell>
          <cell r="AJ53">
            <v>7.9747142578768067</v>
          </cell>
          <cell r="AK53">
            <v>7.8</v>
          </cell>
          <cell r="AL53">
            <v>10.199999999999999</v>
          </cell>
          <cell r="AM53">
            <v>1000</v>
          </cell>
          <cell r="AN53">
            <v>850</v>
          </cell>
          <cell r="AO53">
            <v>0</v>
          </cell>
          <cell r="AP53">
            <v>1</v>
          </cell>
          <cell r="AQ53">
            <v>100</v>
          </cell>
          <cell r="AR53">
            <v>0</v>
          </cell>
          <cell r="AS53" t="e">
            <v>#DIV/0!</v>
          </cell>
          <cell r="AT53">
            <v>0</v>
          </cell>
          <cell r="AU53">
            <v>1</v>
          </cell>
        </row>
        <row r="54">
          <cell r="A54" t="str">
            <v>Forestal Azul</v>
          </cell>
          <cell r="B54" t="str">
            <v>F_1</v>
          </cell>
          <cell r="D54">
            <v>0</v>
          </cell>
          <cell r="E54" t="str">
            <v>F_1_0</v>
          </cell>
          <cell r="H54" t="str">
            <v>Plantation clon G 2</v>
          </cell>
          <cell r="I54">
            <v>43617</v>
          </cell>
          <cell r="K54" t="str">
            <v>2020-11-13 22:30:32</v>
          </cell>
          <cell r="L54">
            <v>1.4166666666666667</v>
          </cell>
          <cell r="M54" t="str">
            <v>F-1-8</v>
          </cell>
          <cell r="N54">
            <v>8</v>
          </cell>
          <cell r="O54">
            <v>8</v>
          </cell>
          <cell r="P54">
            <v>20</v>
          </cell>
          <cell r="Q54">
            <v>200</v>
          </cell>
          <cell r="R54" t="str">
            <v>G 2</v>
          </cell>
          <cell r="S54">
            <v>69</v>
          </cell>
          <cell r="T54">
            <v>1000</v>
          </cell>
          <cell r="U54" t="e">
            <v>#N/A</v>
          </cell>
          <cell r="V54" t="e">
            <v>#N/A</v>
          </cell>
          <cell r="W54" t="str">
            <v>NaN</v>
          </cell>
          <cell r="X54">
            <v>1</v>
          </cell>
          <cell r="Y54">
            <v>5.8853418675106086</v>
          </cell>
          <cell r="Z54">
            <v>5.5912495252264343</v>
          </cell>
          <cell r="AA54">
            <v>21.304141952048884</v>
          </cell>
          <cell r="AB54">
            <v>0</v>
          </cell>
          <cell r="AC54">
            <v>9.4444444444444446</v>
          </cell>
          <cell r="AD54">
            <v>1.9144104367301769</v>
          </cell>
          <cell r="AE54">
            <v>9.0496620381800117</v>
          </cell>
          <cell r="AF54">
            <v>4.0999999999999996</v>
          </cell>
          <cell r="AG54">
            <v>11</v>
          </cell>
          <cell r="AH54">
            <v>8.5550000000000033</v>
          </cell>
          <cell r="AI54">
            <v>0.54939063093529072</v>
          </cell>
          <cell r="AJ54">
            <v>8.4940594786113195</v>
          </cell>
          <cell r="AK54">
            <v>7.9</v>
          </cell>
          <cell r="AL54">
            <v>9.6999999999999993</v>
          </cell>
          <cell r="AM54">
            <v>1000</v>
          </cell>
          <cell r="AN54">
            <v>900</v>
          </cell>
          <cell r="AO54">
            <v>0</v>
          </cell>
          <cell r="AP54">
            <v>0.95</v>
          </cell>
          <cell r="AQ54">
            <v>100</v>
          </cell>
          <cell r="AR54">
            <v>0</v>
          </cell>
          <cell r="AS54" t="e">
            <v>#DIV/0!</v>
          </cell>
          <cell r="AT54">
            <v>0</v>
          </cell>
          <cell r="AU54">
            <v>1</v>
          </cell>
        </row>
        <row r="55">
          <cell r="A55" t="str">
            <v>Forestal Azul</v>
          </cell>
          <cell r="B55" t="str">
            <v>F_2</v>
          </cell>
          <cell r="D55">
            <v>0</v>
          </cell>
          <cell r="E55" t="str">
            <v>F_2_0</v>
          </cell>
          <cell r="H55" t="str">
            <v>Plantation clon G 7</v>
          </cell>
          <cell r="I55">
            <v>43617</v>
          </cell>
          <cell r="K55" t="str">
            <v>2020-11-18 20:23:17</v>
          </cell>
          <cell r="L55">
            <v>1.4166666666666667</v>
          </cell>
          <cell r="M55" t="str">
            <v>F_2_3</v>
          </cell>
          <cell r="N55">
            <v>3</v>
          </cell>
          <cell r="O55">
            <v>3</v>
          </cell>
          <cell r="P55">
            <v>20</v>
          </cell>
          <cell r="Q55">
            <v>200</v>
          </cell>
          <cell r="R55" t="str">
            <v>G 7</v>
          </cell>
          <cell r="S55">
            <v>53</v>
          </cell>
          <cell r="T55">
            <v>1000</v>
          </cell>
          <cell r="U55" t="e">
            <v>#N/A</v>
          </cell>
          <cell r="V55" t="e">
            <v>#N/A</v>
          </cell>
          <cell r="W55" t="str">
            <v>NaN</v>
          </cell>
          <cell r="X55">
            <v>1</v>
          </cell>
          <cell r="Y55">
            <v>3.8161318662236918</v>
          </cell>
          <cell r="Z55">
            <v>3.7759194802577425</v>
          </cell>
          <cell r="AA55">
            <v>13.740635116417968</v>
          </cell>
          <cell r="AB55">
            <v>0</v>
          </cell>
          <cell r="AC55">
            <v>8.9842105263157883</v>
          </cell>
          <cell r="AD55">
            <v>0.80018272766963594</v>
          </cell>
          <cell r="AE55">
            <v>9.001677351636701</v>
          </cell>
          <cell r="AF55">
            <v>6.8</v>
          </cell>
          <cell r="AG55">
            <v>10.1</v>
          </cell>
          <cell r="AH55">
            <v>6.8250000000000002</v>
          </cell>
          <cell r="AI55">
            <v>1.2093447068073822</v>
          </cell>
          <cell r="AJ55">
            <v>7.2171532358479871</v>
          </cell>
          <cell r="AK55">
            <v>2.2999999999999998</v>
          </cell>
          <cell r="AL55">
            <v>8.1</v>
          </cell>
          <cell r="AM55">
            <v>1000</v>
          </cell>
          <cell r="AN55">
            <v>950</v>
          </cell>
          <cell r="AO55">
            <v>0</v>
          </cell>
          <cell r="AP55">
            <v>1</v>
          </cell>
          <cell r="AQ55">
            <v>100</v>
          </cell>
          <cell r="AR55">
            <v>0</v>
          </cell>
          <cell r="AS55" t="e">
            <v>#DIV/0!</v>
          </cell>
          <cell r="AT55">
            <v>0</v>
          </cell>
          <cell r="AU55">
            <v>1</v>
          </cell>
        </row>
        <row r="56">
          <cell r="A56" t="str">
            <v>Forestal Azul</v>
          </cell>
          <cell r="B56" t="str">
            <v>F_2</v>
          </cell>
          <cell r="D56">
            <v>0</v>
          </cell>
          <cell r="E56" t="str">
            <v>F_2_0</v>
          </cell>
          <cell r="H56" t="str">
            <v>Plantation clon G 7</v>
          </cell>
          <cell r="I56">
            <v>43617</v>
          </cell>
          <cell r="K56" t="str">
            <v>2020-11-18 20:23:26</v>
          </cell>
          <cell r="L56">
            <v>1.4166666666666667</v>
          </cell>
          <cell r="M56" t="str">
            <v>F_2_4</v>
          </cell>
          <cell r="N56">
            <v>4</v>
          </cell>
          <cell r="O56">
            <v>4</v>
          </cell>
          <cell r="P56">
            <v>20</v>
          </cell>
          <cell r="Q56">
            <v>200</v>
          </cell>
          <cell r="R56" t="str">
            <v>G 7</v>
          </cell>
          <cell r="S56">
            <v>53</v>
          </cell>
          <cell r="T56">
            <v>1000</v>
          </cell>
          <cell r="U56" t="e">
            <v>#N/A</v>
          </cell>
          <cell r="V56" t="e">
            <v>#N/A</v>
          </cell>
          <cell r="W56" t="str">
            <v>NaN</v>
          </cell>
          <cell r="X56">
            <v>1</v>
          </cell>
          <cell r="Y56">
            <v>3.9238492243336522</v>
          </cell>
          <cell r="Z56">
            <v>3.7777258960335569</v>
          </cell>
          <cell r="AA56">
            <v>13.910983265669897</v>
          </cell>
          <cell r="AB56">
            <v>0</v>
          </cell>
          <cell r="AC56">
            <v>9.189473684210526</v>
          </cell>
          <cell r="AD56">
            <v>0.51087586755177972</v>
          </cell>
          <cell r="AE56">
            <v>8.8630974779823859</v>
          </cell>
          <cell r="AF56">
            <v>8.3000000000000007</v>
          </cell>
          <cell r="AG56">
            <v>10.1</v>
          </cell>
          <cell r="AH56">
            <v>7.06</v>
          </cell>
          <cell r="AI56">
            <v>0.27466087542864209</v>
          </cell>
          <cell r="AJ56">
            <v>6.8648128502802228</v>
          </cell>
          <cell r="AK56">
            <v>6.5</v>
          </cell>
          <cell r="AL56">
            <v>7.5</v>
          </cell>
          <cell r="AM56">
            <v>1000</v>
          </cell>
          <cell r="AN56">
            <v>950</v>
          </cell>
          <cell r="AO56">
            <v>0</v>
          </cell>
          <cell r="AP56">
            <v>1</v>
          </cell>
          <cell r="AQ56">
            <v>100</v>
          </cell>
          <cell r="AR56">
            <v>0</v>
          </cell>
          <cell r="AS56" t="e">
            <v>#DIV/0!</v>
          </cell>
          <cell r="AT56">
            <v>0</v>
          </cell>
          <cell r="AU56">
            <v>1</v>
          </cell>
        </row>
        <row r="57">
          <cell r="A57" t="str">
            <v>Forestal Azul</v>
          </cell>
          <cell r="B57" t="str">
            <v>F_2</v>
          </cell>
          <cell r="D57">
            <v>0</v>
          </cell>
          <cell r="E57" t="str">
            <v>F_2_0</v>
          </cell>
          <cell r="H57" t="str">
            <v>Plantation clon G 7</v>
          </cell>
          <cell r="I57">
            <v>43617</v>
          </cell>
          <cell r="K57" t="str">
            <v>2020-11-18 20:23:35</v>
          </cell>
          <cell r="L57">
            <v>1.4166666666666667</v>
          </cell>
          <cell r="M57" t="str">
            <v>F_2_5</v>
          </cell>
          <cell r="N57">
            <v>5</v>
          </cell>
          <cell r="O57">
            <v>5</v>
          </cell>
          <cell r="P57">
            <v>20</v>
          </cell>
          <cell r="Q57">
            <v>200</v>
          </cell>
          <cell r="R57" t="str">
            <v>G 7</v>
          </cell>
          <cell r="S57">
            <v>53</v>
          </cell>
          <cell r="T57">
            <v>1000</v>
          </cell>
          <cell r="U57" t="e">
            <v>#N/A</v>
          </cell>
          <cell r="V57" t="e">
            <v>#N/A</v>
          </cell>
          <cell r="W57" t="str">
            <v>NaN</v>
          </cell>
          <cell r="X57">
            <v>1</v>
          </cell>
          <cell r="Y57">
            <v>3.9727009900969721</v>
          </cell>
          <cell r="Z57">
            <v>3.9727009900969721</v>
          </cell>
          <cell r="AA57">
            <v>15.547462440869717</v>
          </cell>
          <cell r="AB57">
            <v>0</v>
          </cell>
          <cell r="AC57">
            <v>9.7388888888888872</v>
          </cell>
          <cell r="AD57">
            <v>0.50775038898689173</v>
          </cell>
          <cell r="AE57">
            <v>9.7839369736269877</v>
          </cell>
          <cell r="AF57">
            <v>9.1</v>
          </cell>
          <cell r="AG57">
            <v>10.7</v>
          </cell>
          <cell r="AH57">
            <v>7.4777777777777779</v>
          </cell>
          <cell r="AI57">
            <v>0.54939063093529095</v>
          </cell>
          <cell r="AJ57">
            <v>7.5535526471867449</v>
          </cell>
          <cell r="AK57">
            <v>6.4</v>
          </cell>
          <cell r="AL57">
            <v>8.6</v>
          </cell>
          <cell r="AM57">
            <v>900</v>
          </cell>
          <cell r="AN57">
            <v>900</v>
          </cell>
          <cell r="AO57">
            <v>0</v>
          </cell>
          <cell r="AP57">
            <v>1</v>
          </cell>
          <cell r="AQ57">
            <v>100</v>
          </cell>
          <cell r="AR57">
            <v>0.1111111111111111</v>
          </cell>
          <cell r="AS57" t="e">
            <v>#DIV/0!</v>
          </cell>
          <cell r="AT57">
            <v>0</v>
          </cell>
          <cell r="AU57">
            <v>1</v>
          </cell>
        </row>
        <row r="58">
          <cell r="A58" t="str">
            <v>Forestal Azul</v>
          </cell>
          <cell r="B58" t="str">
            <v>F_2</v>
          </cell>
          <cell r="D58">
            <v>0</v>
          </cell>
          <cell r="E58" t="str">
            <v>F_2_0</v>
          </cell>
          <cell r="H58" t="str">
            <v>Plantation clon G 7</v>
          </cell>
          <cell r="I58">
            <v>43617</v>
          </cell>
          <cell r="K58" t="str">
            <v>2020-11-19 21:58:13</v>
          </cell>
          <cell r="L58">
            <v>1.4166666666666667</v>
          </cell>
          <cell r="M58" t="str">
            <v>F_2_1</v>
          </cell>
          <cell r="N58">
            <v>1</v>
          </cell>
          <cell r="O58">
            <v>1</v>
          </cell>
          <cell r="P58">
            <v>20</v>
          </cell>
          <cell r="Q58">
            <v>200</v>
          </cell>
          <cell r="R58" t="str">
            <v>G 7</v>
          </cell>
          <cell r="S58">
            <v>53</v>
          </cell>
          <cell r="T58">
            <v>1000</v>
          </cell>
          <cell r="U58" t="e">
            <v>#N/A</v>
          </cell>
          <cell r="V58" t="e">
            <v>#N/A</v>
          </cell>
          <cell r="W58" t="str">
            <v>NaN</v>
          </cell>
          <cell r="X58">
            <v>1</v>
          </cell>
          <cell r="Y58">
            <v>4.0527330629471718</v>
          </cell>
          <cell r="Z58">
            <v>3.4585400824288333</v>
          </cell>
          <cell r="AA58">
            <v>13.88118368855427</v>
          </cell>
          <cell r="AB58">
            <v>0</v>
          </cell>
          <cell r="AC58">
            <v>9.7923076923076913</v>
          </cell>
          <cell r="AD58">
            <v>1.2486402861122756</v>
          </cell>
          <cell r="AE58">
            <v>8.5628534330730055</v>
          </cell>
          <cell r="AF58">
            <v>5.9</v>
          </cell>
          <cell r="AG58">
            <v>10.7</v>
          </cell>
          <cell r="AH58">
            <v>6.7600000000000007</v>
          </cell>
          <cell r="AI58">
            <v>1.1094581722162566</v>
          </cell>
          <cell r="AJ58">
            <v>7.1644706497936097</v>
          </cell>
          <cell r="AK58">
            <v>4.8</v>
          </cell>
          <cell r="AL58">
            <v>9.1999999999999993</v>
          </cell>
          <cell r="AM58">
            <v>1000</v>
          </cell>
          <cell r="AN58">
            <v>650</v>
          </cell>
          <cell r="AO58">
            <v>0</v>
          </cell>
          <cell r="AP58">
            <v>0.95</v>
          </cell>
          <cell r="AQ58">
            <v>100</v>
          </cell>
          <cell r="AR58">
            <v>0</v>
          </cell>
          <cell r="AS58" t="e">
            <v>#DIV/0!</v>
          </cell>
          <cell r="AT58">
            <v>0</v>
          </cell>
          <cell r="AU58">
            <v>1</v>
          </cell>
        </row>
        <row r="59">
          <cell r="A59" t="str">
            <v>Forestal Azul</v>
          </cell>
          <cell r="B59" t="str">
            <v>F_2</v>
          </cell>
          <cell r="D59">
            <v>0</v>
          </cell>
          <cell r="E59" t="str">
            <v>F_2_0</v>
          </cell>
          <cell r="H59" t="str">
            <v>Plantation clon G 7</v>
          </cell>
          <cell r="I59">
            <v>43617</v>
          </cell>
          <cell r="K59" t="str">
            <v>2020-11-18 20:23:43</v>
          </cell>
          <cell r="L59">
            <v>1.4166666666666667</v>
          </cell>
          <cell r="M59" t="str">
            <v>F_2_2</v>
          </cell>
          <cell r="N59">
            <v>2</v>
          </cell>
          <cell r="O59">
            <v>2</v>
          </cell>
          <cell r="P59">
            <v>20</v>
          </cell>
          <cell r="Q59">
            <v>200</v>
          </cell>
          <cell r="R59" t="str">
            <v>G 7</v>
          </cell>
          <cell r="S59">
            <v>53</v>
          </cell>
          <cell r="T59">
            <v>1000</v>
          </cell>
          <cell r="U59" t="e">
            <v>#N/A</v>
          </cell>
          <cell r="V59" t="e">
            <v>#N/A</v>
          </cell>
          <cell r="W59" t="str">
            <v>NaN</v>
          </cell>
          <cell r="X59">
            <v>1</v>
          </cell>
          <cell r="Y59">
            <v>4.2770820483216534</v>
          </cell>
          <cell r="Z59">
            <v>4.2613740850537045</v>
          </cell>
          <cell r="AA59">
            <v>16.051912685645611</v>
          </cell>
          <cell r="AB59">
            <v>0</v>
          </cell>
          <cell r="AC59">
            <v>9.3473684210526304</v>
          </cell>
          <cell r="AD59">
            <v>0.71985216156022203</v>
          </cell>
          <cell r="AE59">
            <v>9.3825138869760849</v>
          </cell>
          <cell r="AF59">
            <v>7.7</v>
          </cell>
          <cell r="AG59">
            <v>10.199999999999999</v>
          </cell>
          <cell r="AH59">
            <v>7.2450000000000001</v>
          </cell>
          <cell r="AI59">
            <v>0.7598091480894843</v>
          </cell>
          <cell r="AJ59">
            <v>7.6404801909746167</v>
          </cell>
          <cell r="AK59">
            <v>6.4</v>
          </cell>
          <cell r="AL59">
            <v>9.3000000000000007</v>
          </cell>
          <cell r="AM59">
            <v>1000</v>
          </cell>
          <cell r="AN59">
            <v>950</v>
          </cell>
          <cell r="AO59">
            <v>0</v>
          </cell>
          <cell r="AP59">
            <v>0.95</v>
          </cell>
          <cell r="AQ59">
            <v>100</v>
          </cell>
          <cell r="AR59">
            <v>0</v>
          </cell>
          <cell r="AS59" t="e">
            <v>#DIV/0!</v>
          </cell>
          <cell r="AT59">
            <v>0</v>
          </cell>
          <cell r="AU59">
            <v>1</v>
          </cell>
        </row>
        <row r="60">
          <cell r="A60" t="str">
            <v>Forestal Azul</v>
          </cell>
          <cell r="B60" t="str">
            <v>F_2</v>
          </cell>
          <cell r="D60">
            <v>0</v>
          </cell>
          <cell r="E60" t="str">
            <v>F_2_0</v>
          </cell>
          <cell r="H60" t="str">
            <v>Plantation clon G 7</v>
          </cell>
          <cell r="I60">
            <v>43617</v>
          </cell>
          <cell r="K60" t="str">
            <v>2020-11-18 20:24:00</v>
          </cell>
          <cell r="L60">
            <v>1.4166666666666667</v>
          </cell>
          <cell r="M60" t="str">
            <v>F_2_6</v>
          </cell>
          <cell r="N60">
            <v>6</v>
          </cell>
          <cell r="O60">
            <v>6</v>
          </cell>
          <cell r="P60">
            <v>20</v>
          </cell>
          <cell r="Q60">
            <v>200</v>
          </cell>
          <cell r="R60" t="str">
            <v>G 7</v>
          </cell>
          <cell r="S60">
            <v>53</v>
          </cell>
          <cell r="T60">
            <v>1000</v>
          </cell>
          <cell r="U60" t="e">
            <v>#N/A</v>
          </cell>
          <cell r="V60" t="e">
            <v>#N/A</v>
          </cell>
          <cell r="W60" t="str">
            <v>NaN</v>
          </cell>
          <cell r="X60">
            <v>1</v>
          </cell>
          <cell r="Y60">
            <v>4.4736279387118651</v>
          </cell>
          <cell r="Z60">
            <v>4.4736279387118651</v>
          </cell>
          <cell r="AA60">
            <v>17.346990274790855</v>
          </cell>
          <cell r="AB60">
            <v>0</v>
          </cell>
          <cell r="AC60">
            <v>9.43</v>
          </cell>
          <cell r="AD60">
            <v>1.2802549088283013</v>
          </cell>
          <cell r="AE60">
            <v>9.6940282654494379</v>
          </cell>
          <cell r="AF60">
            <v>4.9000000000000004</v>
          </cell>
          <cell r="AG60">
            <v>10.5</v>
          </cell>
          <cell r="AH60">
            <v>7.4700000000000006</v>
          </cell>
          <cell r="AI60">
            <v>1.1045837510835852</v>
          </cell>
          <cell r="AJ60">
            <v>7.737482443820225</v>
          </cell>
          <cell r="AK60">
            <v>3.9</v>
          </cell>
          <cell r="AL60">
            <v>9.1</v>
          </cell>
          <cell r="AM60">
            <v>1000</v>
          </cell>
          <cell r="AN60">
            <v>1000</v>
          </cell>
          <cell r="AO60">
            <v>0</v>
          </cell>
          <cell r="AP60">
            <v>1</v>
          </cell>
          <cell r="AQ60">
            <v>100</v>
          </cell>
          <cell r="AR60">
            <v>0.05</v>
          </cell>
          <cell r="AS60" t="e">
            <v>#DIV/0!</v>
          </cell>
          <cell r="AT60">
            <v>0</v>
          </cell>
          <cell r="AU60">
            <v>1</v>
          </cell>
        </row>
        <row r="61">
          <cell r="A61" t="str">
            <v>Forestal Azul</v>
          </cell>
          <cell r="B61" t="str">
            <v>F_5</v>
          </cell>
          <cell r="D61">
            <v>0</v>
          </cell>
          <cell r="E61" t="str">
            <v>F_5_0</v>
          </cell>
          <cell r="H61" t="str">
            <v>Plantation clon G 7</v>
          </cell>
          <cell r="I61">
            <v>43586</v>
          </cell>
          <cell r="K61" t="str">
            <v>2020-11-12 21:52:32</v>
          </cell>
          <cell r="L61">
            <v>1.5</v>
          </cell>
          <cell r="M61" t="str">
            <v>F-5-3</v>
          </cell>
          <cell r="N61">
            <v>3</v>
          </cell>
          <cell r="O61">
            <v>3</v>
          </cell>
          <cell r="P61">
            <v>20</v>
          </cell>
          <cell r="Q61">
            <v>200</v>
          </cell>
          <cell r="R61" t="str">
            <v>G 7</v>
          </cell>
          <cell r="S61">
            <v>54</v>
          </cell>
          <cell r="T61">
            <v>1000</v>
          </cell>
          <cell r="U61" t="e">
            <v>#N/A</v>
          </cell>
          <cell r="V61" t="e">
            <v>#N/A</v>
          </cell>
          <cell r="W61" t="str">
            <v>NaN</v>
          </cell>
          <cell r="X61">
            <v>1</v>
          </cell>
          <cell r="Y61">
            <v>4.0170367164207592</v>
          </cell>
          <cell r="Z61">
            <v>3.8156213574174833</v>
          </cell>
          <cell r="AA61">
            <v>14.674932205224959</v>
          </cell>
          <cell r="AB61">
            <v>0</v>
          </cell>
          <cell r="AC61">
            <v>9.588235294117645</v>
          </cell>
          <cell r="AD61">
            <v>0.50729965619589223</v>
          </cell>
          <cell r="AE61">
            <v>9.1329338273391141</v>
          </cell>
          <cell r="AF61">
            <v>9</v>
          </cell>
          <cell r="AG61">
            <v>10.7</v>
          </cell>
          <cell r="AH61">
            <v>6.9750000000000014</v>
          </cell>
          <cell r="AI61">
            <v>0.82479944086247059</v>
          </cell>
          <cell r="AJ61">
            <v>7.2825159101795824</v>
          </cell>
          <cell r="AK61">
            <v>4.8</v>
          </cell>
          <cell r="AL61">
            <v>8.4</v>
          </cell>
          <cell r="AM61">
            <v>1000</v>
          </cell>
          <cell r="AN61">
            <v>850</v>
          </cell>
          <cell r="AO61">
            <v>0</v>
          </cell>
          <cell r="AP61">
            <v>0.95</v>
          </cell>
          <cell r="AQ61">
            <v>100</v>
          </cell>
          <cell r="AR61">
            <v>0</v>
          </cell>
          <cell r="AS61" t="e">
            <v>#DIV/0!</v>
          </cell>
          <cell r="AT61">
            <v>0</v>
          </cell>
          <cell r="AU61">
            <v>1</v>
          </cell>
        </row>
        <row r="62">
          <cell r="A62" t="str">
            <v>Forestal Azul</v>
          </cell>
          <cell r="B62" t="str">
            <v>F_5</v>
          </cell>
          <cell r="D62">
            <v>0</v>
          </cell>
          <cell r="E62" t="str">
            <v>F_5_0</v>
          </cell>
          <cell r="H62" t="str">
            <v>Plantation clon G 7</v>
          </cell>
          <cell r="I62">
            <v>43586</v>
          </cell>
          <cell r="K62" t="str">
            <v>2020-11-12 21:52:05</v>
          </cell>
          <cell r="L62">
            <v>1.5</v>
          </cell>
          <cell r="M62" t="str">
            <v>F-5-5</v>
          </cell>
          <cell r="N62">
            <v>5</v>
          </cell>
          <cell r="O62">
            <v>5</v>
          </cell>
          <cell r="P62">
            <v>20</v>
          </cell>
          <cell r="Q62">
            <v>200</v>
          </cell>
          <cell r="R62" t="str">
            <v>G 7</v>
          </cell>
          <cell r="S62">
            <v>54</v>
          </cell>
          <cell r="T62">
            <v>1000</v>
          </cell>
          <cell r="U62" t="e">
            <v>#N/A</v>
          </cell>
          <cell r="V62" t="e">
            <v>#N/A</v>
          </cell>
          <cell r="W62" t="str">
            <v>NaN</v>
          </cell>
          <cell r="X62">
            <v>1</v>
          </cell>
          <cell r="Y62">
            <v>4.3376362467195975</v>
          </cell>
          <cell r="Z62">
            <v>3.8207657153877377</v>
          </cell>
          <cell r="AA62">
            <v>15.063883366887948</v>
          </cell>
          <cell r="AB62">
            <v>0</v>
          </cell>
          <cell r="AC62">
            <v>9.8466666666666658</v>
          </cell>
          <cell r="AD62">
            <v>0.78999698613047753</v>
          </cell>
          <cell r="AE62">
            <v>8.6820808097268607</v>
          </cell>
          <cell r="AF62">
            <v>7.9</v>
          </cell>
          <cell r="AG62">
            <v>11.2</v>
          </cell>
          <cell r="AH62">
            <v>7.4999999999999982</v>
          </cell>
          <cell r="AI62">
            <v>0.59361683970466372</v>
          </cell>
          <cell r="AJ62">
            <v>7.1472817476484058</v>
          </cell>
          <cell r="AK62">
            <v>7.1</v>
          </cell>
          <cell r="AL62">
            <v>8.9</v>
          </cell>
          <cell r="AM62">
            <v>950</v>
          </cell>
          <cell r="AN62">
            <v>750</v>
          </cell>
          <cell r="AO62">
            <v>0</v>
          </cell>
          <cell r="AP62">
            <v>0.89473684210526316</v>
          </cell>
          <cell r="AQ62">
            <v>93.333333333333329</v>
          </cell>
          <cell r="AR62">
            <v>0</v>
          </cell>
          <cell r="AS62" t="e">
            <v>#DIV/0!</v>
          </cell>
          <cell r="AT62">
            <v>0</v>
          </cell>
          <cell r="AU62">
            <v>1</v>
          </cell>
        </row>
        <row r="63">
          <cell r="A63" t="str">
            <v>Forestal Azul</v>
          </cell>
          <cell r="B63" t="str">
            <v>F_5</v>
          </cell>
          <cell r="D63">
            <v>0</v>
          </cell>
          <cell r="E63" t="str">
            <v>F_5_0</v>
          </cell>
          <cell r="H63" t="str">
            <v>Plantation clon G 7</v>
          </cell>
          <cell r="I63">
            <v>43586</v>
          </cell>
          <cell r="K63" t="str">
            <v>2020-11-12 21:52:47</v>
          </cell>
          <cell r="L63">
            <v>1.5</v>
          </cell>
          <cell r="M63" t="str">
            <v>F-5-1</v>
          </cell>
          <cell r="N63">
            <v>1</v>
          </cell>
          <cell r="O63">
            <v>1</v>
          </cell>
          <cell r="P63">
            <v>20</v>
          </cell>
          <cell r="Q63">
            <v>200</v>
          </cell>
          <cell r="R63" t="str">
            <v>G 7</v>
          </cell>
          <cell r="S63">
            <v>54</v>
          </cell>
          <cell r="T63">
            <v>1000</v>
          </cell>
          <cell r="U63" t="e">
            <v>#N/A</v>
          </cell>
          <cell r="V63" t="e">
            <v>#N/A</v>
          </cell>
          <cell r="W63" t="str">
            <v>NaN</v>
          </cell>
          <cell r="X63">
            <v>1</v>
          </cell>
          <cell r="Y63">
            <v>4.6448840082406804</v>
          </cell>
          <cell r="Z63">
            <v>3.9564432481146459</v>
          </cell>
          <cell r="AA63">
            <v>16.04705892499582</v>
          </cell>
          <cell r="AB63">
            <v>0</v>
          </cell>
          <cell r="AC63">
            <v>10.106666666666667</v>
          </cell>
          <cell r="AD63">
            <v>0.60292935699284822</v>
          </cell>
          <cell r="AE63">
            <v>8.6369535259255485</v>
          </cell>
          <cell r="AF63">
            <v>9</v>
          </cell>
          <cell r="AG63">
            <v>11.2</v>
          </cell>
          <cell r="AH63">
            <v>7.4950000000000001</v>
          </cell>
          <cell r="AI63">
            <v>0.39436507137905807</v>
          </cell>
          <cell r="AJ63">
            <v>7.0038586078913729</v>
          </cell>
          <cell r="AK63">
            <v>7.7</v>
          </cell>
          <cell r="AL63">
            <v>9</v>
          </cell>
          <cell r="AM63">
            <v>1000</v>
          </cell>
          <cell r="AN63">
            <v>750</v>
          </cell>
          <cell r="AO63">
            <v>0</v>
          </cell>
          <cell r="AP63">
            <v>0.95</v>
          </cell>
          <cell r="AQ63">
            <v>100</v>
          </cell>
          <cell r="AR63">
            <v>0</v>
          </cell>
          <cell r="AS63" t="e">
            <v>#DIV/0!</v>
          </cell>
          <cell r="AT63">
            <v>0</v>
          </cell>
          <cell r="AU63">
            <v>1</v>
          </cell>
        </row>
        <row r="64">
          <cell r="A64" t="str">
            <v>Forestal Azul</v>
          </cell>
          <cell r="B64" t="str">
            <v>F_5</v>
          </cell>
          <cell r="D64">
            <v>0</v>
          </cell>
          <cell r="E64" t="str">
            <v>F_5_0</v>
          </cell>
          <cell r="H64" t="str">
            <v>Plantation clon G 7</v>
          </cell>
          <cell r="I64">
            <v>43586</v>
          </cell>
          <cell r="K64" t="str">
            <v>2020-11-12 21:52:20</v>
          </cell>
          <cell r="L64">
            <v>1.5</v>
          </cell>
          <cell r="M64" t="str">
            <v>F-5-4</v>
          </cell>
          <cell r="N64">
            <v>4</v>
          </cell>
          <cell r="O64">
            <v>4</v>
          </cell>
          <cell r="P64">
            <v>20</v>
          </cell>
          <cell r="Q64">
            <v>200</v>
          </cell>
          <cell r="R64" t="str">
            <v>G 7</v>
          </cell>
          <cell r="S64">
            <v>54</v>
          </cell>
          <cell r="T64">
            <v>1000</v>
          </cell>
          <cell r="U64" t="e">
            <v>#N/A</v>
          </cell>
          <cell r="V64" t="e">
            <v>#N/A</v>
          </cell>
          <cell r="W64" t="str">
            <v>NaN</v>
          </cell>
          <cell r="X64">
            <v>1</v>
          </cell>
          <cell r="Y64">
            <v>4.9070891850909168</v>
          </cell>
          <cell r="Z64">
            <v>4.7609658567908211</v>
          </cell>
          <cell r="AA64">
            <v>18.230373142257445</v>
          </cell>
          <cell r="AB64">
            <v>0</v>
          </cell>
          <cell r="AC64">
            <v>9.215789473684211</v>
          </cell>
          <cell r="AD64">
            <v>1.8670425686674554</v>
          </cell>
          <cell r="AE64">
            <v>9.2877734918932777</v>
          </cell>
          <cell r="AF64">
            <v>3.7</v>
          </cell>
          <cell r="AG64">
            <v>10.6</v>
          </cell>
          <cell r="AH64">
            <v>7.83</v>
          </cell>
          <cell r="AI64">
            <v>1.0607015222475391</v>
          </cell>
          <cell r="AJ64">
            <v>7.9123905632292457</v>
          </cell>
          <cell r="AK64">
            <v>4.9000000000000004</v>
          </cell>
          <cell r="AL64">
            <v>9.1999999999999993</v>
          </cell>
          <cell r="AM64">
            <v>1000</v>
          </cell>
          <cell r="AN64">
            <v>950</v>
          </cell>
          <cell r="AO64">
            <v>0</v>
          </cell>
          <cell r="AP64">
            <v>1</v>
          </cell>
          <cell r="AQ64">
            <v>100</v>
          </cell>
          <cell r="AR64">
            <v>0</v>
          </cell>
          <cell r="AS64" t="e">
            <v>#DIV/0!</v>
          </cell>
          <cell r="AT64">
            <v>0</v>
          </cell>
          <cell r="AU64">
            <v>1</v>
          </cell>
        </row>
        <row r="65">
          <cell r="A65" t="str">
            <v>Forestal Azul</v>
          </cell>
          <cell r="B65" t="str">
            <v>F_5</v>
          </cell>
          <cell r="D65">
            <v>0</v>
          </cell>
          <cell r="E65" t="str">
            <v>F_5_0</v>
          </cell>
          <cell r="H65" t="str">
            <v>Plantation clon G 7</v>
          </cell>
          <cell r="I65">
            <v>43586</v>
          </cell>
          <cell r="K65" t="str">
            <v>2020-11-12 21:52:37</v>
          </cell>
          <cell r="L65">
            <v>1.5</v>
          </cell>
          <cell r="M65" t="str">
            <v>F-5-6</v>
          </cell>
          <cell r="N65">
            <v>6</v>
          </cell>
          <cell r="O65">
            <v>6</v>
          </cell>
          <cell r="P65">
            <v>20</v>
          </cell>
          <cell r="Q65">
            <v>200</v>
          </cell>
          <cell r="R65" t="str">
            <v>G 7</v>
          </cell>
          <cell r="S65">
            <v>54</v>
          </cell>
          <cell r="T65">
            <v>1000</v>
          </cell>
          <cell r="U65" t="e">
            <v>#N/A</v>
          </cell>
          <cell r="V65" t="e">
            <v>#N/A</v>
          </cell>
          <cell r="W65" t="str">
            <v>NaN</v>
          </cell>
          <cell r="X65">
            <v>1</v>
          </cell>
          <cell r="Y65">
            <v>4.9257031215634361</v>
          </cell>
          <cell r="Z65">
            <v>4.4075759531701397</v>
          </cell>
          <cell r="AA65">
            <v>17.495595461287284</v>
          </cell>
          <cell r="AB65">
            <v>0</v>
          </cell>
          <cell r="AC65">
            <v>9.9312499999999986</v>
          </cell>
          <cell r="AD65">
            <v>0.34779064583932273</v>
          </cell>
          <cell r="AE65">
            <v>8.8797452005867736</v>
          </cell>
          <cell r="AF65">
            <v>9.3000000000000007</v>
          </cell>
          <cell r="AG65">
            <v>10.6</v>
          </cell>
          <cell r="AH65">
            <v>7.7000000000000011</v>
          </cell>
          <cell r="AI65">
            <v>0.94833186877449915</v>
          </cell>
          <cell r="AJ65">
            <v>7.6478139549716184</v>
          </cell>
          <cell r="AK65">
            <v>7.3</v>
          </cell>
          <cell r="AL65">
            <v>11.3</v>
          </cell>
          <cell r="AM65">
            <v>1000</v>
          </cell>
          <cell r="AN65">
            <v>800</v>
          </cell>
          <cell r="AO65">
            <v>0</v>
          </cell>
          <cell r="AP65">
            <v>0.95</v>
          </cell>
          <cell r="AQ65">
            <v>100</v>
          </cell>
          <cell r="AR65">
            <v>0</v>
          </cell>
          <cell r="AS65" t="e">
            <v>#DIV/0!</v>
          </cell>
          <cell r="AT65">
            <v>0</v>
          </cell>
          <cell r="AU65">
            <v>1</v>
          </cell>
        </row>
        <row r="66">
          <cell r="A66" t="str">
            <v>Forestal Azul</v>
          </cell>
          <cell r="B66" t="str">
            <v>F_5</v>
          </cell>
          <cell r="D66">
            <v>0</v>
          </cell>
          <cell r="E66" t="str">
            <v>F_5_0</v>
          </cell>
          <cell r="H66" t="str">
            <v>Plantation clon G 7</v>
          </cell>
          <cell r="I66">
            <v>43586</v>
          </cell>
          <cell r="K66" t="str">
            <v>2020-11-12 21:51:58</v>
          </cell>
          <cell r="L66">
            <v>1.5</v>
          </cell>
          <cell r="M66" t="str">
            <v>F-5-2</v>
          </cell>
          <cell r="N66">
            <v>2</v>
          </cell>
          <cell r="O66">
            <v>2</v>
          </cell>
          <cell r="P66">
            <v>20</v>
          </cell>
          <cell r="Q66">
            <v>200</v>
          </cell>
          <cell r="R66" t="str">
            <v>G 7</v>
          </cell>
          <cell r="S66">
            <v>54</v>
          </cell>
          <cell r="T66">
            <v>1000</v>
          </cell>
          <cell r="U66" t="e">
            <v>#N/A</v>
          </cell>
          <cell r="V66" t="e">
            <v>#N/A</v>
          </cell>
          <cell r="W66" t="str">
            <v>NaN</v>
          </cell>
          <cell r="X66">
            <v>1</v>
          </cell>
          <cell r="Y66">
            <v>5.1714542068904974</v>
          </cell>
          <cell r="Z66">
            <v>5.1260581930461253</v>
          </cell>
          <cell r="AA66">
            <v>21.076396905015873</v>
          </cell>
          <cell r="AB66">
            <v>0</v>
          </cell>
          <cell r="AC66">
            <v>10.242105263157896</v>
          </cell>
          <cell r="AD66">
            <v>0.61762609101631516</v>
          </cell>
          <cell r="AE66">
            <v>10.188815399802568</v>
          </cell>
          <cell r="AF66">
            <v>9.4</v>
          </cell>
          <cell r="AG66">
            <v>11.7</v>
          </cell>
          <cell r="AH66">
            <v>8.0299999999999994</v>
          </cell>
          <cell r="AI66">
            <v>0.51190505333091885</v>
          </cell>
          <cell r="AJ66">
            <v>8.2602126205482591</v>
          </cell>
          <cell r="AK66">
            <v>7.2</v>
          </cell>
          <cell r="AL66">
            <v>9.1999999999999993</v>
          </cell>
          <cell r="AM66">
            <v>1000</v>
          </cell>
          <cell r="AN66">
            <v>950</v>
          </cell>
          <cell r="AO66">
            <v>0</v>
          </cell>
          <cell r="AP66">
            <v>0.9</v>
          </cell>
          <cell r="AQ66">
            <v>94.73684210526315</v>
          </cell>
          <cell r="AR66">
            <v>0</v>
          </cell>
          <cell r="AS66" t="e">
            <v>#DIV/0!</v>
          </cell>
          <cell r="AT66">
            <v>0</v>
          </cell>
          <cell r="AU66">
            <v>1</v>
          </cell>
        </row>
        <row r="67">
          <cell r="A67" t="str">
            <v>Forestal Azul</v>
          </cell>
          <cell r="B67" t="str">
            <v>F_6</v>
          </cell>
          <cell r="D67">
            <v>0</v>
          </cell>
          <cell r="E67" t="str">
            <v>F_6_0</v>
          </cell>
          <cell r="H67" t="str">
            <v>Plantation clon G 1</v>
          </cell>
          <cell r="I67">
            <v>43586</v>
          </cell>
          <cell r="K67" t="str">
            <v>2020-11-13 22:32:02</v>
          </cell>
          <cell r="L67">
            <v>1.5</v>
          </cell>
          <cell r="M67" t="str">
            <v>F-6-7</v>
          </cell>
          <cell r="N67">
            <v>7</v>
          </cell>
          <cell r="O67">
            <v>7</v>
          </cell>
          <cell r="P67">
            <v>20</v>
          </cell>
          <cell r="Q67">
            <v>200</v>
          </cell>
          <cell r="R67" t="str">
            <v>G 1</v>
          </cell>
          <cell r="S67">
            <v>65.5</v>
          </cell>
          <cell r="T67">
            <v>1000</v>
          </cell>
          <cell r="U67" t="e">
            <v>#N/A</v>
          </cell>
          <cell r="V67" t="e">
            <v>#N/A</v>
          </cell>
          <cell r="W67" t="str">
            <v>NaN</v>
          </cell>
          <cell r="X67">
            <v>1</v>
          </cell>
          <cell r="Y67">
            <v>3.7390450364862318</v>
          </cell>
          <cell r="Z67">
            <v>3.1671966337165491</v>
          </cell>
          <cell r="AA67">
            <v>10.249925125216373</v>
          </cell>
          <cell r="AB67">
            <v>0</v>
          </cell>
          <cell r="AC67">
            <v>7.8200000000000012</v>
          </cell>
          <cell r="AD67">
            <v>1.0758385433830486</v>
          </cell>
          <cell r="AE67">
            <v>6.8533041359463933</v>
          </cell>
          <cell r="AF67">
            <v>6.7</v>
          </cell>
          <cell r="AG67">
            <v>10.3</v>
          </cell>
          <cell r="AH67">
            <v>6.9789473684210535</v>
          </cell>
          <cell r="AI67">
            <v>1.1134673429470296</v>
          </cell>
          <cell r="AJ67">
            <v>6.4187115340181071</v>
          </cell>
          <cell r="AK67">
            <v>5.8</v>
          </cell>
          <cell r="AL67">
            <v>9.1999999999999993</v>
          </cell>
          <cell r="AM67">
            <v>950</v>
          </cell>
          <cell r="AN67">
            <v>750</v>
          </cell>
          <cell r="AO67">
            <v>0</v>
          </cell>
          <cell r="AP67">
            <v>1</v>
          </cell>
          <cell r="AQ67">
            <v>100</v>
          </cell>
          <cell r="AR67">
            <v>0</v>
          </cell>
          <cell r="AS67" t="e">
            <v>#DIV/0!</v>
          </cell>
          <cell r="AT67">
            <v>0</v>
          </cell>
          <cell r="AU67">
            <v>1</v>
          </cell>
        </row>
        <row r="68">
          <cell r="A68" t="str">
            <v>Forestal Azul</v>
          </cell>
          <cell r="B68" t="str">
            <v>F_6</v>
          </cell>
          <cell r="D68">
            <v>0</v>
          </cell>
          <cell r="E68" t="str">
            <v>F_6_0</v>
          </cell>
          <cell r="H68" t="str">
            <v>Plantation clon G 1</v>
          </cell>
          <cell r="I68">
            <v>43586</v>
          </cell>
          <cell r="K68" t="str">
            <v>2020-11-18 20:21:45</v>
          </cell>
          <cell r="L68">
            <v>1.5</v>
          </cell>
          <cell r="M68" t="str">
            <v>F-6-5</v>
          </cell>
          <cell r="N68">
            <v>5</v>
          </cell>
          <cell r="O68">
            <v>5</v>
          </cell>
          <cell r="P68">
            <v>20</v>
          </cell>
          <cell r="Q68">
            <v>200</v>
          </cell>
          <cell r="R68" t="str">
            <v>G 1</v>
          </cell>
          <cell r="S68">
            <v>65.5</v>
          </cell>
          <cell r="T68">
            <v>1000</v>
          </cell>
          <cell r="U68" t="e">
            <v>#N/A</v>
          </cell>
          <cell r="V68" t="e">
            <v>#N/A</v>
          </cell>
          <cell r="W68" t="str">
            <v>NaN</v>
          </cell>
          <cell r="X68">
            <v>1</v>
          </cell>
          <cell r="Y68">
            <v>4.0617651418262426</v>
          </cell>
          <cell r="Z68">
            <v>3.4563409675713199</v>
          </cell>
          <cell r="AA68">
            <v>10.946713097022991</v>
          </cell>
          <cell r="AB68">
            <v>0</v>
          </cell>
          <cell r="AC68">
            <v>7.6187499999999995</v>
          </cell>
          <cell r="AD68">
            <v>1.1142822802144881</v>
          </cell>
          <cell r="AE68">
            <v>6.7376575914610592</v>
          </cell>
          <cell r="AF68">
            <v>5.0999999999999996</v>
          </cell>
          <cell r="AG68">
            <v>9.3000000000000007</v>
          </cell>
          <cell r="AH68">
            <v>7.0600000000000005</v>
          </cell>
          <cell r="AI68">
            <v>1.3897092021954305</v>
          </cell>
          <cell r="AJ68">
            <v>6.5697511408461606</v>
          </cell>
          <cell r="AK68">
            <v>3.5</v>
          </cell>
          <cell r="AL68">
            <v>8.6999999999999993</v>
          </cell>
          <cell r="AM68">
            <v>1000</v>
          </cell>
          <cell r="AN68">
            <v>800</v>
          </cell>
          <cell r="AO68">
            <v>0</v>
          </cell>
          <cell r="AP68">
            <v>1</v>
          </cell>
          <cell r="AQ68">
            <v>100</v>
          </cell>
          <cell r="AR68">
            <v>0.05</v>
          </cell>
          <cell r="AS68" t="e">
            <v>#DIV/0!</v>
          </cell>
          <cell r="AT68">
            <v>0</v>
          </cell>
          <cell r="AU68">
            <v>1</v>
          </cell>
        </row>
        <row r="69">
          <cell r="A69" t="str">
            <v>Forestal Azul</v>
          </cell>
          <cell r="B69" t="str">
            <v>F_6</v>
          </cell>
          <cell r="D69">
            <v>0</v>
          </cell>
          <cell r="E69" t="str">
            <v>F_6_0</v>
          </cell>
          <cell r="H69" t="str">
            <v>Plantation clon G 1</v>
          </cell>
          <cell r="I69">
            <v>43586</v>
          </cell>
          <cell r="K69" t="str">
            <v>2020-11-18 20:22:32</v>
          </cell>
          <cell r="L69">
            <v>1.5</v>
          </cell>
          <cell r="M69" t="str">
            <v>F-6-6</v>
          </cell>
          <cell r="N69">
            <v>6</v>
          </cell>
          <cell r="O69">
            <v>6</v>
          </cell>
          <cell r="P69">
            <v>20</v>
          </cell>
          <cell r="Q69">
            <v>200</v>
          </cell>
          <cell r="R69" t="str">
            <v>G 1</v>
          </cell>
          <cell r="S69">
            <v>65.5</v>
          </cell>
          <cell r="T69">
            <v>1000</v>
          </cell>
          <cell r="U69" t="e">
            <v>#N/A</v>
          </cell>
          <cell r="V69" t="e">
            <v>#N/A</v>
          </cell>
          <cell r="W69" t="str">
            <v>NaN</v>
          </cell>
          <cell r="X69">
            <v>1</v>
          </cell>
          <cell r="Y69">
            <v>4.7508734903911645</v>
          </cell>
          <cell r="Z69">
            <v>4.5529138833068377</v>
          </cell>
          <cell r="AA69">
            <v>16.188683492615972</v>
          </cell>
          <cell r="AB69">
            <v>0</v>
          </cell>
          <cell r="AC69">
            <v>8.8368421052631572</v>
          </cell>
          <cell r="AD69">
            <v>0.58519752250917578</v>
          </cell>
          <cell r="AE69">
            <v>8.5187931889568542</v>
          </cell>
          <cell r="AF69">
            <v>7.9</v>
          </cell>
          <cell r="AG69">
            <v>9.6999999999999993</v>
          </cell>
          <cell r="AH69">
            <v>7.76</v>
          </cell>
          <cell r="AI69">
            <v>0.52649119884015205</v>
          </cell>
          <cell r="AJ69">
            <v>7.5356629194908251</v>
          </cell>
          <cell r="AK69">
            <v>7.1</v>
          </cell>
          <cell r="AL69">
            <v>9</v>
          </cell>
          <cell r="AM69">
            <v>1000</v>
          </cell>
          <cell r="AN69">
            <v>950</v>
          </cell>
          <cell r="AO69">
            <v>0</v>
          </cell>
          <cell r="AP69">
            <v>0.95</v>
          </cell>
          <cell r="AQ69">
            <v>94.73684210526315</v>
          </cell>
          <cell r="AR69">
            <v>0</v>
          </cell>
          <cell r="AS69" t="e">
            <v>#DIV/0!</v>
          </cell>
          <cell r="AT69">
            <v>0</v>
          </cell>
          <cell r="AU69">
            <v>1</v>
          </cell>
        </row>
        <row r="70">
          <cell r="A70" t="str">
            <v>Forestal Azul</v>
          </cell>
          <cell r="B70" t="str">
            <v>F_6</v>
          </cell>
          <cell r="D70">
            <v>0</v>
          </cell>
          <cell r="E70" t="str">
            <v>F_6_0</v>
          </cell>
          <cell r="H70" t="str">
            <v>Plantation clon G 1</v>
          </cell>
          <cell r="I70">
            <v>43586</v>
          </cell>
          <cell r="K70" t="str">
            <v>2020-11-18 20:22:17</v>
          </cell>
          <cell r="L70">
            <v>1.5</v>
          </cell>
          <cell r="M70" t="str">
            <v>F-6-1</v>
          </cell>
          <cell r="N70">
            <v>1</v>
          </cell>
          <cell r="O70">
            <v>1</v>
          </cell>
          <cell r="P70">
            <v>20</v>
          </cell>
          <cell r="Q70">
            <v>200</v>
          </cell>
          <cell r="R70" t="str">
            <v>G 1</v>
          </cell>
          <cell r="S70">
            <v>65.5</v>
          </cell>
          <cell r="T70">
            <v>1000</v>
          </cell>
          <cell r="U70" t="e">
            <v>#N/A</v>
          </cell>
          <cell r="V70" t="e">
            <v>#N/A</v>
          </cell>
          <cell r="W70" t="str">
            <v>NaN</v>
          </cell>
          <cell r="X70">
            <v>1</v>
          </cell>
          <cell r="Y70">
            <v>4.8670338787576473</v>
          </cell>
          <cell r="Z70">
            <v>4.0833635913196735</v>
          </cell>
          <cell r="AA70">
            <v>15.413566191177392</v>
          </cell>
          <cell r="AB70">
            <v>0</v>
          </cell>
          <cell r="AC70">
            <v>9.3466666666666676</v>
          </cell>
          <cell r="AD70">
            <v>0.73277034666557073</v>
          </cell>
          <cell r="AE70">
            <v>7.9173304394132558</v>
          </cell>
          <cell r="AF70">
            <v>7.4</v>
          </cell>
          <cell r="AG70">
            <v>10.199999999999999</v>
          </cell>
          <cell r="AH70">
            <v>8.0210526315789465</v>
          </cell>
          <cell r="AI70">
            <v>0.76201487299570914</v>
          </cell>
          <cell r="AJ70">
            <v>7.0597927996256189</v>
          </cell>
          <cell r="AK70">
            <v>6.2</v>
          </cell>
          <cell r="AL70">
            <v>9.3000000000000007</v>
          </cell>
          <cell r="AM70">
            <v>950</v>
          </cell>
          <cell r="AN70">
            <v>750</v>
          </cell>
          <cell r="AO70">
            <v>0</v>
          </cell>
          <cell r="AP70">
            <v>1</v>
          </cell>
          <cell r="AQ70">
            <v>100</v>
          </cell>
          <cell r="AR70">
            <v>0</v>
          </cell>
          <cell r="AS70" t="e">
            <v>#DIV/0!</v>
          </cell>
          <cell r="AT70">
            <v>0</v>
          </cell>
          <cell r="AU70">
            <v>1</v>
          </cell>
        </row>
        <row r="71">
          <cell r="A71" t="str">
            <v>Forestal Azul</v>
          </cell>
          <cell r="B71" t="str">
            <v>F_6</v>
          </cell>
          <cell r="D71">
            <v>0</v>
          </cell>
          <cell r="E71" t="str">
            <v>F_6_0</v>
          </cell>
          <cell r="H71" t="str">
            <v>Plantation clon G 1</v>
          </cell>
          <cell r="I71">
            <v>43586</v>
          </cell>
          <cell r="K71" t="str">
            <v>2020-11-13 22:32:11</v>
          </cell>
          <cell r="L71">
            <v>1.5</v>
          </cell>
          <cell r="M71" t="str">
            <v>F-6-2</v>
          </cell>
          <cell r="N71">
            <v>2</v>
          </cell>
          <cell r="O71">
            <v>2</v>
          </cell>
          <cell r="P71">
            <v>20</v>
          </cell>
          <cell r="Q71">
            <v>200</v>
          </cell>
          <cell r="R71" t="str">
            <v>G 1</v>
          </cell>
          <cell r="S71">
            <v>65.5</v>
          </cell>
          <cell r="T71">
            <v>1000</v>
          </cell>
          <cell r="U71" t="e">
            <v>#N/A</v>
          </cell>
          <cell r="V71" t="e">
            <v>#N/A</v>
          </cell>
          <cell r="W71" t="str">
            <v>NaN</v>
          </cell>
          <cell r="X71">
            <v>1</v>
          </cell>
          <cell r="Y71">
            <v>4.8672302282984967</v>
          </cell>
          <cell r="Z71">
            <v>3.5506280170871847</v>
          </cell>
          <cell r="AA71">
            <v>13.329758779625569</v>
          </cell>
          <cell r="AB71">
            <v>0</v>
          </cell>
          <cell r="AC71">
            <v>9.3692307692307679</v>
          </cell>
          <cell r="AD71">
            <v>0.6725382459813658</v>
          </cell>
          <cell r="AE71">
            <v>6.8466859766182839</v>
          </cell>
          <cell r="AF71">
            <v>8</v>
          </cell>
          <cell r="AG71">
            <v>10.199999999999999</v>
          </cell>
          <cell r="AH71">
            <v>7.8250000000000002</v>
          </cell>
          <cell r="AI71">
            <v>0.5479565769807041</v>
          </cell>
          <cell r="AJ71">
            <v>6.1193887512808303</v>
          </cell>
          <cell r="AK71">
            <v>7.1</v>
          </cell>
          <cell r="AL71">
            <v>9.1</v>
          </cell>
          <cell r="AM71">
            <v>1000</v>
          </cell>
          <cell r="AN71">
            <v>650</v>
          </cell>
          <cell r="AO71">
            <v>0</v>
          </cell>
          <cell r="AP71">
            <v>1</v>
          </cell>
          <cell r="AQ71">
            <v>100</v>
          </cell>
          <cell r="AR71">
            <v>0</v>
          </cell>
          <cell r="AS71" t="e">
            <v>#DIV/0!</v>
          </cell>
          <cell r="AT71">
            <v>0</v>
          </cell>
          <cell r="AU71">
            <v>1</v>
          </cell>
        </row>
        <row r="72">
          <cell r="A72" t="str">
            <v>Forestal Azul</v>
          </cell>
          <cell r="B72" t="str">
            <v>F_6</v>
          </cell>
          <cell r="D72">
            <v>0</v>
          </cell>
          <cell r="E72" t="str">
            <v>F_6_0</v>
          </cell>
          <cell r="H72" t="str">
            <v>Plantation clon G 1</v>
          </cell>
          <cell r="I72">
            <v>43586</v>
          </cell>
          <cell r="K72" t="str">
            <v>2020-11-18 20:22:15</v>
          </cell>
          <cell r="L72">
            <v>1.5</v>
          </cell>
          <cell r="M72" t="str">
            <v>F-6-8</v>
          </cell>
          <cell r="N72">
            <v>8</v>
          </cell>
          <cell r="O72">
            <v>8</v>
          </cell>
          <cell r="P72">
            <v>20</v>
          </cell>
          <cell r="Q72">
            <v>200</v>
          </cell>
          <cell r="R72" t="str">
            <v>G 1</v>
          </cell>
          <cell r="S72">
            <v>65.5</v>
          </cell>
          <cell r="T72">
            <v>1000</v>
          </cell>
          <cell r="U72" t="e">
            <v>#N/A</v>
          </cell>
          <cell r="V72" t="e">
            <v>#N/A</v>
          </cell>
          <cell r="W72" t="str">
            <v>NaN</v>
          </cell>
          <cell r="X72">
            <v>1</v>
          </cell>
          <cell r="Y72">
            <v>5.2363280951871269</v>
          </cell>
          <cell r="Z72">
            <v>4.6661290285605794</v>
          </cell>
          <cell r="AA72">
            <v>17.723200707447212</v>
          </cell>
          <cell r="AB72">
            <v>0</v>
          </cell>
          <cell r="AC72">
            <v>9.4588235294117649</v>
          </cell>
          <cell r="AD72">
            <v>0.63152476547777969</v>
          </cell>
          <cell r="AE72">
            <v>8.461654992425494</v>
          </cell>
          <cell r="AF72">
            <v>8.4</v>
          </cell>
          <cell r="AG72">
            <v>10.5</v>
          </cell>
          <cell r="AH72">
            <v>8.11</v>
          </cell>
          <cell r="AI72">
            <v>0.58315823702642211</v>
          </cell>
          <cell r="AJ72">
            <v>7.5010499317544364</v>
          </cell>
          <cell r="AK72">
            <v>7.4</v>
          </cell>
          <cell r="AL72">
            <v>9.4</v>
          </cell>
          <cell r="AM72">
            <v>1000</v>
          </cell>
          <cell r="AN72">
            <v>850</v>
          </cell>
          <cell r="AO72">
            <v>0</v>
          </cell>
          <cell r="AP72">
            <v>0.95</v>
          </cell>
          <cell r="AQ72">
            <v>100</v>
          </cell>
          <cell r="AR72">
            <v>0</v>
          </cell>
          <cell r="AS72" t="e">
            <v>#DIV/0!</v>
          </cell>
          <cell r="AT72">
            <v>0</v>
          </cell>
          <cell r="AU72">
            <v>1</v>
          </cell>
        </row>
        <row r="73">
          <cell r="A73" t="str">
            <v>Forestal Azul</v>
          </cell>
          <cell r="B73" t="str">
            <v>F_6</v>
          </cell>
          <cell r="D73">
            <v>0</v>
          </cell>
          <cell r="E73" t="str">
            <v>F_6_0</v>
          </cell>
          <cell r="H73" t="str">
            <v>Plantation clon G 1</v>
          </cell>
          <cell r="I73">
            <v>43586</v>
          </cell>
          <cell r="K73" t="str">
            <v>2020-11-13 22:31:48</v>
          </cell>
          <cell r="L73">
            <v>1.5</v>
          </cell>
          <cell r="M73" t="str">
            <v>F-6-4</v>
          </cell>
          <cell r="N73">
            <v>4</v>
          </cell>
          <cell r="O73">
            <v>4</v>
          </cell>
          <cell r="P73">
            <v>20</v>
          </cell>
          <cell r="Q73">
            <v>200</v>
          </cell>
          <cell r="R73" t="str">
            <v>G 1</v>
          </cell>
          <cell r="S73">
            <v>65.5</v>
          </cell>
          <cell r="T73">
            <v>1000</v>
          </cell>
          <cell r="U73" t="e">
            <v>#N/A</v>
          </cell>
          <cell r="V73" t="e">
            <v>#N/A</v>
          </cell>
          <cell r="W73" t="str">
            <v>NaN</v>
          </cell>
          <cell r="X73">
            <v>1</v>
          </cell>
          <cell r="Y73">
            <v>5.3205227783033351</v>
          </cell>
          <cell r="Z73">
            <v>4.4497518345445837</v>
          </cell>
          <cell r="AA73">
            <v>16.352809717617461</v>
          </cell>
          <cell r="AB73">
            <v>0</v>
          </cell>
          <cell r="AC73">
            <v>9.1066666666666656</v>
          </cell>
          <cell r="AD73">
            <v>0.76295166170291429</v>
          </cell>
          <cell r="AE73">
            <v>7.6838359682919259</v>
          </cell>
          <cell r="AF73">
            <v>7.8</v>
          </cell>
          <cell r="AG73">
            <v>10.6</v>
          </cell>
          <cell r="AH73">
            <v>8.129999999999999</v>
          </cell>
          <cell r="AI73">
            <v>0.84165370098452752</v>
          </cell>
          <cell r="AJ73">
            <v>7.3645734614646514</v>
          </cell>
          <cell r="AK73">
            <v>7.4</v>
          </cell>
          <cell r="AL73">
            <v>10</v>
          </cell>
          <cell r="AM73">
            <v>1000</v>
          </cell>
          <cell r="AN73">
            <v>750</v>
          </cell>
          <cell r="AO73">
            <v>0</v>
          </cell>
          <cell r="AP73">
            <v>1</v>
          </cell>
          <cell r="AQ73">
            <v>100</v>
          </cell>
          <cell r="AR73">
            <v>0</v>
          </cell>
          <cell r="AS73" t="e">
            <v>#DIV/0!</v>
          </cell>
          <cell r="AT73">
            <v>0</v>
          </cell>
          <cell r="AU73">
            <v>1</v>
          </cell>
        </row>
        <row r="74">
          <cell r="A74" t="str">
            <v>Forestal Azul</v>
          </cell>
          <cell r="B74" t="str">
            <v>F_6</v>
          </cell>
          <cell r="D74">
            <v>0</v>
          </cell>
          <cell r="E74" t="str">
            <v>F_6_0</v>
          </cell>
          <cell r="H74" t="str">
            <v>Plantation clon G 1</v>
          </cell>
          <cell r="I74">
            <v>43586</v>
          </cell>
          <cell r="K74" t="str">
            <v>2020-11-18 20:21:57</v>
          </cell>
          <cell r="L74">
            <v>1.5</v>
          </cell>
          <cell r="M74" t="str">
            <v>F-6-3</v>
          </cell>
          <cell r="N74">
            <v>3</v>
          </cell>
          <cell r="O74">
            <v>3</v>
          </cell>
          <cell r="P74">
            <v>20</v>
          </cell>
          <cell r="Q74">
            <v>200</v>
          </cell>
          <cell r="R74" t="str">
            <v>G 1</v>
          </cell>
          <cell r="S74">
            <v>65.5</v>
          </cell>
          <cell r="T74">
            <v>1000</v>
          </cell>
          <cell r="U74" t="e">
            <v>#N/A</v>
          </cell>
          <cell r="V74" t="e">
            <v>#N/A</v>
          </cell>
          <cell r="W74" t="str">
            <v>NaN</v>
          </cell>
          <cell r="X74">
            <v>1</v>
          </cell>
          <cell r="Y74">
            <v>5.3734586145163208</v>
          </cell>
          <cell r="Z74">
            <v>4.712074821119332</v>
          </cell>
          <cell r="AA74">
            <v>17.329023506404972</v>
          </cell>
          <cell r="AB74">
            <v>0</v>
          </cell>
          <cell r="AC74">
            <v>9.1812499999999986</v>
          </cell>
          <cell r="AD74">
            <v>0.76001644719045391</v>
          </cell>
          <cell r="AE74">
            <v>8.0623229606676716</v>
          </cell>
          <cell r="AF74">
            <v>7.4</v>
          </cell>
          <cell r="AG74">
            <v>10.3</v>
          </cell>
          <cell r="AH74">
            <v>8.1800000000000015</v>
          </cell>
          <cell r="AI74">
            <v>0.64381674411279488</v>
          </cell>
          <cell r="AJ74">
            <v>7.6516874461025788</v>
          </cell>
          <cell r="AK74">
            <v>7.2</v>
          </cell>
          <cell r="AL74">
            <v>9.6999999999999993</v>
          </cell>
          <cell r="AM74">
            <v>1000</v>
          </cell>
          <cell r="AN74">
            <v>800</v>
          </cell>
          <cell r="AO74">
            <v>0</v>
          </cell>
          <cell r="AP74">
            <v>1</v>
          </cell>
          <cell r="AQ74">
            <v>100</v>
          </cell>
          <cell r="AR74">
            <v>0</v>
          </cell>
          <cell r="AS74" t="e">
            <v>#DIV/0!</v>
          </cell>
          <cell r="AT74">
            <v>0</v>
          </cell>
          <cell r="AU74">
            <v>1</v>
          </cell>
        </row>
        <row r="75">
          <cell r="A75" t="str">
            <v>Forestal Azul</v>
          </cell>
          <cell r="B75" t="str">
            <v>F_7</v>
          </cell>
          <cell r="D75">
            <v>0</v>
          </cell>
          <cell r="E75" t="str">
            <v>F_7_0</v>
          </cell>
          <cell r="H75" t="str">
            <v>Plantation clon G 2</v>
          </cell>
          <cell r="I75">
            <v>43647</v>
          </cell>
          <cell r="K75" t="str">
            <v>2020-11-18 20:22:57</v>
          </cell>
          <cell r="L75">
            <v>1.3333333333333333</v>
          </cell>
          <cell r="M75" t="str">
            <v>F_7_1</v>
          </cell>
          <cell r="N75">
            <v>1</v>
          </cell>
          <cell r="O75">
            <v>1</v>
          </cell>
          <cell r="P75">
            <v>20</v>
          </cell>
          <cell r="Q75">
            <v>200</v>
          </cell>
          <cell r="R75" t="str">
            <v>G 2</v>
          </cell>
          <cell r="S75">
            <v>54</v>
          </cell>
          <cell r="T75">
            <v>1000</v>
          </cell>
          <cell r="U75" t="e">
            <v>#N/A</v>
          </cell>
          <cell r="V75" t="e">
            <v>#N/A</v>
          </cell>
          <cell r="W75" t="str">
            <v>NaN</v>
          </cell>
          <cell r="X75">
            <v>1</v>
          </cell>
          <cell r="Y75">
            <v>2.7602818452603319</v>
          </cell>
          <cell r="Z75">
            <v>2.6414903730464676</v>
          </cell>
          <cell r="AA75">
            <v>7.3097871005380259</v>
          </cell>
          <cell r="AB75">
            <v>0</v>
          </cell>
          <cell r="AC75">
            <v>6.6470588235294121</v>
          </cell>
          <cell r="AD75">
            <v>0.86249467176529315</v>
          </cell>
          <cell r="AE75">
            <v>6.6205078958600083</v>
          </cell>
          <cell r="AF75">
            <v>5.0999999999999996</v>
          </cell>
          <cell r="AG75">
            <v>8.6</v>
          </cell>
          <cell r="AH75">
            <v>6.1555555555555559</v>
          </cell>
          <cell r="AI75">
            <v>1.1294194239936293</v>
          </cell>
          <cell r="AJ75">
            <v>6.3048527528809215</v>
          </cell>
          <cell r="AK75">
            <v>4.2</v>
          </cell>
          <cell r="AL75">
            <v>9.1</v>
          </cell>
          <cell r="AM75">
            <v>900</v>
          </cell>
          <cell r="AN75">
            <v>850</v>
          </cell>
          <cell r="AO75">
            <v>0</v>
          </cell>
          <cell r="AP75">
            <v>1</v>
          </cell>
          <cell r="AQ75">
            <v>100</v>
          </cell>
          <cell r="AR75">
            <v>0</v>
          </cell>
          <cell r="AS75" t="e">
            <v>#DIV/0!</v>
          </cell>
          <cell r="AT75">
            <v>0</v>
          </cell>
          <cell r="AU75">
            <v>1</v>
          </cell>
        </row>
        <row r="76">
          <cell r="A76" t="str">
            <v>Forestal Azul</v>
          </cell>
          <cell r="B76" t="str">
            <v>F_7</v>
          </cell>
          <cell r="D76">
            <v>0</v>
          </cell>
          <cell r="E76" t="str">
            <v>F_7_0</v>
          </cell>
          <cell r="H76" t="str">
            <v>Plantation clon G 2</v>
          </cell>
          <cell r="I76">
            <v>43647</v>
          </cell>
          <cell r="K76" t="str">
            <v>2020-11-18 20:22:48</v>
          </cell>
          <cell r="L76">
            <v>1.3333333333333333</v>
          </cell>
          <cell r="M76" t="str">
            <v>F_7_6</v>
          </cell>
          <cell r="N76">
            <v>6</v>
          </cell>
          <cell r="O76">
            <v>6</v>
          </cell>
          <cell r="P76">
            <v>20</v>
          </cell>
          <cell r="Q76">
            <v>200</v>
          </cell>
          <cell r="R76" t="str">
            <v>G 2</v>
          </cell>
          <cell r="S76">
            <v>54</v>
          </cell>
          <cell r="T76">
            <v>1000</v>
          </cell>
          <cell r="U76" t="e">
            <v>#N/A</v>
          </cell>
          <cell r="V76" t="e">
            <v>#N/A</v>
          </cell>
          <cell r="W76" t="str">
            <v>NaN</v>
          </cell>
          <cell r="X76">
            <v>1</v>
          </cell>
          <cell r="Y76">
            <v>3.1762679825037901</v>
          </cell>
          <cell r="Z76">
            <v>3.1762679825037901</v>
          </cell>
          <cell r="AA76">
            <v>9.9100409284134745</v>
          </cell>
          <cell r="AB76">
            <v>0</v>
          </cell>
          <cell r="AC76">
            <v>7.5375000000000005</v>
          </cell>
          <cell r="AD76">
            <v>1.2344364436184292</v>
          </cell>
          <cell r="AE76">
            <v>7.800066763102258</v>
          </cell>
          <cell r="AF76">
            <v>3.8</v>
          </cell>
          <cell r="AG76">
            <v>9</v>
          </cell>
          <cell r="AH76">
            <v>6.9937499999999995</v>
          </cell>
          <cell r="AI76">
            <v>1.3223558522576291</v>
          </cell>
          <cell r="AJ76">
            <v>7.4359667668113216</v>
          </cell>
          <cell r="AK76">
            <v>4.2</v>
          </cell>
          <cell r="AL76">
            <v>9.3000000000000007</v>
          </cell>
          <cell r="AM76">
            <v>800</v>
          </cell>
          <cell r="AN76">
            <v>800</v>
          </cell>
          <cell r="AO76">
            <v>0</v>
          </cell>
          <cell r="AP76">
            <v>1</v>
          </cell>
          <cell r="AQ76">
            <v>100</v>
          </cell>
          <cell r="AR76">
            <v>0</v>
          </cell>
          <cell r="AS76" t="e">
            <v>#DIV/0!</v>
          </cell>
          <cell r="AT76">
            <v>0</v>
          </cell>
          <cell r="AU76">
            <v>1</v>
          </cell>
        </row>
        <row r="77">
          <cell r="A77" t="str">
            <v>Forestal Azul</v>
          </cell>
          <cell r="B77" t="str">
            <v>F_7</v>
          </cell>
          <cell r="D77">
            <v>0</v>
          </cell>
          <cell r="E77" t="str">
            <v>F_7_0</v>
          </cell>
          <cell r="H77" t="str">
            <v>Plantation clon G 2</v>
          </cell>
          <cell r="I77">
            <v>43647</v>
          </cell>
          <cell r="K77" t="str">
            <v>2020-11-19 21:58:43</v>
          </cell>
          <cell r="L77">
            <v>1.3333333333333333</v>
          </cell>
          <cell r="M77" t="str">
            <v>F_7_4</v>
          </cell>
          <cell r="N77">
            <v>4</v>
          </cell>
          <cell r="O77">
            <v>4</v>
          </cell>
          <cell r="P77">
            <v>20</v>
          </cell>
          <cell r="Q77">
            <v>200</v>
          </cell>
          <cell r="R77" t="str">
            <v>G 2</v>
          </cell>
          <cell r="S77">
            <v>54</v>
          </cell>
          <cell r="T77">
            <v>1000</v>
          </cell>
          <cell r="U77" t="e">
            <v>#N/A</v>
          </cell>
          <cell r="V77" t="e">
            <v>#N/A</v>
          </cell>
          <cell r="W77" t="str">
            <v>NaN</v>
          </cell>
          <cell r="X77">
            <v>1</v>
          </cell>
          <cell r="Y77">
            <v>3.6423625225720055</v>
          </cell>
          <cell r="Z77">
            <v>3.3627215064943443</v>
          </cell>
          <cell r="AA77">
            <v>11.424665578562186</v>
          </cell>
          <cell r="AB77">
            <v>0</v>
          </cell>
          <cell r="AC77">
            <v>8.3333333333333339</v>
          </cell>
          <cell r="AD77">
            <v>0.783459969500372</v>
          </cell>
          <cell r="AE77">
            <v>7.841521476625843</v>
          </cell>
          <cell r="AF77">
            <v>7</v>
          </cell>
          <cell r="AG77">
            <v>9.6</v>
          </cell>
          <cell r="AH77">
            <v>7.0444444444444434</v>
          </cell>
          <cell r="AI77">
            <v>0.94717625452862653</v>
          </cell>
          <cell r="AJ77">
            <v>7.1286581421424868</v>
          </cell>
          <cell r="AK77">
            <v>6</v>
          </cell>
          <cell r="AL77">
            <v>8.9</v>
          </cell>
          <cell r="AM77">
            <v>900</v>
          </cell>
          <cell r="AN77">
            <v>750</v>
          </cell>
          <cell r="AO77">
            <v>0</v>
          </cell>
          <cell r="AP77">
            <v>1.1111111111111112</v>
          </cell>
          <cell r="AQ77">
            <v>100</v>
          </cell>
          <cell r="AR77">
            <v>0</v>
          </cell>
          <cell r="AS77" t="e">
            <v>#DIV/0!</v>
          </cell>
          <cell r="AT77">
            <v>0</v>
          </cell>
          <cell r="AU77">
            <v>1</v>
          </cell>
        </row>
        <row r="78">
          <cell r="A78" t="str">
            <v>Forestal Azul</v>
          </cell>
          <cell r="B78" t="str">
            <v>F_7</v>
          </cell>
          <cell r="D78">
            <v>0</v>
          </cell>
          <cell r="E78" t="str">
            <v>F_7_0</v>
          </cell>
          <cell r="H78" t="str">
            <v>Plantation clon G 2</v>
          </cell>
          <cell r="I78">
            <v>43647</v>
          </cell>
          <cell r="K78" t="str">
            <v>2020-11-19 21:58:22</v>
          </cell>
          <cell r="L78">
            <v>1.3333333333333333</v>
          </cell>
          <cell r="M78" t="str">
            <v>F_7_2</v>
          </cell>
          <cell r="N78">
            <v>2</v>
          </cell>
          <cell r="O78">
            <v>2</v>
          </cell>
          <cell r="P78">
            <v>20</v>
          </cell>
          <cell r="Q78">
            <v>200</v>
          </cell>
          <cell r="R78" t="str">
            <v>G 2</v>
          </cell>
          <cell r="S78">
            <v>54</v>
          </cell>
          <cell r="T78">
            <v>1000</v>
          </cell>
          <cell r="U78" t="e">
            <v>#N/A</v>
          </cell>
          <cell r="V78" t="e">
            <v>#N/A</v>
          </cell>
          <cell r="W78" t="str">
            <v>NaN</v>
          </cell>
          <cell r="X78">
            <v>1</v>
          </cell>
          <cell r="Y78">
            <v>3.9900582895080561</v>
          </cell>
          <cell r="Z78">
            <v>3.6958481374993726</v>
          </cell>
          <cell r="AA78">
            <v>12.827070968328345</v>
          </cell>
          <cell r="AB78">
            <v>0</v>
          </cell>
          <cell r="AC78">
            <v>8.6333333333333329</v>
          </cell>
          <cell r="AD78">
            <v>0.34127787539671256</v>
          </cell>
          <cell r="AE78">
            <v>8.036894474735746</v>
          </cell>
          <cell r="AF78">
            <v>8</v>
          </cell>
          <cell r="AG78">
            <v>9.6</v>
          </cell>
          <cell r="AH78">
            <v>7.0900000000000007</v>
          </cell>
          <cell r="AI78">
            <v>0.6868512982315409</v>
          </cell>
          <cell r="AJ78">
            <v>6.7846544495403824</v>
          </cell>
          <cell r="AK78">
            <v>6.1</v>
          </cell>
          <cell r="AL78">
            <v>8.5</v>
          </cell>
          <cell r="AM78">
            <v>1000</v>
          </cell>
          <cell r="AN78">
            <v>900</v>
          </cell>
          <cell r="AO78">
            <v>0</v>
          </cell>
          <cell r="AP78">
            <v>0.95</v>
          </cell>
          <cell r="AQ78">
            <v>94.444444444444443</v>
          </cell>
          <cell r="AR78">
            <v>0</v>
          </cell>
          <cell r="AS78" t="e">
            <v>#DIV/0!</v>
          </cell>
          <cell r="AT78">
            <v>0</v>
          </cell>
          <cell r="AU78">
            <v>1</v>
          </cell>
        </row>
        <row r="79">
          <cell r="A79" t="str">
            <v>Forestal Azul</v>
          </cell>
          <cell r="B79" t="str">
            <v>F_7</v>
          </cell>
          <cell r="D79">
            <v>0</v>
          </cell>
          <cell r="E79" t="str">
            <v>F_7_0</v>
          </cell>
          <cell r="H79" t="str">
            <v>Plantation clon G 2</v>
          </cell>
          <cell r="I79">
            <v>43647</v>
          </cell>
          <cell r="K79" t="str">
            <v>2020-11-18 20:23:05</v>
          </cell>
          <cell r="L79">
            <v>1.3333333333333333</v>
          </cell>
          <cell r="M79" t="str">
            <v>F_7_3</v>
          </cell>
          <cell r="N79">
            <v>3</v>
          </cell>
          <cell r="O79">
            <v>3</v>
          </cell>
          <cell r="P79">
            <v>20</v>
          </cell>
          <cell r="Q79">
            <v>200</v>
          </cell>
          <cell r="R79" t="str">
            <v>G 2</v>
          </cell>
          <cell r="S79">
            <v>54</v>
          </cell>
          <cell r="T79">
            <v>1000</v>
          </cell>
          <cell r="U79" t="e">
            <v>#N/A</v>
          </cell>
          <cell r="V79" t="e">
            <v>#N/A</v>
          </cell>
          <cell r="W79" t="str">
            <v>NaN</v>
          </cell>
          <cell r="X79">
            <v>1</v>
          </cell>
          <cell r="Y79">
            <v>3.9972446827031431</v>
          </cell>
          <cell r="Z79">
            <v>3.7012281149186448</v>
          </cell>
          <cell r="AA79">
            <v>12.858219859488685</v>
          </cell>
          <cell r="AB79">
            <v>0</v>
          </cell>
          <cell r="AC79">
            <v>8.6125000000000007</v>
          </cell>
          <cell r="AD79">
            <v>0.78644770964127064</v>
          </cell>
          <cell r="AE79">
            <v>8.0419269272711205</v>
          </cell>
          <cell r="AF79">
            <v>7.3</v>
          </cell>
          <cell r="AG79">
            <v>10</v>
          </cell>
          <cell r="AH79">
            <v>7.4722222222222223</v>
          </cell>
          <cell r="AI79">
            <v>0.55493993668984865</v>
          </cell>
          <cell r="AJ79">
            <v>7.1581555963807473</v>
          </cell>
          <cell r="AK79">
            <v>6.8</v>
          </cell>
          <cell r="AL79">
            <v>8.5</v>
          </cell>
          <cell r="AM79">
            <v>900</v>
          </cell>
          <cell r="AN79">
            <v>800</v>
          </cell>
          <cell r="AO79">
            <v>0</v>
          </cell>
          <cell r="AP79">
            <v>1</v>
          </cell>
          <cell r="AQ79">
            <v>100</v>
          </cell>
          <cell r="AR79">
            <v>0</v>
          </cell>
          <cell r="AS79" t="e">
            <v>#DIV/0!</v>
          </cell>
          <cell r="AT79">
            <v>0</v>
          </cell>
          <cell r="AU79">
            <v>1</v>
          </cell>
        </row>
        <row r="80">
          <cell r="A80" t="str">
            <v>Forestal Azul</v>
          </cell>
          <cell r="B80" t="str">
            <v>F_7</v>
          </cell>
          <cell r="D80">
            <v>0</v>
          </cell>
          <cell r="E80" t="str">
            <v>F_7_0</v>
          </cell>
          <cell r="H80" t="str">
            <v>Plantation clon G 2</v>
          </cell>
          <cell r="I80">
            <v>43647</v>
          </cell>
          <cell r="K80" t="str">
            <v>2020-11-19 21:58:32</v>
          </cell>
          <cell r="L80">
            <v>1.3333333333333333</v>
          </cell>
          <cell r="M80" t="str">
            <v>F_7_5</v>
          </cell>
          <cell r="N80">
            <v>5</v>
          </cell>
          <cell r="O80">
            <v>5</v>
          </cell>
          <cell r="P80">
            <v>20</v>
          </cell>
          <cell r="Q80">
            <v>200</v>
          </cell>
          <cell r="R80" t="str">
            <v>G 2</v>
          </cell>
          <cell r="S80">
            <v>54</v>
          </cell>
          <cell r="T80">
            <v>1000</v>
          </cell>
          <cell r="U80" t="e">
            <v>#N/A</v>
          </cell>
          <cell r="V80" t="e">
            <v>#N/A</v>
          </cell>
          <cell r="W80" t="str">
            <v>NaN</v>
          </cell>
          <cell r="X80">
            <v>1</v>
          </cell>
          <cell r="Y80">
            <v>4.0850129274628086</v>
          </cell>
          <cell r="Z80">
            <v>3.7869935943616464</v>
          </cell>
          <cell r="AA80">
            <v>14.229118216531985</v>
          </cell>
          <cell r="AB80">
            <v>0</v>
          </cell>
          <cell r="AC80">
            <v>9.2750000000000004</v>
          </cell>
          <cell r="AD80">
            <v>0.69041050590693276</v>
          </cell>
          <cell r="AE80">
            <v>8.708123125432591</v>
          </cell>
          <cell r="AF80">
            <v>8.1999999999999993</v>
          </cell>
          <cell r="AG80">
            <v>10.7</v>
          </cell>
          <cell r="AH80">
            <v>7.5444444444444452</v>
          </cell>
          <cell r="AI80">
            <v>0.85962685703351527</v>
          </cell>
          <cell r="AJ80">
            <v>7.3261660770591392</v>
          </cell>
          <cell r="AK80">
            <v>6.5</v>
          </cell>
          <cell r="AL80">
            <v>9.3000000000000007</v>
          </cell>
          <cell r="AM80">
            <v>900</v>
          </cell>
          <cell r="AN80">
            <v>800</v>
          </cell>
          <cell r="AO80">
            <v>0</v>
          </cell>
          <cell r="AP80">
            <v>1</v>
          </cell>
          <cell r="AQ80">
            <v>100</v>
          </cell>
          <cell r="AR80">
            <v>0</v>
          </cell>
          <cell r="AS80" t="e">
            <v>#DIV/0!</v>
          </cell>
          <cell r="AT80">
            <v>0</v>
          </cell>
          <cell r="AU80">
            <v>1</v>
          </cell>
        </row>
        <row r="81">
          <cell r="A81" t="str">
            <v>Forestal Azul</v>
          </cell>
          <cell r="B81" t="str">
            <v>F_7_2</v>
          </cell>
          <cell r="D81">
            <v>0</v>
          </cell>
          <cell r="E81" t="str">
            <v>F_7_2_0</v>
          </cell>
          <cell r="H81" t="str">
            <v>Plantation clon G 7</v>
          </cell>
          <cell r="I81">
            <v>43647</v>
          </cell>
          <cell r="K81" t="str">
            <v>2020-12-09 20:23:11</v>
          </cell>
          <cell r="L81">
            <v>1.4166666666666667</v>
          </cell>
          <cell r="M81" t="str">
            <v>F_7_2_1</v>
          </cell>
          <cell r="N81">
            <v>1</v>
          </cell>
          <cell r="O81">
            <v>1</v>
          </cell>
          <cell r="P81">
            <v>20</v>
          </cell>
          <cell r="Q81">
            <v>200</v>
          </cell>
          <cell r="R81" t="str">
            <v>G 7</v>
          </cell>
          <cell r="S81">
            <v>4</v>
          </cell>
          <cell r="T81">
            <v>1000</v>
          </cell>
          <cell r="U81" t="e">
            <v>#N/A</v>
          </cell>
          <cell r="V81" t="e">
            <v>#N/A</v>
          </cell>
          <cell r="W81" t="str">
            <v>NaN</v>
          </cell>
          <cell r="X81">
            <v>1</v>
          </cell>
          <cell r="Y81">
            <v>2.8899510820372512</v>
          </cell>
          <cell r="Z81">
            <v>2.8899510820372512</v>
          </cell>
          <cell r="AA81">
            <v>9.0083959828515709</v>
          </cell>
          <cell r="AB81">
            <v>0</v>
          </cell>
          <cell r="AC81">
            <v>7.4399999999999986</v>
          </cell>
          <cell r="AD81">
            <v>1.0735787947661086</v>
          </cell>
          <cell r="AE81">
            <v>7.7928619958691137</v>
          </cell>
          <cell r="AF81">
            <v>6</v>
          </cell>
          <cell r="AG81">
            <v>9.1</v>
          </cell>
          <cell r="AH81">
            <v>6.8800000000000008</v>
          </cell>
          <cell r="AI81">
            <v>1.3602520774789155</v>
          </cell>
          <cell r="AJ81">
            <v>7.3981845852810091</v>
          </cell>
          <cell r="AK81">
            <v>4.9000000000000004</v>
          </cell>
          <cell r="AL81">
            <v>9.5</v>
          </cell>
          <cell r="AM81">
            <v>750</v>
          </cell>
          <cell r="AN81">
            <v>750</v>
          </cell>
          <cell r="AO81">
            <v>0</v>
          </cell>
          <cell r="AP81">
            <v>0.8666666666666667</v>
          </cell>
          <cell r="AQ81">
            <v>86.666666666666671</v>
          </cell>
          <cell r="AR81">
            <v>0</v>
          </cell>
          <cell r="AS81" t="e">
            <v>#DIV/0!</v>
          </cell>
          <cell r="AT81">
            <v>0</v>
          </cell>
          <cell r="AU81">
            <v>1</v>
          </cell>
        </row>
        <row r="82">
          <cell r="A82" t="str">
            <v>Forestal Azul</v>
          </cell>
          <cell r="B82" t="str">
            <v>F_8</v>
          </cell>
          <cell r="D82">
            <v>0</v>
          </cell>
          <cell r="E82" t="str">
            <v>F_8_0</v>
          </cell>
          <cell r="H82" t="str">
            <v>Plantation clon G 7</v>
          </cell>
          <cell r="I82">
            <v>43647</v>
          </cell>
          <cell r="K82" t="str">
            <v>2020-11-19 21:57:39</v>
          </cell>
          <cell r="L82">
            <v>1.3333333333333333</v>
          </cell>
          <cell r="M82" t="str">
            <v>F_8_2</v>
          </cell>
          <cell r="N82">
            <v>2</v>
          </cell>
          <cell r="O82">
            <v>2</v>
          </cell>
          <cell r="P82">
            <v>20</v>
          </cell>
          <cell r="Q82">
            <v>200</v>
          </cell>
          <cell r="R82" t="str">
            <v>G 7</v>
          </cell>
          <cell r="S82">
            <v>51</v>
          </cell>
          <cell r="T82">
            <v>1000</v>
          </cell>
          <cell r="U82" t="e">
            <v>#N/A</v>
          </cell>
          <cell r="V82" t="e">
            <v>#N/A</v>
          </cell>
          <cell r="W82" t="str">
            <v>NaN</v>
          </cell>
          <cell r="X82">
            <v>1</v>
          </cell>
          <cell r="Y82">
            <v>3.6962015666729013</v>
          </cell>
          <cell r="Z82">
            <v>3.4993415170173305</v>
          </cell>
          <cell r="AA82">
            <v>13.741038811073953</v>
          </cell>
          <cell r="AB82">
            <v>0</v>
          </cell>
          <cell r="AC82">
            <v>9.8000000000000007</v>
          </cell>
          <cell r="AD82">
            <v>0.48107023544236377</v>
          </cell>
          <cell r="AE82">
            <v>9.2940269647163838</v>
          </cell>
          <cell r="AF82">
            <v>8.9</v>
          </cell>
          <cell r="AG82">
            <v>10.5</v>
          </cell>
          <cell r="AH82">
            <v>6.7315789473684218</v>
          </cell>
          <cell r="AI82">
            <v>0.48471886795582958</v>
          </cell>
          <cell r="AJ82">
            <v>7.3365213603476311</v>
          </cell>
          <cell r="AK82">
            <v>6.8</v>
          </cell>
          <cell r="AL82">
            <v>8.3000000000000007</v>
          </cell>
          <cell r="AM82">
            <v>950</v>
          </cell>
          <cell r="AN82">
            <v>750</v>
          </cell>
          <cell r="AO82">
            <v>0</v>
          </cell>
          <cell r="AP82">
            <v>1</v>
          </cell>
          <cell r="AQ82">
            <v>100</v>
          </cell>
          <cell r="AR82">
            <v>0</v>
          </cell>
          <cell r="AS82" t="e">
            <v>#DIV/0!</v>
          </cell>
          <cell r="AT82">
            <v>0</v>
          </cell>
          <cell r="AU82">
            <v>1</v>
          </cell>
        </row>
        <row r="83">
          <cell r="A83" t="str">
            <v>Forestal Azul</v>
          </cell>
          <cell r="B83" t="str">
            <v>F_8</v>
          </cell>
          <cell r="D83">
            <v>0</v>
          </cell>
          <cell r="E83" t="str">
            <v>F_8_0</v>
          </cell>
          <cell r="H83" t="str">
            <v>Plantation clon G 7</v>
          </cell>
          <cell r="I83">
            <v>43647</v>
          </cell>
          <cell r="K83" t="str">
            <v>2020-11-19 21:57:31</v>
          </cell>
          <cell r="L83">
            <v>1.3333333333333333</v>
          </cell>
          <cell r="M83" t="str">
            <v>F_8_5</v>
          </cell>
          <cell r="N83">
            <v>5</v>
          </cell>
          <cell r="O83">
            <v>5</v>
          </cell>
          <cell r="P83">
            <v>20</v>
          </cell>
          <cell r="Q83">
            <v>200</v>
          </cell>
          <cell r="R83" t="str">
            <v>G 7</v>
          </cell>
          <cell r="S83">
            <v>51</v>
          </cell>
          <cell r="T83">
            <v>1000</v>
          </cell>
          <cell r="U83" t="e">
            <v>#N/A</v>
          </cell>
          <cell r="V83" t="e">
            <v>#N/A</v>
          </cell>
          <cell r="W83" t="str">
            <v>NaN</v>
          </cell>
          <cell r="X83">
            <v>1</v>
          </cell>
          <cell r="Y83">
            <v>3.8246141663883839</v>
          </cell>
          <cell r="Z83">
            <v>3.6571672779520483</v>
          </cell>
          <cell r="AA83">
            <v>14.289931596323852</v>
          </cell>
          <cell r="AB83">
            <v>0</v>
          </cell>
          <cell r="AC83">
            <v>9.3812499999999996</v>
          </cell>
          <cell r="AD83">
            <v>1.5258740664506592</v>
          </cell>
          <cell r="AE83">
            <v>9.340766790221064</v>
          </cell>
          <cell r="AF83">
            <v>4.0999999999999996</v>
          </cell>
          <cell r="AG83">
            <v>10.6</v>
          </cell>
          <cell r="AH83">
            <v>7.094444444444445</v>
          </cell>
          <cell r="AI83">
            <v>1.7835241330952982</v>
          </cell>
          <cell r="AJ83">
            <v>7.5679124783095304</v>
          </cell>
          <cell r="AK83">
            <v>1</v>
          </cell>
          <cell r="AL83">
            <v>8.9</v>
          </cell>
          <cell r="AM83">
            <v>900</v>
          </cell>
          <cell r="AN83">
            <v>800</v>
          </cell>
          <cell r="AO83">
            <v>0</v>
          </cell>
          <cell r="AP83">
            <v>0.94444444444444442</v>
          </cell>
          <cell r="AQ83">
            <v>93.75</v>
          </cell>
          <cell r="AR83">
            <v>0</v>
          </cell>
          <cell r="AS83" t="e">
            <v>#DIV/0!</v>
          </cell>
          <cell r="AT83">
            <v>0</v>
          </cell>
          <cell r="AU83">
            <v>1</v>
          </cell>
        </row>
        <row r="84">
          <cell r="A84" t="str">
            <v>Forestal Azul</v>
          </cell>
          <cell r="B84" t="str">
            <v>F_8</v>
          </cell>
          <cell r="D84">
            <v>0</v>
          </cell>
          <cell r="E84" t="str">
            <v>F_8_0</v>
          </cell>
          <cell r="H84" t="str">
            <v>Plantation clon G 7</v>
          </cell>
          <cell r="I84">
            <v>43647</v>
          </cell>
          <cell r="K84" t="str">
            <v>2020-11-18 20:24:47</v>
          </cell>
          <cell r="L84">
            <v>1.3333333333333333</v>
          </cell>
          <cell r="M84" t="str">
            <v>F_8_3</v>
          </cell>
          <cell r="N84">
            <v>3</v>
          </cell>
          <cell r="O84">
            <v>3</v>
          </cell>
          <cell r="P84">
            <v>20</v>
          </cell>
          <cell r="Q84">
            <v>200</v>
          </cell>
          <cell r="R84" t="str">
            <v>G 7</v>
          </cell>
          <cell r="S84">
            <v>51</v>
          </cell>
          <cell r="T84">
            <v>1000</v>
          </cell>
          <cell r="U84" t="e">
            <v>#N/A</v>
          </cell>
          <cell r="V84" t="e">
            <v>#N/A</v>
          </cell>
          <cell r="W84" t="str">
            <v>NaN</v>
          </cell>
          <cell r="X84">
            <v>1</v>
          </cell>
          <cell r="Y84">
            <v>3.8709526580288331</v>
          </cell>
          <cell r="Z84">
            <v>3.8255566441844606</v>
          </cell>
          <cell r="AA84">
            <v>14.212992421441115</v>
          </cell>
          <cell r="AB84">
            <v>0</v>
          </cell>
          <cell r="AC84">
            <v>9.2388888888888907</v>
          </cell>
          <cell r="AD84">
            <v>0.65272180263415991</v>
          </cell>
          <cell r="AE84">
            <v>9.1792600407819585</v>
          </cell>
          <cell r="AF84">
            <v>7.6</v>
          </cell>
          <cell r="AG84">
            <v>10.3</v>
          </cell>
          <cell r="AH84">
            <v>7.1315789473684212</v>
          </cell>
          <cell r="AI84">
            <v>0.52596006210367774</v>
          </cell>
          <cell r="AJ84">
            <v>7.322480801030709</v>
          </cell>
          <cell r="AK84">
            <v>6.5</v>
          </cell>
          <cell r="AL84">
            <v>8.1999999999999993</v>
          </cell>
          <cell r="AM84">
            <v>950</v>
          </cell>
          <cell r="AN84">
            <v>900</v>
          </cell>
          <cell r="AO84">
            <v>0</v>
          </cell>
          <cell r="AP84">
            <v>1</v>
          </cell>
          <cell r="AQ84">
            <v>100</v>
          </cell>
          <cell r="AR84">
            <v>0</v>
          </cell>
          <cell r="AS84" t="e">
            <v>#DIV/0!</v>
          </cell>
          <cell r="AT84">
            <v>0</v>
          </cell>
          <cell r="AU84">
            <v>1</v>
          </cell>
        </row>
        <row r="85">
          <cell r="A85" t="str">
            <v>Forestal Azul</v>
          </cell>
          <cell r="B85" t="str">
            <v>F_8</v>
          </cell>
          <cell r="D85">
            <v>0</v>
          </cell>
          <cell r="E85" t="str">
            <v>F_8_0</v>
          </cell>
          <cell r="H85" t="str">
            <v>Plantation clon G 7</v>
          </cell>
          <cell r="I85">
            <v>43647</v>
          </cell>
          <cell r="K85" t="str">
            <v>2020-11-18 20:25:19</v>
          </cell>
          <cell r="L85">
            <v>1.3333333333333333</v>
          </cell>
          <cell r="M85" t="str">
            <v>F_8_1</v>
          </cell>
          <cell r="N85">
            <v>1</v>
          </cell>
          <cell r="O85">
            <v>1</v>
          </cell>
          <cell r="P85">
            <v>20</v>
          </cell>
          <cell r="Q85">
            <v>200</v>
          </cell>
          <cell r="R85" t="str">
            <v>G 7</v>
          </cell>
          <cell r="S85">
            <v>51</v>
          </cell>
          <cell r="T85">
            <v>1000</v>
          </cell>
          <cell r="U85" t="e">
            <v>#N/A</v>
          </cell>
          <cell r="V85" t="e">
            <v>#N/A</v>
          </cell>
          <cell r="W85" t="str">
            <v>NaN</v>
          </cell>
          <cell r="X85">
            <v>1</v>
          </cell>
          <cell r="Y85">
            <v>4.3268370219728816</v>
          </cell>
          <cell r="Z85">
            <v>4.2394614762949159</v>
          </cell>
          <cell r="AA85">
            <v>16.145287102495605</v>
          </cell>
          <cell r="AB85">
            <v>0</v>
          </cell>
          <cell r="AC85">
            <v>9.4722222222222214</v>
          </cell>
          <cell r="AD85">
            <v>0.60663542259557524</v>
          </cell>
          <cell r="AE85">
            <v>9.328573632716779</v>
          </cell>
          <cell r="AF85">
            <v>7.7</v>
          </cell>
          <cell r="AG85">
            <v>10.5</v>
          </cell>
          <cell r="AH85">
            <v>7.2799999999999994</v>
          </cell>
          <cell r="AI85">
            <v>0.52221874564271786</v>
          </cell>
          <cell r="AJ85">
            <v>7.6365731244667954</v>
          </cell>
          <cell r="AK85">
            <v>6.8</v>
          </cell>
          <cell r="AL85">
            <v>8.5</v>
          </cell>
          <cell r="AM85">
            <v>1000</v>
          </cell>
          <cell r="AN85">
            <v>900</v>
          </cell>
          <cell r="AO85">
            <v>0</v>
          </cell>
          <cell r="AP85">
            <v>1</v>
          </cell>
          <cell r="AQ85">
            <v>100</v>
          </cell>
          <cell r="AR85">
            <v>0</v>
          </cell>
          <cell r="AS85" t="e">
            <v>#DIV/0!</v>
          </cell>
          <cell r="AT85">
            <v>0</v>
          </cell>
          <cell r="AU85">
            <v>1</v>
          </cell>
        </row>
        <row r="86">
          <cell r="A86" t="str">
            <v>Forestal Azul</v>
          </cell>
          <cell r="B86" t="str">
            <v>F_8</v>
          </cell>
          <cell r="D86">
            <v>0</v>
          </cell>
          <cell r="E86" t="str">
            <v>F_8_0</v>
          </cell>
          <cell r="H86" t="str">
            <v>Plantation clon G 7</v>
          </cell>
          <cell r="I86">
            <v>43647</v>
          </cell>
          <cell r="K86" t="str">
            <v>2020-11-19 21:57:48</v>
          </cell>
          <cell r="L86">
            <v>1.3333333333333333</v>
          </cell>
          <cell r="M86" t="str">
            <v>F_8_6</v>
          </cell>
          <cell r="N86">
            <v>6</v>
          </cell>
          <cell r="O86">
            <v>6</v>
          </cell>
          <cell r="P86">
            <v>20</v>
          </cell>
          <cell r="Q86">
            <v>200</v>
          </cell>
          <cell r="R86" t="str">
            <v>G 7</v>
          </cell>
          <cell r="S86">
            <v>51</v>
          </cell>
          <cell r="T86">
            <v>1000</v>
          </cell>
          <cell r="U86" t="e">
            <v>#N/A</v>
          </cell>
          <cell r="V86" t="e">
            <v>#N/A</v>
          </cell>
          <cell r="W86" t="str">
            <v>NaN</v>
          </cell>
          <cell r="X86">
            <v>1</v>
          </cell>
          <cell r="Y86">
            <v>4.3580565989679316</v>
          </cell>
          <cell r="Z86">
            <v>4.3173337041957733</v>
          </cell>
          <cell r="AA86">
            <v>16.984420637436379</v>
          </cell>
          <cell r="AB86">
            <v>0</v>
          </cell>
          <cell r="AC86">
            <v>9.7666666666666675</v>
          </cell>
          <cell r="AD86">
            <v>0.49705012174770852</v>
          </cell>
          <cell r="AE86">
            <v>9.743116141182405</v>
          </cell>
          <cell r="AF86">
            <v>8.6999999999999993</v>
          </cell>
          <cell r="AG86">
            <v>10.5</v>
          </cell>
          <cell r="AH86">
            <v>7.2249999999999996</v>
          </cell>
          <cell r="AI86">
            <v>0.78632096092802417</v>
          </cell>
          <cell r="AJ86">
            <v>7.8506122890328616</v>
          </cell>
          <cell r="AK86">
            <v>6.2</v>
          </cell>
          <cell r="AL86">
            <v>9.1</v>
          </cell>
          <cell r="AM86">
            <v>1000</v>
          </cell>
          <cell r="AN86">
            <v>900</v>
          </cell>
          <cell r="AO86">
            <v>0</v>
          </cell>
          <cell r="AP86">
            <v>0.9</v>
          </cell>
          <cell r="AQ86">
            <v>88.888888888888886</v>
          </cell>
          <cell r="AR86">
            <v>0</v>
          </cell>
          <cell r="AS86" t="e">
            <v>#DIV/0!</v>
          </cell>
          <cell r="AT86">
            <v>0</v>
          </cell>
          <cell r="AU86">
            <v>1</v>
          </cell>
        </row>
        <row r="87">
          <cell r="A87" t="str">
            <v>Forestal Azul</v>
          </cell>
          <cell r="B87" t="str">
            <v>F_8</v>
          </cell>
          <cell r="D87">
            <v>0</v>
          </cell>
          <cell r="E87" t="str">
            <v>F_8_0</v>
          </cell>
          <cell r="H87" t="str">
            <v>Plantation clon G 7</v>
          </cell>
          <cell r="I87">
            <v>43647</v>
          </cell>
          <cell r="K87" t="str">
            <v>2020-11-19 21:58:03</v>
          </cell>
          <cell r="L87">
            <v>1.3333333333333333</v>
          </cell>
          <cell r="M87" t="str">
            <v>F_8_4</v>
          </cell>
          <cell r="N87">
            <v>4</v>
          </cell>
          <cell r="O87">
            <v>4</v>
          </cell>
          <cell r="P87">
            <v>20</v>
          </cell>
          <cell r="Q87">
            <v>200</v>
          </cell>
          <cell r="R87" t="str">
            <v>G 7</v>
          </cell>
          <cell r="S87">
            <v>51</v>
          </cell>
          <cell r="T87">
            <v>1000</v>
          </cell>
          <cell r="U87" t="e">
            <v>#N/A</v>
          </cell>
          <cell r="V87" t="e">
            <v>#N/A</v>
          </cell>
          <cell r="W87" t="str">
            <v>NaN</v>
          </cell>
          <cell r="X87">
            <v>1</v>
          </cell>
          <cell r="Y87">
            <v>4.5896312474456691</v>
          </cell>
          <cell r="Z87">
            <v>4.4914564770209875</v>
          </cell>
          <cell r="AA87">
            <v>17.453991349775794</v>
          </cell>
          <cell r="AB87">
            <v>0</v>
          </cell>
          <cell r="AC87">
            <v>9.7157894736842092</v>
          </cell>
          <cell r="AD87">
            <v>0.39618059559686325</v>
          </cell>
          <cell r="AE87">
            <v>9.5072950356794479</v>
          </cell>
          <cell r="AF87">
            <v>9</v>
          </cell>
          <cell r="AG87">
            <v>10.5</v>
          </cell>
          <cell r="AH87">
            <v>7.6099999999999994</v>
          </cell>
          <cell r="AI87">
            <v>0.42994627707376504</v>
          </cell>
          <cell r="AJ87">
            <v>7.6254855656518981</v>
          </cell>
          <cell r="AK87">
            <v>7</v>
          </cell>
          <cell r="AL87">
            <v>8.4</v>
          </cell>
          <cell r="AM87">
            <v>1000</v>
          </cell>
          <cell r="AN87">
            <v>950</v>
          </cell>
          <cell r="AO87">
            <v>0</v>
          </cell>
          <cell r="AP87">
            <v>1</v>
          </cell>
          <cell r="AQ87">
            <v>100</v>
          </cell>
          <cell r="AR87">
            <v>0</v>
          </cell>
          <cell r="AS87" t="e">
            <v>#DIV/0!</v>
          </cell>
          <cell r="AT87">
            <v>0</v>
          </cell>
          <cell r="AU87">
            <v>1</v>
          </cell>
        </row>
        <row r="88">
          <cell r="A88" t="str">
            <v>Forestal Azul</v>
          </cell>
          <cell r="B88" t="str">
            <v>F_8_2</v>
          </cell>
          <cell r="D88">
            <v>0</v>
          </cell>
          <cell r="E88" t="str">
            <v>F_8_2_0</v>
          </cell>
          <cell r="H88" t="str">
            <v>Plantation clon G 2</v>
          </cell>
          <cell r="I88">
            <v>43647</v>
          </cell>
          <cell r="K88" t="str">
            <v>2020-11-18 20:24:49</v>
          </cell>
          <cell r="L88">
            <v>1.3333333333333333</v>
          </cell>
          <cell r="M88" t="str">
            <v>F_8_2_1</v>
          </cell>
          <cell r="N88">
            <v>1</v>
          </cell>
          <cell r="O88">
            <v>1</v>
          </cell>
          <cell r="P88">
            <v>20</v>
          </cell>
          <cell r="Q88">
            <v>200</v>
          </cell>
          <cell r="R88" t="str">
            <v>G 2</v>
          </cell>
          <cell r="S88">
            <v>3.5</v>
          </cell>
          <cell r="T88">
            <v>1000</v>
          </cell>
          <cell r="U88" t="e">
            <v>#N/A</v>
          </cell>
          <cell r="V88" t="e">
            <v>#N/A</v>
          </cell>
          <cell r="W88" t="str">
            <v>NaN</v>
          </cell>
          <cell r="X88">
            <v>1</v>
          </cell>
          <cell r="Y88">
            <v>3.8578757786082654</v>
          </cell>
          <cell r="Z88">
            <v>3.3934698445913547</v>
          </cell>
          <cell r="AA88">
            <v>12.819278247751113</v>
          </cell>
          <cell r="AB88">
            <v>0</v>
          </cell>
          <cell r="AC88">
            <v>9.4333333333333336</v>
          </cell>
          <cell r="AD88">
            <v>0.45617456975947029</v>
          </cell>
          <cell r="AE88">
            <v>8.3072129478827375</v>
          </cell>
          <cell r="AF88">
            <v>8.3000000000000007</v>
          </cell>
          <cell r="AG88">
            <v>10.199999999999999</v>
          </cell>
          <cell r="AH88">
            <v>7.3555555555555543</v>
          </cell>
          <cell r="AI88">
            <v>0.52162748978101037</v>
          </cell>
          <cell r="AJ88">
            <v>6.7216388436482104</v>
          </cell>
          <cell r="AK88">
            <v>6.7</v>
          </cell>
          <cell r="AL88">
            <v>8.6999999999999993</v>
          </cell>
          <cell r="AM88">
            <v>900</v>
          </cell>
          <cell r="AN88">
            <v>750</v>
          </cell>
          <cell r="AO88">
            <v>0</v>
          </cell>
          <cell r="AP88">
            <v>1</v>
          </cell>
          <cell r="AQ88">
            <v>100</v>
          </cell>
          <cell r="AR88">
            <v>0</v>
          </cell>
          <cell r="AS88" t="e">
            <v>#DIV/0!</v>
          </cell>
          <cell r="AT88">
            <v>0</v>
          </cell>
          <cell r="AU88">
            <v>1</v>
          </cell>
        </row>
        <row r="89">
          <cell r="A89" t="str">
            <v>Forestal Azul</v>
          </cell>
          <cell r="B89" t="str">
            <v>Jakare</v>
          </cell>
          <cell r="D89">
            <v>0</v>
          </cell>
          <cell r="E89" t="str">
            <v>Jakare_0</v>
          </cell>
          <cell r="H89" t="str">
            <v>Plantation clon G 0</v>
          </cell>
          <cell r="I89">
            <v>43739</v>
          </cell>
          <cell r="K89" t="str">
            <v>2020-12-02 20:55:42</v>
          </cell>
          <cell r="L89">
            <v>1.1666666666666667</v>
          </cell>
          <cell r="M89" t="str">
            <v>Jakare_3</v>
          </cell>
          <cell r="N89">
            <v>3</v>
          </cell>
          <cell r="O89">
            <v>3</v>
          </cell>
          <cell r="P89">
            <v>20</v>
          </cell>
          <cell r="Q89">
            <v>279.99999999999994</v>
          </cell>
          <cell r="R89" t="str">
            <v>G 0</v>
          </cell>
          <cell r="S89">
            <v>37.5</v>
          </cell>
          <cell r="T89">
            <v>714</v>
          </cell>
          <cell r="U89" t="e">
            <v>#N/A</v>
          </cell>
          <cell r="V89" t="e">
            <v>#N/A</v>
          </cell>
          <cell r="W89" t="str">
            <v>NaN</v>
          </cell>
          <cell r="X89">
            <v>1</v>
          </cell>
          <cell r="Y89">
            <v>0.63987510369366396</v>
          </cell>
          <cell r="Z89">
            <v>0.63987510369366396</v>
          </cell>
          <cell r="AA89">
            <v>1.0807303127824146</v>
          </cell>
          <cell r="AB89">
            <v>0</v>
          </cell>
          <cell r="AC89">
            <v>3.8400000000000003</v>
          </cell>
          <cell r="AD89">
            <v>0.97379962738014691</v>
          </cell>
          <cell r="AE89">
            <v>4.2224267929160106</v>
          </cell>
          <cell r="AF89">
            <v>1.6</v>
          </cell>
          <cell r="AG89">
            <v>5.5</v>
          </cell>
          <cell r="AH89">
            <v>3.7733333333333334</v>
          </cell>
          <cell r="AI89">
            <v>1.0194302797337818</v>
          </cell>
          <cell r="AJ89">
            <v>4.198509556373839</v>
          </cell>
          <cell r="AK89">
            <v>1.1000000000000001</v>
          </cell>
          <cell r="AL89">
            <v>5.3</v>
          </cell>
          <cell r="AM89">
            <v>535.71428571428578</v>
          </cell>
          <cell r="AN89">
            <v>535.71428571428578</v>
          </cell>
          <cell r="AO89">
            <v>0</v>
          </cell>
          <cell r="AP89">
            <v>1</v>
          </cell>
          <cell r="AQ89">
            <v>100</v>
          </cell>
          <cell r="AR89">
            <v>0</v>
          </cell>
          <cell r="AS89" t="e">
            <v>#DIV/0!</v>
          </cell>
          <cell r="AT89">
            <v>0</v>
          </cell>
          <cell r="AU89">
            <v>1</v>
          </cell>
        </row>
        <row r="90">
          <cell r="A90" t="str">
            <v>Forestal Azul</v>
          </cell>
          <cell r="B90" t="str">
            <v>Jakare</v>
          </cell>
          <cell r="D90">
            <v>0</v>
          </cell>
          <cell r="E90" t="str">
            <v>Jakare_0</v>
          </cell>
          <cell r="H90" t="str">
            <v>Plantation clon G 0</v>
          </cell>
          <cell r="I90">
            <v>43739</v>
          </cell>
          <cell r="K90" t="str">
            <v>2020-12-02 20:55:09</v>
          </cell>
          <cell r="L90">
            <v>1.1666666666666667</v>
          </cell>
          <cell r="M90" t="str">
            <v>Jakare_2</v>
          </cell>
          <cell r="N90">
            <v>2</v>
          </cell>
          <cell r="O90">
            <v>2</v>
          </cell>
          <cell r="P90">
            <v>20</v>
          </cell>
          <cell r="Q90">
            <v>279.99999999999994</v>
          </cell>
          <cell r="R90" t="str">
            <v>G 0</v>
          </cell>
          <cell r="S90">
            <v>37.5</v>
          </cell>
          <cell r="T90">
            <v>714</v>
          </cell>
          <cell r="U90" t="e">
            <v>#N/A</v>
          </cell>
          <cell r="V90" t="e">
            <v>#N/A</v>
          </cell>
          <cell r="W90" t="str">
            <v>NaN</v>
          </cell>
          <cell r="X90">
            <v>1</v>
          </cell>
          <cell r="Y90">
            <v>0.95524051623214656</v>
          </cell>
          <cell r="Z90">
            <v>0.84671532001126348</v>
          </cell>
          <cell r="AA90">
            <v>2.2741046741540445</v>
          </cell>
          <cell r="AB90">
            <v>0</v>
          </cell>
          <cell r="AC90">
            <v>6.4444444444444446</v>
          </cell>
          <cell r="AD90">
            <v>1.0771619088037721</v>
          </cell>
          <cell r="AE90">
            <v>5.9516546762589941</v>
          </cell>
          <cell r="AF90">
            <v>4.8</v>
          </cell>
          <cell r="AG90">
            <v>8.1</v>
          </cell>
          <cell r="AH90">
            <v>5.4454545454545453</v>
          </cell>
          <cell r="AI90">
            <v>1.1504829903614915</v>
          </cell>
          <cell r="AJ90">
            <v>5.3811187784466314</v>
          </cell>
          <cell r="AK90">
            <v>3.8</v>
          </cell>
          <cell r="AL90">
            <v>7.2</v>
          </cell>
          <cell r="AM90">
            <v>392.85714285714295</v>
          </cell>
          <cell r="AN90">
            <v>321.4285714285715</v>
          </cell>
          <cell r="AO90">
            <v>0</v>
          </cell>
          <cell r="AP90">
            <v>1</v>
          </cell>
          <cell r="AQ90">
            <v>100</v>
          </cell>
          <cell r="AR90">
            <v>0</v>
          </cell>
          <cell r="AS90" t="e">
            <v>#DIV/0!</v>
          </cell>
          <cell r="AT90">
            <v>0</v>
          </cell>
          <cell r="AU90">
            <v>1</v>
          </cell>
        </row>
        <row r="91">
          <cell r="A91" t="str">
            <v>Forestal Azul</v>
          </cell>
          <cell r="B91" t="str">
            <v>Jakare</v>
          </cell>
          <cell r="D91">
            <v>0</v>
          </cell>
          <cell r="E91" t="str">
            <v>Jakare_0</v>
          </cell>
          <cell r="H91" t="str">
            <v>Plantation clon G 0</v>
          </cell>
          <cell r="I91">
            <v>43739</v>
          </cell>
          <cell r="K91" t="str">
            <v>2020-12-02 20:55:58</v>
          </cell>
          <cell r="L91">
            <v>1.1666666666666667</v>
          </cell>
          <cell r="M91" t="str">
            <v>Jakare_4</v>
          </cell>
          <cell r="N91">
            <v>4</v>
          </cell>
          <cell r="O91">
            <v>4</v>
          </cell>
          <cell r="P91">
            <v>20</v>
          </cell>
          <cell r="Q91">
            <v>279.99999999999994</v>
          </cell>
          <cell r="R91" t="str">
            <v>G 0</v>
          </cell>
          <cell r="S91">
            <v>37.5</v>
          </cell>
          <cell r="T91">
            <v>714</v>
          </cell>
          <cell r="U91" t="e">
            <v>#N/A</v>
          </cell>
          <cell r="V91" t="e">
            <v>#N/A</v>
          </cell>
          <cell r="W91" t="str">
            <v>NaN</v>
          </cell>
          <cell r="X91">
            <v>1</v>
          </cell>
          <cell r="Y91">
            <v>1.1378455892220536</v>
          </cell>
          <cell r="Z91">
            <v>1.1378455892220536</v>
          </cell>
          <cell r="AA91">
            <v>2.7913521966043362</v>
          </cell>
          <cell r="AB91">
            <v>0</v>
          </cell>
          <cell r="AC91">
            <v>5.8454545454545448</v>
          </cell>
          <cell r="AD91">
            <v>1.0093202032691502</v>
          </cell>
          <cell r="AE91">
            <v>6.1329767040552188</v>
          </cell>
          <cell r="AF91">
            <v>4</v>
          </cell>
          <cell r="AG91">
            <v>7.2</v>
          </cell>
          <cell r="AH91">
            <v>5.9727272727272718</v>
          </cell>
          <cell r="AI91">
            <v>1.1507309929700469</v>
          </cell>
          <cell r="AJ91">
            <v>6.3394773819795383</v>
          </cell>
          <cell r="AK91">
            <v>4</v>
          </cell>
          <cell r="AL91">
            <v>7.3</v>
          </cell>
          <cell r="AM91">
            <v>392.85714285714295</v>
          </cell>
          <cell r="AN91">
            <v>392.85714285714295</v>
          </cell>
          <cell r="AO91">
            <v>0</v>
          </cell>
          <cell r="AP91">
            <v>1</v>
          </cell>
          <cell r="AQ91">
            <v>100</v>
          </cell>
          <cell r="AR91">
            <v>0</v>
          </cell>
          <cell r="AS91" t="e">
            <v>#DIV/0!</v>
          </cell>
          <cell r="AT91">
            <v>0</v>
          </cell>
          <cell r="AU91">
            <v>1</v>
          </cell>
        </row>
        <row r="92">
          <cell r="A92" t="str">
            <v>Forestal Azul</v>
          </cell>
          <cell r="B92" t="str">
            <v>Jakare</v>
          </cell>
          <cell r="D92">
            <v>0</v>
          </cell>
          <cell r="E92" t="str">
            <v>Jakare_0</v>
          </cell>
          <cell r="H92" t="str">
            <v>Plantation clon G 0</v>
          </cell>
          <cell r="I92">
            <v>43739</v>
          </cell>
          <cell r="K92" t="str">
            <v>2020-12-02 20:55:30</v>
          </cell>
          <cell r="L92">
            <v>1.1666666666666667</v>
          </cell>
          <cell r="M92" t="str">
            <v>Jakare_1</v>
          </cell>
          <cell r="N92">
            <v>1</v>
          </cell>
          <cell r="O92">
            <v>1</v>
          </cell>
          <cell r="P92">
            <v>20</v>
          </cell>
          <cell r="Q92">
            <v>279.99999999999994</v>
          </cell>
          <cell r="R92" t="str">
            <v>G 0</v>
          </cell>
          <cell r="S92">
            <v>37.5</v>
          </cell>
          <cell r="T92">
            <v>714</v>
          </cell>
          <cell r="U92" t="e">
            <v>#N/A</v>
          </cell>
          <cell r="V92" t="e">
            <v>#N/A</v>
          </cell>
          <cell r="W92" t="str">
            <v>NaN</v>
          </cell>
          <cell r="X92">
            <v>1</v>
          </cell>
          <cell r="Y92">
            <v>1.3664806045739324</v>
          </cell>
          <cell r="Z92">
            <v>1.3664806045739324</v>
          </cell>
          <cell r="AA92">
            <v>3.3625206689639908</v>
          </cell>
          <cell r="AB92">
            <v>0</v>
          </cell>
          <cell r="AC92">
            <v>5.5733333333333341</v>
          </cell>
          <cell r="AD92">
            <v>1.2831137721889432</v>
          </cell>
          <cell r="AE92">
            <v>6.151789966335496</v>
          </cell>
          <cell r="AF92">
            <v>3.6</v>
          </cell>
          <cell r="AG92">
            <v>7.3</v>
          </cell>
          <cell r="AH92">
            <v>5.4933333333333332</v>
          </cell>
          <cell r="AI92">
            <v>1.5700166817433472</v>
          </cell>
          <cell r="AJ92">
            <v>6.2312423023236709</v>
          </cell>
          <cell r="AK92">
            <v>3.2</v>
          </cell>
          <cell r="AL92">
            <v>7.5</v>
          </cell>
          <cell r="AM92">
            <v>535.71428571428578</v>
          </cell>
          <cell r="AN92">
            <v>535.71428571428578</v>
          </cell>
          <cell r="AO92">
            <v>0</v>
          </cell>
          <cell r="AP92">
            <v>1</v>
          </cell>
          <cell r="AQ92">
            <v>100</v>
          </cell>
          <cell r="AR92">
            <v>0</v>
          </cell>
          <cell r="AS92" t="e">
            <v>#DIV/0!</v>
          </cell>
          <cell r="AT92">
            <v>0</v>
          </cell>
          <cell r="AU92">
            <v>1</v>
          </cell>
        </row>
        <row r="93">
          <cell r="A93" t="str">
            <v>Forestal Azul</v>
          </cell>
          <cell r="B93" t="str">
            <v>Jakare</v>
          </cell>
          <cell r="D93">
            <v>0</v>
          </cell>
          <cell r="E93" t="str">
            <v>Jakare_0</v>
          </cell>
          <cell r="H93" t="str">
            <v>Plantation clon G 0</v>
          </cell>
          <cell r="I93">
            <v>43739</v>
          </cell>
          <cell r="K93" t="str">
            <v>2020-12-02 20:55:20</v>
          </cell>
          <cell r="L93">
            <v>1.1666666666666667</v>
          </cell>
          <cell r="M93" t="str">
            <v>Jakare_5</v>
          </cell>
          <cell r="N93">
            <v>5</v>
          </cell>
          <cell r="O93">
            <v>5</v>
          </cell>
          <cell r="P93">
            <v>20</v>
          </cell>
          <cell r="Q93">
            <v>279.99999999999994</v>
          </cell>
          <cell r="R93" t="str">
            <v>G 0</v>
          </cell>
          <cell r="S93">
            <v>37.5</v>
          </cell>
          <cell r="T93">
            <v>714</v>
          </cell>
          <cell r="U93" t="e">
            <v>#N/A</v>
          </cell>
          <cell r="V93" t="e">
            <v>#N/A</v>
          </cell>
          <cell r="W93" t="str">
            <v>NaN</v>
          </cell>
          <cell r="X93">
            <v>1</v>
          </cell>
          <cell r="Y93">
            <v>2.4294609188635645</v>
          </cell>
          <cell r="Z93">
            <v>2.4294609188635645</v>
          </cell>
          <cell r="AA93">
            <v>7.0614756171982886</v>
          </cell>
          <cell r="AB93">
            <v>0</v>
          </cell>
          <cell r="AC93">
            <v>7.0941176470588241</v>
          </cell>
          <cell r="AD93">
            <v>0.78140145590734378</v>
          </cell>
          <cell r="AE93">
            <v>7.2665046413891847</v>
          </cell>
          <cell r="AF93">
            <v>5.7</v>
          </cell>
          <cell r="AG93">
            <v>8.1</v>
          </cell>
          <cell r="AH93">
            <v>7.0588235294117663</v>
          </cell>
          <cell r="AI93">
            <v>1.091477681591221</v>
          </cell>
          <cell r="AJ93">
            <v>7.3560545882787611</v>
          </cell>
          <cell r="AK93">
            <v>5</v>
          </cell>
          <cell r="AL93">
            <v>8.6999999999999993</v>
          </cell>
          <cell r="AM93">
            <v>607.14285714285734</v>
          </cell>
          <cell r="AN93">
            <v>607.14285714285734</v>
          </cell>
          <cell r="AO93">
            <v>0</v>
          </cell>
          <cell r="AP93">
            <v>1</v>
          </cell>
          <cell r="AQ93">
            <v>100</v>
          </cell>
          <cell r="AR93">
            <v>0</v>
          </cell>
          <cell r="AS93" t="e">
            <v>#DIV/0!</v>
          </cell>
          <cell r="AT93">
            <v>0</v>
          </cell>
          <cell r="AU93">
            <v>1</v>
          </cell>
        </row>
        <row r="94">
          <cell r="A94" t="str">
            <v>Forestal Azul</v>
          </cell>
          <cell r="B94" t="str">
            <v>Jakare_2</v>
          </cell>
          <cell r="D94">
            <v>0</v>
          </cell>
          <cell r="E94" t="str">
            <v>Jakare_2_0</v>
          </cell>
          <cell r="H94" t="str">
            <v>Plantation clon G 2</v>
          </cell>
          <cell r="I94">
            <v>43739</v>
          </cell>
          <cell r="K94" t="str">
            <v>2020-12-02 20:56:01</v>
          </cell>
          <cell r="L94">
            <v>1.1666666666666667</v>
          </cell>
          <cell r="M94" t="str">
            <v>Jakare_2_3</v>
          </cell>
          <cell r="N94">
            <v>3</v>
          </cell>
          <cell r="O94">
            <v>3</v>
          </cell>
          <cell r="P94">
            <v>20</v>
          </cell>
          <cell r="Q94">
            <v>279.99999999999994</v>
          </cell>
          <cell r="R94" t="str">
            <v>G 2</v>
          </cell>
          <cell r="S94">
            <v>50</v>
          </cell>
          <cell r="T94">
            <v>714</v>
          </cell>
          <cell r="U94" t="e">
            <v>#N/A</v>
          </cell>
          <cell r="V94" t="e">
            <v>#N/A</v>
          </cell>
          <cell r="W94" t="str">
            <v>NaN</v>
          </cell>
          <cell r="X94">
            <v>1</v>
          </cell>
          <cell r="Y94">
            <v>1.3814592695472976</v>
          </cell>
          <cell r="Z94">
            <v>1.3814592695472976</v>
          </cell>
          <cell r="AA94">
            <v>3.3267581245923759</v>
          </cell>
          <cell r="AB94">
            <v>0</v>
          </cell>
          <cell r="AC94">
            <v>5.919999999999999</v>
          </cell>
          <cell r="AD94">
            <v>0.63155137784439619</v>
          </cell>
          <cell r="AE94">
            <v>6.0203695431472095</v>
          </cell>
          <cell r="AF94">
            <v>4.5</v>
          </cell>
          <cell r="AG94">
            <v>6.7</v>
          </cell>
          <cell r="AH94">
            <v>5.6933333333333325</v>
          </cell>
          <cell r="AI94">
            <v>0.67025226238939561</v>
          </cell>
          <cell r="AJ94">
            <v>5.8333928934010162</v>
          </cell>
          <cell r="AK94">
            <v>4.4000000000000004</v>
          </cell>
          <cell r="AL94">
            <v>6.5</v>
          </cell>
          <cell r="AM94">
            <v>535.71428571428578</v>
          </cell>
          <cell r="AN94">
            <v>535.71428571428578</v>
          </cell>
          <cell r="AO94">
            <v>0</v>
          </cell>
          <cell r="AP94">
            <v>1</v>
          </cell>
          <cell r="AQ94">
            <v>100</v>
          </cell>
          <cell r="AR94">
            <v>0</v>
          </cell>
          <cell r="AS94" t="e">
            <v>#DIV/0!</v>
          </cell>
          <cell r="AT94">
            <v>0</v>
          </cell>
          <cell r="AU94">
            <v>1</v>
          </cell>
        </row>
        <row r="95">
          <cell r="A95" t="str">
            <v>Forestal Azul</v>
          </cell>
          <cell r="B95" t="str">
            <v>Jakare_2</v>
          </cell>
          <cell r="D95">
            <v>0</v>
          </cell>
          <cell r="E95" t="str">
            <v>Jakare_2_0</v>
          </cell>
          <cell r="H95" t="str">
            <v>Plantation clon G 2</v>
          </cell>
          <cell r="I95">
            <v>43739</v>
          </cell>
          <cell r="K95" t="str">
            <v>2020-12-02 20:54:37</v>
          </cell>
          <cell r="L95">
            <v>1.1666666666666667</v>
          </cell>
          <cell r="M95" t="str">
            <v>Jakare_2_2</v>
          </cell>
          <cell r="N95">
            <v>2</v>
          </cell>
          <cell r="O95">
            <v>2</v>
          </cell>
          <cell r="P95">
            <v>20</v>
          </cell>
          <cell r="Q95">
            <v>279.99999999999994</v>
          </cell>
          <cell r="R95" t="str">
            <v>G 2</v>
          </cell>
          <cell r="S95">
            <v>50</v>
          </cell>
          <cell r="T95">
            <v>714</v>
          </cell>
          <cell r="U95" t="e">
            <v>#N/A</v>
          </cell>
          <cell r="V95" t="e">
            <v>#N/A</v>
          </cell>
          <cell r="W95" t="str">
            <v>NaN</v>
          </cell>
          <cell r="X95">
            <v>1</v>
          </cell>
          <cell r="Y95">
            <v>1.5688889312552172</v>
          </cell>
          <cell r="Z95">
            <v>1.5688889312552172</v>
          </cell>
          <cell r="AA95">
            <v>4.1038938993108838</v>
          </cell>
          <cell r="AB95">
            <v>0</v>
          </cell>
          <cell r="AC95">
            <v>6.3411764705882359</v>
          </cell>
          <cell r="AD95">
            <v>0.91450726044780928</v>
          </cell>
          <cell r="AE95">
            <v>6.5394908102696139</v>
          </cell>
          <cell r="AF95">
            <v>3.9</v>
          </cell>
          <cell r="AG95">
            <v>7.5</v>
          </cell>
          <cell r="AH95">
            <v>5.6705882352941179</v>
          </cell>
          <cell r="AI95">
            <v>0.8900594824802095</v>
          </cell>
          <cell r="AJ95">
            <v>5.8900736608739193</v>
          </cell>
          <cell r="AK95">
            <v>2.8</v>
          </cell>
          <cell r="AL95">
            <v>6.7</v>
          </cell>
          <cell r="AM95">
            <v>607.14285714285734</v>
          </cell>
          <cell r="AN95">
            <v>607.14285714285734</v>
          </cell>
          <cell r="AO95">
            <v>0</v>
          </cell>
          <cell r="AP95">
            <v>1</v>
          </cell>
          <cell r="AQ95">
            <v>100</v>
          </cell>
          <cell r="AR95">
            <v>5.8823529411764705E-2</v>
          </cell>
          <cell r="AS95" t="e">
            <v>#DIV/0!</v>
          </cell>
          <cell r="AT95">
            <v>0</v>
          </cell>
          <cell r="AU95">
            <v>1</v>
          </cell>
        </row>
        <row r="96">
          <cell r="A96" t="str">
            <v>Forestal Azul</v>
          </cell>
          <cell r="B96" t="str">
            <v>Jakare_2</v>
          </cell>
          <cell r="D96">
            <v>0</v>
          </cell>
          <cell r="E96" t="str">
            <v>Jakare_2_0</v>
          </cell>
          <cell r="H96" t="str">
            <v>Plantation clon G 2</v>
          </cell>
          <cell r="I96">
            <v>43739</v>
          </cell>
          <cell r="K96" t="str">
            <v>2020-12-03 16:02:53</v>
          </cell>
          <cell r="L96">
            <v>1.1666666666666667</v>
          </cell>
          <cell r="M96" t="str">
            <v>Jakare_2_4</v>
          </cell>
          <cell r="N96">
            <v>4</v>
          </cell>
          <cell r="O96">
            <v>4</v>
          </cell>
          <cell r="P96">
            <v>20</v>
          </cell>
          <cell r="Q96">
            <v>279.99999999999994</v>
          </cell>
          <cell r="R96" t="str">
            <v>G 2</v>
          </cell>
          <cell r="S96">
            <v>50</v>
          </cell>
          <cell r="T96">
            <v>714</v>
          </cell>
          <cell r="U96" t="e">
            <v>#N/A</v>
          </cell>
          <cell r="V96" t="e">
            <v>#N/A</v>
          </cell>
          <cell r="W96" t="str">
            <v>NaN</v>
          </cell>
          <cell r="X96">
            <v>1</v>
          </cell>
          <cell r="Y96">
            <v>1.7432473235294506</v>
          </cell>
          <cell r="Z96">
            <v>1.5081327733295429</v>
          </cell>
          <cell r="AA96">
            <v>4.2762125003550358</v>
          </cell>
          <cell r="AB96">
            <v>0</v>
          </cell>
          <cell r="AC96">
            <v>6.7714285714285705</v>
          </cell>
          <cell r="AD96">
            <v>0.99647731181750665</v>
          </cell>
          <cell r="AE96">
            <v>6.1325384565875014</v>
          </cell>
          <cell r="AF96">
            <v>4.8</v>
          </cell>
          <cell r="AG96">
            <v>8.5</v>
          </cell>
          <cell r="AH96">
            <v>5.7444444444444445</v>
          </cell>
          <cell r="AI96">
            <v>1.2139301353975704</v>
          </cell>
          <cell r="AJ96">
            <v>5.6179764433288293</v>
          </cell>
          <cell r="AK96">
            <v>3.5</v>
          </cell>
          <cell r="AL96">
            <v>7.6</v>
          </cell>
          <cell r="AM96">
            <v>642.857142857143</v>
          </cell>
          <cell r="AN96">
            <v>500.00000000000011</v>
          </cell>
          <cell r="AO96">
            <v>0</v>
          </cell>
          <cell r="AP96">
            <v>0.88888888888888884</v>
          </cell>
          <cell r="AQ96">
            <v>92.857142857142861</v>
          </cell>
          <cell r="AR96">
            <v>0</v>
          </cell>
          <cell r="AS96" t="e">
            <v>#DIV/0!</v>
          </cell>
          <cell r="AT96">
            <v>0</v>
          </cell>
          <cell r="AU96">
            <v>1</v>
          </cell>
        </row>
        <row r="97">
          <cell r="A97" t="str">
            <v>Forestal Azul</v>
          </cell>
          <cell r="B97" t="str">
            <v>Jakare_2</v>
          </cell>
          <cell r="D97">
            <v>0</v>
          </cell>
          <cell r="E97" t="str">
            <v>Jakare_2_0</v>
          </cell>
          <cell r="H97" t="str">
            <v>Plantation clon G 2</v>
          </cell>
          <cell r="I97">
            <v>43739</v>
          </cell>
          <cell r="K97" t="str">
            <v>2020-12-02 20:54:57</v>
          </cell>
          <cell r="L97">
            <v>1.1666666666666667</v>
          </cell>
          <cell r="M97" t="str">
            <v>Jakare_2_5</v>
          </cell>
          <cell r="N97">
            <v>5</v>
          </cell>
          <cell r="O97">
            <v>5</v>
          </cell>
          <cell r="P97">
            <v>20</v>
          </cell>
          <cell r="Q97">
            <v>279.99999999999994</v>
          </cell>
          <cell r="R97" t="str">
            <v>G 2</v>
          </cell>
          <cell r="S97">
            <v>50</v>
          </cell>
          <cell r="T97">
            <v>714</v>
          </cell>
          <cell r="U97" t="e">
            <v>#N/A</v>
          </cell>
          <cell r="V97" t="e">
            <v>#N/A</v>
          </cell>
          <cell r="W97" t="str">
            <v>NaN</v>
          </cell>
          <cell r="X97">
            <v>1</v>
          </cell>
          <cell r="Y97">
            <v>1.7557295443405894</v>
          </cell>
          <cell r="Z97">
            <v>1.7557295443405894</v>
          </cell>
          <cell r="AA97">
            <v>5.4695004679286923</v>
          </cell>
          <cell r="AB97">
            <v>0</v>
          </cell>
          <cell r="AC97">
            <v>7.6999999999999993</v>
          </cell>
          <cell r="AD97">
            <v>0.72111025509279802</v>
          </cell>
          <cell r="AE97">
            <v>7.7880737462655549</v>
          </cell>
          <cell r="AF97">
            <v>6.5</v>
          </cell>
          <cell r="AG97">
            <v>9</v>
          </cell>
          <cell r="AH97">
            <v>6.9153846153846157</v>
          </cell>
          <cell r="AI97">
            <v>0.59420276259617222</v>
          </cell>
          <cell r="AJ97">
            <v>7.009443548000573</v>
          </cell>
          <cell r="AK97">
            <v>6</v>
          </cell>
          <cell r="AL97">
            <v>8</v>
          </cell>
          <cell r="AM97">
            <v>464.28571428571439</v>
          </cell>
          <cell r="AN97">
            <v>464.28571428571439</v>
          </cell>
          <cell r="AO97">
            <v>0</v>
          </cell>
          <cell r="AP97">
            <v>1</v>
          </cell>
          <cell r="AQ97">
            <v>100</v>
          </cell>
          <cell r="AR97">
            <v>0</v>
          </cell>
          <cell r="AS97" t="e">
            <v>#DIV/0!</v>
          </cell>
          <cell r="AT97">
            <v>0</v>
          </cell>
          <cell r="AU97">
            <v>1</v>
          </cell>
        </row>
        <row r="98">
          <cell r="A98" t="str">
            <v>Forestal Azul</v>
          </cell>
          <cell r="B98" t="str">
            <v>Jakare_2</v>
          </cell>
          <cell r="D98">
            <v>0</v>
          </cell>
          <cell r="E98" t="str">
            <v>Jakare_2_0</v>
          </cell>
          <cell r="H98" t="str">
            <v>Plantation clon G 2</v>
          </cell>
          <cell r="I98">
            <v>43739</v>
          </cell>
          <cell r="K98" t="str">
            <v>2020-12-02 20:54:50</v>
          </cell>
          <cell r="L98">
            <v>1.1666666666666667</v>
          </cell>
          <cell r="M98" t="str">
            <v>Jakare_2_1</v>
          </cell>
          <cell r="N98">
            <v>1</v>
          </cell>
          <cell r="O98">
            <v>1</v>
          </cell>
          <cell r="P98">
            <v>20</v>
          </cell>
          <cell r="Q98">
            <v>279.99999999999994</v>
          </cell>
          <cell r="R98" t="str">
            <v>G 2</v>
          </cell>
          <cell r="S98">
            <v>50</v>
          </cell>
          <cell r="T98">
            <v>714</v>
          </cell>
          <cell r="U98" t="e">
            <v>#N/A</v>
          </cell>
          <cell r="V98" t="e">
            <v>#N/A</v>
          </cell>
          <cell r="W98" t="str">
            <v>NaN</v>
          </cell>
          <cell r="X98">
            <v>1</v>
          </cell>
          <cell r="Y98">
            <v>1.8107074157784102</v>
          </cell>
          <cell r="Z98">
            <v>1.8107074157784102</v>
          </cell>
          <cell r="AA98">
            <v>5.1771797595016675</v>
          </cell>
          <cell r="AB98">
            <v>0</v>
          </cell>
          <cell r="AC98">
            <v>7.0866666666666678</v>
          </cell>
          <cell r="AD98">
            <v>0.61046430417074082</v>
          </cell>
          <cell r="AE98">
            <v>7.1480070639629449</v>
          </cell>
          <cell r="AF98">
            <v>5.8</v>
          </cell>
          <cell r="AG98">
            <v>8</v>
          </cell>
          <cell r="AH98">
            <v>6.5400000000000018</v>
          </cell>
          <cell r="AI98">
            <v>0.53157448073758062</v>
          </cell>
          <cell r="AJ98">
            <v>6.6199882267284247</v>
          </cell>
          <cell r="AK98">
            <v>5.5</v>
          </cell>
          <cell r="AL98">
            <v>7.6</v>
          </cell>
          <cell r="AM98">
            <v>535.71428571428578</v>
          </cell>
          <cell r="AN98">
            <v>535.71428571428578</v>
          </cell>
          <cell r="AO98">
            <v>0</v>
          </cell>
          <cell r="AP98">
            <v>1</v>
          </cell>
          <cell r="AQ98">
            <v>100</v>
          </cell>
          <cell r="AR98">
            <v>0</v>
          </cell>
          <cell r="AS98" t="e">
            <v>#DIV/0!</v>
          </cell>
          <cell r="AT98">
            <v>0</v>
          </cell>
          <cell r="AU98">
            <v>1</v>
          </cell>
        </row>
        <row r="99">
          <cell r="A99" t="str">
            <v>Forestal Azul</v>
          </cell>
          <cell r="B99" t="str">
            <v>Lechera</v>
          </cell>
          <cell r="D99">
            <v>0</v>
          </cell>
          <cell r="E99" t="str">
            <v>Lechera_0</v>
          </cell>
          <cell r="H99" t="str">
            <v>Plantation clon G 2</v>
          </cell>
          <cell r="I99">
            <v>43556</v>
          </cell>
          <cell r="K99" t="str">
            <v>2020-12-04 15:28:47</v>
          </cell>
          <cell r="L99">
            <v>1.6666666666666667</v>
          </cell>
          <cell r="M99" t="str">
            <v>Lechera-3</v>
          </cell>
          <cell r="N99">
            <v>1</v>
          </cell>
          <cell r="O99">
            <v>1</v>
          </cell>
          <cell r="P99">
            <v>20</v>
          </cell>
          <cell r="Q99">
            <v>279.99999999999994</v>
          </cell>
          <cell r="R99" t="str">
            <v>G 2</v>
          </cell>
          <cell r="S99">
            <v>13.5</v>
          </cell>
          <cell r="T99">
            <v>714</v>
          </cell>
          <cell r="U99" t="e">
            <v>#N/A</v>
          </cell>
          <cell r="V99" t="e">
            <v>#N/A</v>
          </cell>
          <cell r="W99" t="str">
            <v>NaN</v>
          </cell>
          <cell r="X99">
            <v>1</v>
          </cell>
          <cell r="Y99">
            <v>2.84213155386011</v>
          </cell>
          <cell r="Z99">
            <v>2.7720067178424803</v>
          </cell>
          <cell r="AA99">
            <v>9.4677661682442533</v>
          </cell>
          <cell r="AB99">
            <v>0</v>
          </cell>
          <cell r="AC99">
            <v>8.3933333333333326</v>
          </cell>
          <cell r="AD99">
            <v>0.85395438709458915</v>
          </cell>
          <cell r="AE99">
            <v>8.3280506099245972</v>
          </cell>
          <cell r="AF99">
            <v>7</v>
          </cell>
          <cell r="AG99">
            <v>9.8000000000000007</v>
          </cell>
          <cell r="AH99">
            <v>7.875</v>
          </cell>
          <cell r="AI99">
            <v>0.93248260548055606</v>
          </cell>
          <cell r="AJ99">
            <v>8.0568591843985633</v>
          </cell>
          <cell r="AK99">
            <v>6.1</v>
          </cell>
          <cell r="AL99">
            <v>9.6999999999999993</v>
          </cell>
          <cell r="AM99">
            <v>571.42857142857156</v>
          </cell>
          <cell r="AN99">
            <v>535.71428571428578</v>
          </cell>
          <cell r="AO99">
            <v>0</v>
          </cell>
          <cell r="AP99">
            <v>0.125</v>
          </cell>
          <cell r="AQ99">
            <v>13.333333333333334</v>
          </cell>
          <cell r="AR99">
            <v>0</v>
          </cell>
          <cell r="AS99" t="e">
            <v>#DIV/0!</v>
          </cell>
          <cell r="AT99">
            <v>0</v>
          </cell>
          <cell r="AU99">
            <v>1</v>
          </cell>
        </row>
        <row r="100">
          <cell r="A100" t="str">
            <v>Forestal Azul</v>
          </cell>
          <cell r="B100" t="str">
            <v>Mbokaja</v>
          </cell>
          <cell r="D100">
            <v>0</v>
          </cell>
          <cell r="E100" t="str">
            <v>Mbokaja_0</v>
          </cell>
          <cell r="H100" t="str">
            <v>Plantation clon G 7</v>
          </cell>
          <cell r="I100">
            <v>43405</v>
          </cell>
          <cell r="K100" t="str">
            <v>2020-12-01 20:33:44</v>
          </cell>
          <cell r="L100">
            <v>2.0833333333333335</v>
          </cell>
          <cell r="M100" t="str">
            <v>Mbokaja-3</v>
          </cell>
          <cell r="N100">
            <v>3</v>
          </cell>
          <cell r="O100">
            <v>3</v>
          </cell>
          <cell r="P100">
            <v>20</v>
          </cell>
          <cell r="Q100">
            <v>279.99999999999994</v>
          </cell>
          <cell r="R100" t="str">
            <v>G 7</v>
          </cell>
          <cell r="S100">
            <v>28</v>
          </cell>
          <cell r="T100">
            <v>714</v>
          </cell>
          <cell r="U100">
            <v>541733.87939999998</v>
          </cell>
          <cell r="V100">
            <v>7350725.8035000004</v>
          </cell>
          <cell r="W100" t="str">
            <v>NaN</v>
          </cell>
          <cell r="X100">
            <v>1</v>
          </cell>
          <cell r="Y100">
            <v>1.4474327152726834</v>
          </cell>
          <cell r="Z100">
            <v>1.3763822314196212</v>
          </cell>
          <cell r="AA100">
            <v>3.8622560563652724</v>
          </cell>
          <cell r="AB100">
            <v>0</v>
          </cell>
          <cell r="AC100">
            <v>6.35</v>
          </cell>
          <cell r="AD100">
            <v>1.550426886187078</v>
          </cell>
          <cell r="AE100">
            <v>6.6708732219681419</v>
          </cell>
          <cell r="AF100">
            <v>3.4</v>
          </cell>
          <cell r="AG100">
            <v>8.8000000000000007</v>
          </cell>
          <cell r="AH100">
            <v>4.8500000000000005</v>
          </cell>
          <cell r="AI100">
            <v>1.5659885891787035</v>
          </cell>
          <cell r="AJ100">
            <v>5.5691891787140042</v>
          </cell>
          <cell r="AK100">
            <v>2.2999999999999998</v>
          </cell>
          <cell r="AL100">
            <v>7.8</v>
          </cell>
          <cell r="AM100">
            <v>714.28571428571445</v>
          </cell>
          <cell r="AN100">
            <v>642.857142857143</v>
          </cell>
          <cell r="AO100">
            <v>0</v>
          </cell>
          <cell r="AP100">
            <v>0.95</v>
          </cell>
          <cell r="AQ100">
            <v>100</v>
          </cell>
          <cell r="AR100">
            <v>0</v>
          </cell>
          <cell r="AS100" t="e">
            <v>#DIV/0!</v>
          </cell>
          <cell r="AT100">
            <v>0</v>
          </cell>
          <cell r="AU100">
            <v>1</v>
          </cell>
        </row>
        <row r="101">
          <cell r="A101" t="str">
            <v>Forestal Azul</v>
          </cell>
          <cell r="B101" t="str">
            <v>Mbokaja</v>
          </cell>
          <cell r="D101">
            <v>0</v>
          </cell>
          <cell r="E101" t="str">
            <v>Mbokaja_0</v>
          </cell>
          <cell r="H101" t="str">
            <v>Plantation clon G 7</v>
          </cell>
          <cell r="I101">
            <v>43405</v>
          </cell>
          <cell r="K101" t="str">
            <v>2020-12-01 20:34:06</v>
          </cell>
          <cell r="L101">
            <v>2.0833333333333335</v>
          </cell>
          <cell r="M101" t="str">
            <v>Mbokaja-1</v>
          </cell>
          <cell r="N101">
            <v>1</v>
          </cell>
          <cell r="O101">
            <v>1</v>
          </cell>
          <cell r="P101">
            <v>20</v>
          </cell>
          <cell r="Q101">
            <v>279.99999999999994</v>
          </cell>
          <cell r="R101" t="str">
            <v>G 7</v>
          </cell>
          <cell r="S101">
            <v>28</v>
          </cell>
          <cell r="T101">
            <v>714</v>
          </cell>
          <cell r="U101">
            <v>541810.72995000007</v>
          </cell>
          <cell r="V101">
            <v>7350535.165</v>
          </cell>
          <cell r="W101" t="str">
            <v>NaN</v>
          </cell>
          <cell r="X101">
            <v>1</v>
          </cell>
          <cell r="Y101">
            <v>1.5700950784347207</v>
          </cell>
          <cell r="Z101">
            <v>1.54650508359839</v>
          </cell>
          <cell r="AA101">
            <v>4.5230126532289212</v>
          </cell>
          <cell r="AB101">
            <v>0</v>
          </cell>
          <cell r="AC101">
            <v>6.7105263157894726</v>
          </cell>
          <cell r="AD101">
            <v>2.2528734088916837</v>
          </cell>
          <cell r="AE101">
            <v>7.2018133095131747</v>
          </cell>
          <cell r="AF101">
            <v>2.8</v>
          </cell>
          <cell r="AG101">
            <v>10.6</v>
          </cell>
          <cell r="AH101">
            <v>5.1150000000000002</v>
          </cell>
          <cell r="AI101">
            <v>1.3191127622505072</v>
          </cell>
          <cell r="AJ101">
            <v>5.7459651630192061</v>
          </cell>
          <cell r="AK101">
            <v>2.8</v>
          </cell>
          <cell r="AL101">
            <v>8</v>
          </cell>
          <cell r="AM101">
            <v>714.28571428571445</v>
          </cell>
          <cell r="AN101">
            <v>678.57142857142867</v>
          </cell>
          <cell r="AO101">
            <v>0</v>
          </cell>
          <cell r="AP101">
            <v>0.7</v>
          </cell>
          <cell r="AQ101">
            <v>73.68421052631578</v>
          </cell>
          <cell r="AR101">
            <v>0</v>
          </cell>
          <cell r="AS101" t="e">
            <v>#DIV/0!</v>
          </cell>
          <cell r="AT101">
            <v>0</v>
          </cell>
          <cell r="AU101">
            <v>1</v>
          </cell>
        </row>
        <row r="102">
          <cell r="A102" t="str">
            <v>Forestal Azul</v>
          </cell>
          <cell r="B102" t="str">
            <v>Mbokaja</v>
          </cell>
          <cell r="D102">
            <v>0</v>
          </cell>
          <cell r="E102" t="str">
            <v>Mbokaja_0</v>
          </cell>
          <cell r="H102" t="str">
            <v>Plantation clon G 7</v>
          </cell>
          <cell r="I102">
            <v>43405</v>
          </cell>
          <cell r="K102" t="str">
            <v>2020-12-01 20:34:23</v>
          </cell>
          <cell r="L102">
            <v>2.0833333333333335</v>
          </cell>
          <cell r="M102" t="str">
            <v>Mbokaja-2</v>
          </cell>
          <cell r="N102">
            <v>2</v>
          </cell>
          <cell r="O102">
            <v>2</v>
          </cell>
          <cell r="P102">
            <v>20</v>
          </cell>
          <cell r="Q102">
            <v>279.99999999999994</v>
          </cell>
          <cell r="R102" t="str">
            <v>G 7</v>
          </cell>
          <cell r="S102">
            <v>28</v>
          </cell>
          <cell r="T102">
            <v>714</v>
          </cell>
          <cell r="U102">
            <v>541931.0111</v>
          </cell>
          <cell r="V102">
            <v>7350333.0499999998</v>
          </cell>
          <cell r="W102" t="str">
            <v>NaN</v>
          </cell>
          <cell r="X102">
            <v>1</v>
          </cell>
          <cell r="Y102">
            <v>1.6943282379235527</v>
          </cell>
          <cell r="Z102">
            <v>1.6943282379235527</v>
          </cell>
          <cell r="AA102">
            <v>5.2298463163443465</v>
          </cell>
          <cell r="AB102">
            <v>0</v>
          </cell>
          <cell r="AC102">
            <v>7.1599999999999993</v>
          </cell>
          <cell r="AD102">
            <v>1.3978931515526869</v>
          </cell>
          <cell r="AE102">
            <v>7.7166959141778682</v>
          </cell>
          <cell r="AF102">
            <v>5</v>
          </cell>
          <cell r="AG102">
            <v>9.6</v>
          </cell>
          <cell r="AH102">
            <v>5.3699999999999992</v>
          </cell>
          <cell r="AI102">
            <v>1.1987273953743911</v>
          </cell>
          <cell r="AJ102">
            <v>5.8642341566783651</v>
          </cell>
          <cell r="AK102">
            <v>3.7</v>
          </cell>
          <cell r="AL102">
            <v>7.8</v>
          </cell>
          <cell r="AM102">
            <v>714.28571428571445</v>
          </cell>
          <cell r="AN102">
            <v>714.28571428571445</v>
          </cell>
          <cell r="AO102">
            <v>0</v>
          </cell>
          <cell r="AP102">
            <v>1</v>
          </cell>
          <cell r="AQ102">
            <v>100</v>
          </cell>
          <cell r="AR102">
            <v>0</v>
          </cell>
          <cell r="AS102" t="e">
            <v>#DIV/0!</v>
          </cell>
          <cell r="AT102">
            <v>0</v>
          </cell>
          <cell r="AU102">
            <v>1</v>
          </cell>
        </row>
        <row r="103">
          <cell r="A103" t="str">
            <v>Forestal Azul</v>
          </cell>
          <cell r="B103" t="str">
            <v>Mbokaja</v>
          </cell>
          <cell r="D103">
            <v>0</v>
          </cell>
          <cell r="E103" t="str">
            <v>Mbokaja_0</v>
          </cell>
          <cell r="H103" t="str">
            <v>Plantation clon G 7</v>
          </cell>
          <cell r="I103">
            <v>43405</v>
          </cell>
          <cell r="K103" t="str">
            <v>2020-12-01 20:34:01</v>
          </cell>
          <cell r="L103">
            <v>2.0833333333333335</v>
          </cell>
          <cell r="M103" t="str">
            <v>Mbokaja-4</v>
          </cell>
          <cell r="N103">
            <v>4</v>
          </cell>
          <cell r="O103">
            <v>4</v>
          </cell>
          <cell r="P103">
            <v>20</v>
          </cell>
          <cell r="Q103">
            <v>279.99999999999994</v>
          </cell>
          <cell r="R103" t="str">
            <v>G 7</v>
          </cell>
          <cell r="S103">
            <v>28</v>
          </cell>
          <cell r="T103">
            <v>714</v>
          </cell>
          <cell r="U103">
            <v>541744.64705000003</v>
          </cell>
          <cell r="V103">
            <v>7350392.4945</v>
          </cell>
          <cell r="W103" t="str">
            <v>NaN</v>
          </cell>
          <cell r="X103">
            <v>1</v>
          </cell>
          <cell r="Y103">
            <v>1.8528384172578021</v>
          </cell>
          <cell r="Z103">
            <v>1.7774121436372399</v>
          </cell>
          <cell r="AA103">
            <v>5.1849338833691512</v>
          </cell>
          <cell r="AB103">
            <v>0</v>
          </cell>
          <cell r="AC103">
            <v>7.0117647058823529</v>
          </cell>
          <cell r="AD103">
            <v>1.2931948581619335</v>
          </cell>
          <cell r="AE103">
            <v>6.9959336916206176</v>
          </cell>
          <cell r="AF103">
            <v>5</v>
          </cell>
          <cell r="AG103">
            <v>9.4</v>
          </cell>
          <cell r="AH103">
            <v>5.784210526315789</v>
          </cell>
          <cell r="AI103">
            <v>0.94996129952132191</v>
          </cell>
          <cell r="AJ103">
            <v>6.0554537885095749</v>
          </cell>
          <cell r="AK103">
            <v>4.4000000000000004</v>
          </cell>
          <cell r="AL103">
            <v>7.8</v>
          </cell>
          <cell r="AM103">
            <v>678.57142857142867</v>
          </cell>
          <cell r="AN103">
            <v>607.14285714285734</v>
          </cell>
          <cell r="AO103">
            <v>0</v>
          </cell>
          <cell r="AP103">
            <v>0.94736842105263153</v>
          </cell>
          <cell r="AQ103">
            <v>100</v>
          </cell>
          <cell r="AR103">
            <v>0</v>
          </cell>
          <cell r="AS103" t="e">
            <v>#DIV/0!</v>
          </cell>
          <cell r="AT103">
            <v>0</v>
          </cell>
          <cell r="AU103">
            <v>1</v>
          </cell>
        </row>
        <row r="104">
          <cell r="A104" t="str">
            <v>Forestal Azul</v>
          </cell>
          <cell r="B104" t="str">
            <v>Naranja</v>
          </cell>
          <cell r="D104">
            <v>0</v>
          </cell>
          <cell r="E104" t="str">
            <v>Naranja_0</v>
          </cell>
          <cell r="H104" t="str">
            <v>Plantation clon G 0</v>
          </cell>
          <cell r="I104">
            <v>43374</v>
          </cell>
          <cell r="K104" t="str">
            <v>2020-12-01 20:37:04</v>
          </cell>
          <cell r="L104">
            <v>2.1666666666666665</v>
          </cell>
          <cell r="M104" t="str">
            <v>Naranja-3</v>
          </cell>
          <cell r="N104">
            <v>3</v>
          </cell>
          <cell r="O104">
            <v>3</v>
          </cell>
          <cell r="P104">
            <v>20</v>
          </cell>
          <cell r="Q104">
            <v>279.99999999999994</v>
          </cell>
          <cell r="R104" t="str">
            <v>G 0</v>
          </cell>
          <cell r="S104">
            <v>33</v>
          </cell>
          <cell r="T104">
            <v>714</v>
          </cell>
          <cell r="U104">
            <v>542636.1605</v>
          </cell>
          <cell r="V104">
            <v>7350519.7889999999</v>
          </cell>
          <cell r="W104" t="str">
            <v>NaN</v>
          </cell>
          <cell r="X104">
            <v>1</v>
          </cell>
          <cell r="Y104">
            <v>7.1250199386040229</v>
          </cell>
          <cell r="Z104">
            <v>6.9078012465558141</v>
          </cell>
          <cell r="AA104">
            <v>35.250198855701356</v>
          </cell>
          <cell r="AB104">
            <v>0</v>
          </cell>
          <cell r="AC104">
            <v>12.7</v>
          </cell>
          <cell r="AD104">
            <v>0.75571893658364231</v>
          </cell>
          <cell r="AE104">
            <v>12.368456214667026</v>
          </cell>
          <cell r="AF104">
            <v>10.7</v>
          </cell>
          <cell r="AG104">
            <v>13.7</v>
          </cell>
          <cell r="AH104">
            <v>11.23</v>
          </cell>
          <cell r="AI104">
            <v>0.80437400744905307</v>
          </cell>
          <cell r="AJ104">
            <v>11.115222902854988</v>
          </cell>
          <cell r="AK104">
            <v>9.8000000000000007</v>
          </cell>
          <cell r="AL104">
            <v>12.8</v>
          </cell>
          <cell r="AM104">
            <v>714.28571428571445</v>
          </cell>
          <cell r="AN104">
            <v>678.57142857142867</v>
          </cell>
          <cell r="AO104">
            <v>0</v>
          </cell>
          <cell r="AP104">
            <v>0.85</v>
          </cell>
          <cell r="AQ104">
            <v>84.210526315789465</v>
          </cell>
          <cell r="AR104">
            <v>0</v>
          </cell>
          <cell r="AS104" t="e">
            <v>#DIV/0!</v>
          </cell>
          <cell r="AT104">
            <v>0</v>
          </cell>
          <cell r="AU104">
            <v>1</v>
          </cell>
        </row>
        <row r="105">
          <cell r="A105" t="str">
            <v>Forestal Azul</v>
          </cell>
          <cell r="B105" t="str">
            <v>Naranja</v>
          </cell>
          <cell r="D105">
            <v>0</v>
          </cell>
          <cell r="E105" t="str">
            <v>Naranja_0</v>
          </cell>
          <cell r="H105" t="str">
            <v>Plantation clon G 0</v>
          </cell>
          <cell r="I105">
            <v>43374</v>
          </cell>
          <cell r="K105" t="str">
            <v>2020-12-01 20:36:50</v>
          </cell>
          <cell r="L105">
            <v>2.1666666666666665</v>
          </cell>
          <cell r="M105" t="str">
            <v>Naranja-2</v>
          </cell>
          <cell r="N105">
            <v>2</v>
          </cell>
          <cell r="O105">
            <v>2</v>
          </cell>
          <cell r="P105">
            <v>20</v>
          </cell>
          <cell r="Q105">
            <v>279.99999999999994</v>
          </cell>
          <cell r="R105" t="str">
            <v>G 0</v>
          </cell>
          <cell r="S105">
            <v>33</v>
          </cell>
          <cell r="T105">
            <v>714</v>
          </cell>
          <cell r="U105">
            <v>542370.17709999997</v>
          </cell>
          <cell r="V105">
            <v>7350611.4469999997</v>
          </cell>
          <cell r="W105" t="str">
            <v>NaN</v>
          </cell>
          <cell r="X105">
            <v>1</v>
          </cell>
          <cell r="Y105">
            <v>7.2630817157555327</v>
          </cell>
          <cell r="Z105">
            <v>7.2630817157555327</v>
          </cell>
          <cell r="AA105">
            <v>37.930227594628363</v>
          </cell>
          <cell r="AB105">
            <v>0</v>
          </cell>
          <cell r="AC105">
            <v>12.989473684210523</v>
          </cell>
          <cell r="AD105">
            <v>0.87679640158052741</v>
          </cell>
          <cell r="AE105">
            <v>13.055831215676582</v>
          </cell>
          <cell r="AF105">
            <v>10.9</v>
          </cell>
          <cell r="AG105">
            <v>14.2</v>
          </cell>
          <cell r="AH105">
            <v>11.65263157894737</v>
          </cell>
          <cell r="AI105">
            <v>0.72446794350722699</v>
          </cell>
          <cell r="AJ105">
            <v>11.738952010937153</v>
          </cell>
          <cell r="AK105">
            <v>10.4</v>
          </cell>
          <cell r="AL105">
            <v>13</v>
          </cell>
          <cell r="AM105">
            <v>678.57142857142867</v>
          </cell>
          <cell r="AN105">
            <v>678.57142857142867</v>
          </cell>
          <cell r="AO105">
            <v>0</v>
          </cell>
          <cell r="AP105">
            <v>1</v>
          </cell>
          <cell r="AQ105">
            <v>100</v>
          </cell>
          <cell r="AR105">
            <v>0</v>
          </cell>
          <cell r="AS105" t="e">
            <v>#DIV/0!</v>
          </cell>
          <cell r="AT105">
            <v>0</v>
          </cell>
          <cell r="AU105">
            <v>1</v>
          </cell>
        </row>
        <row r="106">
          <cell r="A106" t="str">
            <v>Forestal Azul</v>
          </cell>
          <cell r="B106" t="str">
            <v>Naranja</v>
          </cell>
          <cell r="D106">
            <v>0</v>
          </cell>
          <cell r="E106" t="str">
            <v>Naranja_0</v>
          </cell>
          <cell r="H106" t="str">
            <v>Plantation clon G 0</v>
          </cell>
          <cell r="I106">
            <v>43374</v>
          </cell>
          <cell r="K106" t="str">
            <v>2020-12-01 20:36:28</v>
          </cell>
          <cell r="L106">
            <v>2.1666666666666665</v>
          </cell>
          <cell r="M106" t="str">
            <v>Naranja-4</v>
          </cell>
          <cell r="N106">
            <v>4</v>
          </cell>
          <cell r="O106">
            <v>4</v>
          </cell>
          <cell r="P106">
            <v>20</v>
          </cell>
          <cell r="Q106">
            <v>279.99999999999994</v>
          </cell>
          <cell r="R106" t="str">
            <v>G 0</v>
          </cell>
          <cell r="S106">
            <v>33</v>
          </cell>
          <cell r="T106">
            <v>714</v>
          </cell>
          <cell r="U106">
            <v>542414.87049999996</v>
          </cell>
          <cell r="V106">
            <v>7350441.0889999997</v>
          </cell>
          <cell r="W106" t="str">
            <v>NaN</v>
          </cell>
          <cell r="X106">
            <v>1</v>
          </cell>
          <cell r="Y106">
            <v>7.5783349285563864</v>
          </cell>
          <cell r="Z106">
            <v>7.3708776136818308</v>
          </cell>
          <cell r="AA106">
            <v>42.068520811498679</v>
          </cell>
          <cell r="AB106">
            <v>0</v>
          </cell>
          <cell r="AC106">
            <v>14.194117647058825</v>
          </cell>
          <cell r="AD106">
            <v>0.67125869476239741</v>
          </cell>
          <cell r="AE106">
            <v>13.877890462777556</v>
          </cell>
          <cell r="AF106">
            <v>12.8</v>
          </cell>
          <cell r="AG106">
            <v>15.7</v>
          </cell>
          <cell r="AH106">
            <v>12.183333333333332</v>
          </cell>
          <cell r="AI106">
            <v>1.0102416717271754</v>
          </cell>
          <cell r="AJ106">
            <v>12.207063252064417</v>
          </cell>
          <cell r="AK106">
            <v>11</v>
          </cell>
          <cell r="AL106">
            <v>14</v>
          </cell>
          <cell r="AM106">
            <v>642.857142857143</v>
          </cell>
          <cell r="AN106">
            <v>607.14285714285734</v>
          </cell>
          <cell r="AO106">
            <v>0</v>
          </cell>
          <cell r="AP106">
            <v>1</v>
          </cell>
          <cell r="AQ106">
            <v>100</v>
          </cell>
          <cell r="AR106">
            <v>0</v>
          </cell>
          <cell r="AS106" t="e">
            <v>#DIV/0!</v>
          </cell>
          <cell r="AT106">
            <v>0</v>
          </cell>
          <cell r="AU106">
            <v>1</v>
          </cell>
        </row>
        <row r="107">
          <cell r="A107" t="str">
            <v>Forestal Azul</v>
          </cell>
          <cell r="B107" t="str">
            <v>Naranja</v>
          </cell>
          <cell r="D107">
            <v>0</v>
          </cell>
          <cell r="E107" t="str">
            <v>Naranja_0</v>
          </cell>
          <cell r="H107" t="str">
            <v>Plantation clon G 0</v>
          </cell>
          <cell r="I107">
            <v>43374</v>
          </cell>
          <cell r="K107" t="str">
            <v>2020-12-01 20:36:03</v>
          </cell>
          <cell r="L107">
            <v>2.1666666666666665</v>
          </cell>
          <cell r="M107" t="str">
            <v>Naranja-1</v>
          </cell>
          <cell r="N107">
            <v>1</v>
          </cell>
          <cell r="O107">
            <v>1</v>
          </cell>
          <cell r="P107">
            <v>20</v>
          </cell>
          <cell r="Q107">
            <v>279.99999999999994</v>
          </cell>
          <cell r="R107" t="str">
            <v>G 0</v>
          </cell>
          <cell r="S107">
            <v>33</v>
          </cell>
          <cell r="T107">
            <v>714</v>
          </cell>
          <cell r="U107">
            <v>542294.77960000001</v>
          </cell>
          <cell r="V107">
            <v>7350336.2624999993</v>
          </cell>
          <cell r="W107" t="str">
            <v>NaN</v>
          </cell>
          <cell r="X107">
            <v>1</v>
          </cell>
          <cell r="Y107">
            <v>8.9171582978049653</v>
          </cell>
          <cell r="Z107">
            <v>8.5199431766667075</v>
          </cell>
          <cell r="AA107">
            <v>50.74960300735227</v>
          </cell>
          <cell r="AB107">
            <v>0</v>
          </cell>
          <cell r="AC107">
            <v>14.742105263157896</v>
          </cell>
          <cell r="AD107">
            <v>1.4104041144586437</v>
          </cell>
          <cell r="AE107">
            <v>14.228076174178918</v>
          </cell>
          <cell r="AF107">
            <v>11.3</v>
          </cell>
          <cell r="AG107">
            <v>17.899999999999999</v>
          </cell>
          <cell r="AH107">
            <v>12.535000000000002</v>
          </cell>
          <cell r="AI107">
            <v>1.4158046913245355</v>
          </cell>
          <cell r="AJ107">
            <v>12.290484833424033</v>
          </cell>
          <cell r="AK107">
            <v>10</v>
          </cell>
          <cell r="AL107">
            <v>15</v>
          </cell>
          <cell r="AM107">
            <v>714.28571428571445</v>
          </cell>
          <cell r="AN107">
            <v>678.57142857142867</v>
          </cell>
          <cell r="AO107">
            <v>0</v>
          </cell>
          <cell r="AP107">
            <v>0.95</v>
          </cell>
          <cell r="AQ107">
            <v>94.73684210526315</v>
          </cell>
          <cell r="AR107">
            <v>0</v>
          </cell>
          <cell r="AS107" t="e">
            <v>#DIV/0!</v>
          </cell>
          <cell r="AT107">
            <v>0</v>
          </cell>
          <cell r="AU107">
            <v>1</v>
          </cell>
        </row>
        <row r="108">
          <cell r="A108" t="str">
            <v>Forestal Azul</v>
          </cell>
          <cell r="B108" t="str">
            <v>Pindaiva</v>
          </cell>
          <cell r="D108">
            <v>0</v>
          </cell>
          <cell r="E108" t="str">
            <v>Pindaiva_0</v>
          </cell>
          <cell r="H108" t="str">
            <v>Plantation clon G 1</v>
          </cell>
          <cell r="I108">
            <v>43678</v>
          </cell>
          <cell r="K108" t="str">
            <v>2020-12-01 20:33:33</v>
          </cell>
          <cell r="L108">
            <v>1.3333333333333333</v>
          </cell>
          <cell r="M108" t="str">
            <v>Pindaiva_3</v>
          </cell>
          <cell r="N108">
            <v>3</v>
          </cell>
          <cell r="O108">
            <v>3</v>
          </cell>
          <cell r="P108">
            <v>20</v>
          </cell>
          <cell r="Q108">
            <v>279.99999999999994</v>
          </cell>
          <cell r="R108" t="str">
            <v>G 1</v>
          </cell>
          <cell r="S108">
            <v>23</v>
          </cell>
          <cell r="T108">
            <v>714</v>
          </cell>
          <cell r="U108" t="e">
            <v>#N/A</v>
          </cell>
          <cell r="V108" t="e">
            <v>#N/A</v>
          </cell>
          <cell r="W108" t="str">
            <v>NaN</v>
          </cell>
          <cell r="X108">
            <v>1</v>
          </cell>
          <cell r="Y108">
            <v>0.90146879197382868</v>
          </cell>
          <cell r="Z108">
            <v>0.89597100483004655</v>
          </cell>
          <cell r="AA108">
            <v>1.9349652592095212</v>
          </cell>
          <cell r="AB108">
            <v>0</v>
          </cell>
          <cell r="AC108">
            <v>5.2944444444444452</v>
          </cell>
          <cell r="AD108">
            <v>1.1321360457753211</v>
          </cell>
          <cell r="AE108">
            <v>5.3661459953948603</v>
          </cell>
          <cell r="AF108">
            <v>3.7</v>
          </cell>
          <cell r="AG108">
            <v>7.5</v>
          </cell>
          <cell r="AH108">
            <v>4.0105263157894733</v>
          </cell>
          <cell r="AI108">
            <v>0.71061052642177902</v>
          </cell>
          <cell r="AJ108">
            <v>4.3490136287261176</v>
          </cell>
          <cell r="AK108">
            <v>2.9</v>
          </cell>
          <cell r="AL108">
            <v>5.5</v>
          </cell>
          <cell r="AM108">
            <v>678.57142857142867</v>
          </cell>
          <cell r="AN108">
            <v>642.857142857143</v>
          </cell>
          <cell r="AO108">
            <v>0</v>
          </cell>
          <cell r="AP108">
            <v>1</v>
          </cell>
          <cell r="AQ108">
            <v>100</v>
          </cell>
          <cell r="AR108">
            <v>0</v>
          </cell>
          <cell r="AS108" t="e">
            <v>#DIV/0!</v>
          </cell>
          <cell r="AT108">
            <v>0</v>
          </cell>
          <cell r="AU108">
            <v>1</v>
          </cell>
        </row>
        <row r="109">
          <cell r="A109" t="str">
            <v>Forestal Azul</v>
          </cell>
          <cell r="B109" t="str">
            <v>Pindaiva</v>
          </cell>
          <cell r="D109">
            <v>0</v>
          </cell>
          <cell r="E109" t="str">
            <v>Pindaiva_0</v>
          </cell>
          <cell r="H109" t="str">
            <v>Plantation clon G 1</v>
          </cell>
          <cell r="I109">
            <v>43678</v>
          </cell>
          <cell r="K109" t="str">
            <v>2020-12-01 20:33:28</v>
          </cell>
          <cell r="L109">
            <v>1.3333333333333333</v>
          </cell>
          <cell r="M109" t="str">
            <v>Pindaiva_1</v>
          </cell>
          <cell r="N109">
            <v>1</v>
          </cell>
          <cell r="O109">
            <v>1</v>
          </cell>
          <cell r="P109">
            <v>20</v>
          </cell>
          <cell r="Q109">
            <v>279.99999999999994</v>
          </cell>
          <cell r="R109" t="str">
            <v>G 1</v>
          </cell>
          <cell r="S109">
            <v>23</v>
          </cell>
          <cell r="T109">
            <v>714</v>
          </cell>
          <cell r="U109" t="e">
            <v>#N/A</v>
          </cell>
          <cell r="V109" t="e">
            <v>#N/A</v>
          </cell>
          <cell r="W109" t="str">
            <v>NaN</v>
          </cell>
          <cell r="X109">
            <v>1</v>
          </cell>
          <cell r="Y109">
            <v>1.1572280938973261</v>
          </cell>
          <cell r="Z109">
            <v>1.0451686059411545</v>
          </cell>
          <cell r="AA109">
            <v>2.2235609363472899</v>
          </cell>
          <cell r="AB109">
            <v>0</v>
          </cell>
          <cell r="AC109">
            <v>5.2266666666666683</v>
          </cell>
          <cell r="AD109">
            <v>0.86558540609120604</v>
          </cell>
          <cell r="AE109">
            <v>4.8036358347876673</v>
          </cell>
          <cell r="AF109">
            <v>4.0999999999999996</v>
          </cell>
          <cell r="AG109">
            <v>6.7</v>
          </cell>
          <cell r="AH109">
            <v>4.5684210526315798</v>
          </cell>
          <cell r="AI109">
            <v>0.57179749995289197</v>
          </cell>
          <cell r="AJ109">
            <v>4.5783716307930966</v>
          </cell>
          <cell r="AK109">
            <v>3.7</v>
          </cell>
          <cell r="AL109">
            <v>5.7</v>
          </cell>
          <cell r="AM109">
            <v>678.57142857142867</v>
          </cell>
          <cell r="AN109">
            <v>535.71428571428578</v>
          </cell>
          <cell r="AO109">
            <v>0</v>
          </cell>
          <cell r="AP109">
            <v>0.89473684210526316</v>
          </cell>
          <cell r="AQ109">
            <v>86.666666666666671</v>
          </cell>
          <cell r="AR109">
            <v>5.2631578947368418E-2</v>
          </cell>
          <cell r="AS109" t="e">
            <v>#DIV/0!</v>
          </cell>
          <cell r="AT109">
            <v>0</v>
          </cell>
          <cell r="AU109">
            <v>1</v>
          </cell>
        </row>
        <row r="110">
          <cell r="A110" t="str">
            <v>Forestal Azul</v>
          </cell>
          <cell r="B110" t="str">
            <v>Pindaiva</v>
          </cell>
          <cell r="D110">
            <v>0</v>
          </cell>
          <cell r="E110" t="str">
            <v>Pindaiva_0</v>
          </cell>
          <cell r="H110" t="str">
            <v>Plantation clon G 1</v>
          </cell>
          <cell r="I110">
            <v>43678</v>
          </cell>
          <cell r="K110" t="str">
            <v>2020-12-01 20:33:13</v>
          </cell>
          <cell r="L110">
            <v>1.3333333333333333</v>
          </cell>
          <cell r="M110" t="str">
            <v>Pindaiva_2</v>
          </cell>
          <cell r="N110">
            <v>2</v>
          </cell>
          <cell r="O110">
            <v>2</v>
          </cell>
          <cell r="P110">
            <v>20</v>
          </cell>
          <cell r="Q110">
            <v>279.99999999999994</v>
          </cell>
          <cell r="R110" t="str">
            <v>G 1</v>
          </cell>
          <cell r="S110">
            <v>23</v>
          </cell>
          <cell r="T110">
            <v>714</v>
          </cell>
          <cell r="U110" t="e">
            <v>#N/A</v>
          </cell>
          <cell r="V110" t="e">
            <v>#N/A</v>
          </cell>
          <cell r="W110" t="str">
            <v>NaN</v>
          </cell>
          <cell r="X110">
            <v>1</v>
          </cell>
          <cell r="Y110">
            <v>1.2273809798493625</v>
          </cell>
          <cell r="Z110">
            <v>1.1865963752215092</v>
          </cell>
          <cell r="AA110">
            <v>2.5906751118746536</v>
          </cell>
          <cell r="AB110">
            <v>0</v>
          </cell>
          <cell r="AC110">
            <v>5.3733333333333331</v>
          </cell>
          <cell r="AD110">
            <v>0.74303111515954823</v>
          </cell>
          <cell r="AE110">
            <v>5.2768357062869953</v>
          </cell>
          <cell r="AF110">
            <v>4.3</v>
          </cell>
          <cell r="AG110">
            <v>6.8</v>
          </cell>
          <cell r="AH110">
            <v>4.6833333333333336</v>
          </cell>
          <cell r="AI110">
            <v>1.0107988354337809</v>
          </cell>
          <cell r="AJ110">
            <v>5.3984848138583539</v>
          </cell>
          <cell r="AK110">
            <v>3.8</v>
          </cell>
          <cell r="AL110">
            <v>7.3</v>
          </cell>
          <cell r="AM110">
            <v>642.857142857143</v>
          </cell>
          <cell r="AN110">
            <v>535.71428571428578</v>
          </cell>
          <cell r="AO110">
            <v>0</v>
          </cell>
          <cell r="AP110">
            <v>0.94444444444444442</v>
          </cell>
          <cell r="AQ110">
            <v>100</v>
          </cell>
          <cell r="AR110">
            <v>5.5555555555555552E-2</v>
          </cell>
          <cell r="AS110" t="e">
            <v>#DIV/0!</v>
          </cell>
          <cell r="AT110">
            <v>0</v>
          </cell>
          <cell r="AU110">
            <v>1</v>
          </cell>
        </row>
        <row r="111">
          <cell r="A111" t="str">
            <v>Forestal Azul</v>
          </cell>
          <cell r="B111" t="str">
            <v>SSP_15</v>
          </cell>
          <cell r="D111">
            <v>0</v>
          </cell>
          <cell r="E111" t="str">
            <v>SSP_15_0</v>
          </cell>
          <cell r="H111" t="str">
            <v>Plantation clon G 7</v>
          </cell>
          <cell r="I111">
            <v>43800</v>
          </cell>
          <cell r="K111" t="str">
            <v>2020-12-09 20:22:12</v>
          </cell>
          <cell r="L111">
            <v>1</v>
          </cell>
          <cell r="M111" t="str">
            <v>SSP_15_3</v>
          </cell>
          <cell r="N111">
            <v>3</v>
          </cell>
          <cell r="O111">
            <v>3</v>
          </cell>
          <cell r="P111">
            <v>20</v>
          </cell>
          <cell r="Q111">
            <v>400</v>
          </cell>
          <cell r="R111" t="str">
            <v>G 7</v>
          </cell>
          <cell r="S111">
            <v>7</v>
          </cell>
          <cell r="T111">
            <v>500</v>
          </cell>
          <cell r="U111" t="e">
            <v>#N/A</v>
          </cell>
          <cell r="V111" t="e">
            <v>#N/A</v>
          </cell>
          <cell r="W111" t="str">
            <v>NaN</v>
          </cell>
          <cell r="X111">
            <v>1</v>
          </cell>
          <cell r="Y111">
            <v>1.0543970343610738</v>
          </cell>
          <cell r="Z111">
            <v>1.0543970343610738</v>
          </cell>
          <cell r="AA111">
            <v>2.6909735989331605</v>
          </cell>
          <cell r="AB111">
            <v>0</v>
          </cell>
          <cell r="AC111">
            <v>6.1473684210526303</v>
          </cell>
          <cell r="AD111">
            <v>0.89403481230545434</v>
          </cell>
          <cell r="AE111">
            <v>6.3803612662942308</v>
          </cell>
          <cell r="AF111">
            <v>4.3</v>
          </cell>
          <cell r="AG111">
            <v>7.4</v>
          </cell>
          <cell r="AH111">
            <v>5.2315789473684209</v>
          </cell>
          <cell r="AI111">
            <v>0.97128359034089573</v>
          </cell>
          <cell r="AJ111">
            <v>5.5661638733705807</v>
          </cell>
          <cell r="AK111">
            <v>3.5</v>
          </cell>
          <cell r="AL111">
            <v>7</v>
          </cell>
          <cell r="AM111">
            <v>475</v>
          </cell>
          <cell r="AN111">
            <v>475</v>
          </cell>
          <cell r="AO111">
            <v>0</v>
          </cell>
          <cell r="AP111">
            <v>0.15789473684210525</v>
          </cell>
          <cell r="AQ111">
            <v>15.789473684210526</v>
          </cell>
          <cell r="AR111">
            <v>0</v>
          </cell>
          <cell r="AS111" t="e">
            <v>#DIV/0!</v>
          </cell>
          <cell r="AT111">
            <v>0</v>
          </cell>
          <cell r="AU111">
            <v>1</v>
          </cell>
        </row>
        <row r="112">
          <cell r="A112" t="str">
            <v>Forestal Azul</v>
          </cell>
          <cell r="B112" t="str">
            <v>SSP_15</v>
          </cell>
          <cell r="D112">
            <v>0</v>
          </cell>
          <cell r="E112" t="str">
            <v>SSP_15_0</v>
          </cell>
          <cell r="H112" t="str">
            <v>Plantation clon G 7</v>
          </cell>
          <cell r="I112">
            <v>43800</v>
          </cell>
          <cell r="K112" t="str">
            <v>2020-12-09 20:22:19</v>
          </cell>
          <cell r="L112">
            <v>1</v>
          </cell>
          <cell r="M112" t="str">
            <v>SSP_15_2</v>
          </cell>
          <cell r="N112">
            <v>2</v>
          </cell>
          <cell r="O112">
            <v>2</v>
          </cell>
          <cell r="P112">
            <v>20</v>
          </cell>
          <cell r="Q112">
            <v>400</v>
          </cell>
          <cell r="R112" t="str">
            <v>G 7</v>
          </cell>
          <cell r="S112">
            <v>7</v>
          </cell>
          <cell r="T112">
            <v>500</v>
          </cell>
          <cell r="U112" t="e">
            <v>#N/A</v>
          </cell>
          <cell r="V112" t="e">
            <v>#N/A</v>
          </cell>
          <cell r="W112" t="str">
            <v>NaN</v>
          </cell>
          <cell r="X112">
            <v>1</v>
          </cell>
          <cell r="Y112">
            <v>1.2294819199364504</v>
          </cell>
          <cell r="Z112">
            <v>1.2054291011824037</v>
          </cell>
          <cell r="AA112">
            <v>3.5497766454780608</v>
          </cell>
          <cell r="AB112">
            <v>0</v>
          </cell>
          <cell r="AC112">
            <v>7.26</v>
          </cell>
          <cell r="AD112">
            <v>0.94173092911784673</v>
          </cell>
          <cell r="AE112">
            <v>7.2180334413977016</v>
          </cell>
          <cell r="AF112">
            <v>5.4</v>
          </cell>
          <cell r="AG112">
            <v>8.6</v>
          </cell>
          <cell r="AH112">
            <v>6.1812499999999995</v>
          </cell>
          <cell r="AI112">
            <v>0.71594093930395664</v>
          </cell>
          <cell r="AJ112">
            <v>6.3749556829614962</v>
          </cell>
          <cell r="AK112">
            <v>4.9000000000000004</v>
          </cell>
          <cell r="AL112">
            <v>7.3</v>
          </cell>
          <cell r="AM112">
            <v>400</v>
          </cell>
          <cell r="AN112">
            <v>375</v>
          </cell>
          <cell r="AO112">
            <v>0</v>
          </cell>
          <cell r="AP112">
            <v>0.375</v>
          </cell>
          <cell r="AQ112">
            <v>40</v>
          </cell>
          <cell r="AR112">
            <v>0</v>
          </cell>
          <cell r="AS112" t="e">
            <v>#DIV/0!</v>
          </cell>
          <cell r="AT112">
            <v>0</v>
          </cell>
          <cell r="AU112">
            <v>1</v>
          </cell>
        </row>
        <row r="113">
          <cell r="A113" t="str">
            <v>Forestal Azul</v>
          </cell>
          <cell r="B113" t="str">
            <v>SSP_15</v>
          </cell>
          <cell r="D113">
            <v>0</v>
          </cell>
          <cell r="E113" t="str">
            <v>SSP_15_0</v>
          </cell>
          <cell r="H113" t="str">
            <v>Plantation clon G 7</v>
          </cell>
          <cell r="I113">
            <v>43800</v>
          </cell>
          <cell r="K113" t="str">
            <v>2020-12-09 20:22:37</v>
          </cell>
          <cell r="L113">
            <v>1</v>
          </cell>
          <cell r="M113" t="str">
            <v>SSP_15_1</v>
          </cell>
          <cell r="N113">
            <v>1</v>
          </cell>
          <cell r="O113">
            <v>1</v>
          </cell>
          <cell r="P113">
            <v>20</v>
          </cell>
          <cell r="Q113">
            <v>400</v>
          </cell>
          <cell r="R113" t="str">
            <v>G 7</v>
          </cell>
          <cell r="S113">
            <v>7</v>
          </cell>
          <cell r="T113">
            <v>500</v>
          </cell>
          <cell r="U113" t="e">
            <v>#N/A</v>
          </cell>
          <cell r="V113" t="e">
            <v>#N/A</v>
          </cell>
          <cell r="W113" t="str">
            <v>NaN</v>
          </cell>
          <cell r="X113">
            <v>1</v>
          </cell>
          <cell r="Y113">
            <v>1.4442686826715676</v>
          </cell>
          <cell r="Z113">
            <v>1.4442686826715676</v>
          </cell>
          <cell r="AA113">
            <v>4.4676856162076</v>
          </cell>
          <cell r="AB113">
            <v>0</v>
          </cell>
          <cell r="AC113">
            <v>7.5666666666666664</v>
          </cell>
          <cell r="AD113">
            <v>1.0803049678351975</v>
          </cell>
          <cell r="AE113">
            <v>7.7334738158681828</v>
          </cell>
          <cell r="AF113">
            <v>5.2</v>
          </cell>
          <cell r="AG113">
            <v>9.1</v>
          </cell>
          <cell r="AH113">
            <v>6.3555555555555561</v>
          </cell>
          <cell r="AI113">
            <v>0.70645945907762697</v>
          </cell>
          <cell r="AJ113">
            <v>6.4957746478873233</v>
          </cell>
          <cell r="AK113">
            <v>4.5</v>
          </cell>
          <cell r="AL113">
            <v>7.5</v>
          </cell>
          <cell r="AM113">
            <v>450</v>
          </cell>
          <cell r="AN113">
            <v>450</v>
          </cell>
          <cell r="AO113">
            <v>0</v>
          </cell>
          <cell r="AP113">
            <v>0.66666666666666663</v>
          </cell>
          <cell r="AQ113">
            <v>66.666666666666657</v>
          </cell>
          <cell r="AR113">
            <v>0</v>
          </cell>
          <cell r="AS113" t="e">
            <v>#DIV/0!</v>
          </cell>
          <cell r="AT113">
            <v>0</v>
          </cell>
          <cell r="AU113">
            <v>1</v>
          </cell>
        </row>
        <row r="114">
          <cell r="A114" t="str">
            <v>Forestal Azul</v>
          </cell>
          <cell r="B114" t="str">
            <v>SSP_16_1</v>
          </cell>
          <cell r="D114">
            <v>0</v>
          </cell>
          <cell r="E114" t="str">
            <v>SSP_16_1_0</v>
          </cell>
          <cell r="H114" t="str">
            <v>Plantation clon G 7</v>
          </cell>
          <cell r="I114">
            <v>43800</v>
          </cell>
          <cell r="K114" t="str">
            <v>2020-12-09 20:22:45</v>
          </cell>
          <cell r="L114">
            <v>1</v>
          </cell>
          <cell r="M114" t="str">
            <v>SSP_16_1_3</v>
          </cell>
          <cell r="N114">
            <v>3</v>
          </cell>
          <cell r="O114">
            <v>3</v>
          </cell>
          <cell r="P114">
            <v>20</v>
          </cell>
          <cell r="Q114">
            <v>400</v>
          </cell>
          <cell r="R114" t="str">
            <v>G 7</v>
          </cell>
          <cell r="S114">
            <v>11.5</v>
          </cell>
          <cell r="T114">
            <v>500</v>
          </cell>
          <cell r="U114" t="e">
            <v>#N/A</v>
          </cell>
          <cell r="V114" t="e">
            <v>#N/A</v>
          </cell>
          <cell r="W114" t="str">
            <v>NaN</v>
          </cell>
          <cell r="X114">
            <v>1</v>
          </cell>
          <cell r="Y114">
            <v>1.0442850330073321</v>
          </cell>
          <cell r="Z114">
            <v>1.0260441606624264</v>
          </cell>
          <cell r="AA114">
            <v>3.1892600389227108</v>
          </cell>
          <cell r="AB114">
            <v>0</v>
          </cell>
          <cell r="AC114">
            <v>7.2538461538461529</v>
          </cell>
          <cell r="AD114">
            <v>1.5554288715203306</v>
          </cell>
          <cell r="AE114">
            <v>7.6350324339569431</v>
          </cell>
          <cell r="AF114">
            <v>4.3</v>
          </cell>
          <cell r="AG114">
            <v>9.6</v>
          </cell>
          <cell r="AH114">
            <v>5.5933333333333328</v>
          </cell>
          <cell r="AI114">
            <v>1.7117991734594378</v>
          </cell>
          <cell r="AJ114">
            <v>6.8406956848735554</v>
          </cell>
          <cell r="AK114">
            <v>3.3</v>
          </cell>
          <cell r="AL114">
            <v>9.4</v>
          </cell>
          <cell r="AM114">
            <v>375</v>
          </cell>
          <cell r="AN114">
            <v>325</v>
          </cell>
          <cell r="AO114">
            <v>0</v>
          </cell>
          <cell r="AP114">
            <v>0.4</v>
          </cell>
          <cell r="AQ114">
            <v>46.153846153846153</v>
          </cell>
          <cell r="AR114">
            <v>0</v>
          </cell>
          <cell r="AS114" t="e">
            <v>#DIV/0!</v>
          </cell>
          <cell r="AT114">
            <v>0</v>
          </cell>
          <cell r="AU114">
            <v>1</v>
          </cell>
        </row>
        <row r="115">
          <cell r="A115" t="str">
            <v>Forestal Azul</v>
          </cell>
          <cell r="B115" t="str">
            <v>SSP_16_1</v>
          </cell>
          <cell r="D115">
            <v>0</v>
          </cell>
          <cell r="E115" t="str">
            <v>SSP_16_1_0</v>
          </cell>
          <cell r="H115" t="str">
            <v>Plantation clon G 7</v>
          </cell>
          <cell r="I115">
            <v>43800</v>
          </cell>
          <cell r="K115" t="str">
            <v>2020-12-09 20:22:49</v>
          </cell>
          <cell r="L115">
            <v>1</v>
          </cell>
          <cell r="M115" t="str">
            <v>SSP_16_1_1</v>
          </cell>
          <cell r="N115">
            <v>1</v>
          </cell>
          <cell r="O115">
            <v>1</v>
          </cell>
          <cell r="P115">
            <v>20</v>
          </cell>
          <cell r="Q115">
            <v>400</v>
          </cell>
          <cell r="R115" t="str">
            <v>G 7</v>
          </cell>
          <cell r="S115">
            <v>11.5</v>
          </cell>
          <cell r="T115">
            <v>500</v>
          </cell>
          <cell r="U115" t="e">
            <v>#N/A</v>
          </cell>
          <cell r="V115" t="e">
            <v>#N/A</v>
          </cell>
          <cell r="W115" t="str">
            <v>NaN</v>
          </cell>
          <cell r="X115">
            <v>1</v>
          </cell>
          <cell r="Y115">
            <v>1.0874230271319372</v>
          </cell>
          <cell r="Z115">
            <v>1.0383356419195966</v>
          </cell>
          <cell r="AA115">
            <v>3.0052129749048069</v>
          </cell>
          <cell r="AB115">
            <v>0</v>
          </cell>
          <cell r="AC115">
            <v>6.9750000000000005</v>
          </cell>
          <cell r="AD115">
            <v>1.0506491499847272</v>
          </cell>
          <cell r="AE115">
            <v>6.9090245928279934</v>
          </cell>
          <cell r="AF115">
            <v>4.9000000000000004</v>
          </cell>
          <cell r="AG115">
            <v>8.1999999999999993</v>
          </cell>
          <cell r="AH115">
            <v>6.0571428571428578</v>
          </cell>
          <cell r="AI115">
            <v>1.489864748793313</v>
          </cell>
          <cell r="AJ115">
            <v>6.6699505254414779</v>
          </cell>
          <cell r="AK115">
            <v>3.2</v>
          </cell>
          <cell r="AL115">
            <v>7.8</v>
          </cell>
          <cell r="AM115">
            <v>350</v>
          </cell>
          <cell r="AN115">
            <v>300</v>
          </cell>
          <cell r="AO115">
            <v>0</v>
          </cell>
          <cell r="AP115">
            <v>0.5</v>
          </cell>
          <cell r="AQ115">
            <v>41.666666666666671</v>
          </cell>
          <cell r="AR115">
            <v>0</v>
          </cell>
          <cell r="AS115" t="e">
            <v>#DIV/0!</v>
          </cell>
          <cell r="AT115">
            <v>0</v>
          </cell>
          <cell r="AU115">
            <v>1</v>
          </cell>
        </row>
        <row r="116">
          <cell r="A116" t="str">
            <v>Forestal Azul</v>
          </cell>
          <cell r="B116" t="str">
            <v>SSP_16_1</v>
          </cell>
          <cell r="D116">
            <v>0</v>
          </cell>
          <cell r="E116" t="str">
            <v>SSP_16_1_0</v>
          </cell>
          <cell r="H116" t="str">
            <v>Plantation clon G 7</v>
          </cell>
          <cell r="I116">
            <v>43800</v>
          </cell>
          <cell r="K116" t="str">
            <v>2020-12-09 20:22:55</v>
          </cell>
          <cell r="L116">
            <v>1</v>
          </cell>
          <cell r="M116" t="str">
            <v>SSP_16_1_2</v>
          </cell>
          <cell r="N116">
            <v>2</v>
          </cell>
          <cell r="O116">
            <v>2</v>
          </cell>
          <cell r="P116">
            <v>20</v>
          </cell>
          <cell r="Q116">
            <v>400</v>
          </cell>
          <cell r="R116" t="str">
            <v>G 7</v>
          </cell>
          <cell r="S116">
            <v>11.5</v>
          </cell>
          <cell r="T116">
            <v>500</v>
          </cell>
          <cell r="U116" t="e">
            <v>#N/A</v>
          </cell>
          <cell r="V116" t="e">
            <v>#N/A</v>
          </cell>
          <cell r="W116" t="str">
            <v>NaN</v>
          </cell>
          <cell r="X116">
            <v>1</v>
          </cell>
          <cell r="Y116">
            <v>1.1314249592362791</v>
          </cell>
          <cell r="Z116">
            <v>1.1045447070940013</v>
          </cell>
          <cell r="AA116">
            <v>3.2560235952004746</v>
          </cell>
          <cell r="AB116">
            <v>0</v>
          </cell>
          <cell r="AC116">
            <v>6.9750000000000005</v>
          </cell>
          <cell r="AD116">
            <v>1.324889932535279</v>
          </cell>
          <cell r="AE116">
            <v>7.1945195494854488</v>
          </cell>
          <cell r="AF116">
            <v>4.3</v>
          </cell>
          <cell r="AG116">
            <v>9.5</v>
          </cell>
          <cell r="AH116">
            <v>5.6882352941176473</v>
          </cell>
          <cell r="AI116">
            <v>1.2104406910983585</v>
          </cell>
          <cell r="AJ116">
            <v>6.1034691008798578</v>
          </cell>
          <cell r="AK116">
            <v>3.3</v>
          </cell>
          <cell r="AL116">
            <v>7.6</v>
          </cell>
          <cell r="AM116">
            <v>425</v>
          </cell>
          <cell r="AN116">
            <v>400</v>
          </cell>
          <cell r="AO116">
            <v>0</v>
          </cell>
          <cell r="AP116">
            <v>0.35294117647058826</v>
          </cell>
          <cell r="AQ116">
            <v>31.25</v>
          </cell>
          <cell r="AR116">
            <v>0</v>
          </cell>
          <cell r="AS116" t="e">
            <v>#DIV/0!</v>
          </cell>
          <cell r="AT116">
            <v>0</v>
          </cell>
          <cell r="AU116">
            <v>1</v>
          </cell>
        </row>
        <row r="117">
          <cell r="A117" t="str">
            <v>Forestal Azul</v>
          </cell>
          <cell r="B117" t="str">
            <v>SSP_17_1</v>
          </cell>
          <cell r="D117">
            <v>0</v>
          </cell>
          <cell r="E117" t="str">
            <v>SSP_17_1_0</v>
          </cell>
          <cell r="H117" t="str">
            <v xml:space="preserve">Plantation clon  Corymbia </v>
          </cell>
          <cell r="I117">
            <v>43800</v>
          </cell>
          <cell r="J117" t="str">
            <v>3800</v>
          </cell>
          <cell r="K117" t="str">
            <v>2020-12-04 15:29:05</v>
          </cell>
          <cell r="L117">
            <v>1</v>
          </cell>
          <cell r="M117" t="str">
            <v>SSP_17_1_3</v>
          </cell>
          <cell r="N117">
            <v>3</v>
          </cell>
          <cell r="O117">
            <v>3</v>
          </cell>
          <cell r="P117">
            <v>20</v>
          </cell>
          <cell r="Q117">
            <v>400</v>
          </cell>
          <cell r="R117" t="str">
            <v xml:space="preserve"> Corymbia </v>
          </cell>
          <cell r="S117">
            <v>7</v>
          </cell>
          <cell r="T117">
            <v>500</v>
          </cell>
          <cell r="U117" t="e">
            <v>#N/A</v>
          </cell>
          <cell r="V117" t="e">
            <v>#N/A</v>
          </cell>
          <cell r="W117" t="str">
            <v>NaN</v>
          </cell>
          <cell r="X117">
            <v>1</v>
          </cell>
          <cell r="Y117">
            <v>0.2838036263436679</v>
          </cell>
          <cell r="Z117">
            <v>0.27433957847472867</v>
          </cell>
          <cell r="AA117">
            <v>0.49297714840498352</v>
          </cell>
          <cell r="AB117">
            <v>0</v>
          </cell>
          <cell r="AC117">
            <v>4.41</v>
          </cell>
          <cell r="AD117">
            <v>0.50651313463281011</v>
          </cell>
          <cell r="AE117">
            <v>4.3425902864259038</v>
          </cell>
          <cell r="AF117">
            <v>3.8</v>
          </cell>
          <cell r="AG117">
            <v>5.2</v>
          </cell>
          <cell r="AH117">
            <v>3.3333333333333339</v>
          </cell>
          <cell r="AI117">
            <v>0.55976185412488821</v>
          </cell>
          <cell r="AJ117">
            <v>3.7302476823024771</v>
          </cell>
          <cell r="AK117">
            <v>3</v>
          </cell>
          <cell r="AL117">
            <v>4.8</v>
          </cell>
          <cell r="AM117">
            <v>300</v>
          </cell>
          <cell r="AN117">
            <v>250</v>
          </cell>
          <cell r="AO117">
            <v>0</v>
          </cell>
          <cell r="AP117">
            <v>0</v>
          </cell>
          <cell r="AQ117">
            <v>0</v>
          </cell>
          <cell r="AR117">
            <v>0</v>
          </cell>
          <cell r="AS117" t="e">
            <v>#DIV/0!</v>
          </cell>
          <cell r="AT117">
            <v>0</v>
          </cell>
          <cell r="AU117">
            <v>1</v>
          </cell>
        </row>
        <row r="118">
          <cell r="A118" t="str">
            <v>Forestal Azul</v>
          </cell>
          <cell r="B118" t="str">
            <v>SSP_17_1</v>
          </cell>
          <cell r="D118">
            <v>0</v>
          </cell>
          <cell r="E118" t="str">
            <v>SSP_17_1_0</v>
          </cell>
          <cell r="H118" t="str">
            <v xml:space="preserve">Plantation clon  Corymbia </v>
          </cell>
          <cell r="I118">
            <v>43800</v>
          </cell>
          <cell r="K118" t="str">
            <v>2020-12-04 15:28:53</v>
          </cell>
          <cell r="L118">
            <v>1</v>
          </cell>
          <cell r="M118" t="str">
            <v>SSP_17_1_2</v>
          </cell>
          <cell r="N118">
            <v>2</v>
          </cell>
          <cell r="O118">
            <v>2</v>
          </cell>
          <cell r="P118">
            <v>20</v>
          </cell>
          <cell r="Q118">
            <v>400</v>
          </cell>
          <cell r="R118" t="str">
            <v xml:space="preserve"> Corymbia </v>
          </cell>
          <cell r="S118">
            <v>7</v>
          </cell>
          <cell r="T118">
            <v>500</v>
          </cell>
          <cell r="U118" t="e">
            <v>#N/A</v>
          </cell>
          <cell r="V118" t="e">
            <v>#N/A</v>
          </cell>
          <cell r="W118" t="str">
            <v>NaN</v>
          </cell>
          <cell r="X118">
            <v>1</v>
          </cell>
          <cell r="Y118">
            <v>0.30995738518480298</v>
          </cell>
          <cell r="Z118">
            <v>0.3027120871274615</v>
          </cell>
          <cell r="AA118">
            <v>0.50801909403037149</v>
          </cell>
          <cell r="AB118">
            <v>0</v>
          </cell>
          <cell r="AC118">
            <v>3.8785714285714286</v>
          </cell>
          <cell r="AD118">
            <v>0.81729250147485988</v>
          </cell>
          <cell r="AE118">
            <v>4.0974914481185847</v>
          </cell>
          <cell r="AF118">
            <v>2.5</v>
          </cell>
          <cell r="AG118">
            <v>5.6</v>
          </cell>
          <cell r="AH118">
            <v>3.0000000000000004</v>
          </cell>
          <cell r="AI118">
            <v>0.76420611683693285</v>
          </cell>
          <cell r="AJ118">
            <v>3.4940896997339408</v>
          </cell>
          <cell r="AK118">
            <v>2.1</v>
          </cell>
          <cell r="AL118">
            <v>4.7</v>
          </cell>
          <cell r="AM118">
            <v>400</v>
          </cell>
          <cell r="AN118">
            <v>350</v>
          </cell>
          <cell r="AO118">
            <v>0</v>
          </cell>
          <cell r="AP118">
            <v>0</v>
          </cell>
          <cell r="AQ118">
            <v>0</v>
          </cell>
          <cell r="AR118">
            <v>0</v>
          </cell>
          <cell r="AS118" t="e">
            <v>#DIV/0!</v>
          </cell>
          <cell r="AT118">
            <v>0</v>
          </cell>
          <cell r="AU118">
            <v>1</v>
          </cell>
        </row>
        <row r="119">
          <cell r="A119" t="str">
            <v>Forestal Azul</v>
          </cell>
          <cell r="B119" t="str">
            <v>SSP_17_1</v>
          </cell>
          <cell r="D119">
            <v>0</v>
          </cell>
          <cell r="E119" t="str">
            <v>SSP_17_1_0</v>
          </cell>
          <cell r="H119" t="str">
            <v xml:space="preserve">Plantation clon  Corymbia </v>
          </cell>
          <cell r="I119">
            <v>43800</v>
          </cell>
          <cell r="K119" t="str">
            <v>2020-12-04 15:28:57</v>
          </cell>
          <cell r="L119">
            <v>1</v>
          </cell>
          <cell r="M119" t="str">
            <v>SSP_17_1_1</v>
          </cell>
          <cell r="N119">
            <v>1</v>
          </cell>
          <cell r="O119">
            <v>1</v>
          </cell>
          <cell r="P119">
            <v>20</v>
          </cell>
          <cell r="Q119">
            <v>400</v>
          </cell>
          <cell r="R119" t="str">
            <v xml:space="preserve"> Corymbia </v>
          </cell>
          <cell r="S119">
            <v>7</v>
          </cell>
          <cell r="T119">
            <v>500</v>
          </cell>
          <cell r="U119" t="e">
            <v>#N/A</v>
          </cell>
          <cell r="V119" t="e">
            <v>#N/A</v>
          </cell>
          <cell r="W119" t="str">
            <v>NaN</v>
          </cell>
          <cell r="X119">
            <v>1</v>
          </cell>
          <cell r="Y119">
            <v>0.38044687034972391</v>
          </cell>
          <cell r="Z119">
            <v>0.36762524533226054</v>
          </cell>
          <cell r="AA119">
            <v>0.66339755428794245</v>
          </cell>
          <cell r="AB119">
            <v>0</v>
          </cell>
          <cell r="AC119">
            <v>4.2687499999999998</v>
          </cell>
          <cell r="AD119">
            <v>0.66304223093254089</v>
          </cell>
          <cell r="AE119">
            <v>4.3593311312964493</v>
          </cell>
          <cell r="AF119">
            <v>3.3</v>
          </cell>
          <cell r="AG119">
            <v>5.4</v>
          </cell>
          <cell r="AH119">
            <v>3.1444444444444448</v>
          </cell>
          <cell r="AI119">
            <v>0.8565191182921692</v>
          </cell>
          <cell r="AJ119">
            <v>3.6130522295623457</v>
          </cell>
          <cell r="AK119">
            <v>2</v>
          </cell>
          <cell r="AL119">
            <v>5.5</v>
          </cell>
          <cell r="AM119">
            <v>450</v>
          </cell>
          <cell r="AN119">
            <v>400</v>
          </cell>
          <cell r="AO119">
            <v>0</v>
          </cell>
          <cell r="AP119">
            <v>0</v>
          </cell>
          <cell r="AQ119">
            <v>0</v>
          </cell>
          <cell r="AR119">
            <v>0</v>
          </cell>
          <cell r="AS119" t="e">
            <v>#DIV/0!</v>
          </cell>
          <cell r="AT119">
            <v>0</v>
          </cell>
          <cell r="AU119">
            <v>1</v>
          </cell>
        </row>
        <row r="120">
          <cell r="A120" t="str">
            <v>Forestal Azul</v>
          </cell>
          <cell r="B120" t="str">
            <v>SSP_17_2</v>
          </cell>
          <cell r="D120">
            <v>0</v>
          </cell>
          <cell r="E120" t="str">
            <v>SSP_17_2_0</v>
          </cell>
          <cell r="H120" t="str">
            <v>Plantation clon G 7</v>
          </cell>
          <cell r="I120">
            <v>43800</v>
          </cell>
          <cell r="K120" t="str">
            <v>2020-12-04 15:29:30</v>
          </cell>
          <cell r="L120">
            <v>1</v>
          </cell>
          <cell r="M120" t="str">
            <v>SSP_17_2_2</v>
          </cell>
          <cell r="N120">
            <v>2</v>
          </cell>
          <cell r="O120">
            <v>2</v>
          </cell>
          <cell r="P120">
            <v>20</v>
          </cell>
          <cell r="Q120">
            <v>400</v>
          </cell>
          <cell r="R120" t="str">
            <v>G 7</v>
          </cell>
          <cell r="S120">
            <v>15.5</v>
          </cell>
          <cell r="T120">
            <v>500</v>
          </cell>
          <cell r="U120" t="e">
            <v>#N/A</v>
          </cell>
          <cell r="V120" t="e">
            <v>#N/A</v>
          </cell>
          <cell r="W120" t="str">
            <v>NaN</v>
          </cell>
          <cell r="X120">
            <v>1</v>
          </cell>
          <cell r="Y120">
            <v>1.0071160649245479</v>
          </cell>
          <cell r="Z120">
            <v>0.90960888293875475</v>
          </cell>
          <cell r="AA120">
            <v>2.2922190973946419</v>
          </cell>
          <cell r="AB120">
            <v>0</v>
          </cell>
          <cell r="AC120">
            <v>6.223529411764706</v>
          </cell>
          <cell r="AD120">
            <v>0.67872068239142569</v>
          </cell>
          <cell r="AE120">
            <v>5.6900569289557819</v>
          </cell>
          <cell r="AF120">
            <v>5.3</v>
          </cell>
          <cell r="AG120">
            <v>7.6</v>
          </cell>
          <cell r="AH120">
            <v>5.01</v>
          </cell>
          <cell r="AI120">
            <v>0.69509838491100195</v>
          </cell>
          <cell r="AJ120">
            <v>4.8312524370272163</v>
          </cell>
          <cell r="AK120">
            <v>4</v>
          </cell>
          <cell r="AL120">
            <v>6.4</v>
          </cell>
          <cell r="AM120">
            <v>500</v>
          </cell>
          <cell r="AN120">
            <v>425</v>
          </cell>
          <cell r="AO120">
            <v>0</v>
          </cell>
          <cell r="AP120">
            <v>0</v>
          </cell>
          <cell r="AQ120">
            <v>0</v>
          </cell>
          <cell r="AR120">
            <v>0</v>
          </cell>
          <cell r="AS120" t="e">
            <v>#DIV/0!</v>
          </cell>
          <cell r="AT120">
            <v>0</v>
          </cell>
          <cell r="AU120">
            <v>1</v>
          </cell>
        </row>
        <row r="121">
          <cell r="A121" t="str">
            <v>Forestal Azul</v>
          </cell>
          <cell r="B121" t="str">
            <v>SSP_17_2</v>
          </cell>
          <cell r="D121">
            <v>0</v>
          </cell>
          <cell r="E121" t="str">
            <v>SSP_17_2_0</v>
          </cell>
          <cell r="H121" t="str">
            <v>Plantation clon G 7</v>
          </cell>
          <cell r="I121">
            <v>43800</v>
          </cell>
          <cell r="K121" t="str">
            <v>2020-12-04 15:29:15</v>
          </cell>
          <cell r="L121">
            <v>1</v>
          </cell>
          <cell r="M121" t="str">
            <v>SSP_17_2_3</v>
          </cell>
          <cell r="N121">
            <v>3</v>
          </cell>
          <cell r="O121">
            <v>3</v>
          </cell>
          <cell r="P121">
            <v>20</v>
          </cell>
          <cell r="Q121">
            <v>400</v>
          </cell>
          <cell r="R121" t="str">
            <v>G 7</v>
          </cell>
          <cell r="S121">
            <v>15.5</v>
          </cell>
          <cell r="T121">
            <v>500</v>
          </cell>
          <cell r="U121" t="e">
            <v>#N/A</v>
          </cell>
          <cell r="V121" t="e">
            <v>#N/A</v>
          </cell>
          <cell r="W121" t="str">
            <v>NaN</v>
          </cell>
          <cell r="X121">
            <v>1</v>
          </cell>
          <cell r="Y121">
            <v>1.2408112884434586</v>
          </cell>
          <cell r="Z121">
            <v>1.2408112884434586</v>
          </cell>
          <cell r="AA121">
            <v>3.5510914020035886</v>
          </cell>
          <cell r="AB121">
            <v>0</v>
          </cell>
          <cell r="AC121">
            <v>7.0799999999999992</v>
          </cell>
          <cell r="AD121">
            <v>0.65378021645547757</v>
          </cell>
          <cell r="AE121">
            <v>7.1547773522802798</v>
          </cell>
          <cell r="AF121">
            <v>6.2</v>
          </cell>
          <cell r="AG121">
            <v>8.1</v>
          </cell>
          <cell r="AH121">
            <v>6.4666666666666659</v>
          </cell>
          <cell r="AI121">
            <v>0.57776251506092358</v>
          </cell>
          <cell r="AJ121">
            <v>6.5617811817577625</v>
          </cell>
          <cell r="AK121">
            <v>5.5</v>
          </cell>
          <cell r="AL121">
            <v>7.5</v>
          </cell>
          <cell r="AM121">
            <v>375</v>
          </cell>
          <cell r="AN121">
            <v>375</v>
          </cell>
          <cell r="AO121">
            <v>0</v>
          </cell>
          <cell r="AP121">
            <v>6.6666666666666666E-2</v>
          </cell>
          <cell r="AQ121">
            <v>6.666666666666667</v>
          </cell>
          <cell r="AR121">
            <v>0</v>
          </cell>
          <cell r="AS121" t="e">
            <v>#DIV/0!</v>
          </cell>
          <cell r="AT121">
            <v>0</v>
          </cell>
          <cell r="AU121">
            <v>1</v>
          </cell>
        </row>
        <row r="122">
          <cell r="A122" t="str">
            <v>Forestal Azul</v>
          </cell>
          <cell r="B122" t="str">
            <v>SSP_17_2</v>
          </cell>
          <cell r="D122">
            <v>0</v>
          </cell>
          <cell r="E122" t="str">
            <v>SSP_17_2_0</v>
          </cell>
          <cell r="H122" t="str">
            <v>Plantation clon G 7</v>
          </cell>
          <cell r="I122">
            <v>43800</v>
          </cell>
          <cell r="K122" t="str">
            <v>2020-12-04 15:29:34</v>
          </cell>
          <cell r="L122">
            <v>1</v>
          </cell>
          <cell r="M122" t="str">
            <v>SSP_17_2_1</v>
          </cell>
          <cell r="N122">
            <v>1</v>
          </cell>
          <cell r="O122">
            <v>1</v>
          </cell>
          <cell r="P122">
            <v>20</v>
          </cell>
          <cell r="Q122">
            <v>400</v>
          </cell>
          <cell r="R122" t="str">
            <v>G 7</v>
          </cell>
          <cell r="S122">
            <v>15.5</v>
          </cell>
          <cell r="T122">
            <v>500</v>
          </cell>
          <cell r="U122" t="e">
            <v>#N/A</v>
          </cell>
          <cell r="V122" t="e">
            <v>#N/A</v>
          </cell>
          <cell r="W122" t="str">
            <v>NaN</v>
          </cell>
          <cell r="X122">
            <v>1</v>
          </cell>
          <cell r="Y122">
            <v>1.5321547371557422</v>
          </cell>
          <cell r="Z122">
            <v>1.5321547371557422</v>
          </cell>
          <cell r="AA122">
            <v>4.2272493202522492</v>
          </cell>
          <cell r="AB122">
            <v>0</v>
          </cell>
          <cell r="AC122">
            <v>6.87</v>
          </cell>
          <cell r="AD122">
            <v>0.57956426463516986</v>
          </cell>
          <cell r="AE122">
            <v>6.8975561308181268</v>
          </cell>
          <cell r="AF122">
            <v>5.6</v>
          </cell>
          <cell r="AG122">
            <v>7.8</v>
          </cell>
          <cell r="AH122">
            <v>6.22</v>
          </cell>
          <cell r="AI122">
            <v>0.58723258191551164</v>
          </cell>
          <cell r="AJ122">
            <v>6.3243541111338955</v>
          </cell>
          <cell r="AK122">
            <v>5.0999999999999996</v>
          </cell>
          <cell r="AL122">
            <v>7.2</v>
          </cell>
          <cell r="AM122">
            <v>500</v>
          </cell>
          <cell r="AN122">
            <v>500</v>
          </cell>
          <cell r="AO122">
            <v>0</v>
          </cell>
          <cell r="AP122">
            <v>0.05</v>
          </cell>
          <cell r="AQ122">
            <v>5</v>
          </cell>
          <cell r="AR122">
            <v>0</v>
          </cell>
          <cell r="AS122" t="e">
            <v>#DIV/0!</v>
          </cell>
          <cell r="AT122">
            <v>0</v>
          </cell>
          <cell r="AU122">
            <v>1</v>
          </cell>
        </row>
        <row r="123">
          <cell r="A123" t="str">
            <v>Forestal Azul</v>
          </cell>
          <cell r="B123" t="str">
            <v>Tajamar_Guazu_1</v>
          </cell>
          <cell r="D123">
            <v>0</v>
          </cell>
          <cell r="E123" t="str">
            <v>Tajamar_Guazu_1_0</v>
          </cell>
          <cell r="H123" t="str">
            <v>Plantation clon G 0</v>
          </cell>
          <cell r="I123">
            <v>43374</v>
          </cell>
          <cell r="K123" t="str">
            <v>2020-12-01 20:38:22</v>
          </cell>
          <cell r="L123">
            <v>2.1666666666666665</v>
          </cell>
          <cell r="M123" t="str">
            <v>Tajamar Guazu-1</v>
          </cell>
          <cell r="N123">
            <v>1</v>
          </cell>
          <cell r="O123">
            <v>1</v>
          </cell>
          <cell r="P123">
            <v>20</v>
          </cell>
          <cell r="Q123">
            <v>280.1120448179272</v>
          </cell>
          <cell r="R123" t="str">
            <v>G 0</v>
          </cell>
          <cell r="S123">
            <v>25</v>
          </cell>
          <cell r="T123">
            <v>714</v>
          </cell>
          <cell r="U123">
            <v>543382.22900000005</v>
          </cell>
          <cell r="V123">
            <v>7350114.557</v>
          </cell>
          <cell r="W123" t="str">
            <v>NaN</v>
          </cell>
          <cell r="X123">
            <v>1</v>
          </cell>
          <cell r="Y123">
            <v>3.8953625187879597</v>
          </cell>
          <cell r="Z123">
            <v>3.6263590925149862</v>
          </cell>
          <cell r="AA123">
            <v>14.971652898170898</v>
          </cell>
          <cell r="AB123">
            <v>0</v>
          </cell>
          <cell r="AC123">
            <v>9.8470588235294123</v>
          </cell>
          <cell r="AD123">
            <v>1.5342415255830877</v>
          </cell>
          <cell r="AE123">
            <v>9.6086390072555563</v>
          </cell>
          <cell r="AF123">
            <v>6.8</v>
          </cell>
          <cell r="AG123">
            <v>12.6</v>
          </cell>
          <cell r="AH123">
            <v>8.3789473684210538</v>
          </cell>
          <cell r="AI123">
            <v>1.763206470843256</v>
          </cell>
          <cell r="AJ123">
            <v>8.568857249798457</v>
          </cell>
          <cell r="AK123">
            <v>5.5</v>
          </cell>
          <cell r="AL123">
            <v>11.1</v>
          </cell>
          <cell r="AM123">
            <v>678.3</v>
          </cell>
          <cell r="AN123">
            <v>606.9</v>
          </cell>
          <cell r="AO123">
            <v>0</v>
          </cell>
          <cell r="AP123">
            <v>1</v>
          </cell>
          <cell r="AQ123">
            <v>100</v>
          </cell>
          <cell r="AR123">
            <v>0</v>
          </cell>
          <cell r="AS123" t="e">
            <v>#DIV/0!</v>
          </cell>
          <cell r="AT123">
            <v>0</v>
          </cell>
          <cell r="AU123">
            <v>1</v>
          </cell>
        </row>
        <row r="124">
          <cell r="A124" t="str">
            <v>Forestal Azul</v>
          </cell>
          <cell r="B124" t="str">
            <v>Tajamar_Guazu_1</v>
          </cell>
          <cell r="D124">
            <v>0</v>
          </cell>
          <cell r="E124" t="str">
            <v>Tajamar_Guazu_1_0</v>
          </cell>
          <cell r="H124" t="str">
            <v>Plantation clon G 0</v>
          </cell>
          <cell r="I124">
            <v>43374</v>
          </cell>
          <cell r="K124" t="str">
            <v>2020-12-01 20:38:45</v>
          </cell>
          <cell r="L124">
            <v>2.1666666666666665</v>
          </cell>
          <cell r="M124" t="str">
            <v>Tajamar Guazu-2</v>
          </cell>
          <cell r="N124">
            <v>2</v>
          </cell>
          <cell r="O124">
            <v>2</v>
          </cell>
          <cell r="P124">
            <v>20</v>
          </cell>
          <cell r="Q124">
            <v>280.1120448179272</v>
          </cell>
          <cell r="R124" t="str">
            <v>G 0</v>
          </cell>
          <cell r="S124">
            <v>25</v>
          </cell>
          <cell r="T124">
            <v>714</v>
          </cell>
          <cell r="U124">
            <v>543241.79434999998</v>
          </cell>
          <cell r="V124">
            <v>7350276.3890000004</v>
          </cell>
          <cell r="W124" t="str">
            <v>NaN</v>
          </cell>
          <cell r="X124">
            <v>1</v>
          </cell>
          <cell r="Y124">
            <v>5.4195316729699066</v>
          </cell>
          <cell r="Z124">
            <v>5.4195316729699066</v>
          </cell>
          <cell r="AA124">
            <v>25.501084247442563</v>
          </cell>
          <cell r="AB124">
            <v>0</v>
          </cell>
          <cell r="AC124">
            <v>11.626315789473686</v>
          </cell>
          <cell r="AD124">
            <v>1.9142280443687809</v>
          </cell>
          <cell r="AE124">
            <v>11.763509185964383</v>
          </cell>
          <cell r="AF124">
            <v>8.8000000000000007</v>
          </cell>
          <cell r="AG124">
            <v>18.8</v>
          </cell>
          <cell r="AH124">
            <v>10.058473684210528</v>
          </cell>
          <cell r="AI124">
            <v>0.76701284709080286</v>
          </cell>
          <cell r="AJ124">
            <v>10.1630994720588</v>
          </cell>
          <cell r="AK124">
            <v>7.8</v>
          </cell>
          <cell r="AL124">
            <v>11</v>
          </cell>
          <cell r="AM124">
            <v>678.3</v>
          </cell>
          <cell r="AN124">
            <v>678.3</v>
          </cell>
          <cell r="AO124">
            <v>0</v>
          </cell>
          <cell r="AP124">
            <v>1</v>
          </cell>
          <cell r="AQ124">
            <v>100</v>
          </cell>
          <cell r="AR124">
            <v>0</v>
          </cell>
          <cell r="AS124" t="e">
            <v>#DIV/0!</v>
          </cell>
          <cell r="AT124">
            <v>0</v>
          </cell>
          <cell r="AU124">
            <v>1</v>
          </cell>
        </row>
        <row r="125">
          <cell r="A125" t="str">
            <v>Forestal Azul</v>
          </cell>
          <cell r="B125" t="str">
            <v>Tajamar_Guazu_1</v>
          </cell>
          <cell r="D125">
            <v>0</v>
          </cell>
          <cell r="E125" t="str">
            <v>Tajamar_Guazu_1_0</v>
          </cell>
          <cell r="H125" t="str">
            <v>Plantation clon G 0</v>
          </cell>
          <cell r="I125">
            <v>43374</v>
          </cell>
          <cell r="K125" t="str">
            <v>2020-12-01 20:39:40</v>
          </cell>
          <cell r="L125">
            <v>2.1666666666666665</v>
          </cell>
          <cell r="M125" t="str">
            <v>Tajamar Guazu-4</v>
          </cell>
          <cell r="N125">
            <v>4</v>
          </cell>
          <cell r="O125">
            <v>4</v>
          </cell>
          <cell r="P125">
            <v>20</v>
          </cell>
          <cell r="Q125">
            <v>280.1120448179272</v>
          </cell>
          <cell r="R125" t="str">
            <v>G 0</v>
          </cell>
          <cell r="S125">
            <v>25</v>
          </cell>
          <cell r="T125">
            <v>714</v>
          </cell>
          <cell r="U125">
            <v>543504.55349999992</v>
          </cell>
          <cell r="V125">
            <v>7349661.8605000004</v>
          </cell>
          <cell r="W125" t="str">
            <v>NaN</v>
          </cell>
          <cell r="X125">
            <v>1</v>
          </cell>
          <cell r="Y125">
            <v>5.5680400670202417</v>
          </cell>
          <cell r="Z125">
            <v>5.5680400670202417</v>
          </cell>
          <cell r="AA125">
            <v>26.679280916511008</v>
          </cell>
          <cell r="AB125">
            <v>0</v>
          </cell>
          <cell r="AC125">
            <v>11.916666666666666</v>
          </cell>
          <cell r="AD125">
            <v>1.1703443434959391</v>
          </cell>
          <cell r="AE125">
            <v>11.978757603835152</v>
          </cell>
          <cell r="AF125">
            <v>10</v>
          </cell>
          <cell r="AG125">
            <v>14</v>
          </cell>
          <cell r="AH125">
            <v>10.466666666666667</v>
          </cell>
          <cell r="AI125">
            <v>0.90488868343667817</v>
          </cell>
          <cell r="AJ125">
            <v>10.615728356765905</v>
          </cell>
          <cell r="AK125">
            <v>9.1999999999999993</v>
          </cell>
          <cell r="AL125">
            <v>12.3</v>
          </cell>
          <cell r="AM125">
            <v>642.59999999999991</v>
          </cell>
          <cell r="AN125">
            <v>642.59999999999991</v>
          </cell>
          <cell r="AO125">
            <v>0</v>
          </cell>
          <cell r="AP125">
            <v>1</v>
          </cell>
          <cell r="AQ125">
            <v>100</v>
          </cell>
          <cell r="AR125">
            <v>0</v>
          </cell>
          <cell r="AS125" t="e">
            <v>#DIV/0!</v>
          </cell>
          <cell r="AT125">
            <v>0</v>
          </cell>
          <cell r="AU125">
            <v>1</v>
          </cell>
        </row>
        <row r="126">
          <cell r="A126" t="str">
            <v>Forestal Azul</v>
          </cell>
          <cell r="B126" t="str">
            <v>Tajamar_Guazu_1</v>
          </cell>
          <cell r="D126">
            <v>0</v>
          </cell>
          <cell r="E126" t="str">
            <v>Tajamar_Guazu_1_0</v>
          </cell>
          <cell r="H126" t="str">
            <v>Plantation clon G 0</v>
          </cell>
          <cell r="I126">
            <v>43374</v>
          </cell>
          <cell r="K126" t="str">
            <v>2020-12-01 20:37:57</v>
          </cell>
          <cell r="L126">
            <v>2.1666666666666665</v>
          </cell>
          <cell r="M126" t="str">
            <v>Tajamar Guazu-3</v>
          </cell>
          <cell r="N126">
            <v>3</v>
          </cell>
          <cell r="O126">
            <v>3</v>
          </cell>
          <cell r="P126">
            <v>20</v>
          </cell>
          <cell r="Q126">
            <v>280.1120448179272</v>
          </cell>
          <cell r="R126" t="str">
            <v>G 0</v>
          </cell>
          <cell r="S126">
            <v>25</v>
          </cell>
          <cell r="T126">
            <v>714</v>
          </cell>
          <cell r="U126">
            <v>543457.51014999999</v>
          </cell>
          <cell r="V126">
            <v>7349951.5539999995</v>
          </cell>
          <cell r="W126" t="str">
            <v>NaN</v>
          </cell>
          <cell r="X126">
            <v>1</v>
          </cell>
          <cell r="Y126">
            <v>5.68557835792459</v>
          </cell>
          <cell r="Z126">
            <v>5.3524503917426847</v>
          </cell>
          <cell r="AA126">
            <v>24.202086291947225</v>
          </cell>
          <cell r="AB126">
            <v>0</v>
          </cell>
          <cell r="AC126">
            <v>11.2</v>
          </cell>
          <cell r="AD126">
            <v>0.97256483225601809</v>
          </cell>
          <cell r="AE126">
            <v>10.641875271235255</v>
          </cell>
          <cell r="AF126">
            <v>9.6999999999999993</v>
          </cell>
          <cell r="AG126">
            <v>13.3</v>
          </cell>
          <cell r="AH126">
            <v>10.305263157894736</v>
          </cell>
          <cell r="AI126">
            <v>0.75209945803147726</v>
          </cell>
          <cell r="AJ126">
            <v>9.7685500256440605</v>
          </cell>
          <cell r="AK126">
            <v>8.9</v>
          </cell>
          <cell r="AL126">
            <v>12</v>
          </cell>
          <cell r="AM126">
            <v>678.3</v>
          </cell>
          <cell r="AN126">
            <v>642.59999999999991</v>
          </cell>
          <cell r="AO126">
            <v>0</v>
          </cell>
          <cell r="AP126">
            <v>1</v>
          </cell>
          <cell r="AQ126">
            <v>100</v>
          </cell>
          <cell r="AR126">
            <v>0</v>
          </cell>
          <cell r="AS126" t="e">
            <v>#DIV/0!</v>
          </cell>
          <cell r="AT126">
            <v>0</v>
          </cell>
          <cell r="AU126">
            <v>1</v>
          </cell>
        </row>
        <row r="127">
          <cell r="A127" t="str">
            <v>Forestal Azul</v>
          </cell>
          <cell r="B127" t="str">
            <v>Tajamar_Guazu_2</v>
          </cell>
          <cell r="D127">
            <v>0</v>
          </cell>
          <cell r="E127" t="str">
            <v>Tajamar_Guazu_2_0</v>
          </cell>
          <cell r="H127" t="str">
            <v>Plantation clon G 0</v>
          </cell>
          <cell r="I127">
            <v>43800</v>
          </cell>
          <cell r="K127" t="str">
            <v>2020-12-01 20:39:28</v>
          </cell>
          <cell r="L127">
            <v>1</v>
          </cell>
          <cell r="M127" t="str">
            <v>Tajamar_Guazu_2_3</v>
          </cell>
          <cell r="N127">
            <v>3</v>
          </cell>
          <cell r="O127">
            <v>3</v>
          </cell>
          <cell r="P127">
            <v>20</v>
          </cell>
          <cell r="Q127">
            <v>280.1120448179272</v>
          </cell>
          <cell r="R127" t="str">
            <v>G 0</v>
          </cell>
          <cell r="S127">
            <v>6</v>
          </cell>
          <cell r="T127">
            <v>714</v>
          </cell>
          <cell r="U127" t="e">
            <v>#N/A</v>
          </cell>
          <cell r="V127" t="e">
            <v>#N/A</v>
          </cell>
          <cell r="W127" t="str">
            <v>NaN</v>
          </cell>
          <cell r="X127">
            <v>1</v>
          </cell>
          <cell r="Y127">
            <v>0.40302848126409457</v>
          </cell>
          <cell r="Z127">
            <v>0.33811885735103081</v>
          </cell>
          <cell r="AA127">
            <v>0.63695547578102396</v>
          </cell>
          <cell r="AB127">
            <v>0</v>
          </cell>
          <cell r="AC127">
            <v>4.3666666666666671</v>
          </cell>
          <cell r="AD127">
            <v>0.88034084308295169</v>
          </cell>
          <cell r="AE127">
            <v>3.9510574648671208</v>
          </cell>
          <cell r="AF127">
            <v>3.1</v>
          </cell>
          <cell r="AG127">
            <v>5.7</v>
          </cell>
          <cell r="AH127">
            <v>3.3666666666666667</v>
          </cell>
          <cell r="AI127">
            <v>0.8732124598286527</v>
          </cell>
          <cell r="AJ127">
            <v>3.284951996660638</v>
          </cell>
          <cell r="AK127">
            <v>2.2999999999999998</v>
          </cell>
          <cell r="AL127">
            <v>4.5999999999999996</v>
          </cell>
          <cell r="AM127">
            <v>428.4</v>
          </cell>
          <cell r="AN127">
            <v>321.29999999999995</v>
          </cell>
          <cell r="AO127">
            <v>0</v>
          </cell>
          <cell r="AP127">
            <v>0.75</v>
          </cell>
          <cell r="AQ127">
            <v>100</v>
          </cell>
          <cell r="AR127">
            <v>0</v>
          </cell>
          <cell r="AS127" t="e">
            <v>#DIV/0!</v>
          </cell>
          <cell r="AT127">
            <v>0</v>
          </cell>
          <cell r="AU127">
            <v>1</v>
          </cell>
        </row>
        <row r="128">
          <cell r="A128" t="str">
            <v>Forestal Azul</v>
          </cell>
          <cell r="B128" t="str">
            <v>Tajamar_Guazu_2</v>
          </cell>
          <cell r="D128">
            <v>0</v>
          </cell>
          <cell r="E128" t="str">
            <v>Tajamar_Guazu_2_0</v>
          </cell>
          <cell r="H128" t="str">
            <v>Plantation clon G 0</v>
          </cell>
          <cell r="I128">
            <v>43800</v>
          </cell>
          <cell r="K128" t="str">
            <v>2020-12-01 20:37:10</v>
          </cell>
          <cell r="L128">
            <v>1</v>
          </cell>
          <cell r="M128" t="str">
            <v>Tajamar_Guazu_2_2</v>
          </cell>
          <cell r="N128">
            <v>2</v>
          </cell>
          <cell r="O128">
            <v>2</v>
          </cell>
          <cell r="P128">
            <v>20</v>
          </cell>
          <cell r="Q128">
            <v>280.1120448179272</v>
          </cell>
          <cell r="R128" t="str">
            <v>G 0</v>
          </cell>
          <cell r="S128">
            <v>6</v>
          </cell>
          <cell r="T128">
            <v>714</v>
          </cell>
          <cell r="U128" t="e">
            <v>#N/A</v>
          </cell>
          <cell r="V128" t="e">
            <v>#N/A</v>
          </cell>
          <cell r="W128" t="str">
            <v>NaN</v>
          </cell>
          <cell r="X128">
            <v>1</v>
          </cell>
          <cell r="Y128">
            <v>0.7738124409299072</v>
          </cell>
          <cell r="Z128">
            <v>0.54078268527484297</v>
          </cell>
          <cell r="AA128">
            <v>1.4888299407903618</v>
          </cell>
          <cell r="AB128">
            <v>0</v>
          </cell>
          <cell r="AC128">
            <v>6.7624999999999993</v>
          </cell>
          <cell r="AD128">
            <v>0.70292755164180543</v>
          </cell>
          <cell r="AE128">
            <v>4.8100478295528655</v>
          </cell>
          <cell r="AF128">
            <v>5.5</v>
          </cell>
          <cell r="AG128">
            <v>7.9</v>
          </cell>
          <cell r="AH128">
            <v>4.3285714285714283</v>
          </cell>
          <cell r="AI128">
            <v>0.72886898685566537</v>
          </cell>
          <cell r="AJ128">
            <v>3.5288173056018546</v>
          </cell>
          <cell r="AK128">
            <v>3.9</v>
          </cell>
          <cell r="AL128">
            <v>5.8</v>
          </cell>
          <cell r="AM128">
            <v>499.79999999999995</v>
          </cell>
          <cell r="AN128">
            <v>285.59999999999997</v>
          </cell>
          <cell r="AO128">
            <v>0</v>
          </cell>
          <cell r="AP128">
            <v>1</v>
          </cell>
          <cell r="AQ128">
            <v>100</v>
          </cell>
          <cell r="AR128">
            <v>7.1428571428571425E-2</v>
          </cell>
          <cell r="AS128" t="e">
            <v>#DIV/0!</v>
          </cell>
          <cell r="AT128">
            <v>0</v>
          </cell>
          <cell r="AU128">
            <v>1</v>
          </cell>
        </row>
        <row r="129">
          <cell r="A129" t="str">
            <v>Forestal Azul</v>
          </cell>
          <cell r="B129" t="str">
            <v>Tajamar_Guazu_2</v>
          </cell>
          <cell r="D129">
            <v>0</v>
          </cell>
          <cell r="E129" t="str">
            <v>Tajamar_Guazu_2_0</v>
          </cell>
          <cell r="H129" t="str">
            <v>Plantation clon G 0</v>
          </cell>
          <cell r="I129">
            <v>43800</v>
          </cell>
          <cell r="K129" t="str">
            <v>2020-12-01 20:37:33</v>
          </cell>
          <cell r="L129">
            <v>1</v>
          </cell>
          <cell r="M129" t="str">
            <v>Tajamar_Guazu_2_1</v>
          </cell>
          <cell r="N129">
            <v>1</v>
          </cell>
          <cell r="O129">
            <v>1</v>
          </cell>
          <cell r="P129">
            <v>20</v>
          </cell>
          <cell r="Q129">
            <v>280.1120448179272</v>
          </cell>
          <cell r="R129" t="str">
            <v>G 0</v>
          </cell>
          <cell r="S129">
            <v>6</v>
          </cell>
          <cell r="T129">
            <v>714</v>
          </cell>
          <cell r="U129" t="e">
            <v>#N/A</v>
          </cell>
          <cell r="V129" t="e">
            <v>#N/A</v>
          </cell>
          <cell r="W129" t="str">
            <v>NaN</v>
          </cell>
          <cell r="X129">
            <v>1</v>
          </cell>
          <cell r="Y129">
            <v>1.1913930149848782</v>
          </cell>
          <cell r="Z129">
            <v>1.1842151040899562</v>
          </cell>
          <cell r="AA129">
            <v>3.1774727330209598</v>
          </cell>
          <cell r="AB129">
            <v>0</v>
          </cell>
          <cell r="AC129">
            <v>6.3999999999999995</v>
          </cell>
          <cell r="AD129">
            <v>1.0000000000000044</v>
          </cell>
          <cell r="AE129">
            <v>6.6675578357769902</v>
          </cell>
          <cell r="AF129">
            <v>3.8</v>
          </cell>
          <cell r="AG129">
            <v>7.9</v>
          </cell>
          <cell r="AH129">
            <v>5.126666666666666</v>
          </cell>
          <cell r="AI129">
            <v>1.1550415053671803</v>
          </cell>
          <cell r="AJ129">
            <v>5.7331552564072412</v>
          </cell>
          <cell r="AK129">
            <v>2.5</v>
          </cell>
          <cell r="AL129">
            <v>6.8</v>
          </cell>
          <cell r="AM129">
            <v>535.49999999999989</v>
          </cell>
          <cell r="AN129">
            <v>499.79999999999995</v>
          </cell>
          <cell r="AO129">
            <v>0</v>
          </cell>
          <cell r="AP129">
            <v>0.93333333333333335</v>
          </cell>
          <cell r="AQ129">
            <v>92.857142857142861</v>
          </cell>
          <cell r="AR129">
            <v>0</v>
          </cell>
          <cell r="AS129" t="e">
            <v>#DIV/0!</v>
          </cell>
          <cell r="AT129">
            <v>0</v>
          </cell>
          <cell r="AU129">
            <v>1</v>
          </cell>
        </row>
        <row r="130">
          <cell r="A130" t="str">
            <v>Forestal Azul</v>
          </cell>
          <cell r="B130" t="str">
            <v>Torito_1</v>
          </cell>
          <cell r="D130">
            <v>0</v>
          </cell>
          <cell r="E130" t="str">
            <v>Torito_1_0</v>
          </cell>
          <cell r="H130" t="str">
            <v>Plantation clon G 0</v>
          </cell>
          <cell r="I130">
            <v>43556</v>
          </cell>
          <cell r="K130" t="str">
            <v>2020-12-01 20:32:36</v>
          </cell>
          <cell r="L130">
            <v>1.6666666666666667</v>
          </cell>
          <cell r="M130" t="str">
            <v>Torito-1</v>
          </cell>
          <cell r="N130">
            <v>1</v>
          </cell>
          <cell r="O130">
            <v>1</v>
          </cell>
          <cell r="P130">
            <v>20</v>
          </cell>
          <cell r="Q130">
            <v>280.1120448179272</v>
          </cell>
          <cell r="R130" t="str">
            <v>G 0</v>
          </cell>
          <cell r="S130">
            <v>47</v>
          </cell>
          <cell r="T130">
            <v>714</v>
          </cell>
          <cell r="U130" t="e">
            <v>#N/A</v>
          </cell>
          <cell r="V130" t="e">
            <v>#N/A</v>
          </cell>
          <cell r="W130" t="str">
            <v>NaN</v>
          </cell>
          <cell r="X130">
            <v>1</v>
          </cell>
          <cell r="Y130">
            <v>1.4435171351690126</v>
          </cell>
          <cell r="Z130">
            <v>1.3236516309667026</v>
          </cell>
          <cell r="AA130">
            <v>3.5249610071870188</v>
          </cell>
          <cell r="AB130">
            <v>0</v>
          </cell>
          <cell r="AC130">
            <v>5.8199999999999994</v>
          </cell>
          <cell r="AD130">
            <v>1.6415149796975463</v>
          </cell>
          <cell r="AE130">
            <v>6.1048132393217172</v>
          </cell>
          <cell r="AF130">
            <v>2.7</v>
          </cell>
          <cell r="AG130">
            <v>8.5</v>
          </cell>
          <cell r="AH130">
            <v>5.0166666666666675</v>
          </cell>
          <cell r="AI130">
            <v>1.8835629864194929</v>
          </cell>
          <cell r="AJ130">
            <v>5.8246100654585007</v>
          </cell>
          <cell r="AK130">
            <v>1.9</v>
          </cell>
          <cell r="AL130">
            <v>8.5</v>
          </cell>
          <cell r="AM130">
            <v>642.59999999999991</v>
          </cell>
          <cell r="AN130">
            <v>535.49999999999989</v>
          </cell>
          <cell r="AO130">
            <v>0</v>
          </cell>
          <cell r="AP130">
            <v>1</v>
          </cell>
          <cell r="AQ130">
            <v>100</v>
          </cell>
          <cell r="AR130">
            <v>0</v>
          </cell>
          <cell r="AS130" t="e">
            <v>#DIV/0!</v>
          </cell>
          <cell r="AT130">
            <v>0</v>
          </cell>
          <cell r="AU130">
            <v>1</v>
          </cell>
        </row>
        <row r="131">
          <cell r="A131" t="str">
            <v>Forestal Azul</v>
          </cell>
          <cell r="B131" t="str">
            <v>Torito_1</v>
          </cell>
          <cell r="D131">
            <v>0</v>
          </cell>
          <cell r="E131" t="str">
            <v>Torito_1_0</v>
          </cell>
          <cell r="H131" t="str">
            <v>Plantation clon G 0</v>
          </cell>
          <cell r="I131">
            <v>43556</v>
          </cell>
          <cell r="K131" t="str">
            <v>2020-11-20 16:45:19</v>
          </cell>
          <cell r="L131">
            <v>1.5833333333333333</v>
          </cell>
          <cell r="M131" t="str">
            <v>Torito-6</v>
          </cell>
          <cell r="N131">
            <v>6</v>
          </cell>
          <cell r="O131">
            <v>6</v>
          </cell>
          <cell r="P131">
            <v>20</v>
          </cell>
          <cell r="Q131">
            <v>280.1120448179272</v>
          </cell>
          <cell r="R131" t="str">
            <v>G 0</v>
          </cell>
          <cell r="S131">
            <v>47</v>
          </cell>
          <cell r="T131">
            <v>714</v>
          </cell>
          <cell r="U131" t="e">
            <v>#N/A</v>
          </cell>
          <cell r="V131" t="e">
            <v>#N/A</v>
          </cell>
          <cell r="W131" t="str">
            <v>NaN</v>
          </cell>
          <cell r="X131">
            <v>1</v>
          </cell>
          <cell r="Y131">
            <v>3.178104164869997</v>
          </cell>
          <cell r="Z131">
            <v>3.0169937117363186</v>
          </cell>
          <cell r="AA131">
            <v>10.923978474838428</v>
          </cell>
          <cell r="AB131">
            <v>0</v>
          </cell>
          <cell r="AC131">
            <v>8.6312499999999996</v>
          </cell>
          <cell r="AD131">
            <v>1.42301030682611</v>
          </cell>
          <cell r="AE131">
            <v>8.5931564134913145</v>
          </cell>
          <cell r="AF131">
            <v>4.5</v>
          </cell>
          <cell r="AG131">
            <v>10.6</v>
          </cell>
          <cell r="AH131">
            <v>7.7277777777777761</v>
          </cell>
          <cell r="AI131">
            <v>1.7125881972422128</v>
          </cell>
          <cell r="AJ131">
            <v>8.1499369193714877</v>
          </cell>
          <cell r="AK131">
            <v>3.2</v>
          </cell>
          <cell r="AL131">
            <v>9.8000000000000007</v>
          </cell>
          <cell r="AM131">
            <v>642.59999999999991</v>
          </cell>
          <cell r="AN131">
            <v>571.19999999999993</v>
          </cell>
          <cell r="AO131">
            <v>0</v>
          </cell>
          <cell r="AP131">
            <v>1</v>
          </cell>
          <cell r="AQ131">
            <v>100</v>
          </cell>
          <cell r="AR131">
            <v>5.5555555555555552E-2</v>
          </cell>
          <cell r="AS131" t="e">
            <v>#DIV/0!</v>
          </cell>
          <cell r="AT131">
            <v>0</v>
          </cell>
          <cell r="AU131">
            <v>1</v>
          </cell>
        </row>
        <row r="132">
          <cell r="A132" t="str">
            <v>Forestal Azul</v>
          </cell>
          <cell r="B132" t="str">
            <v>Torito_1</v>
          </cell>
          <cell r="D132">
            <v>0</v>
          </cell>
          <cell r="E132" t="str">
            <v>Torito_1_0</v>
          </cell>
          <cell r="H132" t="str">
            <v>Plantation clon G 0</v>
          </cell>
          <cell r="I132">
            <v>43556</v>
          </cell>
          <cell r="K132" t="str">
            <v>2020-12-01 20:32:22</v>
          </cell>
          <cell r="L132">
            <v>1.6666666666666667</v>
          </cell>
          <cell r="M132" t="str">
            <v>Torito-5</v>
          </cell>
          <cell r="N132">
            <v>5</v>
          </cell>
          <cell r="O132">
            <v>5</v>
          </cell>
          <cell r="P132">
            <v>20</v>
          </cell>
          <cell r="Q132">
            <v>280.1120448179272</v>
          </cell>
          <cell r="R132" t="str">
            <v>G 0</v>
          </cell>
          <cell r="S132">
            <v>47</v>
          </cell>
          <cell r="T132">
            <v>714</v>
          </cell>
          <cell r="U132" t="e">
            <v>#N/A</v>
          </cell>
          <cell r="V132" t="e">
            <v>#N/A</v>
          </cell>
          <cell r="W132" t="str">
            <v>NaN</v>
          </cell>
          <cell r="X132">
            <v>1</v>
          </cell>
          <cell r="Y132">
            <v>3.9537110835236335</v>
          </cell>
          <cell r="Z132">
            <v>3.871950192236163</v>
          </cell>
          <cell r="AA132">
            <v>15.033796783292265</v>
          </cell>
          <cell r="AB132">
            <v>0</v>
          </cell>
          <cell r="AC132">
            <v>9.6315789473684212</v>
          </cell>
          <cell r="AD132">
            <v>0.70950110138427336</v>
          </cell>
          <cell r="AE132">
            <v>9.5061301051705929</v>
          </cell>
          <cell r="AF132">
            <v>8.1</v>
          </cell>
          <cell r="AG132">
            <v>10.5</v>
          </cell>
          <cell r="AH132">
            <v>8.3450000000000024</v>
          </cell>
          <cell r="AI132">
            <v>0.67412494720522298</v>
          </cell>
          <cell r="AJ132">
            <v>8.4227992539483303</v>
          </cell>
          <cell r="AK132">
            <v>7.3</v>
          </cell>
          <cell r="AL132">
            <v>9.5</v>
          </cell>
          <cell r="AM132">
            <v>713.99999999999989</v>
          </cell>
          <cell r="AN132">
            <v>678.3</v>
          </cell>
          <cell r="AO132">
            <v>0</v>
          </cell>
          <cell r="AP132">
            <v>1</v>
          </cell>
          <cell r="AQ132">
            <v>100</v>
          </cell>
          <cell r="AR132">
            <v>0.05</v>
          </cell>
          <cell r="AS132" t="e">
            <v>#DIV/0!</v>
          </cell>
          <cell r="AT132">
            <v>0</v>
          </cell>
          <cell r="AU132">
            <v>1</v>
          </cell>
        </row>
        <row r="133">
          <cell r="A133" t="str">
            <v>Forestal Azul</v>
          </cell>
          <cell r="B133" t="str">
            <v>Torito_1</v>
          </cell>
          <cell r="D133">
            <v>0</v>
          </cell>
          <cell r="E133" t="str">
            <v>Torito_1_0</v>
          </cell>
          <cell r="H133" t="str">
            <v>Plantation clon G 0</v>
          </cell>
          <cell r="I133">
            <v>43556</v>
          </cell>
          <cell r="K133" t="str">
            <v>2020-11-20 16:44:59</v>
          </cell>
          <cell r="L133">
            <v>1.5833333333333333</v>
          </cell>
          <cell r="M133" t="str">
            <v>Torito-7</v>
          </cell>
          <cell r="N133">
            <v>7</v>
          </cell>
          <cell r="O133">
            <v>7</v>
          </cell>
          <cell r="P133">
            <v>20</v>
          </cell>
          <cell r="Q133">
            <v>280.1120448179272</v>
          </cell>
          <cell r="R133" t="str">
            <v>G 0</v>
          </cell>
          <cell r="S133">
            <v>47</v>
          </cell>
          <cell r="T133">
            <v>714</v>
          </cell>
          <cell r="U133" t="e">
            <v>#N/A</v>
          </cell>
          <cell r="V133" t="e">
            <v>#N/A</v>
          </cell>
          <cell r="W133" t="str">
            <v>NaN</v>
          </cell>
          <cell r="X133">
            <v>1</v>
          </cell>
          <cell r="Y133">
            <v>4.2330888341369253</v>
          </cell>
          <cell r="Z133">
            <v>4.0956991334138095</v>
          </cell>
          <cell r="AA133">
            <v>15.651816032893626</v>
          </cell>
          <cell r="AB133">
            <v>0</v>
          </cell>
          <cell r="AC133">
            <v>9.466666666666665</v>
          </cell>
          <cell r="AD133">
            <v>0.70042004204200015</v>
          </cell>
          <cell r="AE133">
            <v>9.2437323229981523</v>
          </cell>
          <cell r="AF133">
            <v>8.4</v>
          </cell>
          <cell r="AG133">
            <v>11</v>
          </cell>
          <cell r="AH133">
            <v>8.8684210526315788</v>
          </cell>
          <cell r="AI133">
            <v>0.83017046835932917</v>
          </cell>
          <cell r="AJ133">
            <v>8.818549674445098</v>
          </cell>
          <cell r="AK133">
            <v>7.6</v>
          </cell>
          <cell r="AL133">
            <v>10.1</v>
          </cell>
          <cell r="AM133">
            <v>678.3</v>
          </cell>
          <cell r="AN133">
            <v>642.59999999999991</v>
          </cell>
          <cell r="AO133">
            <v>0</v>
          </cell>
          <cell r="AP133">
            <v>0.94736842105263153</v>
          </cell>
          <cell r="AQ133">
            <v>94.444444444444443</v>
          </cell>
          <cell r="AR133">
            <v>0</v>
          </cell>
          <cell r="AS133" t="e">
            <v>#DIV/0!</v>
          </cell>
          <cell r="AT133">
            <v>0</v>
          </cell>
          <cell r="AU133">
            <v>1</v>
          </cell>
        </row>
        <row r="134">
          <cell r="A134" t="str">
            <v>Forestal Azul</v>
          </cell>
          <cell r="B134" t="str">
            <v>Torito_1</v>
          </cell>
          <cell r="D134">
            <v>0</v>
          </cell>
          <cell r="E134" t="str">
            <v>Torito_1_0</v>
          </cell>
          <cell r="H134" t="str">
            <v>Plantation clon G 0</v>
          </cell>
          <cell r="I134">
            <v>43556</v>
          </cell>
          <cell r="K134" t="str">
            <v>2020-11-20 16:45:40</v>
          </cell>
          <cell r="L134">
            <v>1.5833333333333333</v>
          </cell>
          <cell r="M134" t="str">
            <v>Torito-4</v>
          </cell>
          <cell r="N134">
            <v>4</v>
          </cell>
          <cell r="O134">
            <v>4</v>
          </cell>
          <cell r="P134">
            <v>20</v>
          </cell>
          <cell r="Q134">
            <v>280.1120448179272</v>
          </cell>
          <cell r="R134" t="str">
            <v>G 0</v>
          </cell>
          <cell r="S134">
            <v>47</v>
          </cell>
          <cell r="T134">
            <v>714</v>
          </cell>
          <cell r="U134" t="e">
            <v>#N/A</v>
          </cell>
          <cell r="V134" t="e">
            <v>#N/A</v>
          </cell>
          <cell r="W134" t="str">
            <v>NaN</v>
          </cell>
          <cell r="X134">
            <v>1</v>
          </cell>
          <cell r="Y134">
            <v>4.9389634699949729</v>
          </cell>
          <cell r="Z134">
            <v>4.7595156976219233</v>
          </cell>
          <cell r="AA134">
            <v>20.253564613690894</v>
          </cell>
          <cell r="AB134">
            <v>0</v>
          </cell>
          <cell r="AC134">
            <v>10.52222222222222</v>
          </cell>
          <cell r="AD134">
            <v>0.88354603432489121</v>
          </cell>
          <cell r="AE134">
            <v>10.251930762767673</v>
          </cell>
          <cell r="AF134">
            <v>9</v>
          </cell>
          <cell r="AG134">
            <v>12.4</v>
          </cell>
          <cell r="AH134">
            <v>9.5789473684210531</v>
          </cell>
          <cell r="AI134">
            <v>0.95424747067734883</v>
          </cell>
          <cell r="AJ134">
            <v>9.490145786497715</v>
          </cell>
          <cell r="AK134">
            <v>8.1999999999999993</v>
          </cell>
          <cell r="AL134">
            <v>12</v>
          </cell>
          <cell r="AM134">
            <v>678.3</v>
          </cell>
          <cell r="AN134">
            <v>642.59999999999991</v>
          </cell>
          <cell r="AO134">
            <v>0</v>
          </cell>
          <cell r="AP134">
            <v>1</v>
          </cell>
          <cell r="AQ134">
            <v>100</v>
          </cell>
          <cell r="AR134">
            <v>0</v>
          </cell>
          <cell r="AS134" t="e">
            <v>#DIV/0!</v>
          </cell>
          <cell r="AT134">
            <v>0</v>
          </cell>
          <cell r="AU134">
            <v>1</v>
          </cell>
        </row>
        <row r="135">
          <cell r="A135" t="str">
            <v>Forestal Azul</v>
          </cell>
          <cell r="B135" t="str">
            <v>Torito_1</v>
          </cell>
          <cell r="D135">
            <v>0</v>
          </cell>
          <cell r="E135" t="str">
            <v>Torito_1_0</v>
          </cell>
          <cell r="H135" t="str">
            <v>Plantation clon G 0</v>
          </cell>
          <cell r="I135">
            <v>43556</v>
          </cell>
          <cell r="K135" t="str">
            <v>2020-11-20 16:45:26</v>
          </cell>
          <cell r="L135">
            <v>1.5833333333333333</v>
          </cell>
          <cell r="M135" t="str">
            <v>Torito-3</v>
          </cell>
          <cell r="N135">
            <v>3</v>
          </cell>
          <cell r="O135">
            <v>3</v>
          </cell>
          <cell r="P135">
            <v>20</v>
          </cell>
          <cell r="Q135">
            <v>280.1120448179272</v>
          </cell>
          <cell r="R135" t="str">
            <v>G 0</v>
          </cell>
          <cell r="S135">
            <v>47</v>
          </cell>
          <cell r="T135">
            <v>714</v>
          </cell>
          <cell r="U135" t="e">
            <v>#N/A</v>
          </cell>
          <cell r="V135" t="e">
            <v>#N/A</v>
          </cell>
          <cell r="W135" t="str">
            <v>NaN</v>
          </cell>
          <cell r="X135">
            <v>1</v>
          </cell>
          <cell r="Y135">
            <v>4.9399728637145719</v>
          </cell>
          <cell r="Z135">
            <v>4.9399728637145719</v>
          </cell>
          <cell r="AA135">
            <v>20.386468120104684</v>
          </cell>
          <cell r="AB135">
            <v>0</v>
          </cell>
          <cell r="AC135">
            <v>10.242105263157896</v>
          </cell>
          <cell r="AD135">
            <v>0.56106623640834663</v>
          </cell>
          <cell r="AE135">
            <v>10.317095195931527</v>
          </cell>
          <cell r="AF135">
            <v>9.4</v>
          </cell>
          <cell r="AG135">
            <v>11.6</v>
          </cell>
          <cell r="AH135">
            <v>9.5789473684210549</v>
          </cell>
          <cell r="AI135">
            <v>1.0130147236883316</v>
          </cell>
          <cell r="AJ135">
            <v>9.7781682786178052</v>
          </cell>
          <cell r="AK135">
            <v>7.8</v>
          </cell>
          <cell r="AL135">
            <v>11</v>
          </cell>
          <cell r="AM135">
            <v>678.3</v>
          </cell>
          <cell r="AN135">
            <v>678.3</v>
          </cell>
          <cell r="AO135">
            <v>0</v>
          </cell>
          <cell r="AP135">
            <v>1</v>
          </cell>
          <cell r="AQ135">
            <v>100</v>
          </cell>
          <cell r="AR135">
            <v>0.10526315789473684</v>
          </cell>
          <cell r="AS135" t="e">
            <v>#DIV/0!</v>
          </cell>
          <cell r="AT135">
            <v>0</v>
          </cell>
          <cell r="AU135">
            <v>1</v>
          </cell>
        </row>
        <row r="136">
          <cell r="A136" t="str">
            <v>Forestal Azul</v>
          </cell>
          <cell r="B136" t="str">
            <v>Torito_1</v>
          </cell>
          <cell r="D136">
            <v>0</v>
          </cell>
          <cell r="E136" t="str">
            <v>Torito_1_0</v>
          </cell>
          <cell r="H136" t="str">
            <v>Plantation clon G 0</v>
          </cell>
          <cell r="I136">
            <v>43556</v>
          </cell>
          <cell r="K136" t="str">
            <v>2020-11-20 16:45:09</v>
          </cell>
          <cell r="L136">
            <v>1.5833333333333333</v>
          </cell>
          <cell r="M136" t="str">
            <v>Torito-2</v>
          </cell>
          <cell r="N136">
            <v>2</v>
          </cell>
          <cell r="O136">
            <v>2</v>
          </cell>
          <cell r="P136">
            <v>20</v>
          </cell>
          <cell r="Q136">
            <v>280.1120448179272</v>
          </cell>
          <cell r="R136" t="str">
            <v>G 0</v>
          </cell>
          <cell r="S136">
            <v>47</v>
          </cell>
          <cell r="T136">
            <v>714</v>
          </cell>
          <cell r="U136" t="e">
            <v>#N/A</v>
          </cell>
          <cell r="V136" t="e">
            <v>#N/A</v>
          </cell>
          <cell r="W136" t="str">
            <v>NaN</v>
          </cell>
          <cell r="X136">
            <v>1</v>
          </cell>
          <cell r="Y136">
            <v>5.2634555121314257</v>
          </cell>
          <cell r="Z136">
            <v>5.2634555121314257</v>
          </cell>
          <cell r="AA136">
            <v>22.866404930940057</v>
          </cell>
          <cell r="AB136">
            <v>0</v>
          </cell>
          <cell r="AC136">
            <v>10.844999999999999</v>
          </cell>
          <cell r="AD136">
            <v>0.50520970111950847</v>
          </cell>
          <cell r="AE136">
            <v>10.860928185978125</v>
          </cell>
          <cell r="AF136">
            <v>9.8000000000000007</v>
          </cell>
          <cell r="AG136">
            <v>11.7</v>
          </cell>
          <cell r="AH136">
            <v>9.6750000000000007</v>
          </cell>
          <cell r="AI136">
            <v>0.51796667236822347</v>
          </cell>
          <cell r="AJ136">
            <v>9.7287714214179548</v>
          </cell>
          <cell r="AK136">
            <v>9</v>
          </cell>
          <cell r="AL136">
            <v>10.9</v>
          </cell>
          <cell r="AM136">
            <v>713.99999999999989</v>
          </cell>
          <cell r="AN136">
            <v>713.99999999999989</v>
          </cell>
          <cell r="AO136">
            <v>0</v>
          </cell>
          <cell r="AP136">
            <v>0.95</v>
          </cell>
          <cell r="AQ136">
            <v>95</v>
          </cell>
          <cell r="AR136">
            <v>0.05</v>
          </cell>
          <cell r="AS136" t="e">
            <v>#DIV/0!</v>
          </cell>
          <cell r="AT136">
            <v>0</v>
          </cell>
          <cell r="AU136">
            <v>1</v>
          </cell>
        </row>
        <row r="137">
          <cell r="A137" t="str">
            <v>Forestal Azul</v>
          </cell>
          <cell r="B137" t="str">
            <v>Torito_2</v>
          </cell>
          <cell r="D137">
            <v>0</v>
          </cell>
          <cell r="E137" t="str">
            <v>Torito_2_0</v>
          </cell>
          <cell r="H137" t="str">
            <v>Plantation clon G 0</v>
          </cell>
          <cell r="I137">
            <v>43709</v>
          </cell>
          <cell r="K137" t="str">
            <v>2020-12-01 20:32:39</v>
          </cell>
          <cell r="L137">
            <v>1.25</v>
          </cell>
          <cell r="M137" t="str">
            <v>Torito_2_1</v>
          </cell>
          <cell r="N137">
            <v>1</v>
          </cell>
          <cell r="O137">
            <v>1</v>
          </cell>
          <cell r="P137">
            <v>20</v>
          </cell>
          <cell r="Q137">
            <v>280.1120448179272</v>
          </cell>
          <cell r="R137" t="str">
            <v>G 0</v>
          </cell>
          <cell r="S137">
            <v>13.5</v>
          </cell>
          <cell r="T137">
            <v>714</v>
          </cell>
          <cell r="U137" t="e">
            <v>#N/A</v>
          </cell>
          <cell r="V137" t="e">
            <v>#N/A</v>
          </cell>
          <cell r="W137" t="str">
            <v>NaN</v>
          </cell>
          <cell r="X137">
            <v>1</v>
          </cell>
          <cell r="Y137">
            <v>1.1161931828747977</v>
          </cell>
          <cell r="Z137">
            <v>1.0790138475362567</v>
          </cell>
          <cell r="AA137">
            <v>2.2425947009004674</v>
          </cell>
          <cell r="AB137">
            <v>0</v>
          </cell>
          <cell r="AC137">
            <v>5.1357142857142861</v>
          </cell>
          <cell r="AD137">
            <v>0.7918888255859603</v>
          </cell>
          <cell r="AE137">
            <v>5.0228641764425142</v>
          </cell>
          <cell r="AF137">
            <v>3.1</v>
          </cell>
          <cell r="AG137">
            <v>6.4</v>
          </cell>
          <cell r="AH137">
            <v>4.6411764705882357</v>
          </cell>
          <cell r="AI137">
            <v>0.74983514671742724</v>
          </cell>
          <cell r="AJ137">
            <v>5.196817302620012</v>
          </cell>
          <cell r="AK137">
            <v>3.5</v>
          </cell>
          <cell r="AL137">
            <v>6.2</v>
          </cell>
          <cell r="AM137">
            <v>606.9</v>
          </cell>
          <cell r="AN137">
            <v>499.79999999999995</v>
          </cell>
          <cell r="AO137">
            <v>0</v>
          </cell>
          <cell r="AP137">
            <v>1</v>
          </cell>
          <cell r="AQ137">
            <v>100</v>
          </cell>
          <cell r="AR137">
            <v>0</v>
          </cell>
          <cell r="AS137" t="e">
            <v>#DIV/0!</v>
          </cell>
          <cell r="AT137">
            <v>0</v>
          </cell>
          <cell r="AU137">
            <v>1</v>
          </cell>
        </row>
        <row r="138">
          <cell r="A138" t="str">
            <v>Forestal Azul</v>
          </cell>
          <cell r="B138" t="str">
            <v>Torito_2</v>
          </cell>
          <cell r="D138">
            <v>0</v>
          </cell>
          <cell r="E138" t="str">
            <v>Torito_2_0</v>
          </cell>
          <cell r="H138" t="str">
            <v>Plantation clon G 0</v>
          </cell>
          <cell r="I138">
            <v>43709</v>
          </cell>
          <cell r="K138" t="str">
            <v>2020-12-01 20:32:58</v>
          </cell>
          <cell r="L138">
            <v>1.25</v>
          </cell>
          <cell r="M138" t="str">
            <v>Torito_2_2</v>
          </cell>
          <cell r="N138">
            <v>2</v>
          </cell>
          <cell r="O138">
            <v>2</v>
          </cell>
          <cell r="P138">
            <v>20</v>
          </cell>
          <cell r="Q138">
            <v>280.1120448179272</v>
          </cell>
          <cell r="R138" t="str">
            <v>G 0</v>
          </cell>
          <cell r="S138">
            <v>13.5</v>
          </cell>
          <cell r="T138">
            <v>714</v>
          </cell>
          <cell r="U138" t="e">
            <v>#N/A</v>
          </cell>
          <cell r="V138" t="e">
            <v>#N/A</v>
          </cell>
          <cell r="W138" t="str">
            <v>NaN</v>
          </cell>
          <cell r="X138">
            <v>1</v>
          </cell>
          <cell r="Y138">
            <v>1.3705884389280281</v>
          </cell>
          <cell r="Z138">
            <v>1.3705884389280281</v>
          </cell>
          <cell r="AA138">
            <v>3.6413530754453323</v>
          </cell>
          <cell r="AB138">
            <v>0</v>
          </cell>
          <cell r="AC138">
            <v>6.5</v>
          </cell>
          <cell r="AD138">
            <v>0.84745608628519276</v>
          </cell>
          <cell r="AE138">
            <v>6.6419520477885499</v>
          </cell>
          <cell r="AF138">
            <v>4.7</v>
          </cell>
          <cell r="AG138">
            <v>7.9</v>
          </cell>
          <cell r="AH138">
            <v>6.3166666666666664</v>
          </cell>
          <cell r="AI138">
            <v>0.95425681061549905</v>
          </cell>
          <cell r="AJ138">
            <v>6.5870054416758732</v>
          </cell>
          <cell r="AK138">
            <v>5.0999999999999996</v>
          </cell>
          <cell r="AL138">
            <v>7.9</v>
          </cell>
          <cell r="AM138">
            <v>428.4</v>
          </cell>
          <cell r="AN138">
            <v>428.4</v>
          </cell>
          <cell r="AO138">
            <v>0</v>
          </cell>
          <cell r="AP138">
            <v>0.91666666666666663</v>
          </cell>
          <cell r="AQ138">
            <v>91.666666666666657</v>
          </cell>
          <cell r="AR138">
            <v>0</v>
          </cell>
          <cell r="AS138" t="e">
            <v>#DIV/0!</v>
          </cell>
          <cell r="AT138">
            <v>0</v>
          </cell>
          <cell r="AU138">
            <v>1</v>
          </cell>
        </row>
        <row r="139">
          <cell r="A139" t="str">
            <v>Forestal Azul</v>
          </cell>
          <cell r="B139" t="str">
            <v>Torito_2</v>
          </cell>
          <cell r="D139">
            <v>0</v>
          </cell>
          <cell r="E139" t="str">
            <v>Torito_2_0</v>
          </cell>
          <cell r="H139" t="str">
            <v>Plantation clon G 0</v>
          </cell>
          <cell r="I139">
            <v>43709</v>
          </cell>
          <cell r="K139" t="str">
            <v>2020-12-01 20:32:53</v>
          </cell>
          <cell r="L139">
            <v>1.25</v>
          </cell>
          <cell r="M139" t="str">
            <v>Torito_2_3</v>
          </cell>
          <cell r="N139">
            <v>3</v>
          </cell>
          <cell r="O139">
            <v>3</v>
          </cell>
          <cell r="P139">
            <v>20</v>
          </cell>
          <cell r="Q139">
            <v>280.1120448179272</v>
          </cell>
          <cell r="R139" t="str">
            <v>G 0</v>
          </cell>
          <cell r="S139">
            <v>13.5</v>
          </cell>
          <cell r="T139">
            <v>714</v>
          </cell>
          <cell r="U139" t="e">
            <v>#N/A</v>
          </cell>
          <cell r="V139" t="e">
            <v>#N/A</v>
          </cell>
          <cell r="W139" t="str">
            <v>NaN</v>
          </cell>
          <cell r="X139">
            <v>1</v>
          </cell>
          <cell r="Y139">
            <v>1.7853090641108045</v>
          </cell>
          <cell r="Z139">
            <v>1.7565974205311166</v>
          </cell>
          <cell r="AA139">
            <v>4.9676896937061672</v>
          </cell>
          <cell r="AB139">
            <v>0</v>
          </cell>
          <cell r="AC139">
            <v>7</v>
          </cell>
          <cell r="AD139">
            <v>0.57445626465380295</v>
          </cell>
          <cell r="AE139">
            <v>6.9563441333061098</v>
          </cell>
          <cell r="AF139">
            <v>5.6</v>
          </cell>
          <cell r="AG139">
            <v>7.9</v>
          </cell>
          <cell r="AH139">
            <v>6.21875</v>
          </cell>
          <cell r="AI139">
            <v>0.76737027754347698</v>
          </cell>
          <cell r="AJ139">
            <v>6.4661677634162027</v>
          </cell>
          <cell r="AK139">
            <v>4.3</v>
          </cell>
          <cell r="AL139">
            <v>7.2</v>
          </cell>
          <cell r="AM139">
            <v>571.19999999999993</v>
          </cell>
          <cell r="AN139">
            <v>535.49999999999989</v>
          </cell>
          <cell r="AO139">
            <v>0</v>
          </cell>
          <cell r="AP139">
            <v>1</v>
          </cell>
          <cell r="AQ139">
            <v>100</v>
          </cell>
          <cell r="AR139">
            <v>0</v>
          </cell>
          <cell r="AS139" t="e">
            <v>#DIV/0!</v>
          </cell>
          <cell r="AT139">
            <v>0</v>
          </cell>
          <cell r="AU139">
            <v>1</v>
          </cell>
        </row>
      </sheetData>
      <sheetData sheetId="2"/>
      <sheetData sheetId="3"/>
      <sheetData sheetId="4"/>
      <sheetData sheetId="5"/>
      <sheetData sheetId="6"/>
      <sheetData sheetId="7"/>
      <sheetData sheetId="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rene Calo" refreshedDate="44977.799260763888" createdVersion="8" refreshedVersion="8" minRefreshableVersion="3" recordCount="45" xr:uid="{72E97C2B-4090-4433-BCC5-AEC1B14987C6}">
  <cacheSource type="worksheet">
    <worksheetSource ref="A1:AI46" sheet="Sheet2"/>
  </cacheSource>
  <cacheFields count="35">
    <cacheField name="wkt_geom" numFmtId="0">
      <sharedItems longText="1"/>
    </cacheField>
    <cacheField name="Bloque" numFmtId="0">
      <sharedItems/>
    </cacheField>
    <cacheField name="area" numFmtId="0">
      <sharedItems containsSemiMixedTypes="0" containsString="0" containsNumber="1" minValue="3.2" maxValue="71.28"/>
    </cacheField>
    <cacheField name="No_planta" numFmtId="0">
      <sharedItems containsNonDate="0" containsString="0" containsBlank="1"/>
    </cacheField>
    <cacheField name="Especie" numFmtId="0">
      <sharedItems/>
    </cacheField>
    <cacheField name="Especie af" numFmtId="0">
      <sharedItems/>
    </cacheField>
    <cacheField name="Area_2" numFmtId="0">
      <sharedItems/>
    </cacheField>
    <cacheField name="Area_3" numFmtId="0">
      <sharedItems containsString="0" containsBlank="1" containsNumber="1" minValue="3" maxValue="71"/>
    </cacheField>
    <cacheField name="Fecha plan" numFmtId="14">
      <sharedItems containsSemiMixedTypes="0" containsNonDate="0" containsDate="1" containsString="0" minDate="2018-08-01T00:00:00" maxDate="2021-01-02T00:00:00"/>
    </cacheField>
    <cacheField name="Tabla apli" numFmtId="0">
      <sharedItems containsNonDate="0" containsString="0" containsBlank="1"/>
    </cacheField>
    <cacheField name="Fecha medi" numFmtId="0">
      <sharedItems containsNonDate="0" containsDate="1" containsString="0" containsBlank="1" minDate="2020-11-05T00:00:00" maxDate="2020-12-06T00:00:00"/>
    </cacheField>
    <cacheField name="Densidad a" numFmtId="0">
      <sharedItems containsSemiMixedTypes="0" containsString="0" containsNumber="1" containsInteger="1" minValue="0" maxValue="938"/>
    </cacheField>
    <cacheField name="Altura Dom" numFmtId="0">
      <sharedItems containsString="0" containsBlank="1" containsNumber="1" minValue="5" maxValue="16.2"/>
    </cacheField>
    <cacheField name="Altura med" numFmtId="0">
      <sharedItems containsString="0" containsBlank="1" containsNumber="1" minValue="4.2" maxValue="14.7"/>
    </cacheField>
    <cacheField name="Altura m_1" numFmtId="0">
      <sharedItems containsString="0" containsBlank="1" containsNumber="1" minValue="3.2" maxValue="13.4"/>
    </cacheField>
    <cacheField name="Altura m_2" numFmtId="0">
      <sharedItems containsString="0" containsBlank="1" containsNumber="1" minValue="5.4" maxValue="16.899999999999999"/>
    </cacheField>
    <cacheField name="DAP medio" numFmtId="0">
      <sharedItems containsString="0" containsBlank="1" containsNumber="1" minValue="3.2" maxValue="12.9"/>
    </cacheField>
    <cacheField name="DAP m�ni" numFmtId="0">
      <sharedItems containsString="0" containsBlank="1" containsNumber="1" minValue="2.4" maxValue="10.9"/>
    </cacheField>
    <cacheField name="DAP m�xi" numFmtId="0">
      <sharedItems containsString="0" containsBlank="1" containsNumber="1" minValue="5" maxValue="15.1"/>
    </cacheField>
    <cacheField name="Vol (m3/ha" numFmtId="0">
      <sharedItems containsString="0" containsBlank="1" containsNumber="1" minValue="0.6" maxValue="56.9"/>
    </cacheField>
    <cacheField name="IMA Period" numFmtId="0">
      <sharedItems containsString="0" containsBlank="1" containsNumber="1" minValue="0.6" maxValue="26.3"/>
    </cacheField>
    <cacheField name="Densidad d" numFmtId="0">
      <sharedItems containsSemiMixedTypes="0" containsString="0" containsNumber="1" containsInteger="1" minValue="0" maxValue="1000" count="6">
        <n v="1000"/>
        <n v="714"/>
        <n v="800"/>
        <n v="476"/>
        <n v="500"/>
        <n v="0" u="1"/>
      </sharedItems>
    </cacheField>
    <cacheField name="Fecha prim" numFmtId="0">
      <sharedItems containsNonDate="0" containsDate="1" containsString="0" containsBlank="1" minDate="2020-09-30T00:00:00" maxDate="2020-12-30T00:00:00"/>
    </cacheField>
    <cacheField name="Fehcha ral" numFmtId="0">
      <sharedItems containsNonDate="0" containsString="0" containsBlank="1"/>
    </cacheField>
    <cacheField name="Fecha Segu" numFmtId="0">
      <sharedItems containsNonDate="0" containsString="0" containsBlank="1"/>
    </cacheField>
    <cacheField name="Area Basal" numFmtId="0">
      <sharedItems containsString="0" containsBlank="1" containsNumber="1" minValue="0.3" maxValue="9.8000000000000007"/>
    </cacheField>
    <cacheField name="Densidad v" numFmtId="0">
      <sharedItems containsSemiMixedTypes="0" containsString="0" containsNumber="1" containsInteger="1" minValue="0" maxValue="992"/>
    </cacheField>
    <cacheField name="Nivel danh" numFmtId="0">
      <sharedItems containsString="0" containsBlank="1" containsNumber="1" minValue="0" maxValue="1"/>
    </cacheField>
    <cacheField name="Porcentaje" numFmtId="0">
      <sharedItems containsString="0" containsBlank="1" containsNumber="1" minValue="0" maxValue="100"/>
    </cacheField>
    <cacheField name="Densidad m" numFmtId="0">
      <sharedItems containsSemiMixedTypes="0" containsString="0" containsNumber="1" containsInteger="1" minValue="0" maxValue="538"/>
    </cacheField>
    <cacheField name="Volumen ma" numFmtId="0">
      <sharedItems containsString="0" containsBlank="1" containsNumber="1" minValue="0" maxValue="27.6"/>
    </cacheField>
    <cacheField name="Altura M_3" numFmtId="0">
      <sharedItems containsString="0" containsBlank="1" containsNumber="1" minValue="3.9" maxValue="14.7"/>
    </cacheField>
    <cacheField name="Altura Max" numFmtId="0">
      <sharedItems containsString="0" containsBlank="1" containsNumber="1" minValue="5.0999999999999996" maxValue="16.8"/>
    </cacheField>
    <cacheField name="uso" numFmtId="0">
      <sharedItems/>
    </cacheField>
    <cacheField name="Ano planta" numFmtId="0">
      <sharedItems containsSemiMixedTypes="0" containsString="0" containsNumber="1" containsInteger="1" minValue="2018" maxValue="2020" count="3">
        <n v="2018"/>
        <n v="2019"/>
        <n v="202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rene Calo" refreshedDate="45069.593132986112" createdVersion="6" refreshedVersion="8" minRefreshableVersion="3" recordCount="188" xr:uid="{00000000-000A-0000-FFFF-FFFF13000000}">
  <cacheSource type="worksheet">
    <worksheetSource name="Tabelle2"/>
  </cacheSource>
  <cacheFields count="43">
    <cacheField name="Plantation_id_(Estancia)" numFmtId="0">
      <sharedItems/>
    </cacheField>
    <cacheField name="parcela_id" numFmtId="0">
      <sharedItems/>
    </cacheField>
    <cacheField name="blq_strat" numFmtId="0">
      <sharedItems/>
    </cacheField>
    <cacheField name="Densidad_plantac" numFmtId="1">
      <sharedItems containsSemiMixedTypes="0" containsString="0" containsNumber="1" containsInteger="1" minValue="476" maxValue="1000"/>
    </cacheField>
    <cacheField name="na1" numFmtId="164">
      <sharedItems containsNonDate="0" containsString="0" containsBlank="1"/>
    </cacheField>
    <cacheField name="Land cover type" numFmtId="0">
      <sharedItems containsNonDate="0" containsString="0" containsBlank="1"/>
    </cacheField>
    <cacheField name="Column1" numFmtId="14">
      <sharedItems containsNonDate="0" containsString="0" containsBlank="1"/>
    </cacheField>
    <cacheField name="Year" numFmtId="0">
      <sharedItems containsSemiMixedTypes="0" containsString="0" containsNumber="1" containsInteger="1" minValue="2018" maxValue="2020"/>
    </cacheField>
    <cacheField name="plot_id" numFmtId="0">
      <sharedItems containsBlank="1" count="1330">
        <s v="Abuelito-1"/>
        <s v="Abuelito-2"/>
        <s v="Abuelito-3"/>
        <s v="Abuelito-4"/>
        <s v="Abuelito-5"/>
        <s v="Abuelito-6"/>
        <s v="Aguaray 1-1"/>
        <s v="Aguaray 1-2"/>
        <s v="Aguaray 1-3"/>
        <s v="Aguaray 3-6"/>
        <s v="Aguaray 3-8"/>
        <s v="Aguaray 4-6"/>
        <s v="Aviacion kue-1"/>
        <s v="Aviacion kue-2"/>
        <s v="Aviacion kue-4"/>
        <s v="Aviacion kue-5"/>
        <s v="Aviacion kue-6"/>
        <s v="Aviacion kue-7"/>
        <s v="Aviacion kue-8"/>
        <s v="Aviacion kue-9"/>
        <s v="Chavez-3"/>
        <s v="Chavez-5"/>
        <s v="Diaz de espada-1"/>
        <s v="Diaz de espada-2"/>
        <s v="Diaz de espada-3"/>
        <s v="Diaz de espada-4"/>
        <s v="F_2_1"/>
        <s v="F_2_2"/>
        <s v="F_2_3"/>
        <s v="F_2_4"/>
        <s v="F_2_5"/>
        <s v="F_2_6"/>
        <s v="F_7_1"/>
        <s v="F_7_2"/>
        <s v="F_7_3"/>
        <s v="F_8_1"/>
        <s v="F_8_2"/>
        <s v="F_8_2_1"/>
        <s v="F_8_3"/>
        <s v="F_8_4"/>
        <s v="F_8_5"/>
        <s v="F_8_6"/>
        <s v="F10 1"/>
        <s v="F10 2"/>
        <s v="F10 3"/>
        <s v="F-1-1"/>
        <s v="F11 1"/>
        <s v="F11 2"/>
        <s v="F11 3"/>
        <s v="F12 1"/>
        <s v="F12 2"/>
        <s v="F12 3"/>
        <s v="F12 4"/>
        <s v="F-1-3"/>
        <s v="F-1-4"/>
        <s v="F-1-6"/>
        <s v="F-1-7"/>
        <s v="F-1-8"/>
        <s v="F3 1"/>
        <s v="F3 2"/>
        <s v="F3 4"/>
        <s v="F3 5"/>
        <s v="F4 1"/>
        <s v="F4 2"/>
        <s v="F4 3"/>
        <s v="F4 4"/>
        <s v="F4 5"/>
        <s v="F-5-2"/>
        <s v="F-5-4"/>
        <s v="F-5-6"/>
        <s v="F-6-1"/>
        <s v="F-6-2"/>
        <s v="F-6-3"/>
        <s v="F-6-4"/>
        <s v="F-6-6"/>
        <s v="F-6-7"/>
        <s v="F-6-8"/>
        <s v="F9 1"/>
        <s v="F9 2"/>
        <s v="F9 3"/>
        <s v="Jakare 1"/>
        <s v="Jakare 2"/>
        <s v="Jakare_1"/>
        <s v="Jakare_2"/>
        <s v="Jakare_2_1"/>
        <s v="Jakare_2_2"/>
        <s v="Jakare_2_3"/>
        <s v="Jakare_2_4"/>
        <s v="Jakare_2_5"/>
        <s v="Jakare_3"/>
        <s v="Jakare_4"/>
        <s v="Jakare_5"/>
        <s v="Lechera-3"/>
        <s v="Lechera-4"/>
        <s v="Mbokaja-1"/>
        <s v="Mbokaja-3"/>
        <s v="Mbokaja-4"/>
        <s v="Naranja-1"/>
        <s v="Naranja-2"/>
        <s v="Naranja-3"/>
        <s v="Naranja-4"/>
        <s v="Pindaiva_1"/>
        <s v="Pindaiva_2"/>
        <s v="Pindaiva_3"/>
        <s v="Ribera 1-1"/>
        <s v="Ribera 1-2"/>
        <s v="Ribera 1-3"/>
        <s v="Ribera 2-2"/>
        <s v="Ribera 2-3"/>
        <s v="Ribera 3-1"/>
        <s v="Ribera 3-2"/>
        <s v="Ribera 3-3"/>
        <s v="Ribera 4-2"/>
        <s v="Ribera 4-3"/>
        <s v="Ribera 5-1"/>
        <s v="Ribera 5-2"/>
        <s v="Ribera 5-3"/>
        <s v="Ribera 5-4"/>
        <s v="SSP 16 2-1"/>
        <s v="SSP 16 2-2"/>
        <s v="SSP 16 2-3"/>
        <s v="SSP_15_1"/>
        <s v="SSP_15_2"/>
        <s v="SSP_15_3"/>
        <s v="SSP_16_1_1"/>
        <s v="SSP_16_1_2"/>
        <s v="SSP_16_1_3"/>
        <s v="SSP_17_1_1"/>
        <s v="SSP_17_1_2"/>
        <s v="SSP_17_1_3"/>
        <s v="SSP_17_2_1"/>
        <s v="SSP_17_2_2"/>
        <s v="SSP_17_2_3"/>
        <s v="Tajamar Guazu-1"/>
        <s v="Tajamar Guazu-2"/>
        <s v="Tajamar Guazu-3"/>
        <s v="Tajamar_Guazu_2_1"/>
        <s v="Tajamar_Guazu_2_2"/>
        <s v="Tajamar_Guazu_2_3"/>
        <s v="Torito_2_1"/>
        <s v="Torito_2_2"/>
        <s v="Torito_2_3"/>
        <s v="Torito-1"/>
        <s v="Torito-2"/>
        <s v="Torito-3"/>
        <s v="Torito-5"/>
        <s v="Torito-6"/>
        <s v="Torito-7"/>
        <s v="Torito-8"/>
        <s v="Aguaray 2-1"/>
        <s v="Aguaray 2-2"/>
        <s v="Aguaray 2-3"/>
        <s v="Aguaray 2-4"/>
        <s v="Aguaray 2-5"/>
        <s v="Aguaray 3-3"/>
        <s v="Chavez-1"/>
        <s v="Chavez-2"/>
        <s v="Chavez-4"/>
        <s v="F_7_2_1"/>
        <s v="F_7_4"/>
        <s v="F_7_5"/>
        <s v="F_7_6"/>
        <s v="F-1-2"/>
        <s v="F-1-5"/>
        <s v="F-5-1"/>
        <s v="F-5-3"/>
        <s v="F-5-5"/>
        <s v="F-6-5"/>
        <s v="Mbokaja-2"/>
        <s v="Tajamar Guazu-4"/>
        <s v="Torito-4"/>
        <s v="Aguaray_4_2a_P1"/>
        <s v="Aguaray_4_2a_P2"/>
        <s v="Aguaray_4_2a_P3"/>
        <s v="Aguaray_4_2a_P4"/>
        <s v="Aguaray_4_2a_P5"/>
        <s v="Aguaray_4_2b_P1"/>
        <s v="Aguaray_4_2b_P2"/>
        <s v="Aguaray_4_2b_P3"/>
        <s v="Aguaray_4_2b_P4"/>
        <s v="Aguaray_4_2b_P5"/>
        <s v="Aguaray_4_2c_P1"/>
        <s v="Aguaray_4_2c_P2"/>
        <s v="Aguaray_4_2c_P3"/>
        <s v="Aguaray_4_2c_P4"/>
        <s v="F_3_2_P1"/>
        <s v="F_3_2_P2"/>
        <s v="F_3_2_P3"/>
        <m u="1"/>
        <s v="6a-1" u="1"/>
        <s v="2a-2" u="1"/>
        <s v="Monte nuevo 2a-3" u="1"/>
        <s v="Cabana 1-4" u="1"/>
        <s v="2_14_1" u="1"/>
        <s v="2_24_1" u="1"/>
        <s v="4_1-2" u="1"/>
        <s v="6_1-1" u="1"/>
        <s v="2_34_1" u="1"/>
        <s v="4_2-2" u="1"/>
        <s v="6_2-1" u="1"/>
        <s v="ZS_Piquete_5_2" u="1"/>
        <s v="4_3-2" u="1"/>
        <s v="6_3-1" u="1"/>
        <s v="4_4-2" u="1"/>
        <s v="6_4-1" u="1"/>
        <s v="Monte 3 norte a-5" u="1"/>
        <s v="Monte 4 norte a-5" u="1"/>
        <s v="ZS Corral 1-4" u="1"/>
        <s v="Ribera 4-1" u="1"/>
        <s v="8a-1" u="1"/>
        <s v="ZS Corral 2-4" u="1"/>
        <s v="4a-2" u="1"/>
        <s v="Potrero Rojas a-5" u="1"/>
        <s v="Aviacion 2-2" u="1"/>
        <s v="ZS Derecha 4-4" u="1"/>
        <s v="Monte 3 norte b-5" u="1"/>
        <s v="Monte 4 norte b-5" u="1"/>
        <s v="ZS Corral 3-4" u="1"/>
        <s v="Cabana 1-3" u="1"/>
        <s v="Potrero 10c-1" u="1"/>
        <s v="ZS Potrero 6-4" u="1"/>
        <s v="2_15_3" u="1"/>
        <s v="4_11_10" u="1"/>
        <s v="2_25_3" u="1"/>
        <s v="4_1-3" u="1"/>
        <s v="6_1-2" u="1"/>
        <s v="4_2-3" u="1"/>
        <s v="6_2-2" u="1"/>
        <s v="Potrero Rojas b-5" u="1"/>
        <s v="4_3-3" u="1"/>
        <s v="6_3-2" u="1"/>
        <s v="4_4-3" u="1"/>
        <s v="6_4-2" u="1"/>
        <s v="ZS_Potrero_3_4" u="1"/>
        <s v="Monte 3 norte c-5" u="1"/>
        <s v="Monte 4 norte c-5" u="1"/>
        <s v="6a-2" u="1"/>
        <s v="2a-3" u="1"/>
        <s v="Potrero Rojas c-5" u="1"/>
        <s v="Aviacion 1-2" u="1"/>
        <s v="Monte 3 norte d-5" u="1"/>
        <s v="2_16_5" u="1"/>
        <s v="Cabana 1-2" u="1"/>
        <s v="2_15_1" u="1"/>
        <s v="4_1-4" u="1"/>
        <s v="6_1-3" u="1"/>
        <s v="2_25_1" u="1"/>
        <s v="4_2-4" u="1"/>
        <s v="6_2-3" u="1"/>
        <s v="4_3-4" u="1"/>
        <s v="6_3-3" u="1"/>
        <s v="Potrero Rojas d-5" u="1"/>
        <s v="4_4-4" u="1"/>
        <s v="6_4-3" u="1"/>
        <s v="ZS_Piquete_5_1" u="1"/>
        <s v="Monte 3 norte e-5" u="1"/>
        <s v="8a-2" u="1"/>
        <s v="4a-3" u="1"/>
        <s v="Nacar 13" u="1"/>
        <s v="Nacar 23" u="1"/>
        <s v="ZS Derecha 4-3" u="1"/>
        <s v="Cabana 2-5" u="1"/>
        <s v="2_16_3" u="1"/>
        <s v="ZS Potrero 6-3" u="1"/>
        <s v="4_1-5" u="1"/>
        <s v="6_1-4" u="1"/>
        <s v="2_26_3" u="1"/>
        <s v="4_2-5" u="1"/>
        <s v="6_2-4" u="1"/>
        <s v="4_3-5" u="1"/>
        <s v="6_3-4" u="1"/>
        <s v="4_4-5" u="1"/>
        <s v="6_4-4" u="1"/>
        <s v="ZS_Potrero_3_3" u="1"/>
        <s v="6a-3" u="1"/>
        <s v="7 sur-1" u="1"/>
        <s v="2a-4" u="1"/>
        <s v="7 sur-2" u="1"/>
        <s v="DH 1-6" u="1"/>
        <s v="7 sur-3" u="1"/>
        <s v="Cabana 2-4" u="1"/>
        <s v="2_17_5" u="1"/>
        <s v="6_1-5" u="1"/>
        <s v="2_16_1" u="1"/>
        <s v="7 sur-4" u="1"/>
        <s v="4_2-6" u="1"/>
        <s v="6_2-5" u="1"/>
        <s v="2_26_1" u="1"/>
        <s v="ZS_Piquete_6_4" u="1"/>
        <s v="4_3-6" u="1"/>
        <s v="6_3-5" u="1"/>
        <s v="7 sur-5" u="1"/>
        <s v="4_4-6" u="1"/>
        <s v="6_4-5" u="1"/>
        <s v="7 sur-6" u="1"/>
        <s v="ZS Corral 1-5" u="1"/>
        <s v="ZS Corral 2-5" u="1"/>
        <s v="ZS_Ruta_1d_5" u="1"/>
        <s v="8a-3" u="1"/>
        <s v="LV 1-5" u="1"/>
        <s v="Potrero 7b-7" u="1"/>
        <s v="4a-4" u="1"/>
        <s v="ZS Corral 3-5" u="1"/>
        <s v="Potrero 10c-2" u="1"/>
        <s v="DH 1-4" u="1"/>
        <s v="ZS Derecha 4-2" u="1"/>
        <s v="Cabana 2-3" u="1"/>
        <s v="2_17_3" u="1"/>
        <s v="6_2-6" u="1"/>
        <s v="2_27_3" u="1"/>
        <s v="ZS Potrero 6-2" u="1"/>
        <s v="5_1_1" u="1"/>
        <s v="6_3-6" u="1"/>
        <s v="5_2_1" u="1"/>
        <s v="Monte viejo 1b-2" u="1"/>
        <s v="5_3_1" u="1"/>
        <s v="5_4_1" u="1"/>
        <s v="5_5_1" u="1"/>
        <s v="5_6_1" u="1"/>
        <s v="ZS_Potrero_3_2" u="1"/>
        <s v="5_7_1" u="1"/>
        <s v="6a-4" u="1"/>
        <s v="LV 1-3" u="1"/>
        <s v="Potrero 7a-7" u="1"/>
        <s v="2a-5" u="1"/>
        <s v="DH 2-6" u="1"/>
        <s v="DH 1-2" u="1"/>
        <s v="2_18_5" u="1"/>
        <s v="Cabana 2-2" u="1"/>
        <s v="2_17_1" u="1"/>
        <s v="5_1_2" u="1"/>
        <s v="2_27_1" u="1"/>
        <s v="5_2_2" u="1"/>
        <s v="ZS_Piquete_6_3" u="1"/>
        <s v="5_3_2" u="1"/>
        <s v="5_4_2" u="1"/>
        <s v="5_5_2" u="1"/>
        <s v="5_6_2" u="1"/>
        <s v="Aguaray 4-2" u="1"/>
        <s v="5_7_2" u="1"/>
        <s v="Monte nuevo 1 a 2" u="1"/>
        <s v="8a-4" u="1"/>
        <s v="LV 2-5" u="1"/>
        <s v="ZS_Potrero_14_1" u="1"/>
        <s v="4a-5" u="1"/>
        <s v="Nacar 14" u="1"/>
        <s v="LV 1-1" u="1"/>
        <s v="Nacar 24" u="1"/>
        <s v="DH 3-8" u="1"/>
        <s v="DH 2-4" u="1"/>
        <s v="Potrero claudio a-1" u="1"/>
        <s v="2_19_7" u="1"/>
        <s v="2 Medio a-1" u="1"/>
        <s v="ZS Derecha 4-1" u="1"/>
        <s v="2_18_3" u="1"/>
        <s v="Cabana 2-1" u="1"/>
        <s v="5_1_3" u="1"/>
        <s v="2_28_3" u="1"/>
        <s v="Monte nuevo 1 b 2" u="1"/>
        <s v="5_2_3" u="1"/>
        <s v="Aguaray 4-5" u="1"/>
        <s v="ZS Potrero 6-1" u="1"/>
        <s v="ZS_Potrero_14_2" u="1"/>
        <s v="5_3_3" u="1"/>
        <s v="2 Medio a-2" u="1"/>
        <s v="5_4_3" u="1"/>
        <s v="Monte viejo 1a-2" u="1"/>
        <s v="5_5_3" u="1"/>
        <s v="ZS_Rosado_1d_4" u="1"/>
        <s v="5_6_3" u="1"/>
        <s v="Carmen 1" u="1"/>
        <s v="5_7_3" u="1"/>
        <s v="C 9-1" u="1"/>
        <s v="2 Medio a-3" u="1"/>
        <s v="ZS_Potrero_3_1" u="1"/>
        <s v="6a-5" u="1"/>
        <s v="Brizantha 9-1" u="1"/>
        <s v="ZS_Potrero_14_3" u="1"/>
        <s v="LV 2-3" u="1"/>
        <s v="2 Medio a-4" u="1"/>
        <s v="2a-6" u="1"/>
        <s v="Monte nuevo 1c-4" u="1"/>
        <s v="DH 3-6" u="1"/>
        <s v="Potrero Claudio a-2" u="1"/>
        <s v="DH 2-2" u="1"/>
        <s v="2 Medio a-5" u="1"/>
        <s v="2_19_5" u="1"/>
        <s v="5_1_4" u="1"/>
        <s v="2_18_1" u="1"/>
        <s v="5_2_4" u="1"/>
        <s v="2_28_1" u="1"/>
        <s v="Monte 3 norte a-6" u="1"/>
        <s v="Monte 4 norte a-6" u="1"/>
        <s v="5_3_4" u="1"/>
        <s v="ZS Corral 1-6" u="1"/>
        <s v="ZS_Potrero_14_4" u="1"/>
        <s v="5_4_4" u="1"/>
        <s v="ZS_Piquete_6_2" u="1"/>
        <s v="5_5_4" u="1"/>
        <s v="5_6_4" u="1"/>
        <s v="5_7_4" u="1"/>
        <s v="C 9-2" u="1"/>
        <s v="Potrero Rojas a-6" u="1"/>
        <s v="Monte 3 norte b-6" u="1"/>
        <s v="Monte 4 norte b-6" u="1"/>
        <s v="8a-5" u="1"/>
        <s v="LV 3-5" u="1"/>
        <s v="ZS Corral 3-6" u="1"/>
        <s v="ZS_Potrero_14_5" u="1"/>
        <s v="Potrero 10c-3" u="1"/>
        <s v="LV 2-1" u="1"/>
        <s v="Aviacion 2-3" u="1"/>
        <s v="ZS Derecha 5-4" u="1"/>
        <s v="Monte viejo 2-1" u="1"/>
        <s v="Monte 3 norte a-10" u="1"/>
        <s v="Monte 4 norte a-10" u="1"/>
        <s v="Monte 3 norte a-11" u="1"/>
        <s v="Monte 4 norte a-11" u="1"/>
        <s v="DH 3-4" u="1"/>
        <s v="Monte 3 norte a-12" u="1"/>
        <s v="Monte 3 norte a-13" u="1"/>
        <s v="ZS Potrero 7-4" u="1"/>
        <s v="Potrero Rojas b-6" u="1"/>
        <s v="5_1_5" u="1"/>
        <s v="2_19_3" u="1"/>
        <s v="5_2_5" u="1"/>
        <s v="2_29_3" u="1"/>
        <s v="Monte 4 norte c-6" u="1"/>
        <s v="5_3_5" u="1"/>
        <s v="5_4_5" u="1"/>
        <s v="5_5_5" u="1"/>
        <s v="5_6_5" u="1"/>
        <s v="Monte viejo 2-2" u="1"/>
        <s v="Monte 3 norte b-10" u="1"/>
        <s v="Monte 4 norte b-10" u="1"/>
        <s v="C 9-3" u="1"/>
        <s v="Monte 3 norte b-11" u="1"/>
        <s v="Monte 4 norte b-11" u="1"/>
        <s v="ZS_Rosado_1d_3" u="1"/>
        <s v="Monte 3 norte b-12" u="1"/>
        <s v="Monte 4 norte b-12" u="1"/>
        <s v="Monte 3 norte b-13" u="1"/>
        <s v="Monte 4 norte b-13" u="1"/>
        <s v="Potrero Rojas c-6" u="1"/>
        <s v="LV 3-3" u="1"/>
        <s v="Aviacion 1-3" u="1"/>
        <s v="Monte viejo 2-3" u="1"/>
        <s v="Monte 4 norte c-10" u="1"/>
        <s v="Monte 4 norte c-11" u="1"/>
        <s v="Monte 4 norte c-12" u="1"/>
        <s v="Potrero Claudio a-4" u="1"/>
        <s v="DH 3-2" u="1"/>
        <s v="Monte 4 norte c-13" u="1"/>
        <s v="5_1_6" u="1"/>
        <s v="Potrero Rojas d-6" u="1"/>
        <s v="Monte 4 norte c-14" u="1"/>
        <s v="Monte 4 norte c-15" u="1"/>
        <s v="5_2_6" u="1"/>
        <s v="2_19_1" u="1"/>
        <s v="DH 11-2-1" u="1"/>
        <s v="Monte 4 norte c-16" u="1"/>
        <s v="Monte 4 norte c-17" u="1"/>
        <s v="5_3_6" u="1"/>
        <s v="2_29_1" u="1"/>
        <s v="Monte 3 norte e-6" u="1"/>
        <s v="Monte 4 norte c-18" u="1"/>
        <s v="5_4_6" u="1"/>
        <s v="5_5_6" u="1"/>
        <s v="5_6_6" u="1"/>
        <s v="ZS_Piquete_6_1" u="1"/>
        <s v="Monte viejo 2-4" u="1"/>
        <s v="C 9-4" u="1"/>
        <s v="8a-6" u="1"/>
        <s v="Nacar 15" u="1"/>
        <s v="LV 3-1" u="1"/>
        <s v="4_7_12" u="1"/>
        <s v="Nacar 25" u="1"/>
        <s v="Monte viejo 2-5" u="1"/>
        <s v="ZS Derecha 5-3" u="1"/>
        <s v="4_9_12" u="1"/>
        <s v="DH 4-4" u="1"/>
        <s v="Potrero Claudio a-5" u="1"/>
        <s v="5_1_7" u="1"/>
        <s v="5_2_7" u="1"/>
        <s v="ZS Potrero 7-3" u="1"/>
        <s v="5_3_7" u="1"/>
        <s v="LV fondo-8" u="1"/>
        <s v="5_4_7" u="1"/>
        <s v="5_5_7" u="1"/>
        <s v="10 sur-1" u="1"/>
        <s v="5_6_7" u="1"/>
        <s v="C 9-5" u="1"/>
        <s v="Monte viejo 2-6" u="1"/>
        <s v="Carmen 2" u="1"/>
        <s v="4_1_10" u="1"/>
        <s v="ZS_Rosado_1d_2" u="1"/>
        <s v="4_2_10" u="1"/>
        <s v="4_4_10" u="1"/>
        <s v="4_5_10" u="1"/>
        <s v="4_6_10" u="1"/>
        <s v="4_7_10" u="1"/>
        <s v="Monte viejo 2-7" u="1"/>
        <s v="5_1_8" u="1"/>
        <s v="Potrero Claudio a-6" u="1"/>
        <s v="4_9_10" u="1"/>
        <s v="DH 4-2" u="1"/>
        <s v="DH 11-2-2" u="1"/>
        <s v="ZS Corral 1-7" u="1"/>
        <s v="5_4_8" u="1"/>
        <s v="LV fondo-7" u="1"/>
        <s v="5_5_8" u="1"/>
        <s v="5_6_8" u="1"/>
        <s v="C 9-6" u="1"/>
        <s v="ZS Corral 3-7" u="1"/>
        <s v="Potrero 7b-8" u="1"/>
        <s v="Monte viejo 3-1" u="1"/>
        <s v="ZS Derecha 5-2" u="1"/>
        <s v="Potrero Claudio a-7" u="1"/>
        <s v="5_4_9" u="1"/>
        <s v="ZS Potrero 7-2" u="1"/>
        <s v="LV fondo-6" u="1"/>
        <s v="Monte viejo 3-2" u="1"/>
        <s v="2b-1" u="1"/>
        <s v="ZS_Rosado_1d_1" u="1"/>
        <s v="Potrero 7a-8" u="1"/>
        <s v="Monte nuevo 2b-4" u="1"/>
        <s v="DH 11-2-3" u="1"/>
        <s v="Potrero Claudio a-8" u="1"/>
        <s v="Potrero Claudio a-10" u="1"/>
        <s v="LV fondo-5" u="1"/>
        <s v="ZS_Piquete_7_3" u="1"/>
        <s v="4b-1" u="1"/>
        <s v="Monte viejo 3-4" u="1"/>
        <s v="Monte nuevo 1 a 3" u="1"/>
        <s v="Potrero Claudio b-1" u="1"/>
        <s v="Nacar 16" u="1"/>
        <s v="Nacar 26" u="1"/>
        <s v="Monte nuevo 1 b 3" u="1"/>
        <s v="Potrero Claudio a-9" u="1"/>
        <s v="ZS Derecha 5-1" u="1"/>
        <s v="Cabana 1-10" u="1"/>
        <s v="6b-1" u="1"/>
        <s v="ZS Potrero 7-1" u="1"/>
        <s v="LV fondo-4" u="1"/>
        <s v="2b-2" u="1"/>
        <s v="10 sur-2" u="1"/>
        <s v="Carmen 3" u="1"/>
        <s v="Brizantha 9-3" u="1"/>
        <s v="ZS Potrero 11-1" u="1"/>
        <s v="Potrero Claudio b-2" u="1"/>
        <s v="DH 11-2-4" u="1"/>
        <s v="Monte 3 norte a-7" u="1"/>
        <s v="Monte 4 norte a-7" u="1"/>
        <s v="ZS Potrero 11-2" u="1"/>
        <s v="8b-1" u="1"/>
        <s v="4b-2" u="1"/>
        <s v="LV fondo-3" u="1"/>
        <s v="ZS_Piquete_7_2" u="1"/>
        <s v="Potrero Rojas a-7" u="1"/>
        <s v="Monte 3 norte b-7" u="1"/>
        <s v="Monte 4 norte b-7" u="1"/>
        <s v="ZS Potrero 11-3" u="1"/>
        <s v="Monte viejo 4-1" u="1"/>
        <s v="Potrero Claudio b-3" u="1"/>
        <s v="Potrero Rojas b-7" u="1"/>
        <s v="Monte 4 norte c-7" u="1"/>
        <s v="ZS Potrero 11-4" u="1"/>
        <s v="Monte viejo 4-2" u="1"/>
        <s v="6b-2" u="1"/>
        <s v="2b-3" u="1"/>
        <s v="Potrero Rojas c-7" u="1"/>
        <s v="LV fondo-2" u="1"/>
        <s v="ZS Potrero 11-5" u="1"/>
        <s v="Monte viejo 4-3" u="1"/>
        <s v="Potrero 7a-10" u="1"/>
        <s v="Potrero Claudio b-4" u="1"/>
        <s v="Potrero Rojas d-7" u="1"/>
        <s v="DH 11-2-5" u="1"/>
        <s v="Monte 3 norte e-7" u="1"/>
        <s v="Monte viejo 4-4" u="1"/>
        <s v="8b-2" u="1"/>
        <s v="4b-3" u="1"/>
        <s v="LV fondo-1" u="1"/>
        <s v="ZS_Piquete_7_1" u="1"/>
        <s v="Monte viejo 4-5" u="1"/>
        <s v="Nacar 17" u="1"/>
        <s v="Nacar 27" u="1"/>
        <s v="Monte viejo 4-6" u="1"/>
        <s v="6b-3" u="1"/>
        <s v="2b-4" u="1"/>
        <s v="10 sur-3" u="1"/>
        <s v="ZS_Yvyra_Pyta_1" u="1"/>
        <s v="ZS Potrero 12-1" u="1"/>
        <s v="Carmen 4" u="1"/>
        <s v="Monte viejo 4-7" u="1"/>
        <s v="Potrero 7b-1" u="1"/>
        <s v="ZS_Yvyra_Pyta_2" u="1"/>
        <s v="ZS Potrero 12-2" u="1"/>
        <s v="8b-3" u="1"/>
        <s v="4b-4" u="1"/>
        <s v="ZS_Yvyra_Pyta_3" u="1"/>
        <s v="ZS Potrero 12-3" u="1"/>
        <s v="Monte viejo 5-1" u="1"/>
        <s v="ZS Potrero 12-4" u="1"/>
        <s v="4_10_8" u="1"/>
        <s v="Monte viejo 5-2" u="1"/>
        <s v="2_20_6" u="1"/>
        <s v="2_30_6" u="1"/>
        <s v="6b-4" u="1"/>
        <s v="2b-5" u="1"/>
        <s v="Monte viejo 1b-3" u="1"/>
        <s v="ZS Potrero 12-5" u="1"/>
        <s v="Monte viejo 5-3" u="1"/>
        <s v="Potrero 7a-11" u="1"/>
        <s v="2 Frente-9" u="1"/>
        <s v="Potrero 7a-9" u="1"/>
        <s v="4_10_6" u="1"/>
        <s v="Monte viejo 5-4" u="1"/>
        <s v="2_20_4" u="1"/>
        <s v="8b-4" u="1"/>
        <s v="2_30_4" u="1"/>
        <s v="ZS_Piquete_8_3" u="1"/>
        <s v="4b-5" u="1"/>
        <s v="Monte viejo 5-5" u="1"/>
        <s v="Monte nuevo 1 b 4" u="1"/>
        <s v="2 Frente-8" u="1"/>
        <s v="Nacar 18" u="1"/>
        <s v="Monte nuevo 1c-1" u="1"/>
        <s v="Nacar 28" u="1"/>
        <s v="4_11_8" u="1"/>
        <s v="Monte viejo 5-6" u="1"/>
        <s v="4_10_4" u="1"/>
        <s v="2_10_2" u="1"/>
        <s v="2_21_6" u="1"/>
        <s v="2_20_2" u="1"/>
        <s v="2_31_6" u="1"/>
        <s v="Condenado 1-1" u="1"/>
        <s v="6b-5" u="1"/>
        <s v="2_30_2" u="1"/>
        <s v="ZS Potrero 13-1" u="1"/>
        <s v="2b-6" u="1"/>
        <s v="10 sur-4" u="1"/>
        <s v="Monte viejo 1a-3" u="1"/>
        <s v="Carmen 5" u="1"/>
        <s v="Monte viejo 5-7" u="1"/>
        <s v="Monte 3 norte a-8" u="1"/>
        <s v="Monte 4 norte a-8" u="1"/>
        <s v="2 Frente-7" u="1"/>
        <s v="ZS Potrero 13-2" u="1"/>
        <s v="Monte nuevo 1c-5" u="1"/>
        <s v="4_11_6" u="1"/>
        <s v="Monte viejo 5-8" u="1"/>
        <s v="Potrero Rojas a-8" u="1"/>
        <s v="2_11_4" u="1"/>
        <s v="4_10_2" u="1"/>
        <s v="ZS Potrero 1-4" u="1"/>
        <s v="2_21_4" u="1"/>
        <s v="Monte 3 norte b-8" u="1"/>
        <s v="Monte 4 norte b-8" u="1"/>
        <s v="8b-5" u="1"/>
        <s v="2_31_4" u="1"/>
        <s v="ZS Potrero 13-3" u="1"/>
        <s v="ZS_Piquete_8_2" u="1"/>
        <s v="Monte 4 norte c-8" u="1"/>
        <s v="2 Frente-6" u="1"/>
        <s v="ZS Potrero 13-4" u="1"/>
        <s v="4_11_4" u="1"/>
        <s v="Potrero Rojas c-8" u="1"/>
        <s v="2_11_2" u="1"/>
        <s v="2_22_6" u="1"/>
        <s v="2_21_2" u="1"/>
        <s v="6b-6" u="1"/>
        <s v="2_31_2" u="1"/>
        <s v="ZS Potrero 13-5" u="1"/>
        <s v="2 Frente-5" u="1"/>
        <s v="ZS Potrero 13-6" u="1"/>
        <s v="Aviacion 1-5" u="1"/>
        <s v="2_23_8" u="1"/>
        <s v="4_11_2" u="1"/>
        <s v="2_22_4" u="1"/>
        <s v="ZS Potrero 1-3" u="1"/>
        <s v="ZS_Rosado_1_1" u="1"/>
        <s v="ZS_Piquete_8_1" u="1"/>
        <s v="ZS_Rosado_2_1" u="1"/>
        <s v="Nacar 19" u="1"/>
        <s v="2 Frente-4" u="1"/>
        <s v="4_12_4" u="1"/>
        <s v="Condenado 1-2" u="1"/>
        <s v="2_12_2" u="1"/>
        <s v="2_23_6" u="1"/>
        <s v="2_22_2" u="1"/>
        <s v="2_32_2" u="1"/>
        <s v="10 sur-5" u="1"/>
        <s v="Carmen 6" u="1"/>
        <s v="Potrero 7b-2" u="1"/>
        <s v="2 Frente-3" u="1"/>
        <s v="4_12_2" u="1"/>
        <s v="2_23_4" u="1"/>
        <s v="ZS Potrero 1-2" u="1"/>
        <s v="4_7b_3" u="1"/>
        <s v="Potrero 7a-2" u="1"/>
        <s v="Monte nuevo 2b-1" u="1"/>
        <s v="1a-1" u="1"/>
        <s v="2 Frente-2" u="1"/>
        <s v="2_13_2" u="1"/>
        <s v="2_23_2" u="1"/>
        <s v="2_34_6" u="1"/>
        <s v="Monte viejo3-9" u="1"/>
        <s v="2_33_2" u="1"/>
        <s v="ZS_Piquete_1_3" u="1"/>
        <s v="4_7b_1" u="1"/>
        <s v="3a-1" u="1"/>
        <s v="2 Frente-1" u="1"/>
        <s v="1 Medio-1" u="1"/>
        <s v="2_24_4" u="1"/>
        <s v="2_34_4" u="1"/>
        <s v="ZS_Rosado_1_2" u="1"/>
        <s v="ZS Potrero 1-1" u="1"/>
        <s v="3_1-1" u="1"/>
        <s v="3_2-1" u="1"/>
        <s v="Monte nuevo 1 b 5" u="1"/>
        <s v="3_3-1" u="1"/>
        <s v="ZS_Rosado_2_2" u="1"/>
        <s v="3_4-1" u="1"/>
        <s v="Potrero 8-1" u="1"/>
        <s v="5a-1" u="1"/>
        <s v="Potrero 8-2" u="1"/>
        <s v="1a-2" u="1"/>
        <s v="Monte nuevo 2a-1" u="1"/>
        <s v="Condenado 1-3" u="1"/>
        <s v="Potrero 8-3" u="1"/>
        <s v="ZS Potrero 15-1" u="1"/>
        <s v="2_14_2" u="1"/>
        <s v="2_24_2" u="1"/>
        <s v="2_34_2" u="1"/>
        <s v="3_1-2" u="1"/>
        <s v="Potrero 8-4" u="1"/>
        <s v="Monte viejo3-8" u="1"/>
        <s v="10 sur-6" u="1"/>
        <s v="3_2-2" u="1"/>
        <s v="ZS_Piquete_1_2" u="1"/>
        <s v="3_3-2" u="1"/>
        <s v="Monte 3 norte a-9" u="1"/>
        <s v="Monte 4 norte a-9" u="1"/>
        <s v="3_4-2" u="1"/>
        <s v="Carmen 7" u="1"/>
        <s v="Potrero 8-5" u="1"/>
        <s v="ZS Potrero 15-2" u="1"/>
        <s v="7a-1" u="1"/>
        <s v="Potrero 8-6" u="1"/>
        <s v="3a-2" u="1"/>
        <s v="3_i-1" u="1"/>
        <s v="Potrero Rojas a-9" u="1"/>
        <s v="Monte 3 norte b-9" u="1"/>
        <s v="Monte 4 norte b-9" u="1"/>
        <s v="Potrero 8-7" u="1"/>
        <s v="ZS Potrero 15-3" u="1"/>
        <s v="1 Medio-2" u="1"/>
        <s v="2_15_4" u="1"/>
        <s v="ZS Potrero 2-4" u="1"/>
        <s v="2_25_4" u="1"/>
        <s v="3_1-3" u="1"/>
        <s v="3_2-3" u="1"/>
        <s v="3_3-3" u="1"/>
        <s v="3_4-3" u="1"/>
        <s v="Monte 4 norte c-9" u="1"/>
        <s v="Monte 3 norte a-1" u="1"/>
        <s v="Monte 4 norte a-1" u="1"/>
        <s v="ZS Potrero 15-4" u="1"/>
        <s v="Panicum 1" u="1"/>
        <s v="5a-2" u="1"/>
        <s v="3_i-2" u="1"/>
        <s v="Potrero Rojas c-9" u="1"/>
        <s v="1a-3" u="1"/>
        <s v="Potrero Rojas a-1" u="1"/>
        <s v="Monte 3 norte b-1" u="1"/>
        <s v="Monte 4 norte b-1" u="1"/>
        <s v="2_16_6" u="1"/>
        <s v="2_15_2" u="1"/>
        <s v="2_25_2" u="1"/>
        <s v="3_1-4" u="1"/>
        <s v="3_2-4" u="1"/>
        <s v="3_3-4" u="1"/>
        <s v="Monte viejo3-7" u="1"/>
        <s v="Potrero Rojas b-1" u="1"/>
        <s v="3_4-4" u="1"/>
        <s v="ZS_Piquete_1_1" u="1"/>
        <s v="Monte 3 norte c-1" u="1"/>
        <s v="Monte 4 norte c-1" u="1"/>
        <s v="7a-2" u="1"/>
        <s v="3_i-3" u="1"/>
        <s v="3a-3" u="1"/>
        <s v="Potrero Rojas c-1" u="1"/>
        <s v="Aviacion 1-6" u="1"/>
        <s v="Monte 3 norte d-1" u="1"/>
        <s v="1 Medio-3" u="1"/>
        <s v="2_16_4" u="1"/>
        <s v="ZS_Rosado_1_3" u="1"/>
        <s v="2_26_4" u="1"/>
        <s v="ZS Potrero 2-3" u="1"/>
        <s v="3_1-5" u="1"/>
        <s v="3_2-5" u="1"/>
        <s v="3_3-5" u="1"/>
        <s v="ZS_Rosado_2_3" u="1"/>
        <s v="Potrero Rojas d-1" u="1"/>
        <s v="3_4-5" u="1"/>
        <s v="Portero 8-1" u="1"/>
        <s v="Panicum 2" u="1"/>
        <s v="Portero 8-2" u="1"/>
        <s v="3_i-4" u="1"/>
        <s v="5a-3" u="1"/>
        <s v="1a-4" u="1"/>
        <s v="Condenado 1-4" u="1"/>
        <s v="Portero 8-3" u="1"/>
        <s v="2_16_2" u="1"/>
        <s v="Portero 8-4" u="1"/>
        <s v="2_26_2" u="1"/>
        <s v="3_2-6" u="1"/>
        <s v="2_1_1" u="1"/>
        <s v="3_3-6" u="1"/>
        <s v="2_2_1" u="1"/>
        <s v="2_3_1" u="1"/>
        <s v="Portero 8-5" u="1"/>
        <s v="Monte viejo3-6" u="1"/>
        <s v="2_4_1" u="1"/>
        <s v="2_5_1" u="1"/>
        <s v="2_6_1" u="1"/>
        <s v="2_7_1" u="1"/>
        <s v="3_i-5" u="1"/>
        <s v="ZS_Ruta_1d_1" u="1"/>
        <s v="2_8_1" u="1"/>
        <s v="7a-3" u="1"/>
        <s v="2_9_1" u="1"/>
        <s v="Potrero 7b-3" u="1"/>
        <s v="3a-4" u="1"/>
        <s v="1 Medio-4" u="1"/>
        <s v="DH 1-5" u="1"/>
        <s v="2_17_4" u="1"/>
        <s v="7 norte a-1" u="1"/>
        <s v="ZS Potrero 2-2" u="1"/>
        <s v="2_1_2" u="1"/>
        <s v="4_1_1" u="1"/>
        <s v="2_2_2" u="1"/>
        <s v="4_2_1" u="1"/>
        <s v="2_3_2" u="1"/>
        <s v="4_3_1" u="1"/>
        <s v="7 norte a-2" u="1"/>
        <s v="2_4_2" u="1"/>
        <s v="4_4_1" u="1"/>
        <s v="Panicum 3" u="1"/>
        <s v="Rojas_Guazu_1-1" u="1"/>
        <s v="2_5_2" u="1"/>
        <s v="4_5_1" u="1"/>
        <s v="2_6_2" u="1"/>
        <s v="4_6_1" u="1"/>
        <s v="2_7_2" u="1"/>
        <s v="4_7_1" u="1"/>
        <s v="3_i-6" u="1"/>
        <s v="7 norte a-3" u="1"/>
        <s v="2_8_2" u="1"/>
        <s v="4_8_1" u="1"/>
        <s v="ZS_Ruta_1c_1" u="1"/>
        <s v="2_9_2" u="1"/>
        <s v="4_9_1" u="1"/>
        <s v="5a-4" u="1"/>
        <s v="LV 1-4" u="1"/>
        <s v="Potrero 7a-3" u="1"/>
        <s v="1a-5" u="1"/>
        <s v="7 norte a-4" u="1"/>
        <s v="Rojas_Guazu_1-2" u="1"/>
        <s v="DH 1-3" u="1"/>
        <s v="2_18_6" u="1"/>
        <s v="2_17_2" u="1"/>
        <s v="2_27_2" u="1"/>
        <s v="2_1_3" u="1"/>
        <s v="4_1_2" u="1"/>
        <s v="2_2_3" u="1"/>
        <s v="4_2_2" u="1"/>
        <s v="ZS_Piquete_2_3" u="1"/>
        <s v="2_3_3" u="1"/>
        <s v="4_3_2" u="1"/>
        <s v="2_4_3" u="1"/>
        <s v="4_4_2" u="1"/>
        <s v="Rojas_Guazu_1-3" u="1"/>
        <s v="2_5_3" u="1"/>
        <s v="4_5_2" u="1"/>
        <s v="2_6_3" u="1"/>
        <s v="4_6_2" u="1"/>
        <s v="2_7_3" u="1"/>
        <s v="4_7_2" u="1"/>
        <s v="4_8_2" u="1"/>
        <s v="2_9_3" u="1"/>
        <s v="4_9_2" u="1"/>
        <s v="7a-4" u="1"/>
        <s v="LV 2-6" u="1"/>
        <s v="ZS_Ruta_1b_1" u="1"/>
        <s v="3a-5" u="1"/>
        <s v="LV 1-2" u="1"/>
        <s v="ZS Derecha 1-5" u="1"/>
        <s v="1 Medio-5" u="1"/>
        <s v="DH 3-9" u="1"/>
        <s v="ZS_Rosado_1_4" u="1"/>
        <s v="DH 2-5" u="1"/>
        <s v="2_19_8" u="1"/>
        <s v="DH 1-1" u="1"/>
        <s v="2_18_4" u="1"/>
        <s v="Monte nuevo 1 b 6" u="1"/>
        <s v="2_1_4" u="1"/>
        <s v="4_1_3" u="1"/>
        <s v="ZS_Rosado_2_4" u="1"/>
        <s v="4_2_3" u="1"/>
        <s v="ZS Potrero 2-1" u="1"/>
        <s v="4_3_3" u="1"/>
        <s v="4_4_3" u="1"/>
        <s v="4_5_3" u="1"/>
        <s v="2_6_4" u="1"/>
        <s v="4_6_3" u="1"/>
        <s v="4_7_3" u="1"/>
        <s v="4_8_3" u="1"/>
        <s v="2_9_4" u="1"/>
        <s v="4_9_3" u="1"/>
        <s v="5a-5" u="1"/>
        <s v="LV 2-4" u="1"/>
        <s v="ZS_Ruta_1a_1" u="1"/>
        <s v="Monte nuevo 1c-2" u="1"/>
        <s v="DH 3-7" u="1"/>
        <s v="DH 2-3" u="1"/>
        <s v="2_19_6" u="1"/>
        <s v="2_18_2" u="1"/>
        <s v="4_1_4" u="1"/>
        <s v="2_28_2" u="1"/>
        <s v="4_2_4" u="1"/>
        <s v="4_3_4" u="1"/>
        <s v="4_4_4" u="1"/>
        <s v="ZS_Piquete_2_2" u="1"/>
        <s v="ZS_Potrero_8_5" u="1"/>
        <s v="Monte viejo 1a-4" u="1"/>
        <s v="4_5_4" u="1"/>
        <s v="4_6_4" u="1"/>
        <s v="4_7_4" u="1"/>
        <s v="4_8_4" u="1"/>
        <s v="4_9_4" u="1"/>
        <s v="7a-5" u="1"/>
        <s v="3a-6" u="1"/>
        <s v="LV 2-2" u="1"/>
        <s v="1 Medio-6" u="1"/>
        <s v="Monte nuevo 1c-6" u="1"/>
        <s v="ZS Derecha 1-4" u="1"/>
        <s v="Jaguarete 1-1" u="1"/>
        <s v="Mombasa 1-1" u="1"/>
        <s v="DH 3-5" u="1"/>
        <s v="DH 2-1" u="1"/>
        <s v="2_19_4" u="1"/>
        <s v="4_1_5" u="1"/>
        <s v="4_2_5" u="1"/>
        <s v="Jaguarete 2-1" u="1"/>
        <s v="Mombasa 1-2" u="1"/>
        <s v="Monte 3 norte a-2" u="1"/>
        <s v="Monte 4 norte a-2" u="1"/>
        <s v="4_3_5" u="1"/>
        <s v="4_4_5" u="1"/>
        <s v="Rojas_Guazu_2-1" u="1"/>
        <s v="4_5_5" u="1"/>
        <s v="4_6_5" u="1"/>
        <s v="Mombasa 1-3" u="1"/>
        <s v="4_8_5" u="1"/>
        <s v="Potrero Rojas a-2" u="1"/>
        <s v="4_9_5" u="1"/>
        <s v="Monte 3 norte b-2" u="1"/>
        <s v="Monte 4 norte b-2" u="1"/>
        <s v="5a-6" u="1"/>
        <s v="LV 3-4" u="1"/>
        <s v="Rojas_Guazu_2-2" u="1"/>
        <s v="LV maiz-1" u="1"/>
        <s v="Mombasa 1-5" u="1"/>
        <s v="DH 3-3" u="1"/>
        <s v="4_1_6" u="1"/>
        <s v="Potrero Rojas b-2" u="1"/>
        <s v="2_19_2" u="1"/>
        <s v="4_2_6" u="1"/>
        <s v="2_29_2" u="1"/>
        <s v="4_3_6" u="1"/>
        <s v="Mombasa 1-6" u="1"/>
        <s v="Monte 3 norte c-2" u="1"/>
        <s v="Monte 4 norte c-2" u="1"/>
        <s v="Monte 3 sur a-1" u="1"/>
        <s v="4_4_6" u="1"/>
        <s v="4_5_6" u="1"/>
        <s v="Monte 4 sur a-1" u="1"/>
        <s v="4_6_6" u="1"/>
        <s v="ZS_Piquete_2_1" u="1"/>
        <s v="ZS_Potrero_8_4" u="1"/>
        <s v="4_7_6" u="1"/>
        <s v="4_8_6" u="1"/>
        <s v="4_9_6" u="1"/>
        <s v="Potrero Rojas c-2" u="1"/>
        <s v="Mombasa 1-8" u="1"/>
        <s v="Monte 3 norte d-2" u="1"/>
        <s v="7a-6" u="1"/>
        <s v="Monte 3 sur a-2" u="1"/>
        <s v="LV 3-2" u="1"/>
        <s v="4_7_13" u="1"/>
        <s v="Aviacion 1-7" u="1"/>
        <s v="Monte 4 sur a-2" u="1"/>
        <s v="Mombasa 2-1" u="1"/>
        <s v="Mombasa 1-9" u="1"/>
        <s v="ZS Derecha 1-3" u="1"/>
        <s v="4_9_13" u="1"/>
        <s v="DH 4-5" u="1"/>
        <s v="4_1_7" u="1"/>
        <s v="DH 3-1" u="1"/>
        <s v="Potrero Rojas d-2" u="1"/>
        <s v="4_2_7" u="1"/>
        <s v="Mombasa 2-2" u="1"/>
        <s v="Potrero 10 a 4" u="1"/>
        <s v="Monte 3 norte e-2" u="1"/>
        <s v="4_4_7" u="1"/>
        <s v="Monte 3 sur a-3" u="1"/>
        <s v="4_5_7" u="1"/>
        <s v="4_6_7" u="1"/>
        <s v="Monte 4 sur a-3" u="1"/>
        <s v="Mombasa 2-3" u="1"/>
        <s v="4_7_7" u="1"/>
        <s v="4_8_7" u="1"/>
        <s v="4_9_7" u="1"/>
        <s v="4_2_11" u="1"/>
        <s v="Mombasa 2-4" u="1"/>
        <s v="4_4_11" u="1"/>
        <s v="Monte 3 sur a-4" u="1"/>
        <s v="5a-7" u="1"/>
        <s v="4_5_11" u="1"/>
        <s v="4_6_11" u="1"/>
        <s v="LV maiz-2" u="1"/>
        <s v="Monte 4 sur a-4" u="1"/>
        <s v="4_7_11" u="1"/>
        <s v="Mombasa 2-5" u="1"/>
        <s v="4_1_8" u="1"/>
        <s v="4_9_11" u="1"/>
        <s v="DH 4-3" u="1"/>
        <s v="4_2_8" u="1"/>
        <s v="Mombasa 2-6" u="1"/>
        <s v="4_4_8" u="1"/>
        <s v="Monte 3 sur a-5" u="1"/>
        <s v="4_5_8" u="1"/>
        <s v="4_6_8" u="1"/>
        <s v="Monte 4 sur a-5" u="1"/>
        <s v="4_7_8" u="1"/>
        <s v="Mombasa 2-7" u="1"/>
        <s v="4_8_8" u="1"/>
        <s v="ZS_Potrero_8_3" u="1"/>
        <s v="4_9_8" u="1"/>
        <s v="ZS_Ruta_1d_2" u="1"/>
        <s v="7a-7" u="1"/>
        <s v="Monte 3 sur a-6" u="1"/>
        <s v="Potrero 7b-4" u="1"/>
        <s v="Jaguarete 1-2" u="1"/>
        <s v="Monte 4 sur a-6" u="1"/>
        <s v="4_1_9" u="1"/>
        <s v="ZS Derecha 1-2" u="1"/>
        <s v="4_2_9" u="1"/>
        <s v="DH 4-1" u="1"/>
        <s v="Jaguarete 2-2" u="1"/>
        <s v="4_4_9" u="1"/>
        <s v="4_5_9" u="1"/>
        <s v="Monte 3 sur a-7" u="1"/>
        <s v="Potrero 10 a 3" u="1"/>
        <s v="4_6_9" u="1"/>
        <s v="1b-1" u="1"/>
        <s v="4_7_9" u="1"/>
        <s v="4_9_9" u="1"/>
        <s v="ZS_Ruta_1c_2" u="1"/>
        <s v="LV maiz-3" u="1"/>
        <s v="Potrero 7a-4" u="1"/>
        <s v="Monte nuevo 2b-2" u="1"/>
        <s v="Monte 3 sur b-1" u="1"/>
        <s v="Monte 4 sur b-1" u="1"/>
        <s v="ZS_Piquete_3_3" u="1"/>
        <s v="3b-1" u="1"/>
        <s v="ZS_Potrero_8_2" u="1"/>
        <s v="Monte 3 sur b-2" u="1"/>
        <s v="ZS_Ruta_1b_2" u="1"/>
        <s v="Monte 4 sur b-2" u="1"/>
        <s v="F3 3" u="1"/>
        <s v="Mombasa 1-10" u="1"/>
        <s v="Monte nuevo 1 b 7" u="1"/>
        <s v="Potrero Claudio a-11" u="1"/>
        <s v="ZS Derecha 1-1" u="1"/>
        <s v="Monte 3 sur b-3" u="1"/>
        <s v="Monte 4 sur b-3" u="1"/>
        <s v="5b-1" u="1"/>
        <s v="1b-2" u="1"/>
        <s v="Potrero 10 a 2" u="1"/>
        <s v="Monte 3 sur b-4" u="1"/>
        <s v="LV maiz-4" u="1"/>
        <s v="Monte 4 sur b-4" u="1"/>
        <s v="ZS_Ruta_1a_2" u="1"/>
        <s v="Monte nuevo 2a-2" u="1"/>
        <s v="Monte 3 sur b-5" u="1"/>
        <s v="7b-1" u="1"/>
        <s v="Monte 4 sur b-5" u="1"/>
        <s v="3b-2" u="1"/>
        <s v="ZS_Piquete_3_2" u="1"/>
        <s v="ZS_Ruta_2_1" u="1"/>
        <s v="ZS_Potrero_8_1" u="1"/>
        <s v="Monte 3 sur b-6" u="1"/>
        <s v="Jaguarete 1-3" u="1"/>
        <s v="ZS_Ruta_2_2" u="1"/>
        <s v="Monte 4 sur b-6" u="1"/>
        <s v="Jaguarete 2-3" u="1"/>
        <s v="ZS_Ruta_2_3" u="1"/>
        <s v="DH 3-10" u="1"/>
        <s v="ZS Potrero 4-4" u="1"/>
        <s v="Potrero 10 b 5" u="1"/>
        <s v="DH 3-11" u="1"/>
        <s v="ZS_Ruta_2_4" u="1"/>
        <s v="Monte 4 sur b-7" u="1"/>
        <s v="5b-2" u="1"/>
        <s v="1b-3" u="1"/>
        <s v="Potrero Rojas a-3" u="1"/>
        <s v="Potrero 10 a 1" u="1"/>
        <s v="ZS_Ruta_2_5" u="1"/>
        <s v="Monte 3 norte b-3" u="1"/>
        <s v="Monte 4 norte b-3" u="1"/>
        <s v="LV maiz-5" u="1"/>
        <s v="Monte 4 sur b-8" u="1"/>
        <s v="Potrero Rojas b-3" u="1"/>
        <s v="Monte 3 norte c-3" u="1"/>
        <s v="Monte 4 norte c-3" u="1"/>
        <s v="Rojas_Guazu_4-3" u="1"/>
        <s v="7b-2" u="1"/>
        <s v="3b-3" u="1"/>
        <s v="Potrero Rojas c-3" u="1"/>
        <s v="ZS_Ruta_3_1" u="1"/>
        <s v="ZS_Piquete_3_1" u="1"/>
        <s v="Monte 3 norte d-3" u="1"/>
        <s v="Monte 3 sur c-2" u="1"/>
        <s v="Mbokaja-5" u="1"/>
        <s v="ZS_Ruta_3_2" u="1"/>
        <s v="Aviacion 1-8" u="1"/>
        <s v="ZS_Ruta_3_3" u="1"/>
        <s v="ZS Derecha 2-3" u="1"/>
        <s v="Monte 3 norte e-3" u="1"/>
        <s v="Monte 3 sur c-3" u="1"/>
        <s v="DH 11-1" u="1"/>
        <s v="ZS Potrero 4-3" u="1"/>
        <s v="Potrero 10 b 4" u="1"/>
        <s v="5b-3" u="1"/>
        <s v="DH 11-2" u="1"/>
        <s v="1b-4" u="1"/>
        <s v="DH 11-3" u="1"/>
        <s v="Monte 3 sur c-4" u="1"/>
        <s v="DH 11-4" u="1"/>
        <s v="LV maiz-6" u="1"/>
        <s v="DH 11-5" u="1"/>
        <s v="DH 11-6" u="1"/>
        <s v="Nacar 2" u="1"/>
        <s v="Monte 3 sur c-5" u="1"/>
        <s v="Nacar 3" u="1"/>
        <s v="7b-3" u="1"/>
        <s v="3b-4" u="1"/>
        <s v="ZS_Ruta_4_1" u="1"/>
        <s v="Nacar 5" u="1"/>
        <s v="Monte 3 sur c-6" u="1"/>
        <s v="Jaguarete 1-4" u="1"/>
        <s v="ZS_Ruta_4_2" u="1"/>
        <s v="Nacar 7" u="1"/>
        <s v="ZS_Ruta_1d_3" u="1"/>
        <s v="Nacar 8" u="1"/>
        <s v="Potrero 7b-5" u="1"/>
        <s v="ZS_Ruta_4_3" u="1"/>
        <s v="ZS Corral 1-1" u="1"/>
        <s v="Monte 3 sur c-7" u="1"/>
        <s v="ZS Derecha 2-2" u="1"/>
        <s v="ZS Corral 2-1" u="1"/>
        <s v="ZS Potrero 4-2" u="1"/>
        <s v="5b-4" u="1"/>
        <s v="Potrero 10 b 3" u="1"/>
        <s v="1b-5" u="1"/>
        <s v="Monte viejo 1b-1" u="1"/>
        <s v="ZS Corral 3-1" u="1"/>
        <s v="ZS_Ruta_1c_3" u="1"/>
        <s v="Potrero 7a-5" u="1"/>
        <s v="Monte 3 sur d-1" u="1"/>
        <s v="4_10_7" u="1"/>
        <s v="2_20_5" u="1"/>
        <s v="2_30_5" u="1"/>
        <s v="7b-4" u="1"/>
        <s v="ZS_Piquete_4_3" u="1"/>
        <s v="3b-5" u="1"/>
        <s v="Monte 3 sur d-2" u="1"/>
        <s v="ZS_Ruta_1b_3" u="1"/>
        <s v="Nacar 10" u="1"/>
        <s v="Mombasa 1-11" u="1"/>
        <s v="Monte 3 sur d-3" u="1"/>
        <s v="Nacar 20" u="1"/>
        <s v="4_11_9" u="1"/>
        <s v="4_10_5" u="1"/>
        <s v="ZS Derecha 2-1" u="1"/>
        <s v="2_10_3" u="1"/>
        <s v="2_21_7" u="1"/>
        <s v="2_20_3" u="1"/>
        <s v="2_31_7" u="1"/>
        <s v="2_30_3" u="1"/>
        <s v="5b-5" u="1"/>
        <s v="ZS Potrero 4-1" u="1"/>
        <s v="1b-6" u="1"/>
        <s v="Potrero 10 b 2" u="1"/>
        <s v="Monte 3 sur d-4" u="1"/>
        <s v="Monte viejo 1a-1" u="1"/>
        <s v="1 Frente-7" u="1"/>
        <s v="ZS_Ruta_1a_3" u="1"/>
        <s v="Monte 3 sur d-5" u="1"/>
        <s v="Monte nuevo 1c-3" u="1"/>
        <s v="4_11_7" u="1"/>
        <s v="4_10_3" u="1"/>
        <s v="2_10_1" u="1"/>
        <s v="2_21_5" u="1"/>
        <s v="2_20_1" u="1"/>
        <s v="2_31_5" u="1"/>
        <s v="7b-5" u="1"/>
        <s v="2_30_1" u="1"/>
        <s v="ZS_Piquete_4_2" u="1"/>
        <s v="Monte 3 sur d-6" u="1"/>
        <s v="Jaguarete 1-5" u="1"/>
        <s v="Ribera 2-1" u="1"/>
        <s v="Monte 4 norte a-4" u="1"/>
        <s v="1 Frente-6" u="1"/>
        <s v="ZS Corral 1-2" u="1"/>
        <s v="Aviacion 2-1" u="1"/>
        <s v="Monte 3 sur d-7" u="1"/>
        <s v="ZS Corral 2-2" u="1"/>
        <s v="4_11_5" u="1"/>
        <s v="ZS Potrero 5-4" u="1"/>
        <s v="Potrero Rojas a-4" u="1"/>
        <s v="2_11_3" u="1"/>
        <s v="4_10_1" u="1"/>
        <s v="2_21_3" u="1"/>
        <s v="Monte 3 norte b-4" u="1"/>
        <s v="Monte 4 norte b-4" u="1"/>
        <s v="2_31_3" u="1"/>
        <s v="5b-6" u="1"/>
        <s v="ZS Corral 3-2" u="1"/>
        <s v="Potrero 10 b 1" u="1"/>
        <s v="Potrero Rojas b-4" u="1"/>
        <s v="Monte 3 norte c-4" u="1"/>
        <s v="Monte 4 norte c-4" u="1"/>
        <s v="Monte 3 sur e-1" u="1"/>
        <s v="1 Frente-5" u="1"/>
        <s v="Aviacion 1-1" u="1"/>
        <s v="4_11_3" u="1"/>
        <s v="Potrero Rojas c-4" u="1"/>
        <s v="2_11_1" u="1"/>
        <s v="2_22_5" u="1"/>
        <s v="2_21_1" u="1"/>
        <s v="Monte 3 norte d-4" u="1"/>
        <s v="7b-6" u="1"/>
        <s v="Monte 3 sur e-2" u="1"/>
        <s v="2_31_1" u="1"/>
        <s v="ZS_Piquete_4_1" u="1"/>
        <s v="Potrero Rojas d-4" u="1"/>
        <s v="Monte 3 norte e-4" u="1"/>
        <s v="Monte 3 sur e-3" u="1"/>
        <s v="Nacar 11" u="1"/>
        <s v="1 Frente-4" u="1"/>
        <s v="Cabana 1-9" u="1"/>
        <s v="Nacar 21" u="1"/>
        <s v="ZS Derecha 3-3" u="1"/>
        <s v="4_12_5" u="1"/>
        <s v="2_12_3" u="1"/>
        <s v="2_23_7" u="1"/>
        <s v="4_11_1" u="1"/>
        <s v="ZS Potrero 5-3" u="1"/>
        <s v="2_22_3" u="1"/>
        <s v="2_32_3" u="1"/>
        <s v="Monte 3 sur e-4" u="1"/>
        <s v="5b-7" u="1"/>
        <s v="Monte 3 sur e-5" u="1"/>
        <s v="1 Frente-3" u="1"/>
        <s v="Cabana 1-8" u="1"/>
        <s v="4_12_3" u="1"/>
        <s v="2_12_1" u="1"/>
        <s v="2_23_5" u="1"/>
        <s v="2_22_1" u="1"/>
        <s v="Monte 3 sur e-6" u="1"/>
        <s v="2_32_1" u="1"/>
        <s v="ZS Corral 1-3" u="1"/>
        <s v="ZS_Ruta_1d_4" u="1"/>
        <s v="Monte 3 sur e-7" u="1"/>
        <s v="Potrero 7b-6" u="1"/>
        <s v="1 Frente-2" u="1"/>
        <s v="ZS Corral 2-3" u="1"/>
        <s v="Cabana 1-7" u="1"/>
        <s v="ZS Derecha 3-2" u="1"/>
        <s v="2_13_3" u="1"/>
        <s v="4_12_1" u="1"/>
        <s v="ZS Corral 3-3" u="1"/>
        <s v="2_23_3" u="1"/>
        <s v="2_34_7" u="1"/>
        <s v="ZS Potrero 5-2" u="1"/>
        <s v="2_33_3" u="1"/>
        <s v="5b-8" u="1"/>
        <s v="4_7b_2" u="1"/>
        <s v="Brisantha 9-2" u="1"/>
        <s v="Monte nuevo 2b-3" u="1"/>
        <s v="2a-1" u="1"/>
        <s v="1 Frente-1" u="1"/>
        <s v="Cabana 1-6" u="1"/>
        <s v="2_13_1" u="1"/>
        <s v="2_24_5" u="1"/>
        <s v="2_23_1" u="1"/>
        <s v="2_34_5" u="1"/>
        <s v="2_33_1" u="1"/>
        <s v="ZS_Piquete_5_3" u="1"/>
        <s v="4a-1" u="1"/>
        <s v="Nacar 12" u="1"/>
        <s v="Mombasa 1-12" u="1"/>
        <s v="Nacar 22" u="1"/>
        <s v="Monte nuevo 1 a 1" u="1"/>
        <s v="Cabana 1-5" u="1"/>
        <s v="ZS Derecha 3-1" u="1"/>
        <s v="2_14_3" u="1"/>
        <s v="2_24_3" u="1"/>
        <s v="2_34_3" u="1"/>
        <s v="ZS Potrero 5-1" u="1"/>
        <s v="4_1-1" u="1"/>
        <s v="4_2-1" u="1"/>
        <s v="ZS_Potrero_3_5" u="1"/>
        <s v="4_3-1" u="1"/>
        <s v="Monte nuevo 1 b 1" u="1"/>
        <s v="4_4-1" u="1"/>
      </sharedItems>
    </cacheField>
    <cacheField name="trees_measured" numFmtId="0">
      <sharedItems containsSemiMixedTypes="0" containsString="0" containsNumber="1" containsInteger="1" minValue="20" maxValue="20"/>
    </cacheField>
    <cacheField name="area_plot_m2" numFmtId="0">
      <sharedItems containsBlank="1"/>
    </cacheField>
    <cacheField name="EXPFAC_HA" numFmtId="164">
      <sharedItems containsBlank="1" containsMixedTypes="1" containsNumber="1" minValue="35.714285714285715" maxValue="35.714285714285715"/>
    </cacheField>
    <cacheField name="species" numFmtId="0">
      <sharedItems containsBlank="1"/>
    </cacheField>
    <cacheField name="spacing" numFmtId="0">
      <sharedItems containsBlank="1"/>
    </cacheField>
    <cacheField name="X" numFmtId="164">
      <sharedItems containsString="0" containsBlank="1" containsNumber="1" minValue="503586.90035000001" maxValue="504361.15364999999"/>
    </cacheField>
    <cacheField name="Y" numFmtId="164">
      <sharedItems containsString="0" containsBlank="1" containsNumber="1" minValue="7370704.2019999996" maxValue="7371480.5885000005"/>
    </cacheField>
    <cacheField name="Site Index" numFmtId="164">
      <sharedItems containsBlank="1"/>
    </cacheField>
    <cacheField name="Layers" numFmtId="164">
      <sharedItems containsString="0" containsBlank="1" containsNumber="1" containsInteger="1" minValue="1" maxValue="1"/>
    </cacheField>
    <cacheField name="G_ha (m2)_vivo_19" numFmtId="0">
      <sharedItems containsString="0" containsBlank="1" containsNumber="1" minValue="11.49256435" maxValue="16.125961910000001"/>
    </cacheField>
    <cacheField name="G_ha (m2)_activo_192" numFmtId="0">
      <sharedItems containsString="0" containsBlank="1" containsNumber="1" minValue="11.49256435" maxValue="16.125961910000001"/>
    </cacheField>
    <cacheField name="Vol_ha_22" numFmtId="164">
      <sharedItems containsSemiMixedTypes="0" containsString="0" containsNumber="1" minValue="5.1818845199999997" maxValue="129.63506520000001"/>
    </cacheField>
    <cacheField name="Vol_2020" numFmtId="0">
      <sharedItems containsSemiMixedTypes="0" containsString="0" containsNumber="1" minValue="5.1818845199999997" maxValue="129.63506520000001"/>
    </cacheField>
    <cacheField name="Diferencia" numFmtId="164">
      <sharedItems containsSemiMixedTypes="0" containsString="0" containsNumber="1" containsInteger="1" minValue="0" maxValue="0"/>
    </cacheField>
    <cacheField name="BA_weighted_meanH_19" numFmtId="164">
      <sharedItems containsString="0" containsBlank="1" containsNumber="1" minValue="15.959686054240745" maxValue="19.699985957562582"/>
    </cacheField>
    <cacheField name="min_height_19" numFmtId="164">
      <sharedItems containsString="0" containsBlank="1" containsNumber="1" minValue="9.5" maxValue="17.721299999999999"/>
    </cacheField>
    <cacheField name="max_height_19" numFmtId="164">
      <sharedItems containsString="0" containsBlank="1" containsNumber="1" minValue="17.100000000000001" maxValue="21.5"/>
    </cacheField>
    <cacheField name="mean_DBH_19" numFmtId="164">
      <sharedItems containsString="0" containsBlank="1" containsNumber="1" minValue="12.654545454545456" maxValue="17.708333333333332"/>
    </cacheField>
    <cacheField name="Des_St_DBH_19" numFmtId="164">
      <sharedItems containsString="0" containsBlank="1" containsNumber="1" minValue="0.91336234279215234" maxValue="2.8267874473909842"/>
    </cacheField>
    <cacheField name="BA_weighted_meanDBH_19" numFmtId="0">
      <sharedItems containsString="0" containsBlank="1" containsNumber="1" minValue="13.755855806931605" maxValue="17.917457294475952"/>
    </cacheField>
    <cacheField name="min_DBH" numFmtId="0">
      <sharedItems containsString="0" containsBlank="1" containsNumber="1" minValue="8" maxValue="15.2"/>
    </cacheField>
    <cacheField name="Max_DBH" numFmtId="0">
      <sharedItems containsString="0" containsBlank="1" containsNumber="1" minValue="16.7" maxValue="19.7"/>
    </cacheField>
    <cacheField name="Density_19_vivos" numFmtId="1">
      <sharedItems containsString="0" containsBlank="1" containsNumber="1" minValue="18.899999999999999" maxValue="20.6"/>
    </cacheField>
    <cacheField name="density_activos_19" numFmtId="1">
      <sharedItems containsString="0" containsBlank="1" containsNumber="1" containsInteger="1" minValue="500" maxValue="750"/>
    </cacheField>
    <cacheField name="Fungi_damage_19_average" numFmtId="164">
      <sharedItems containsString="0" containsBlank="1" containsNumber="1" minValue="0" maxValue="1"/>
    </cacheField>
    <cacheField name="Fungi_damage_%" numFmtId="1">
      <sharedItems containsString="0" containsBlank="1" containsNumber="1" minValue="0" maxValue="100"/>
    </cacheField>
    <cacheField name="wasp_damage_19" numFmtId="164">
      <sharedItems containsString="0" containsBlank="1" containsNumber="1" containsInteger="1" minValue="0" maxValue="0"/>
    </cacheField>
    <cacheField name="ant_damage_19" numFmtId="164">
      <sharedItems containsString="0" containsBlank="1" containsNumber="1" containsInteger="1" minValue="0" maxValue="0"/>
    </cacheField>
    <cacheField name="share_saw_19" numFmtId="164">
      <sharedItems containsString="0" containsBlank="1" containsNumber="1" containsInteger="1" minValue="0" maxValue="0"/>
    </cacheField>
    <cacheField name="share_pulp_19" numFmtId="164">
      <sharedItems containsString="0" containsBlank="1" containsNumber="1" containsInteger="1" minValue="1" maxValue="1"/>
    </cacheField>
    <cacheField name="AGB t/ha" numFmtId="0">
      <sharedItems containsSemiMixedTypes="0" containsString="0" containsNumber="1" minValue="3.2050557085110309" maxValue="80.180792169112209"/>
    </cacheField>
    <cacheField name="Strata" numFmtId="0">
      <sharedItems containsString="0" containsBlank="1" containsNumber="1" containsInteger="1" minValue="5" maxValue="5"/>
    </cacheField>
    <cacheField name="Spacing&quot;" numFmtId="0">
      <sharedItems containsNonDate="0" containsString="0" containsBlank="1"/>
    </cacheField>
    <cacheField name="Column2" numFmtId="0">
      <sharedItems containsString="0" containsBlank="1" containsNumber="1" minValue="0.58904511999999998" maxValue="0.58904511999999998"/>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rene Calo" refreshedDate="45069.593452546294" createdVersion="7" refreshedVersion="8" minRefreshableVersion="3" recordCount="188" xr:uid="{340F19E4-B01E-405F-B27F-7C9104C97466}">
  <cacheSource type="worksheet">
    <worksheetSource ref="B13:H201" sheet="Carbon_Calculations"/>
  </cacheSource>
  <cacheFields count="7">
    <cacheField name="Summe von trees_measured" numFmtId="0">
      <sharedItems containsSemiMixedTypes="0" containsString="0" containsNumber="1" containsInteger="1" minValue="20" maxValue="20"/>
    </cacheField>
    <cacheField name="Summe von AGB t/ha" numFmtId="0">
      <sharedItems containsSemiMixedTypes="0" containsString="0" containsNumber="1" minValue="3.2050557085110309" maxValue="80.180792169112209"/>
    </cacheField>
    <cacheField name="Average of Year" numFmtId="0">
      <sharedItems containsSemiMixedTypes="0" containsString="0" containsNumber="1" containsInteger="1" minValue="2018" maxValue="2020" count="3">
        <n v="2020"/>
        <n v="2018"/>
        <n v="2019"/>
      </sharedItems>
    </cacheField>
    <cacheField name="Average of Densidad_plantac" numFmtId="0">
      <sharedItems containsSemiMixedTypes="0" containsString="0" containsNumber="1" containsInteger="1" minValue="476" maxValue="1000" count="5">
        <n v="476"/>
        <n v="714"/>
        <n v="1000"/>
        <n v="500"/>
        <n v="800"/>
      </sharedItems>
    </cacheField>
    <cacheField name="Rj" numFmtId="164">
      <sharedItems containsSemiMixedTypes="0" containsString="0" containsNumber="1" minValue="0.24385274776350929" maxValue="0.30985343838092633"/>
    </cacheField>
    <cacheField name="bTREE,i" numFmtId="164">
      <sharedItems containsSemiMixedTypes="0" containsString="0" containsNumber="1" minValue="4.1981532399955901" maxValue="99.733098657405094"/>
    </cacheField>
    <cacheField name="Ctree t CO2/ha" numFmtId="164">
      <sharedItems containsSemiMixedTypes="0" containsString="0" containsNumber="1" minValue="7.2348174169257327" maxValue="171.873373352928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
  <r>
    <s v="MultiPolygon (((542028.6705239323200658 7356021.41819275356829166, 542042.76852509914897382 7356042.68891993537545204, 542066.15993317391257733 7356100.93811259232461452, 542104.75239807856269181 7356131.46455964259803295, 542138.67246910301037133 7356153.83543758187443018, 542151.94949422252830118 7356165.83932330645620823, 542210.48661629948765039 7356225.79045580048114061, 542260.42778873257339001 7356282.55851635336875916, 542314.43462811969220638 7356349.42972851358354092, 542326.91522250976413488 7356373.36104469187557697, 542345.83043637860100716 7356400.64260315708816051, 542412.93658614251762629 7356454.18082292098551989, 542420.53513193596154451 7356459.7922355979681015, 542440.58838277938775718 7356476.12158157769590616, 542460.59485898679122329 7356487.03420496359467506, 542486.05764688726048917 7356494.30928722023963928, 542530.43564865656662732 7356503.94877121224999428, 542620.42927613668143749 7356516.25473644398152828, 542635.80259248334914446 7356518.43742756638675928, 542654.64021182677242905 7356521.11197764798998833, 542745.8248191939201206 7356531.01092719938606024, 542803.96852772869169712 7356533.29580645076930523, 542822.14530394785106182 7356528.78731231205165386, 542844.19168980326503515 7356526.83040882274508476, 542850.75431706570088863 7356526.83040882274508476, 542866.70677863340824842 7356528.43194213230162859, 542892.68927580385934561 7356545.09845522791147232, 542915.78766197059303522 7356559.78502753470093012, 542917.32341413910035044 7356541.01286387257277966, 542890.78970777580980211 7355858.08678862173110247, 542890.99354761454742402 7355858.02376761939376593, 542882.91322826081886888 7355658.64682426583021879, 542872.54714054148644209 7355656.47755355667322874, 542861.89115514885634184 7355653.54896477330476046, 542856.37918641604483128 7355652.66583675146102905, 542791.54985847882926464 7355642.27887722011655569, 542700.17844626400619745 7355630.93168365769088268, 542604.44025133550167084 7355619.97732878196984529, 542571.54564224369823933 7355615.67707403004169464, 542518.08579709753394127 7355608.68836191296577454, 542509.09825735259801149 7355607.51510634925216436, 542435.22223411966115236 7355597.87114842422306538, 542372.70181738864630461 7355588.45053513906896114, 542331.49795635789632797 7355586.53020655829459429, 542288.1820319090038538 7355580.06873629242181778, 542202.0691878218203783 7355569.52886308450251818, 542197.09234628733247519 7355568.49480702541768551, 542192.20945802889764309 7355567.49759665690362453, 542144.34201725013554096 7355562.44105755817145109, 542123.97561553213745356 7355559.37215921655297279, 542118.28386859502643347 7355560.41865737177431583, 542108.49837215710431337 7355559.0606347881257534, 542036.03932025749236345 7355549.00483131874352694, 541948.25731740496121347 7355529.59154659975320101, 541963.94656100496649742 7355965.64338442217558622, 542019.94096559938043356 7356007.8026081956923008, 542022.27846335712820292 7356010.66332404222339392, 542028.6705239323200658 7356021.41819275356829166),(542653.14629937149584293 7356350.80595776718109846, 542708.7715185156557709 7356372.48343287501484156, 542714.08863505185581744 7356430.35820132214576006, 542704.22428216796834022 7356370.71134812198579311, 542653.14629937149584293 7356350.80595776718109846),(542700.67257347609847784 7356260.68820823915302753, 542710.03924188250675797 7356262.50697880517691374, 542718.58746353478636593 7356265.96264287736266851, 542725.02202804642729461 7356265.72014420386403799, 542731.44111396069638431 7356274.97784719616174698, 542725.1350375663023442 7356297.97300480958074331, 542725.68066873552743345 7356311.25002992898225784, 542723.4981440583942458 7356315.43320222664624453, 542717.49620119610335678 7356315.79695633985102177, 542710.58487305173184723 7356317.43384984787553549, 542701.49102023022715002 7356310.34064464643597603, 542691.76059771107975394 7356308.15811996906995773, 542686.07465974800288677 7356305.04854950960725546, 542682.39392930490430444 7356288.60633640270680189, 542693.76124533184338361 7356270.50956928823143244, 542700.67257347609847784 7356260.68820823915302753),(542578.76947640266735107 7355926.1253629308193922, 542525.93352520919870585 7355923.63772950042039156, 542514.02124431298580021 7355922.2150062182918191, 542511.15668067417573184 7355908.30141140148043633, 542510.61104950495064259 7355894.79703996144235134, 542526.44452494441065937 7355884.3176597012206912, 542534.89163653843570501 7355869.97082175873219967, 542548.12319239391945302 7355856.46645031869411469, 542553.85231967130675912 7355837.09654380846768618, 542562.11704242881387472 7355830.2421428095549345, 542615.87239591486286372 7355850.00981481373310089, 542627.87628163921181113 7355888.84056636225432158, 542651.7021760317729786 7355904.3001161590218544, 542663.88793881249148399 7355914.57616984657943249, 542660.8869673814624548 7355926.48911704309284687, 542661.32156404573470354 7355932.42532059457153082, 542656.15816391445696354 7355935.94672397896647453, 542633.46173704299144447 7355933.14445106312632561, 542606.14197339571546763 7355927.94413349591195583, 542578.76947640266735107 7355926.1253629308193922),(542657.84990246105007827 7356347.7383905341848731, 542676.05080137215554714 7356331.37803196255117655, 542696.91025855124462396 7356336.69514849875122309, 542716.13367987319361418 7356347.12487708777189255, 542723.70034571271389723 7356354.69154292717576027, 542722.06430985545739532 7356361.84919980261474848, 542713.27061712311115116 7356367.98433426767587662, 542700.08007802453357726 7356364.40550582949072123, 542687.50305237248539925 7356362.25820876751095057, 542665.82557726465165615 7356352.1352369012311101, 542657.84990246105007827 7356347.7383905341848731)))"/>
    <s v="Aguaray_3"/>
    <n v="71.28"/>
    <m/>
    <s v="G-1"/>
    <s v="Ha"/>
    <s v="71 ha"/>
    <n v="71"/>
    <d v="2018-09-01T00:00:00"/>
    <m/>
    <d v="2020-11-05T00:00:00"/>
    <n v="938"/>
    <n v="16.2"/>
    <n v="13.9"/>
    <n v="8.1999999999999993"/>
    <n v="16.899999999999999"/>
    <n v="11.3"/>
    <n v="6.2"/>
    <n v="13.5"/>
    <n v="56.9"/>
    <n v="26.3"/>
    <x v="0"/>
    <d v="2020-12-29T00:00:00"/>
    <m/>
    <m/>
    <n v="9.8000000000000007"/>
    <n v="938"/>
    <n v="0.9"/>
    <n v="86"/>
    <n v="538"/>
    <n v="27.6"/>
    <n v="13.8"/>
    <n v="16.600000000000001"/>
    <s v="PP"/>
    <x v="0"/>
  </r>
  <r>
    <s v="MultiPolygon (((542282.71583489887416363 7354607.46636340115219355, 542285.92642032087314874 7354657.91842003352940083, 542297.39279682806227356 7354677.18193256482481956, 542304.27262273244559765 7354701.49065076094120741, 542301.70200387062504888 7354723.12085306644439697, 542307.02455309440847486 7354743.2282612444832921, 542324.22411785507574677 7354773.9581502852961421, 542332.25058141024783254 7354797.34955835994333029, 542318.94958466186653823 7354819.36500125285238028, 542280.71894379775039852 7354845.17068383656442165, 542284.58898021932691336 7355085.11294206883758307, 542290.26699563825968653 7355219.51026406418532133, 542288.7665099228033796 7355322.36173947621136904, 542251.93640599527861923 7355465.45351362321525812, 542234.20339299342595041 7355525.88216562289744616, 542234.06698520109057426 7355546.27513057459145784, 542257.93834885756950825 7355553.64115136116743088, 542407.5776970365550369 7355570.28290202654898167, 542578.49666081788018346 7355587.60669165104627609, 543047.87587420328054577 7355667.67806574981659651, 543077.24092188337817788 7355671.03406793344765902, 543101.63874467532150447 7355656.67314731888473034, 543099.8472430786350742 7355583.51445788610726595, 543153.12619451340287924 7355557.10702839586883783, 543153.87302896846085787 7355551.50475754123181105, 543148.44251909398008138 7355517.9364117169752717, 543132.48280739213805646 7355496.92961170058697462, 543065.23376577638555318 7355457.23494413495063782, 543017.76385404798202217 7355410.03784799110144377, 542958.80158581607975066 7355349.64329793769866228, 542902.32875979412347078 7355284.44037320930510759, 542876.71819678542669863 7355252.75966344214975834, 542862.0543591104215011 7355217.83926860149949789, 542852.98324092093389481 7355192.46741923037916422, 542846.98129805864300579 7355124.80915423762053251, 542855.16576559806708246 7355070.65526068489998579, 542890.03602726571261883 7354994.64540236722677946, 542918.84362047258764505 7354920.29917853605002165, 542958.88307063560932875 7354847.61432900745421648, 542997.04968726541846991 7354760.04321415163576603, 543020.4245956027880311 7354681.39537310134619474, 543038.57337910868227482 7354574.26740797515958548, 543035.59811636479571462 7354569.39799339883029461, 542282.71583489887416363 7354607.46636340115219355),(542497.48106687993276864 7355087.79287528246641159, 542477.30024422716815025 7355073.11591335386037827, 542469.96176326251588762 7355042.84467937424778938, 542482.04006732068955898 7355015.46719017624855042, 542482.0400673208059743 7355015.46719017624855042, 542507.53723013179842383 7355005.68614055402576923, 542526.60604411456733942 7355007.21504324581474066, 542537.18939861468970776 7355013.56505594681948423, 542541.54645259212702513 7355028.0885692099109292, 542539.90665995678864419 7355038.4874563030898571, 542535.09078182373195887 7355056.37500365450978279, 542519.47313470463268459 7355083.02374729048460722, 542497.48106687993276864 7355087.79287528246641159),(542809.25184411148075014 7355527.06975928228348494, 542826.22208134224638343 7355530.28034470416605473, 542827.59804652305319905 7355554.58906289935112, 542822.55284085986204445 7355575.68719567265361547, 542805.58260362921282649 7355573.85257543157786131, 542794.11622712190728635 7355566.05543940700590611, 542795.72151983296498656 7355548.16789205558598042, 542809.25184411148075014 7355527.06975928228348494)))"/>
    <s v="F_1"/>
    <n v="69.23"/>
    <m/>
    <s v="G-2"/>
    <s v="Ha"/>
    <s v="69 ha"/>
    <n v="69"/>
    <d v="2019-06-01T00:00:00"/>
    <m/>
    <d v="2020-12-05T00:00:00"/>
    <n v="800"/>
    <n v="10.199999999999999"/>
    <n v="9.5"/>
    <n v="7.2"/>
    <n v="10.6"/>
    <n v="7.9"/>
    <n v="6.9"/>
    <n v="9.5"/>
    <n v="17.100000000000001"/>
    <n v="11.4"/>
    <x v="0"/>
    <m/>
    <m/>
    <m/>
    <n v="4.4000000000000004"/>
    <n v="975"/>
    <n v="1"/>
    <n v="100"/>
    <n v="0"/>
    <n v="0"/>
    <n v="9.3000000000000007"/>
    <n v="10.5"/>
    <s v="PP"/>
    <x v="1"/>
  </r>
  <r>
    <s v="MultiPolygon (((542862.0543591104215011 7355217.83926860149949789, 543617.07148962130304426 7355088.93390485737472773, 543784.85307417926378548 7355062.538997040130198, 543825.570800187648274 7355050.19409183505922556, 543794.12880405713804066 7354290.06166910938918591, 543771.94428224768489599 7354292.7008320651948452, 543386.59648991096764803 7354350.73139871936291456, 543078.02424031309783459 7354396.2963258633390069, 543026.21589222457259893 7354406.73317575361579657, 543043.89589986857026815 7354460.02283314522355795, 543038.57337910868227482 7354574.26740797515958548, 543020.4245956027880311 7354681.39537310134619474, 542997.04968726541846991 7354760.04321415163576603, 542958.88307063560932875 7354847.61432900745421648, 542918.84362047258764505 7354920.29917853605002165, 542890.03602726571261883 7354994.64540236722677946, 542855.16576559806708246 7355070.65526068489998579, 542846.98129805864300579 7355124.80915423762053251, 542852.98324092093389481 7355192.46741923037916422, 542862.0543591104215011 7355217.83926860149949789),(543455.39975169231183827 7354445.56892325356602669, 543459.56720622070133686 7354439.10218346863985062, 543457.26792096358258277 7354424.87535593938082457, 543472.2132751343306154 7354398.14616482611745596, 543483.85340674815233797 7354389.81125576980412006, 543492.76313711912371218 7354388.23049715533852577, 543521.21679217519704252 7354421.13901739660650492, 543520.78567618946544826 7354432.6354436818510294, 543527.82723728928249329 7354443.12593266647309065, 543512.4507671328028664 7354489.6864591222256422, 543476.23702433449216187 7354498.45248416624963284, 543455.39975169231183827 7354445.56892325356602669),(543670.14739227597601712 7354898.25367162749171257, 543691.2455250492785126 7354903.75753235071897507, 543711.42634770204313099 7354909.72004813421517611, 543718.30617360642645508 7354923.02104488294571638, 543712.3436578226974234 7354936.32204163167625666, 543699.95997119485400617 7354947.32976307813078165, 543677.48587324062827975 7354949.62303837947547436, 543660.51563600986264646 7354944.5778327165171504, 543649.96656962321139872 7354929.9008707869797945, 543653.6358101055957377 7354914.30659873783588409, 543670.14739227597601712 7354898.25367162749171257)))"/>
    <s v="F_6"/>
    <n v="65.47"/>
    <m/>
    <s v="G-1"/>
    <s v="Ha"/>
    <s v="65 ha"/>
    <n v="65"/>
    <d v="2019-05-01T00:00:00"/>
    <m/>
    <d v="2020-12-05T00:00:00"/>
    <n v="788"/>
    <n v="9.8000000000000007"/>
    <n v="8.8000000000000007"/>
    <n v="7.3"/>
    <n v="10.1"/>
    <n v="7.8"/>
    <n v="6.5"/>
    <n v="9.3000000000000007"/>
    <n v="14.7"/>
    <n v="9.3000000000000007"/>
    <x v="0"/>
    <m/>
    <m/>
    <m/>
    <n v="4.0999999999999996"/>
    <n v="988"/>
    <n v="1"/>
    <n v="99.3"/>
    <n v="0"/>
    <n v="0"/>
    <n v="8.6"/>
    <n v="10"/>
    <s v="PP"/>
    <x v="1"/>
  </r>
  <r>
    <s v="MultiPolygon (((543139.45097211666870862 7356589.31731456983834505, 543151.04563446412794292 7356590.88600418157875538, 543181.46457215223927051 7356592.93212106544524431, 543225.38788128038868308 7356595.18284964188933372, 543248.85002156009431928 7356593.40954834129661322, 543299.5937203043140471 7356577.58624443225562572, 543318.41799564531538635 7356569.26536909863352776, 543335.4689696857240051 7356559.98963922075927258, 543350.61023463367018849 7356550.98672492895275354, 543361.18183853873051703 7356537.55055738426744938, 543369.80599019397050142 7356517.85818969458341599, 543369.84373335121199489 7356480.2592846117913723, 543385.93985284538939595 7356482.98744045756757259, 543406.94665286305826157 7356483.26025604270398617, 543422.08791781100444496 7356481.48695474211126566, 543433.13694898912217468 7356473.57530278712511063, 543448.10346642974764109 7356452.68009169772267342, 543451.85972925089299679 7356447.75960018020123243, 543493.50882532354444265 7356393.2078695148229599, 543507.25159760471433401 7356375.20767064113169909, 543526.18750182911753654 7356349.23012065701186657, 543569.44680242147296667 7356289.8840957535430789, 543619.93857972044497728 7356211.16600615158677101, 543663.33958524558693171 7356137.96304889675229788, 543683.5850374111905694 7356103.17123228590935469, 543750.95765999425202608 7355969.22574568446725607, 543756.05142448749393225 7355960.77786749880760908, 543757.75421633385121822 7355953.49446807522326708, 543699.89996096957474947 7355922.22007486969232559, 543617.48103940580040216 7355890.14761543460190296, 543519.11747869942337275 7355852.61054178327322006, 543425.25594741106033325 7355816.85026517603546381, 543364.61785341333597898 7355793.97667726408690214, 543360.26408851984888315 7355787.81972059234976768, 543283.70647487230598927 7355759.36905993055552244, 543243.1068431930616498 7355748.65200227219611406, 543230.05610707122832537 7355755.1594266751781106, 543220.91893178038299084 7355743.82805760391056538, 543223.01530931144952774 7355736.02936750929802656, 543217.87106013204902411 7355740.2829407500103116, 543215.52803905587643385 7355741.32935456186532974, 543212.38338810671120882 7355742.37946116831153631, 543208.5166119784116745 7355738.98398570436984301, 543142.39454716164618731 7355718.125893859192729, 543072.81497362442314625 7355699.30091466382145882, 543046.41570469550788403 7355692.65186154842376709, 542968.68447121605277061 7355675.22421800065785646, 542942.08144654612988234 7355670.22398905362933874, 542892.23374591674655676 7355660.85475684143602848, 542887.63164317328482866 7355659.63422853406518698, 542882.91322826081886888 7355658.64682426583021879, 542890.99354761454742402 7355858.02376761939376593, 542890.78970777580980211 7355858.08678862173110247, 542917.32341413910035044 7356541.01286387257277966, 542915.78766197059303522 7356559.78502753470093012, 542948.1163087512832135 7356568.15137213189154863, 542979.76291657018009573 7356572.42548295576125383, 543001.67910187027882785 7356572.69829854089766741, 543066.33639543142635375 7356570.69765091873705387, 543105.48543182830326259 7356582.83794443402439356, 543131.6075240580830723 7356587.54401327017694712, 543139.45097211666870862 7356589.31731456983834505),(542899.1004420428071171 7355816.08974379394203424, 542896.55416325270198286 7355786.53472212515771389, 542914.19623772660270333 7355784.71595156099647284, 542936.17992621019948274 7355791.11991665326058865, 542939.3862100422848016 7355793.35511174146085978, 542940.47747238096781075 7355799.08423901908099651, 542936.74899272411130369 7355802.44896456133574247, 542899.1004420428071171 7355816.08974379394203424)))"/>
    <s v="Aguaray_4"/>
    <n v="55.87"/>
    <m/>
    <s v="G-2"/>
    <s v="Ha"/>
    <s v="56 ha"/>
    <n v="56"/>
    <d v="2018-10-01T00:00:00"/>
    <m/>
    <d v="2020-11-05T00:00:00"/>
    <n v="671"/>
    <n v="16.2"/>
    <n v="14.6"/>
    <n v="12.6"/>
    <n v="16.8"/>
    <n v="12.3"/>
    <n v="9.6999999999999993"/>
    <n v="14.1"/>
    <n v="47.2"/>
    <n v="22.6"/>
    <x v="0"/>
    <d v="2020-09-30T00:00:00"/>
    <m/>
    <m/>
    <n v="7.9"/>
    <n v="671"/>
    <n v="0.9"/>
    <n v="88.5"/>
    <n v="250"/>
    <n v="16.3"/>
    <n v="14.6"/>
    <n v="16.8"/>
    <s v="PP"/>
    <x v="0"/>
  </r>
  <r>
    <s v="MultiPolygon (((543791.80987158766947687 7354233.31602750159800053, 543773.66763520869426429 7353790.3999258279800415, 543585.0530862535815686 7353743.46265134215354919, 543290.09518487995956093 7353670.33318876009434462, 542818.5472468170337379 7353702.86147530283778906, 542820.59293185768183321 7353726.34343660715967417, 542813.13168440852314234 7353780.23175923526287079, 542826.83164419047534466 7353821.59731887187808752, 542862.84358271211385727 7353879.91418192069977522, 542914.53838946856558323 7353963.62750281952321529, 542939.37249438744038343 7354028.79781361483037472, 542966.00706026959232986 7354112.25157711841166019, 542975.88598244916647673 7354185.64262173045426607, 543012.93162127584218979 7354366.6927944365888834, 543026.21589222457259893 7354406.73317575361579657, 543078.02424031309783459 7354396.2963258633390069, 543386.59648991096764803 7354350.73139871936291456, 543771.94428224768489599 7354292.7008320651948452, 543794.12880405713804066 7354290.06166910938918591, 543791.80987158766947687 7354233.31602750159800053),(543176.96806306578218937 7354147.29213174339383841, 543182.86259606829844415 7354135.38097154535353184, 543194.43059799075126648 7354126.65459046699106693, 543219.65116018091794103 7354118.42374277394264936, 543239.48249552282504737 7354129.92016905918717384, 543254.14043903653509915 7354153.20043228752911091, 543248.40954316698480397 7354172.676833625882864, 543170.50393781159073114 7354189.55788041464984417, 543172.94692839728668332 7354166.2776171863079071, 543176.96806306578218937 7354147.29213174339383841),(543002.03199867310468107 7353851.90930124837905169, 542995.1478042418602854 7353829.87987906858325005, 543001.79433685692492872 7353797.59672065265476704, 543037.14139027241617441 7353786.50945415254682302, 543073.62762075790669769 7353792.01680969726294279, 543090.64374235610011965 7353804.19227849133312702, 543087.39600962039548904 7353831.25671795476227999, 543057.10555412294343114 7353853.28614013455808163, 543002.03199867310468107 7353851.90930124837905169)))"/>
    <s v="F_7"/>
    <n v="54.25"/>
    <m/>
    <s v="G-2"/>
    <s v="Ha"/>
    <s v="54 ha"/>
    <n v="54"/>
    <d v="2019-07-01T00:00:00"/>
    <m/>
    <d v="2020-12-05T00:00:00"/>
    <n v="817"/>
    <n v="9.1"/>
    <n v="8.1999999999999993"/>
    <n v="6.6"/>
    <n v="9.6"/>
    <n v="7.1"/>
    <n v="5.6"/>
    <n v="8.9"/>
    <n v="11.4"/>
    <n v="8.1"/>
    <x v="0"/>
    <m/>
    <m/>
    <m/>
    <n v="3.4"/>
    <n v="900"/>
    <n v="1"/>
    <n v="99.1"/>
    <n v="0"/>
    <n v="0"/>
    <n v="8"/>
    <n v="9.4"/>
    <s v="PP"/>
    <x v="1"/>
  </r>
  <r>
    <s v="MultiPolygon (((543825.570800187648274 7355050.19409183505922556, 543784.85307417926378548 7355062.538997040130198, 543617.07148962130304426 7355088.93390485737472773, 542862.0543591104215011 7355217.83926860149949789, 542876.71819678542669863 7355252.75966344214975834, 542902.32875979412347078 7355284.44037320930510759, 542958.80158581607975066 7355349.64329793769866228, 543017.76385404798202217 7355410.03784799110144377, 543065.23376577638555318 7355457.23494413495063782, 543132.48280739213805646 7355496.92961170058697462, 543148.44251909398008138 7355517.9364117169752717, 543153.87302896822802722 7355551.50475754123181105, 543153.12619451398495585 7355557.10702839586883783, 543156.73317589715588838 7355555.05972879007458687, 543158.12747234886046499 7355578.36506371479481459, 543168.22164898074697703 7355600.73594165593385696, 543218.41971655574161559 7355715.59130279067903757, 543348.50089485279750079 7355761.35482486058026552, 543628.34297073155175894 7355868.02808855846524239, 543832.96776329097338021 7355936.19948280975222588, 543857.05705331079661846 7355936.3597031943500042, 543861.57607683376409113 7355936.20668033417314291, 543848.97988324810285121 7355638.4794371398165822, 543846.41876304219476879 7355629.11826643720269203, 543841.81761825969442725 7355610.71368730813264847, 543843.49076181720010936 7355582.27024683728814125, 543845.85075485787820071 7355564.51846131961792707, 543825.570800187648274 7355050.19409183505922556),(543620.06570252496749163 7355624.09197806380689144, 543632.9963018613634631 7355576.86718050483614206, 543692.83056066208519042 7355582.54111883696168661, 543678.29864517704118043 7355628.1184901287779212, 543675.63857746659778059 7355628.72305097430944443, 543620.06570252496749163 7355624.09197806380689144),(543253.64951981790363789 7355620.66310600191354752, 543237.80099038186017424 7355621.93598605785518885, 543231.79904751956928521 7355619.02595315501093864, 543231.44038462277967483 7355595.78571636695414782, 543236.64655333408154547 7355590.09146933909505606, 543245.43982675194274634 7355586.46996005345135927, 543256.71620425069704652 7355589.37999295722693205, 543262.35439300013240427 7355589.74374706950038671, 543263.85386757540982217 7355609.89314777031540871, 543264.26410209259483963 7355619.57158432435244322, 543260.85390728467609733 7355621.57223194651305676, 543253.64951981790363789 7355620.66310600191354752)))"/>
    <s v="F_5"/>
    <n v="53.82"/>
    <m/>
    <s v="G-7"/>
    <s v="Ha"/>
    <s v="54 ha"/>
    <n v="54"/>
    <d v="2019-05-01T00:00:00"/>
    <m/>
    <d v="2020-12-05T00:00:00"/>
    <n v="842"/>
    <n v="10.6"/>
    <n v="9.8000000000000007"/>
    <n v="8.1"/>
    <n v="11"/>
    <n v="7.6"/>
    <n v="6.5"/>
    <n v="9.3000000000000007"/>
    <n v="17.100000000000001"/>
    <n v="10.8"/>
    <x v="0"/>
    <m/>
    <m/>
    <m/>
    <n v="4.3"/>
    <n v="992"/>
    <n v="0.9"/>
    <n v="98"/>
    <n v="0"/>
    <n v="0"/>
    <n v="9.3000000000000007"/>
    <n v="11"/>
    <s v="PP"/>
    <x v="1"/>
  </r>
  <r>
    <s v="MultiPolygon (((542965.89762422442436218 7354111.4385708486661315, 542939.37249438744038343 7354028.79781361483037472, 542914.53838946856558323 7353963.62750281952321529, 542862.84358271211385727 7353879.91418192069977522, 542826.83164419047534466 7353821.59731887187808752, 542813.16236137039959431 7353780.27663389500230551, 542813.13168440852314234 7353780.23175923526287079, 542812.34255734737962484 7353785.7079389626160264, 542682.899308648891747 7353775.8476001163944602, 542457.40184563025832176 7353776.58954526763409376, 542360.56338915613014251 7353778.80546710453927517, 542307.02455309417564422 7353795.18825162574648857, 542290.93899292033165693 7353935.76064335182309151, 542309.98903101868927479 7354115.67766985390335321, 542293.05566382687538862 7354210.92786035407334566, 542284.58898021932691336 7354327.34475985262542963, 542276.12229662109166384 7354386.61154505610466003, 542288.82232201844453812 7354471.278381054289639, 542285.00911020021885633 7354561.14220231212675571, 542282.71583489887416363 7354607.46636340115219355, 543035.59811636479571462 7354569.39799339883029461, 543038.57337910868227482 7354574.26740797515958548, 543043.89589986857026815 7354460.02283314522355795, 543026.21589222457259893 7354406.73317575361579657, 543012.93162127584218979 7354366.6927944365888834, 543006.95043005608022213 7354337.46139939222484827, 542975.88598244916647673 7354185.64262173045426607, 542965.89762422442436218 7354111.4385708486661315),(542766.62011188012547791 7354052.24743897188454866, 542786.30774189333897084 7354008.56101908907294273, 542797.22934686427470297 7353989.59191571827977896, 542809.58800512086600065 7353986.43039848934859037, 542825.97041257726959884 7353991.0289690038189292, 542840.91576674813404679 7354016.89592814538627863, 542844.65210529090836644 7354044.63105655834078789, 542830.28157243435271084 7354080.98850468546152115, 542815.76733424933627248 7354085.01225388422608376, 542770.06903976562898606 7354072.22247964236885309, 542766.62011188012547791 7354052.24743897188454866),(542539.56569274712819606 7353999.22017273027449846, 542541.00274603278376162 7353988.58597841672599316, 542552.35546698945108801 7353973.20950826071202755, 542587.56327248783782125 7353965.5931258462369442, 542610.12500907259527594 7353971.19763366039842367, 542613.28652630106080323 7353992.60972761642187834, 542612.1463301416952163 7354007.92876347061246634, 542601.93380534439347684 7354016.46481215860694647, 542600.85601538012269884 7354025.23083720076829195, 542591.73072701622731984 7354035.5776208583265543, 542560.46756885433569551 7354028.17843828536570072, 542551.06211903237272054 7354030.83534501492977142, 542541.14645136136095971 7354012.0099469730630517, 542539.56569274712819606 7353999.22017273027449846)))"/>
    <s v="F_2"/>
    <n v="53.25"/>
    <m/>
    <s v="G-7"/>
    <s v="Ha"/>
    <s v="53 ha"/>
    <n v="53"/>
    <d v="2019-06-01T00:00:00"/>
    <m/>
    <d v="2020-12-05T00:00:00"/>
    <n v="900"/>
    <n v="10.199999999999999"/>
    <n v="9.4"/>
    <n v="7.1"/>
    <n v="10.4"/>
    <n v="7.1"/>
    <n v="5.0999999999999996"/>
    <n v="8.6"/>
    <n v="15.1"/>
    <n v="10.1"/>
    <x v="0"/>
    <m/>
    <m/>
    <m/>
    <n v="4"/>
    <n v="983"/>
    <n v="1"/>
    <n v="100"/>
    <n v="0"/>
    <n v="0"/>
    <n v="9.1"/>
    <n v="10.4"/>
    <s v="PP"/>
    <x v="1"/>
  </r>
  <r>
    <s v="MultiPolygon (((543768.93883174157235771 7353632.57611010782420635, 543754.05121870886068791 7353279.28456766903400421, 543746.18146505567710847 7353265.91196434292942286, 543752.78296738362405449 7353249.18824088294059038, 543751.38769579620566219 7353216.07765087950974703, 543322.61639062885660678 7353071.2815806120634079, 543236.82394694513641298 7353088.88284259382635355, 542990.01004513469524682 7353164.11258209683001041, 542892.57783236738760024 7353201.18855686578899622, 542812.39025902817957103 7353233.09113980736583471, 542746.29788105038460344 7353261.13524190336465836, 542756.26117565296590328 7353279.98882223106920719, 542775.50536091346293688 7353429.1741474773734808, 542779.73641392588615417 7353489.39867860917001963, 542783.48330827080644667 7353502.31379530392587185, 542794.07155061326920986 7353538.81025686301290989, 542809.8732672818005085 7353603.29480324499309063, 542817.24867151631042361 7353655.90205473732203245, 542816.53663958178367466 7353673.64808141347020864, 542818.5472468170337379 7353702.86147530283778906, 543209.40994021180085838 7353676.76470840163528919, 543768.93883174157235771 7353632.57611010782420635)))"/>
    <s v="F_8"/>
    <n v="51.05"/>
    <m/>
    <s v="G-7"/>
    <s v="Ha"/>
    <s v="51 ha"/>
    <m/>
    <d v="2019-07-01T00:00:00"/>
    <m/>
    <d v="2020-12-05T00:00:00"/>
    <n v="867"/>
    <n v="10.199999999999999"/>
    <n v="9.6"/>
    <n v="7.7"/>
    <n v="10.5"/>
    <n v="7.2"/>
    <n v="5.7"/>
    <n v="8.6"/>
    <n v="15.5"/>
    <n v="10.9"/>
    <x v="0"/>
    <m/>
    <m/>
    <m/>
    <n v="4"/>
    <n v="967"/>
    <n v="1"/>
    <n v="97.1"/>
    <n v="0"/>
    <n v="0"/>
    <n v="9.1"/>
    <n v="10.5"/>
    <s v="PP"/>
    <x v="1"/>
  </r>
  <r>
    <s v="MultiPolygon (((542927.82614335871767253 7350273.07399229891598225, 542813.00574701046571136 7350246.91561880894005299, 542802.27574914367869496 7350249.2149040661752224, 542775.64236158132553101 7350325.2829246586188674, 542639.86887057463172823 7350711.07006365992128849, 542672.05534477438777685 7350791.35891475528478622, 542708.13684267457574606 7350795.04684234224259853, 542708.88227672502398491 7350797.4322313042357564, 542714.73488036170601845 7350803.28483493812382221, 542732.6948243509978056 7350821.24477893020957708, 543645.11688662623055279 7351058.16025923378765583, 543639.65969681274145842 7350883.96686569694429636, 543633.38653522578533739 7350839.79889633692800999, 543621.8908232469111681 7350711.00362021755427122, 543574.51667568495031446 7350704.6168705141171813, 543562.25239759695250541 7350677.98669639974832535, 543574.66912909795064479 7350650.87511092331260443, 543616.7077355346409604 7350657.64341083727777004, 543616.95023827662225813 7350596.936891108751297, 543506.73734935978427529 7350565.69455873966217041, 543506.96700154209975153 7350551.36113764438778162, 543548.56446505628991872 7350561.20815380103886127, 543589.30492569820489734 7350499.7741258479654789, 543589.8999524851096794 7350465.12398357689380646, 543580.17796703812200576 7350413.54550475534051657, 542927.82614335871767253 7350273.07399229891598225),(543233.41867955855559558 7350507.26476609520614147, 543203.88723454310093075 7350577.96778773702681065, 543206.63559895160142332 7350584.11119053140282631, 543210.03063733852468431 7350589.23069286067038774, 543201.00970924098510295 7350605.43656584434211254, 543178.02027540549170226 7350633.25841289199888706, 543167.24237576453015208 7350637.67735174484550953, 543172.41576759214513004 7350610.0859286654740572, 543170.07399771921336651 7350594.23497753217816353, 543161.70424360223114491 7350576.58595025353133678, 543146.54880845453590155 7350546.71187877561897039, 543136.95647777407430112 7350519.33601368870586157, 543132.75309691438451409 7350496.16352946311235428, 543205.82725647836923599 7350517.39599175751209259, 543211.71637642884161323 7350512.47827303595840931, 543221.99410593940410763 7350498.64244638290256262, 543231.47865762328729033 7350498.85800437536090612, 543233.41867955855559558 7350507.26476609520614147),(543333.62620147003326565 7350636.06066678930073977, 543340.49711249105166644 7350641.2340586157515645, 543344.21548786712810397 7350669.20270818378776312, 543352.29891259770374745 7350689.24960151500999928, 543370.08244700485374779 7350693.61465087067335844, 543391.09935130423400551 7350698.46470570843666792, 543410.41935556801036 7350684.92964738421142101, 543424.34334522695280612 7350678.27080048434436321, 543438.20799149782396853 7350671.7327669458463788, 543453.74589296593330801 7350667.82852598186582327, 543486.64543161925394088 7350675.10360824223607779, 543488.50461930735036731 7350681.97451926209032536, 543484.30123844754416496 7350692.15963442251086235, 543483.33122747985180467 7350701.21307012066245079, 543485.99875764106400311 7350717.62242232169955969, 543475.97531097522005439 7350747.28859108313918114, 543474.55967903207056224 7350762.91145548969507217, 543471.75883297168184072 7350770.2141170222312212, 543461.09694840793963522 7350775.4618307389318943, 543458.25152793829329312 7350779.31242219358682632, 543439.27656269865110517 7350795.46580247860401869, 543437.3365407632663846 7350803.38755871448665857, 543435.30844072881154716 7350809.92278159782290459, 543426.24484903423581272 7350816.3256417028605938, 543415.3788141468539834 7350821.7688205735757947, 543395.30273216473869979 7350826.26365070044994354, 543387.46181017614435405 7350829.57785484008491039, 543372.21324582968372852 7350843.58695132471621037, 543354.20460299390833825 7350856.1416746973991394, 543337.0445543653331697 7350867.2925214497372508, 543333.37641044775955379 7350872.66750954370945692, 543326.98038486507721245 7350878.46833887044340372, 543305.65755190304480493 7350879.77592241857200861, 543290.2048960862448439 7350884.11949137784540653, 543275.61896208359394222 7350878.06920046918094158, 543267.53450112871360034 7350869.54377382434904575, 543257.70922170684207231 7350866.61301095969974995, 543251.00614266039337963 7350863.92341043055057526, 543248.27352443640120327 7350859.94118196424096823, 543248.50997393077705055 7350856.33049820922315121, 543250.05238906387239695 7350853.07780134957283735, 543248.67975616885814816 7350836.2477758452296257, 543248.68033074762206525 7350825.11161770671606064, 543250.39054741233121604 7350820.93968018796294928, 543259.09213194821495563 7350804.75675730966031551, 543261.43171706795692444 7350797.17711110599339008, 543279.40120716451201588 7350785.78264052048325539, 543293.69756431330461055 7350778.11126406863331795, 543307.9761887266067788 7350767.39605792891234159, 543309.65179978229571134 7350765.89689805824309587, 543313.2243203172693029 7350759.9282767977565527, 543316.86766795499715954 7350740.68883764185011387, 543317.81683193519711494 7350735.86030315514653921, 543320.59002923127263784 7350719.37041508965194225, 543324.74821899773087353 7350703.99924309737980366, 543324.64789585606195033 7350693.36451088450849056, 543313.74097663385327905 7350687.06707684975117445, 543312.12429168785456568 7350672.11274109967052937, 543310.18426975246984512 7350655.13754916470497847, 543308.60800192994065583 7350643.82075454108417034, 543320.24813354189973325 7350646.32661620806902647, 543323.60275480523705482 7350642.12323534674942493, 543317.12607808515895158 7350628.93148385547101498, 543318.30107868113555014 7350622.16789832804352045, 543318.32364433584734797 7350621.16557051707059145, 543316.10853619687259197 7350602.13869630917906761, 543316.40573353273794055 7350584.74681862816214561, 543314.93906280829105526 7350576.34344383701682091, 543314.53674710483755916 7350561.71916024200618267, 543309.12139100814238191 7350550.47868856973946095, 543305.32441578770522028 7350548.48456849623471498, 543293.66043573385104537 7350542.35880379937589169, 543299.66754602955188602 7350533.64527321793138981, 543312.85179991368204355 7350504.54334643669426441, 543321.49273807788267732 7350501.98704338725656271, 543339.20376453513745219 7350506.40253412630409002, 543362.88819899561349303 7350512.86927391029894352, 543402.82031716441269964 7350526.44942745938897133, 543388.80136451486032456 7350530.31364417262375355, 543373.39665114518720657 7350530.32947132922708988, 543371.89997342345304787 7350542.25257261469960213, 543368.70826480153482407 7350557.40894417650997639, 543371.16486518457531929 7350572.75861263368278742, 543367.12028512731194496 7350583.35946603398770094, 543355.41931164520792663 7350586.20669044367969036, 543330.23116308427415788 7350576.56666078697890043, 543327.56363292317837477 7350583.84174304455518723, 543327.72530141775496304 7350590.22764858137816191, 543326.10861647175624967 7350597.90690207574516535, 543324.81526851502712816 7350619.24714336358010769, 543327.07862743828445673 7350629.43225851003080606, 543333.62620147003326565 7350636.06066678930073977)))"/>
    <s v="Jakare_2"/>
    <n v="50.35"/>
    <m/>
    <s v="G-2"/>
    <s v="Ha"/>
    <s v="50 ha"/>
    <n v="50"/>
    <d v="2019-10-01T00:00:00"/>
    <m/>
    <d v="2020-12-05T00:00:00"/>
    <n v="529"/>
    <n v="7.7"/>
    <n v="6.8"/>
    <n v="5.0999999999999996"/>
    <n v="7.9"/>
    <n v="6.1"/>
    <n v="4.4000000000000004"/>
    <n v="7.3"/>
    <n v="4.5"/>
    <n v="3.8"/>
    <x v="1"/>
    <m/>
    <m/>
    <m/>
    <n v="1.6"/>
    <n v="557"/>
    <n v="1"/>
    <n v="98.6"/>
    <n v="0"/>
    <n v="0"/>
    <n v="6.7"/>
    <n v="7.9"/>
    <s v="SSP_PI"/>
    <x v="1"/>
  </r>
  <r>
    <s v="MultiPolygon (((542097.84770271927118301 7351245.34585071727633476, 542091.45401249267160892 7351244.21849413681775331, 542110.02893721032887697 7351248.29868826176971197, 542108.07971929479390383 7351247.79127401765435934, 542097.84770271927118301 7351245.34585071727633476)),((542190.80793802347034216 7351366.72040893975645304, 542190.98399507254362106 7351365.24790405482053757, 542186.99645317066460848 7351370.9733846727758646, 542190.80793802347034216 7351366.72040893975645304)),((542184.81362004950642586 7351411.75568247027695179, 542189.73474454414099455 7351404.7254165094345808, 542182.82957431953400373 7351414.47729189042001963, 542184.81362004950642586 7351411.75568247027695179)),((542169.93490654043853283 7351424.71431459300220013, 542170.25785121601074934 7351420.55187621805816889, 542168.60205274634063244 7351437.47099408973008394, 542169.78087534941732883 7351435.0038114208728075, 542169.93490654043853283 7351424.71431459300220013)),((542135.1287787789478898 7351573.56470748316496611, 542134.68244760110974312 7351570.17259051650762558, 542119.23248564545065165 7351603.99475433863699436, 542135.1287787789478898 7351573.56470748316496611)),((543237.00278733298182487 7352434.0211203433573246, 543225.44919527694582939 7352424.45762076415121555, 543223.04266881197690964 7352425.38320786692202091, 543167.67069430183619261 7352350.90330698527395725, 543155.10941848810762167 7352343.60023965127766132, 543146.18128447234630585 7352346.20963830314576626, 543059.53934078570455313 7352326.5358683979138732, 543050.91989700961858034 7352333.52178698498755693, 543032.20664677955210209 7352365.00030956231057644, 543017.48800094239413738 7352365.28200196754187346, 542966.50455146003514528 7352388.86603097524493933, 542911.39545689895749092 7352346.07304680068045855, 542911.20884258393198252 7352283.5899386890232563, 542934.64349924866110086 7352240.56256256718188524, 542954.90474198199808598 7352225.42202899698168039, 542953.82946666888892651 7352217.93783786054700613, 542957.13819264899939299 7352204.07316514942795038, 542954.77402534056454897 7352194.82225492876023054, 542951.37394478730857372 7352189.64717288967221975, 542948.40723326895385981 7352177.44711852632462978, 542945.28088422585278749 7352163.84191983193159103, 542944.74919038359075785 7352161.25903286039829254, 542939.96339487843215466 7352151.8514585318043828, 542938.44454823434352875 7352147.52319010626524687, 542938.00720468629151583 7352143.69716370478272438, 542943.47030685935169458 7352138.76986462716013193, 542942.96213136240839958 7352134.62576195690780878, 542940.23133186809718609 7352124.72411260567605495, 542944.31229555699974298 7352111.19467319082468748, 542944.05338586308062077 7352107.5476111089810729, 542937.28858513012528419 7352099.8733451385051012, 542928.0071676354855299 7352090.74855120480060577, 542922.24608039204031229 7352081.92872852273285389, 542915.38676095381379128 7352072.49232013616710901, 542909.92968046292662621 7352059.55562948901206255, 542902.31470575649291277 7352056.11903033126145601, 542896.66569837089627981 7352052.9488763902336359, 542889.89298445545136929 7352049.14811207167804241, 542886.45291019789874554 7352043.73318526428192854, 542881.99760584533214569 7352033.02601924631744623, 542880.95105839055031538 7352027.07458670437335968, 542879.46297864802181721 7352014.54380416590720415, 542880.40075282473117113 7352012.22618970833718777, 542882.10071739554405212 7352009.81512915808707476, 542883.6772770406678319 7352007.57909387815743685, 542884.4042766448110342 7352005.87235629465430975, 542881.88325903844088316 7352005.76446866523474455, 542881.14421776868402958 7351999.21403413917869329, 542875.06190755683928728 7351983.49829520471394062, 542871.69811647944152355 7351979.00814360287040472, 542880.42515389807522297 7351970.19298236723989248, 542871.87283623963594437 7351960.95647929608821869, 542858.10757517535239458 7351946.08999735023826361, 542775.87509884964674711 7351834.38909020088613033, 542780.31991960201412439 7351829.30929505545645952, 542748.56985610444098711 7351791.20921885222196579, 542738.91455559805035591 7351777.82142948918044567, 542693.88672691024839878 7351708.9068868039175868, 542693.62768839672207832 7351708.51043151877820492, 542690.86800634860992432 7351709.0143217071890831, 542472.59610032010823488 7351655.99447941966354847, 542444.60273640044033527 7351641.25688145123422146, 542445.24721197038888931 7351631.3345273220911622, 542390.32151234243065119 7351620.28636185172945261, 542392.34548495803028345 7351600.93134601321071386, 542355.91889817733317614 7351592.43134146649390459, 542354.98677822388708591 7351592.79024973418563604, 542354.74181294068694115 7351607.02794649731367826, 542332.53509810473769903 7351616.70762010104954243, 542301.91850104928016663 7351608.94684504996985197, 542304.51332996878772974 7351632.78909486532211304, 542315.14467218238860369 7351639.97770692221820354, 542319.48749660886824131 7351652.07545715756714344, 542322.34157573617994785 7351668.37221492454409599, 542316.26810374390333891 7351671.00709351524710655, 542305.32253125589340925 7351661.38801632076501846, 542286.28852623701095581 7351621.81798583827912807, 542219.21119659673422575 7351605.68230526987463236, 542217.33683709893375635 7351611.57566113397479057, 542161.5314879035577178 7351577.69384197890758514, 542160.18413351476192474 7351568.99217821098864079, 542155.33978004846721888 7351581.73994395136833191, 542159.88157808780670166 7351591.73189963679760695, 542212.33934542909264565 7351614.44088982697576284, 542207.11627768538892269 7351641.4645881550386548, 542212.11225552763789892 7351668.03410667832940817, 542153.97724063694477081 7351685.97420892957597971, 542150.57089210767298937 7351704.59558088611811399, 542090.7445649653673172 7351691.87988069280982018, 542090.71089358534663916 7351713.1265210434794426, 542104.07326650433242321 7351767.73795819375663996, 542173.56393867637962103 7351823.9548597214743495, 542178.97142119705677032 7351829.50969019345939159, 542208.16099652741104364 7351833.73580364789813757, 542262.23910798225551844 7351845.37593526020646095, 542288.83357535023242235 7351855.72271891497075558, 542302.57539739273488522 7351859.36026004422456026, 542390.99562433827668428 7351898.83374832849949598, 542399.52584817633032799 7351919.08204861264675856, 542460.39403639733791351 7351978.79834881331771612, 542506.83331147488206625 7352016.62877655029296875, 542562.12393663078546524 7352053.48919332679361105, 542596.80182872619479895 7352077.13321066182106733, 542631.84347493294626474 7352117.388665821403265, 542648.03053295332938433 7352141.00237031653523445, 542652.8502749502658844 7352163.55512531567364931, 542671.58361176308244467 7352224.84769333153963089, 542675.67584553360939026 7352268.31630981899797916, 542674.12989055458456278 7352297.05288473516702652, 542673.31144380103796721 7352352.79820253513753414, 542668.85545591823756695 7352436.73446407914161682, 542665.49073037318885326 7352465.10728488676249981, 542657.67001694720238447 7352489.25146412942558527, 542662.9444515835493803 7352498.84547885041683912, 542749.06323780491948128 7352517.48787713516503572, 542780.20968371629714966 7352522.26214986946433783, 542825.92756290175020695 7352511.7702953964471817, 543050.82384602725505829 7352474.72855465020984411, 543183.29471003264188766 7352448.01084158010780811, 543218.07869707513600588 7352442.32718356885015965, 543237.00278733298182487 7352434.0211203433573246),(542315.59075893834233284 7351744.70501192100346088, 542332.44365177676081657 7351738.31097468640655279, 542357.98727392964065075 7351739.76599113643169403, 542365.74736167304217815 7351746.39439941849559546, 542378.35750425234436989 7351759.65121597796678543, 542386.11759199481457472 7351775.81806544121354818, 542387.73427694197744131 7351803.30170952808111906, 542382.88422210235148668 7351813.00181920640170574, 542375.44747134950011969 7351825.28862479794770479, 542368.6169774504378438 7351835.59499133192002773, 542361.31775979418307543 7351837.53438865020871162, 542348.4895858857780695 7351834.41287191864103079, 542345.78102920856326818 7351833.79189297277480364, 542345.09592715464532375 7351833.63482262007892132, 542328.43587589729577303 7351824.73461971245706081, 542315.6554699270054698 7351819.74199642799794674, 542310.33078294433653355 7351812.02111858408898115, 542308.2742118276655674 7351794.81411356199532747, 542304.5804569898173213 7351778.95180808380246162, 542303.49653352424502373 7351763.62634012475609779, 542308.09890468697994947 7351752.07818836439400911, 542315.59075893834233284 7351744.70501192100346088),(542419.74767032451927662 7351718.78214082680642605, 542402.33790969848632813 7351703.71623840369284153, 542398.57249857019633055 7351685.00008305720984936, 542399.65019534341990948 7351680.24548816867172718, 542413.71667060907930136 7351663.59255028236657381, 542426.87885986920446157 7351667.08940791804343462, 542441.87069978471845388 7351669.1981032257899642, 542448.21842800080776215 7351678.56153767462819815, 542447.12369487900286913 7351686.20231163315474987, 542448.54776989482343197 7351700.53588052839040756, 542449.75698146130889654 7351711.42715712357312441, 542445.23910444229841232 7351723.83873831387609243, 542419.74767032451927662 7351718.78214082680642605)),((542664.67228361871093512 7352414.72734025586396456, 542668.62173937074840069 7352370.42353593464940786, 542668.94639444630593061 7352337.88428390957415104, 542670.28666360024362803 7352285.92863135971128941, 542671.12891912367194891 7352246.67294010613113642, 542658.03377105854451656 7352194.74704049527645111, 542639.84606541600078344 7352144.1852188054472208, 542618.7483268678188324 7352108.90106985531747341, 542594.86180678941309452 7352083.4382819551974535, 542573.30482731387019157 7352073.23456121981143951, 542556.65558503288775682 7352070.73717487975955009, 542553.32573657762259245 7352066.57486430741846561, 542551.88330469932407141 7352054.74692292418330908, 542521.80785578582435846 7352031.66394654847681522, 542491.13125893380492926 7352008.26243195030838251, 542446.26825168076902628 7351970.43200421053916216, 542418.3804363589733839 7351941.45292655378580093, 542381.03501410409808159 7351905.68377212155610323, 542325.25938346423208714 7351874.03716430254280567, 542264.63369798567146063 7351851.120655189268291, 542180.55589147750288248 7351838.39149689394980669, 542205.61387718841433525 7351882.97893661074340343, 542305.72119683958590031 7351903.20610293466597795, 542321.67248831037431955 7351938.77317175548523664, 542323.3969522537663579 7351957.95783311873674393, 542315.20574852544814348 7352000.63831570092588663, 542313.59253584686666727 7352017.22613702435046434, 542364.13741290289908648 7352093.97492660209536552, 542402.07561964262276888 7352133.20648130308836699, 542421.04472301434725523 7352159.50455642957240343, 542462.43185763899236917 7352169.63578209187835455, 542464.26410057954490185 7352183.32371463906019926, 542474.71866323240101337 7352197.22720517497509718, 542483.77209893334656954 7352216.19630854763090611, 542496.382241515442729 7352234.62651693541556597, 542509.61211332399398088 7352264.56213318929076195, 542509.69294757209718227 7352292.12661152612417936, 542513.24965445324778557 7352309.9909801846370101, 542521.65641617588698864 7352326.15782964788377285, 542551.08008219860494137 7352361.40156147908419371, 542559.81018090900033712 7352380.80178083479404449, 542559.00183843541890383 7352394.86693986784666777, 542552.05009316559880972 7352406.99207696504890919, 542496.75629547517746687 7352331.03131764382123947, 542452.66394410002976656 7352325.06182333175092936, 542458.71460021752864122 7352350.27289048861712217, 542478.15736224967986345 7352448.01084157731384039, 542485.7766436068341136 7352495.13424659892916679, 542494.16254321485757828 7352535.3118286682292819, 542494.89005144033581018 7352549.13448495604097843, 542545.26999607216566801 7352557.13707544002681971, 542594.01304719597101212 7352547.86134556028991938, 542609.65447404887527227 7352542.04127975460141897, 542632.20722904615104198 7352530.94677931163460016, 542644.0641070082783699 7352507.77978475112468004, 542659.48878751043230295 7352470.01796541176736355, 542664.67228361871093512 7352414.72734025586396456)))"/>
    <s v="Torito_1"/>
    <n v="46.9"/>
    <m/>
    <s v="G-0"/>
    <s v="Ha"/>
    <s v="47 ha"/>
    <n v="47"/>
    <d v="2019-04-01T00:00:00"/>
    <m/>
    <d v="2020-12-05T00:00:00"/>
    <n v="638"/>
    <n v="10.4"/>
    <n v="9.3000000000000007"/>
    <n v="7.4"/>
    <n v="10.9"/>
    <n v="8.4"/>
    <n v="6.4"/>
    <n v="10.3"/>
    <n v="15.5"/>
    <n v="9.3000000000000007"/>
    <x v="1"/>
    <m/>
    <m/>
    <m/>
    <n v="3.9"/>
    <n v="678"/>
    <n v="1"/>
    <n v="98.5"/>
    <n v="0"/>
    <n v="0"/>
    <n v="9.1"/>
    <n v="10.7"/>
    <s v="SSP_PI"/>
    <x v="1"/>
  </r>
  <r>
    <s v="MultiPolygon (((541888.5965997715247795 7350113.7931550582870841, 541888.94025101454462856 7350096.98756167944520712, 541885.89873413997702301 7350071.72665627673268318, 541881.55721562611870468 7350051.02608001139014959, 541882.21175809984561056 7350051.10394300706684589, 541881.69885963737033308 7350049.88421569857746363, 541883.63697524124290794 7350006.80949528142809868, 541892.04507266089785844 7349968.61579224653542042, 541892.26118132343981415 7349949.42895775102078915, 541890.49554918298963457 7349940.2788073718547821, 541898.75337626086547971 7349911.97815302200615406, 541905.41652835044078529 7349886.63322347961366177, 541920.50797781464643776 7349830.07316860929131508, 541925.63045981351751834 7349799.90706900972872972, 541943.29035296326037496 7349761.36749216541647911, 541947.61062132043298334 7349730.57437408808618784, 541946.24654339731205255 7349708.56725026108324528, 541945.06434253044426441 7349674.10154806450009346, 541959.97826115763746202 7349604.26075839530676603, 541965.0708187377313152 7349547.3332397323101759, 541991.4429919202812016 7349473.49115481786429882, 542020.08862830838188529 7349428.74939893651753664, 542022.64157076831907034 7349414.48058221954852343, 541871.72241952375043184 7349359.49970968347042799, 541713.58031895686872303 7349319.48675726726651192, 541698.59972931141965091 7349317.09947838634252548, 541689.93630162079352885 7349316.48578583635389805, 541630.62077492102980614 7349330.15705903898924589, 541462.9537351947510615 7349374.41362830996513367, 541468.22816983109805733 7349495.72562495246529579, 541485.05179755110293627 7349787.63830052595585585, 541488.14919593406375498 7349812.26117096934467554, 541489.59872396185528487 7349821.1946174381300807, 541529.06604520755354315 7349832.01630229316651821, 541529.45403900044038892 7349858.57305773720145226, 541544.84387985290959477 7350206.7285078065469861, 541586.94652847934048623 7350216.89831362944096327, 541586.47602737264242023 7350224.65601268131285906, 541644.82039077009540051 7350237.87690291181206703, 541649.36299348319880664 7350201.40809849184006453, 541667.81324334058444947 7350203.6750347139313817, 541672.09364110219758004 7350193.32702194154262543, 541715.95452840987127274 7350202.81280274223536253, 541709.48778862436302006 7350210.57289048470556736, 541712.36752930760849267 7350218.22688170336186886, 541744.26447813725098968 7350229.1108778715133667, 541758.06018967949785292 7350238.88284021336585283, 541770.41884793608915061 7350244.48734802752733231, 541770.5625532646663487 7350251.52890912722796202, 541774.73000779305584729 7350257.70823825523257256, 541794.70504846354015172 7350262.16310344077646732, 541803.36396591283846647 7350258.49961772374808788, 541811.78121700068004429 7350143.34222056437283754, 541887.86400828300975263 7350149.61911209300160408, 541975.9575298132840544 7350158.04800131823867559, 541976.90092439006548375 7350155.7614933829754591, 541982.3842075695283711 7350135.41500364802777767, 541982.81532355525996536 7350116.01478429138660431, 541980.51603829837404191 7350099.48867150768637657, 541989.7131793264998123 7350065.57421396486461163, 542000.48268857039511204 7350065.86088619753718376, 542010.40674663987010717 7350067.01126725226640701, 542013.68898493854794651 7350062.01791409589350224, 542014.78975916118361056 7350044.80879399087280035, 542015.43663064436987042 7350032.30658293142914772, 542007.74819806148298085 7350017.93589754682034254, 542010.47859930421691388 7349997.81715154834091663, 542052.72796590230427682 7350005.14612330496311188, 542066.37997211597394198 7349999.5416154908016324, 542065.01477149454876781 7349981.57844941876828671, 542065.30218215158674866 7349962.46564072091132402, 542097.59219053271226585 7349969.77763286605477333, 542142.17306304315570742 7349796.48051701579242945, 542151.50524811423383653 7349760.20395564846694469, 542152.86009925662074238 7349757.55352318845689297, 541967.01197070663329214 7349711.42537208832800388, 541958.65965249866712838 7349716.75171780213713646, 541951.93020141078159213 7349753.30900614429265261, 541984.89541788888163865 7349758.31062518712133169, 542010.81289843050763011 7349763.40318276733160019, 542015.17794778489042073 7349778.04428581055253744, 542014.99607072828803211 7349789.59347889292985201, 542005.62940232211258262 7349803.96176635101437569, 541996.17179538740310818 7349820.6035170154646039, 541990.15241481829434633 7349820.06976733915507793, 541937.06175204704049975 7349808.14493864774703979, 541933.2423338619992137 7349817.23879146948456764, 541927.05851394333876669 7349839.79154646676033735, 541924.96692779439035803 7349847.2485057795420289, 541926.78569835866801441 7349853.70514128264039755, 541933.2423338619992137 7349862.88993263244628906, 541957.79573648027144372 7349867.16404345817863941, 541980.53036853449884802 7349865.43621142115443945, 541985.62292611435987055 7349866.70935081597417593, 541990.07891399692744017 7349876.6216503931209445, 541988.5258930828422308 7349882.15313508920371532, 541990.16985252511221915 7349890.89899932313710451, 541968.25366722512990236 7349887.26145819295197725, 541961.34233908064197749 7349897.44657335337251425, 541975.16499536950141191 7349905.44916383549571037, 541979.34816766763105989 7349918.36243484448641539, 541996.44461097219027579 7349921.9999759728088975, 542008.81225080951116979 7349924.9100088756531477, 542002.62843089073430747 7349932.45790671650320292, 541995.53522568987682462 7349943.09771451726555824, 541906.77922215114813298 7349920.27214393392205238, 541907.41579184867441654 7349927.2744106063619256, 541902.50511132518295199 7349954.19221495650708675, 541897.04879963223356754 7349972.19804354384541512, 541895.59378318081144243 7349991.29513446893543005, 541900.14070959156379104 7349999.66147906519472599, 541919.05592346040066332 7350003.84465136285871267, 541912.05365678784437478 7350009.39190158434212208, 541904.59669747413136065 7350008.8462704150006175, 541891.95624205225612968 7350029.30743926297873259, 541891.95624205225612968 7350038.03753797244280577, 541900.95915634569246322 7350055.49773539043962955, 541909.96207063901238143 7350058.13495270907878876, 541929.24103862082120031 7350060.68123149964958429, 541944.06401872006244957 7350050.40517780929803848, 541945.42809664329979569 7350036.49158299248665571, 541950.52065422339364886 7350025.76083666365593672, 541962.6685481199529022 7350027.8023153031244874, 541958.79606029100250453 7350033.76342714671045542, 541953.15787154203280807 7350052.49676395952701569, 541944.97340400260873139 7350066.13754319213330746, 541926.42194424639455974 7350098.51165923662483692, 541922.48340293718501925 7350121.00868822634220123, 541888.5965997715247795 7350113.7931550582870841)))"/>
    <s v="Aviacion_kue_1"/>
    <n v="42.65"/>
    <m/>
    <s v="G-0"/>
    <s v="Ha"/>
    <s v="42,5 ha"/>
    <n v="42.5"/>
    <d v="2018-09-01T00:00:00"/>
    <m/>
    <d v="2020-12-05T00:00:00"/>
    <n v="614"/>
    <n v="15"/>
    <n v="13.7"/>
    <n v="10.9"/>
    <n v="15.4"/>
    <n v="12.2"/>
    <n v="9.8000000000000007"/>
    <n v="14.4"/>
    <n v="40.799999999999997"/>
    <n v="18.100000000000001"/>
    <x v="1"/>
    <m/>
    <m/>
    <m/>
    <n v="7.3"/>
    <n v="636"/>
    <n v="0.8"/>
    <n v="80.099999999999994"/>
    <n v="0"/>
    <n v="0"/>
    <n v="13.6"/>
    <n v="15.4"/>
    <s v="SSP_PI"/>
    <x v="0"/>
  </r>
  <r>
    <s v="MultiPolygon (((542182.77596141956746578 7352947.98227959591895342, 542136.76987990736961365 7352946.58404390327632427, 541992.1425150316208601 7352933.59761661849915981, 541683.88892229460179806 7352939.87978036794811487, 541679.14963294938206673 7352963.32342877145856619, 541681.19857015553861856 7353048.15868020243942738, 541713.01088844332844019 7353656.23438205290585756, 541722.26554980035871267 7353688.3351815827190876, 541723.19676662422716618 7353727.03043611440807581, 541738.00217065494507551 7353755.31027957983314991, 542004.3564537400379777 7353756.49262915179133415, 542286.44297471176832914 7353764.212642727419734, 542182.77596141956746578 7352947.98227959591895342),(542058.20386257779318839 7353473.42298823874443769, 542049.027553690248169 7353477.56983003206551075, 542040.18967598350718617 7353475.62980809528380632, 542036.30963211215566844 7353470.74382692389190197, 542032.4974256093846634 7353464.75321670435369015, 542042.96811118395999074 7353456.2840135907754302, 542055.56614614010322839 7353453.78659815341234207, 542063.3980865468038246 7353456.87626271788030863, 542068.93074169661849737 7353465.4267297675833106, 542058.20386257779318839 7353473.42298823874443769),(541766.71930975653231144 7353305.20241150259971619, 541744.28971878066658974 7353311.99155038688331842, 541737.21439613681286573 7353310.64792332146316767, 541725.11574310506694019 7353304.33305644989013672, 541723.82239514798857272 7353286.08247972186654806, 541726.98391237645410001 7353270.70600956492125988, 541731.64439705200493336 7353261.04442097526043653, 541744.8164260620251298 7353246.6819337010383606, 541755.09647641307674348 7353235.47279559262096882, 541794.77012867748271674 7353242.91014189086854458, 541799.70881445705890656 7353261.88505446631461382, 541796.2177774915471673 7353281.64323842339217663, 541789.49028810486197472 7353290.04041724279522896, 541779.98220350779592991 7353301.18790995515882969, 541766.71930975653231144 7353305.20241150259971619),(541854.78585124667733908 7352962.6496869008988142, 541869.92281252238899469 7352953.16513521503657103, 541915.14208924409467727 7352967.24825741443783045, 541913.85946112871170044 7353013.86696213949471712, 541906.26229882147163153 7353038.28647993411868811, 541900.26476805284619331 7353049.64423472061753273, 541889.89785319287329912 7353060.4651138773187995, 541874.37767770770005882 7353073.39859344623982906, 541860.58196616556961089 7353072.91957568470388651, 541831.56012712512165308 7353065.58340941928327084, 541827.57878890470601618 7353031.32956540491431952, 541836.48737274261657149 7353013.52137321047484875, 541843.28942496166564524 7352994.26485918369144201, 541844.72647824720479548 7352978.07405883353203535, 541854.78585124667733908 7352962.6496869008988142)))"/>
    <s v="F_4"/>
    <n v="42.62"/>
    <m/>
    <s v="G-0"/>
    <s v="Ha"/>
    <s v="43 ha"/>
    <n v="43"/>
    <d v="2020-06-01T00:00:00"/>
    <m/>
    <m/>
    <n v="0"/>
    <m/>
    <m/>
    <m/>
    <m/>
    <m/>
    <m/>
    <m/>
    <m/>
    <m/>
    <x v="2"/>
    <m/>
    <m/>
    <m/>
    <m/>
    <n v="0"/>
    <m/>
    <m/>
    <n v="0"/>
    <m/>
    <m/>
    <m/>
    <s v="PP"/>
    <x v="2"/>
  </r>
  <r>
    <s v="MultiPolygon (((541605.14220138546079397 7355352.57975456584244967, 541566.59535716474056244 7355323.06285736430436373, 541496.35678793862462044 7355269.55262157786637545, 541486.64257977437227964 7355261.66473660245537758, 541472.28327882196754217 7355251.29283873550593853, 541454.06231977604329586 7355238.13161822408437729, 541400.07076837494969368 7355199.13179992511868477, 541383.3624026607722044 7355187.06281486991792917, 541348.78872009296901524 7355162.04661121405661106, 541300.2240984458476305 7355126.90709539316594601, 541223.40100212953984737 7355070.24993834923952818, 541204.83283023349940777 7355053.78462267108261585, 541147.08471366297453642 7355005.64720350224524736, 541143.23046836443245411 7355003.29180687293410301, 541139.23204935435205698 7355001.23379367962479591, 541135.33878693077713251 7355000.14987449068576097, 541130.38244058564305305 7355000.21973751951009035, 541120.57007089909166098 7355002.62348020635545254, 541107.20221281540580094 7355008.91936732456088066, 541101.50806189537979662 7355017.46059370413422585, 541110.83975394442677498 7355213.34917875193059444, 541116.29606563702691346 7355356.85017627850174904, 541137.57568123983219266 7355410.32203086465597153, 541145.03264055354520679 7355429.7828759029507637, 541143.60329726617783308 7355470.7181497672572732, 541147.44251155201345682 7355524.6317608617246151, 541158.90076610690448433 7355553.91396694723516703, 541165.99397130799479783 7355564.09908210765570402, 541203.82439904578495771 7355596.10944403987377882, 541225.10401464812457561 7355610.47773149702697992, 541280.66745538788381964 7355633.75799472257494926, 541299.30985367216635495 7355675.77159475442022085, 541317.49755931529216468 7355711.05574370268732309, 541354.41860177088528872 7355757.98002426140010357, 541398.43284942745231092 7355799.62987018562853336, 541410.43673515191767365 7355810.1787394592538476, 541420.4399732556194067 7355815.45317409560084343, 541432.17104339541401714 7355815.36223556846380234, 541446.81214643782004714 7355813.36158794816583395, 541461.6012332501122728 7355814.83733729925006628, 541475.18496724113356322 7355821.72793254442512989, 541498.28335340798366815 7355837.73311350960284472, 541508.65034562442451715 7355846.46321221720427275, 541525.74678892886731774 7355854.37486417219042778, 541532.65811707335524261 7355856.92114296182990074, 541549.57268332166131586 7355865.37842608522623777, 541570.48854481126181781 7355870.83473777770996094, 541669.42966350971255451 7355878.01888150628656149, 541730.54035447083879262 7355876.56386505533009768, 541769.8257986600510776 7355871.28943041898310184, 541815.84069393726531416 7355863.19590140599757433, 541828.93584200029727072 7355861.55900789797306061, 541835.30927120347041637 7355861.90478196647018194, 541844.75914590980391949 7355867.10625812038779259, 541846.65996000659652054 7355880.26313173491507769, 541861.12808098853565753 7355903.66354646626859903, 541875.13261433376464993 7355917.8499568672850728, 541933.51514944829978049 7355947.13216295279562473, 541958.06855206657201052 7355960.5001266011968255, 541963.94656100496649742 7355965.64338442217558622, 541948.25731740496121347 7355529.59154659975320101, 541908.39576679654419422 7355520.77603081986308098, 541897.73693613591603935 7355517.97230702359229326, 541897.90280370740219951 7355517.05518108420073986, 541880.79572714352980256 7355513.5160517068579793, 541861.94411993306130171 7355508.55728076584637165, 541834.52584360912442207 7355501.34511310607194901, 541791.33131161704659462 7355486.56686876714229584, 541752.03942613583058119 7355461.31853112950921059, 541751.50082807708531618 7355459.95433161314576864, 541701.52538770716637373 7355425.99662106763571501, 541656.04763175081461668 7355391.56012728996574879, 541605.14220138546079397 7355352.57975456584244967),(541375.52491612068843096 7355615.14679006114602089, 541357.82879657833836973 7355615.7066968372091651, 541345.73397232557181269 7355609.022715013474226, 541334.45759482705034316 7355599.29229249432682991, 541331.6385004521580413 7355561.46186475828289986, 541339.32280608650762588 7355561.78014960512518883, 541343.46804375620558858 7355558.11238932516425848, 541346.64335760730318725 7355555.73273747600615025, 541348.18931258691009134 7355545.72949937172234058, 541370.10549788689240813 7355544.54729850497096777, 541370.65112905623391271 7355552.27707340382039547, 541376.10744074918329716 7355556.82399981468915939, 541382.44117271772120148 7355560.81070599798113108, 541384.02684385282918811 7355563.45786937605589628, 541385.38317062752321362 7355596.83695223182439804, 541384.74660092999693006 7355614.56996523309499025, 541375.52491612068843096 7355615.14679006114602089),(541780.42518910823855549 7355557.50252078659832478, 541779.78356749948579818 7355548.54859377723187208, 541775.23664108861703426 7355547.91202407982200384, 541774.23631727823521942 7355530.99745783116668463, 541777.58541122928727418 7355524.10753521509468555, 541790.51431382901500911 7355524.3589452700689435, 541802.70007660961709917 7355519.72108033299446106, 541804.51884717389475554 7355533.54373662173748016, 541807.42888007685542107 7355538.36347861681133509, 541802.04369475750718266 7355543.45599082112312317, 541803.60946189181413502 7355553.45927430037409067, 541796.15250257810112089 7355558.18807776737958193, 541788.60460473620332778 7355554.45959811098873615, 541780.42518910823855549 7355557.50252078659832478)))"/>
    <s v="Aguaray_2"/>
    <n v="41.71"/>
    <m/>
    <s v="G-0"/>
    <s v="Ha"/>
    <s v="42 ha"/>
    <n v="42"/>
    <d v="2018-08-01T00:00:00"/>
    <m/>
    <d v="2020-11-05T00:00:00"/>
    <n v="560"/>
    <n v="15.3"/>
    <n v="14.1"/>
    <n v="12.1"/>
    <n v="15.5"/>
    <n v="12.9"/>
    <n v="10.9"/>
    <n v="15.1"/>
    <n v="41.6"/>
    <n v="18.5"/>
    <x v="0"/>
    <d v="2020-12-29T00:00:00"/>
    <m/>
    <m/>
    <n v="7.3"/>
    <n v="560"/>
    <n v="1"/>
    <n v="100"/>
    <n v="220"/>
    <n v="15.3"/>
    <n v="14.1"/>
    <n v="15.5"/>
    <s v="PP"/>
    <x v="0"/>
  </r>
  <r>
    <s v="MultiPolygon (((542184.60011214204132557 7352947.40436391346156597, 542286.44297471176832914 7353764.212642727419734, 542284.15661938209086657 7353764.13584349118173122, 542359.59903637133538723 7353778.65982755087316036, 542467.36548723746091127 7353776.55676230229437351, 542551.92106958664953709 7353775.5065452428534627, 542683.19285716488957405 7353774.15774729941040277, 542804.54256812296807766 7353773.15663244854658842, 542811.71612174063920975 7353758.67687654122710228, 542813.6017595399171114 7353731.10472444631159306, 542815.90306488610804081 7353700.90508972108364105, 542815.07924954500049353 7353659.15638689789921045, 542812.06339746713638306 7353626.08181360643357038, 542798.06950764078646898 7353577.28231838159263134, 542777.95388990547508001 7353506.69281280320137739, 542771.70101668406277895 7353460.1368796294555068, 542766.06058274582028389 7353408.14634866546839476, 542758.33785488549619913 7353330.03951430227607489, 542753.8679700093343854 7353307.20978619530797005, 542746.55801484361290932 7353269.87453181110322475, 542718.60921680647879839 7353219.61307956371456385, 542699.18677411414682865 7353187.56522299256175756, 542674.31169513985514641 7353149.25847675930708647, 542645.99654720723628998 7353108.62524920050054789, 542600.35629500541836023 7353060.88455346971750259, 542524.90458324179053307 7352949.79317868407815695, 542503.80271221231669188 7352953.01084036007523537, 542326.47224286943674088 7352949.83756445907056332, 542184.60011214204132557 7352947.40436391346156597),(542694.84501345269382 7353643.40950185433030128, 542679.75024076295085251 7353642.39984190091490746, 542673.93017495586536825 7353636.14866010751575232, 542670.28134974651038647 7353614.37426234129816294, 542674.45024837180972099 7353600.69630434643477201, 542690.31258241238538176 7353599.14453800208866596, 542706.12016855448018759 7353600.5815912876278162, 542715.60472023976035416 7353599.86306464485824108, 542723.36480798234697431 7353607.76685771625488997, 542725.08927192515693605 7353613.51507085841149092, 542725.39017990697175264 7353621.26345926709473133, 542717.26719328667968512 7353632.12654141336679459, 542711.6569197615608573 7353638.63949502166360617, 542694.84501345269382 7353643.40950185433030128)))"/>
    <s v="F_3"/>
    <n v="40.46"/>
    <m/>
    <s v="G-2"/>
    <s v="Ha"/>
    <s v="40 ha"/>
    <n v="40"/>
    <d v="2020-08-01T00:00:00"/>
    <m/>
    <m/>
    <n v="0"/>
    <m/>
    <m/>
    <m/>
    <m/>
    <m/>
    <m/>
    <m/>
    <m/>
    <m/>
    <x v="2"/>
    <m/>
    <m/>
    <m/>
    <m/>
    <n v="0"/>
    <m/>
    <m/>
    <n v="0"/>
    <m/>
    <m/>
    <m/>
    <s v="PP"/>
    <x v="2"/>
  </r>
  <r>
    <s v="MultiPolygon (((542742.08137126709334552 7350893.22033071983605623, 542799.81701525289099663 7351217.0812086770310998, 542806.80779257218819112 7351256.2951001999899745, 543064.65398761339019984 7351331.15036968979984522, 543063.48154046852141619 7351311.36235372070223093, 543089.66844310238957405 7351259.29271351266652346, 543105.10778433748055249 7351248.29925587866455317, 543120.46629132551606745 7351236.33578727766871452, 543125.31634616386145353 7351224.53398717101663351, 543111.25118713267147541 7351203.03207738790661097, 543095.42555945366621017 7351181.73451936617493629, 543092.05282978527247906 7351163.39781838376075029, 543044.24214377254247665 7351149.7602204866707325, 543036.56034262245520949 7351153.5615180367603898, 543020.7168301505735144 7351174.74009083118289709, 543012.52908821462187916 7351209.01266881823539734, 542998.5357494680210948 7351220.7694717850536108, 542975.82747560832649469 7351216.41082192305475473, 542958.42057022720109671 7351196.88867459632456303, 542971.89294477796647698 7351184.3863110113888979, 542993.67812065873295069 7351173.61313473619520664, 543055.88555339898448437 7351078.02463243901729584, 543081.68381578486878425 7351085.15778165217489004, 543104.1018470375565812 7351087.45706690847873688, 543121.92130777705460787 7351079.55327383894473314, 543129.84360355802346021 7351068.89193467702716589, 543173.79893138073384762 7351082.42738041281700134, 543167.97886557457968593 7351092.98972206003963947, 543181.77457711461465806 7351101.39648377988487482, 543182.96014607511460781 7351117.02443825826048851, 543190.93579180922824889 7351128.66456987243145704, 543221.76058478164486587 7351136.26298911962658167, 543226.12563413637690246 7351155.2320924885571003, 543222.03003227268345654 7351164.28552818484604359, 543225.96396564168389887 7351181.79961510468274355, 543224.41810086369514465 7351188.68900877237319946, 543213.4616020581452176 7351202.33151391986757517, 543206.50985678983852267 7351222.37840725108981133, 543197.94142657530028373 7351230.67738997470587492, 543196.10918363649398088 7351249.64649334084242582, 543225.76564005401451141 7351260.70852552447468042, 543230.16734650102443993 7351287.04580509383231401, 543234.87290420196950436 7351292.6398054389283061, 543225.42507065914105624 7351308.27826738450676203, 543215.51630653406027704 7351312.06716621667146683, 543201.06701747106853873 7351310.97274229489266872, 543179.0801022038795054 7351305.36823448538780212, 543175.66265394608490169 7351321.89646273944526911, 543160.59600432030856609 7351330.37296164967119694, 543151.70423711673356593 7351346.59370060916990042, 543147.99398568633478135 7351359.63590003550052643, 543134.94460317527409643 7351381.24464795738458633, 543129.55565335508435965 7351399.6748563414439559, 543112.52657192281913012 7351420.26064465474337339, 543104.1198102030903101 7351440.19975899066776037, 543093.23413156601600349 7351438.79863203782588243, 543073.83391221263445914 7351465.63560214266180992, 543068.84015204571187496 7351485.61064280942082405, 543065.96604547486640513 7351494.66407850757241249, 543177.19396976695861667 7351543.81130086909979582, 543207.72970735840499401 7351561.81534470058977604, 543302.84493216034024954 7351598.06827874481678009, 543295.32586167380213737 7351570.64578638039529324, 543276.24713350646197796 7351560.71753484662622213, 543278.4579054107889533 7351545.82913447543978691, 543281.4937661848962307 7351525.38418916426599026, 543289.81034128647297621 7351513.27807881496846676, 543300.26569397281855345 7351488.45766600593924522, 543298.84015228971838951 7351478.74026938807219267, 543298.10611636471003294 7351473.7366147842258215, 543291.81103258952498436 7351450.87078898586332798, 543285.54916656948626041 7351430.52906847186386585, 543301.70015561860054731 7351361.68679032567888498, 543291.473109295591712 7351347.24989771284162998, 543276.37095118686556816 7351336.77174490503966808, 543286.15721081010997295 7351306.84167954418808222, 543310.24390594102442265 7351290.2411506175994873, 543313.33463516924530268 7351271.5323736285790801, 543317.74305641930550337 7351248.57859014719724655, 543322.86956782639026642 7351236.54034629371017218, 543327.28745196480304003 7351226.16612446587532759, 543332.60029961261898279 7351214.65201074909418821, 543341.05157004948705435 7351196.78546017408370972, 543362.55285560991615057 7351186.03481739293783903, 543392.47140804585069418 7351168.36923391278833151, 543405.11245007161051035 7351159.76565326098352671, 543406.0016851769760251 7351147.61277348548173904, 543391.18498887866735458 7351107.39602638687938452, 543394.35999522730708122 7351073.52929198555648327, 543425.05172327812761068 7351056.59592478629201651, 543467.38514127768576145 7351079.87930468656122684, 543511.83523017726838589 7351098.92934278678148985, 543526.65192647650837898 7351131.7377417366951704, 543504.42688202671706676 7351161.37113433703780174, 543482.20183757692575455 7351176.18783063627779484, 543461.00164497829973698 7351188.79167638625949621, 543462.83539688214659691 7351204.90438196156173944, 543465.7173651410266757 7351242.5077382680028677, 543460.28892666194587946 7351263.70142421312630177, 543464.61192679684609175 7351289.82802147977054119, 543467.56059709843248129 7351307.64868283271789551, 543469.35166753455996513 7351330.19397520273923874, 543469.85309797897934914 7351352.14925502613186836, 543472.93953550234436989 7351377.16842207126319408, 543472.9366607153788209 7351377.22700587846338749, 543472.64459443464875221 7351383.17887407541275024, 543475.42440200131386518 7351391.51829678006470203, 543470.19161698967218399 7351432.99672533571720123, 543472.37736030388623476 7351439.40267375949770212, 543495.20744096022099257 7351455.64802653528749943, 543480.42304946202784777 7351465.7060477240011096, 543478.3027960853651166 7351469.66580066736787558, 543475.57915356103330851 7351544.78741694055497646, 543477.29310708865523338 7351567.83399812877178192, 543478.93412040884140879 7351622.73442845419049263, 543479.68216047435998917 7351647.76025913562625647, 543480.2737687835469842 7351667.55263402499258518, 543651.07045322563499212 7351752.37783301062881947, 543662.62813374679535627 7351756.80381914507597685, 543662.67419272847473621 7351757.83205476589500904, 543706.24425168614834547 7351775.51388150174170732, 543692.67958445427939296 7351663.9341065501794219, 543665.46649681124836206 7351440.08562261238694191, 543645.11688662623055279 7351058.16025923378765583, 542732.6948243509978056 7350821.24477892834693193, 542743.80734657496213913 7350851.40733924601227045, 542737.45733387861400843 7350867.28237099573016167, 542742.08137126709334552 7350893.22033071983605623)))"/>
    <s v="Jakare"/>
    <n v="37.67"/>
    <m/>
    <s v="G-0"/>
    <s v="Ha"/>
    <s v="38 ha"/>
    <n v="38"/>
    <d v="2019-10-01T00:00:00"/>
    <m/>
    <d v="2020-12-05T00:00:00"/>
    <n v="479"/>
    <n v="6.9"/>
    <n v="5.8"/>
    <n v="3.9"/>
    <n v="7.2"/>
    <n v="5.5"/>
    <n v="3.4"/>
    <n v="7.2"/>
    <n v="3.3"/>
    <n v="2.8"/>
    <x v="1"/>
    <m/>
    <m/>
    <m/>
    <n v="1.3"/>
    <n v="493"/>
    <n v="1"/>
    <n v="100"/>
    <n v="0"/>
    <n v="0"/>
    <n v="5.6"/>
    <n v="6.9"/>
    <s v="SSP_PI"/>
    <x v="1"/>
  </r>
  <r>
    <s v="MultiPolygon (((542178.05173633818048984 7350298.8411441994830966, 542135.00400680105667561 7350326.56030535511672497, 542125.29591349302791059 7350334.09685147553682327, 542153.37873057322576642 7350344.03096023853868246, 542151.3544797410722822 7350354.15172844100743532, 542153.65376499819103628 7350362.58244105149060488, 542161.95673953799996525 7350369.86351103242486715, 542181.2451880844309926 7350385.63916265778243542, 542210.80172417312860489 7350390.20868057012557983, 542224.93160797061864287 7350398.73231481667608023, 542234.81210897443816066 7350408.51950703375041485, 542231.31851146277040243 7350420.83100089989602566, 542225.20658702682703733 7350430.82934661209583282, 542218.22535930387675762 7350430.28361806832253933, 542213.81839589425362647 7350431.05004648771136999, 542217.1395857100142166 7350438.33111646864563227, 542215.22351466247346252 7350445.48444837983697653, 542211.90232484671287239 7350451.48813766147941351, 542206.4095878436928615 7350455.70349396672099829, 542203.66370697889942676 7350459.75388582050800323, 542179.75789696560241282 7350453.68069867044687271, 542170.13197600992862135 7350452.76551835890859365, 542173.45316582568921149 7350469.11599129810929298, 542168.1393532631918788 7350474.48710112646222115, 542161.34091173787601292 7350472.56416901387274265, 542155.86187249643262476 7350471.26248098723590374, 542131.86101480468641967 7350470.58125049155205488, 542123.0638785605551675 7350463.27575892955064774, 542111.37699235836043954 7350459.33815616369247437, 542099.96452065906487405 7350444.28213891386985779, 542111.39041087869554758 7350414.48727106861770153, 542106.82540009473450482 7350402.05601559206843376, 542095.25785159924998879 7350388.81328132469207048, 542079.97149735304992646 7350382.31240133289247751, 542070.23092387744691223 7350381.73718095291405916, 542065.59878172783646733 7350381.46363416686654091, 542055.29545122606214136 7350386.46946011390537024, 542037.66759758850093931 7350412.27255022153258324, 542025.78795709367841482 7350439.22528295684605837, 542016.71855413529556245 7350470.52111006714403629, 542009.05426994501613081 7350504.88265085406601429, 541999.47391470696311444 7350609.11691584251821041, 541994.61986805312335491 7350658.16833466105163097, 541991.0432020976440981 7350712.8402285510674119, 541992.95927314506843686 7350731.23451060894876719, 541995.76951068150810897 7350744.26379373203963041, 542002.15641417354345322 7350775.59155535884201527, 542020.21538379671983421 7350777.89084061607718468, 542025.86779338691849262 7350774.10660029761493206, 542033.6847069370560348 7350765.60570091381669044, 542038.81398640887346119 7350761.01558281481266022, 542046.21433165541384369 7350736.88416515477001667, 542049.59354405733756721 7350714.24005599692463875, 542052.70730049209669232 7350694.14875239878892899, 542064.48075573635287583 7350666.44093627668917179, 542079.50362989993300289 7350630.04668174125254154, 542091.3447208961006254 7350602.17160391062498093, 542099.10465000104159117 7350587.30064975842833519, 542105.0310788459610194 7350583.47680583689361811, 542116.53749855502974242 7350573.00453369412571192, 542177.74386784376110882 7350551.65404787939041853, 542188.89786432031542063 7350542.81728893518447876, 542194.10676935850642622 7350539.15234074555337429, 542205.73396642913576216 7350535.7167751407250762, 542211.29061448678839952 7350536.03265608474612236, 542217.96366492798551917 7350528.63532770425081253, 542220.84641545929480344 7350525.78713469486683607, 542226.17305929528083652 7350510.06021916121244431, 542260.95124055619817227 7350518.53272509947419167, 542274.78500563814304769 7350533.24739045090973377, 542280.913533711922355 7350555.26036370731890202, 542279.45796463894657791 7350591.82337338663637638, 542276.82597002410329878 7350606.56365419924259186, 542271.75798504916019738 7350623.23640475980937481, 542270.00932984100654721 7350631.81638989225029945, 542259.27821522031445056 7350645.52687691897153854, 542252.66307777783367783 7350652.33011543937027454, 542240.22001404652837664 7350661.02508885972201824, 542229.22266313305590302 7350662.52369758207350969, 542219.07719416683539748 7350666.59039025381207466, 542205.44435848854482174 7350673.83183951862156391, 542164.02470324363093823 7350665.08053359482437372, 542156.64024830318521708 7350663.73924263194203377, 542146.22685252374503762 7350666.60954037867486477, 542138.90425427642185241 7350673.57256135623902082, 542126.18566824961453676 7350690.12850422039628029, 542110.96315384132321924 7350722.41230104677379131, 542097.91506930254399776 7350740.05495419912040234, 542087.81785748840775341 7350751.88886880502104759, 542087.30879682453814894 7350755.70448833517730236, 542086.07814605929888785 7350760.65440634172409773, 542082.58908715611323714 7350763.26306350249797106, 542071.15228170983027667 7350760.34550629183650017, 542067.85541261092294008 7350764.51265728194266558, 542066.05738360877148807 7350776.35798377636820078, 542066.1531871611950919 7350792.45298057608306408, 542067.68427078798413277 7350802.16260662581771612, 542056.66863547591492534 7350816.30806511733680964, 542051.68685075233224779 7350841.40859584044665098, 542055.6633508310187608 7350864.80151068791747093, 542060.40497401857282966 7350873.79019654355943203, 542099.68443049292545766 7350882.50831981003284454, 542121.69676141021773219 7350883.91988399997353554, 542142.74018103571143001 7350887.9506723340600729, 542534.57841665833257139 7350760.23466780781745911, 542537.28808977117296308 7350754.3598894365131855, 542554.73389287071768194 7350738.75470192544162273, 542576.14026259060483426 7350704.15061245672404766, 542587.91104494291357696 7350675.87626533955335617, 542609.58724621613509953 7350646.10326485708355904, 542627.86718818743247539 7350635.69538416527211666, 542642.29186066053807735 7350625.2216838700696826, 542652.74708430981263518 7350619.25134277157485485, 542660.25859198370017111 7350618.55157515965402126, 542753.9597935457713902 7350360.43368225079029799, 542747.1967459733132273 7350348.94645687006413937, 542744.0769111510599032 7350343.0179833322763443, 542742.7048363049980253 7350334.08959395345300436, 542745.79595803353004158 7350325.31412541028112173, 542753.28951927996240556 7350318.97622838988900185, 542754.83013733429834247 7350316.10845557972788811, 542757.83338103827554733 7350309.47421089373528957, 542763.27746069245040417 7350309.32999335695058107, 542764.18391647771932185 7350308.45303509291261435, 542771.64811567834112793 7350309.10824876092374325, 542774.65012741344980896 7350302.58373784087598324, 542789.45947747642640024 7350261.46471344213932753, 542787.80941273388452828 7350257.51787860598415136, 542788.44810308306477964 7350248.51234468258917332, 542735.93157163262367249 7350235.86959450971335173, 542658.47254833695478737 7350217.73773547820746899, 542631.25551804481074214 7350213.73889922071248293, 542613.84830758231692016 7350214.5520978718996048, 542593.73564312362577766 7350215.4916850421577692, 542331.50329880765639246 7350228.76646555215120316, 542311.28254318458493799 7350235.61079962737858295, 542279.09254958410747349 7350248.89555889088660479, 542199.51173207175452262 7350286.83376563433557749, 542178.05173633818048984 7350298.8411441994830966),(542471.6367329532513395 7350401.31801262684166431, 542488.45025639270897955 7350389.89343900792300701, 542510.82529177458491176 7350396.23296026885509491, 542527.25069509935565293 7350411.12590129859745502, 542516.79613244789652526 7350432.6817005816847086, 542506.66835235676262528 7350441.39616184402257204, 542485.21688650059513748 7350436.6695234477519989, 542473.36119689582847059 7350423.19714889768511057, 542467.32557309698313475 7350409.94033233914524317, 542471.6367329532513395 7350401.31801262684166431)))"/>
    <s v="Naranja"/>
    <n v="33.14"/>
    <m/>
    <s v="G-0"/>
    <s v="Ha"/>
    <s v="33 ha"/>
    <n v="33"/>
    <d v="2018-10-01T00:00:00"/>
    <m/>
    <d v="2020-12-05T00:00:00"/>
    <n v="661"/>
    <n v="14.7"/>
    <n v="13.7"/>
    <n v="11.4"/>
    <n v="15.4"/>
    <n v="11.9"/>
    <n v="10.3"/>
    <n v="13.7"/>
    <n v="41.5"/>
    <n v="19.2"/>
    <x v="1"/>
    <m/>
    <m/>
    <m/>
    <n v="7.5"/>
    <n v="688"/>
    <n v="1"/>
    <n v="94.7"/>
    <n v="0"/>
    <n v="0"/>
    <n v="13.6"/>
    <n v="15.4"/>
    <s v="SSP_PI"/>
    <x v="0"/>
  </r>
  <r>
    <s v="MultiPolygon (((542477.41234570741653442 7352586.86814265511929989, 542467.52028295397758484 7352567.30281338654458523, 542459.88836269360035658 7352553.87372836656868458, 542441.34824023395776749 7352520.17650569416582584, 542432.63910156954079866 7352485.37398102972656488, 542424.04499805346131325 7352449.07702072523534298, 542424.40834040101617575 7352388.15972282364964485, 542419.46265017800033092 7352332.20626422297209501, 542394.83713684231042862 7352271.83894875552505255, 542369.36361698992550373 7352243.2588159441947937, 542353.5730687091127038 7352215.3696312690153718, 542302.05151514895260334 7352167.8112741382792592, 542256.8447599345818162 7352172.23375357314944267, 542237.93906678631901741 7352199.69350427482277155, 542220.73437286820262671 7352179.07727429829537868, 542196.80827310867607594 7352176.10794212762266397, 542174.25952221732586622 7352175.41626433469355106, 542138.1367242056876421 7352173.59394936542958021, 542108.25810918305069208 7352196.81685074232518673, 542089.34518874622881413 7352207.35878838505595922, 542074.95106587279587984 7352205.64700947143137455, 542057.47138768807053566 7352178.42396422848105431, 541661.5157513115555048 7352126.90377038344740868, 541646.07614817190915346 7352144.05175287090241909, 541643.68226418271660805 7352186.23674939479678869, 541650.90163739770650864 7352451.79513673111796379, 541652.20469108875840902 7352451.58390106074512005, 542044.84067185781896114 7352683.15001438185572624, 542077.38649377971887589 7352690.70155680831521749, 542085.27299571968615055 7352689.51844712533056736, 542477.41234570741653442 7352586.86814265511929989),(542035.59110546857118607 7352562.66985573340207338, 542040.76449729700107127 7352536.80289659183472395, 542055.7098514677491039 7352520.70789979305118322, 542073.52931220980826765 7352514.38486533612012863, 542088.47466638055630028 7352504.03808167949318886, 542105.14448449411429465 7352509.78629482164978981, 542119.51501735055353492 7352526.45611293520778418, 542124.11358786467462778 7352549.44896550569683313, 542106.86894843692425638 7352601.182883788831532, 542068.35592038149479777 7352608.08073956053704023, 542045.93788912531454116 7352600.03324116114526987, 542035.59110546857118607 7352562.66985573340207338),(542083.82653013896197081 7352469.39868841413408518, 542083.38735026214271784 7352441.76382695138454437, 542078.74847743473947048 7352420.44621787592768669, 542075.44077249988913536 7352409.51134566217660904, 542074.99534496665000916 7352404.30736420024186373, 542073.7420885032042861 7352382.06435817666351795, 542072.12041576113551855 7352377.8847503773868084, 542078.13575038872659206 7352369.83985286206007004, 542088.03163222968578339 7352370.40479318983852863, 542089.81085568014532328 7352382.84605373162776232, 542089.59698978345841169 7352392.31052800547331572, 542096.21563671715557575 7352418.42390938941389322, 542096.51744591630995274 7352445.74364475905895233, 542099.31999005377292633 7352459.04310187976807356, 542091.89050346985459328 7352479.3418934540823102, 542095.98839344270527363 7352488.68626461364328861, 542091.69548581540584564 7352488.47408234141767025, 542083.82653013896197081 7352469.39868841413408518),(542292.89887079037725925 7352375.19495647866278887, 542313.44969220831990242 7352353.12204307410866022, 542322.8402623375877738 7352350.08762677758932114, 542347.41120331175625324 7352352.12181068770587444, 542356.11651446297764778 7352365.46879256144165993, 542359.65220174100250006 7352384.34509487356990576, 542364.20181960240006447 7352408.6345626562833786, 542365.57312306296080351 7352422.43932629935443401, 542363.5940961791202426 7352433.95249288063496351, 542357.87292585149407387 7352448.36282127816230059, 542332.01150098070502281 7352463.68622227944433689, 542318.10635969694703817 7352460.12651048973202705, 542305.08592522796243429 7352447.0706186331808567, 542299.92475657910108566 7352438.1119523961097002, 542291.62356433644890785 7352410.14816254191100597, 542289.44896732736378908 7352402.82271192874759436, 542288.83849419746547937 7352386.67712679877877235, 542292.89887079037725925 7352375.19495647866278887)))"/>
    <s v="F_12"/>
    <n v="32.36"/>
    <m/>
    <s v="G-2"/>
    <s v="Ha"/>
    <s v="32 ha"/>
    <m/>
    <d v="2020-07-01T00:00:00"/>
    <m/>
    <m/>
    <n v="0"/>
    <m/>
    <m/>
    <m/>
    <m/>
    <m/>
    <m/>
    <m/>
    <m/>
    <m/>
    <x v="2"/>
    <m/>
    <m/>
    <m/>
    <m/>
    <n v="0"/>
    <m/>
    <m/>
    <n v="0"/>
    <m/>
    <m/>
    <m/>
    <s v="PP"/>
    <x v="2"/>
  </r>
  <r>
    <s v="MultiPolygon (((541571.70271006657276303 7352933.74628047458827496, 541575.3067911114776507 7352933.14051456563174725, 541643.35546164843253791 7352932.87712195888161659, 541661.75535136903636158 7352926.29579884745180607, 541666.15752334741409868 7352923.02038856502622366, 541665.47059841197915375 7352880.08267724048346281, 541660.53154273144900799 7352846.51319952122867107, 541659.53315275278873742 7352740.03146209754049778, 541653.0335999873932451 7352628.6568789891898632, 541648.67044907482340932 7352555.58099156059324741, 541650.16357566835358739 7352509.54588136728852987, 541638.14765841735061258 7352450.61392900254577398, 541637.84620103519409895 7352450.62352843396365643, 541637.74961323384195566 7352449.75983019545674324, 541609.09618507791310549 7352450.96602121461182833, 541591.86777527257800102 7352451.69126613344997168, 541482.00699499901384115 7352456.31595138553529978, 541480.95221537537872791 7352456.36035325285047293, 541477.92624501988757402 7352467.30915569327771664, 541472.09335023630410433 7352479.42793618980795145, 541448.79677453846670687 7352480.58065399713814259, 541418.31685904122423381 7352470.72130903881043196, 541383.56960943073499948 7352466.62830058671534061, 541369.00488531158771366 7352481.13816171791404486, 541358.35475551313720644 7352501.0755169577896595, 541359.69762376230210066 7352536.34131478052586317, 541353.68047271203249693 7352564.6629229998216033, 541354.89413959463126957 7352606.5404085386544466, 541360.96919247915502638 7352619.54297428019344807, 541360.66692066320683807 7352627.13495237100869417, 541345.45300990634132177 7352660.78195763193070889, 541351.90402769716456532 7352671.64774937182664871, 541360.99209515331313014 7352692.36916605941951275, 541356.4908082780893892 7352705.74356625787913799, 541348.22139564575627446 7352727.65560445562005043, 541334.4185476036509499 7352727.03643258474767208, 541328.87610496289562434 7352795.61220347974449396, 541324.24517915793694556 7352810.38705501798540354, 541302.45843289757613093 7352849.0980137400329113, 541294.04871307697612792 7352875.35286563541740179, 541290.82886345311999321 7352890.36506630573421717, 541294.7748283197870478 7352914.86805023532360792, 541329.33239826455246657 7352919.75742226094007492, 541371.30405077920295298 7352923.56630074325948954, 541571.49381796503439546 7352933.15526371914893389, 541571.70271006657276303 7352933.74628047458827496)),((541114.29229173937346786 7353018.63230808638036251, 541114.29658207425381988 7353018.60016527492552996, 541128.63986273726914078 7352999.92791864834725857, 541148.02524629852268845 7352973.84200410451740026, 541167.06078343302942812 7352930.76932585332542658, 541175.11985759483650327 7352912.34383029490709305, 541210.03305362269748002 7352918.52637995127588511, 541230.46265615336596966 7352918.76474544312804937, 541246.88152561173774302 7352918.46149479597806931, 541277.57955700985621661 7352920.23094429634511471, 541277.57429954688996077 7352919.26983346603810787, 541279.00298551574815065 7352894.00532989203929901, 541279.10856348439119756 7352847.61385626625269651, 541266.25495716871228069 7352821.14684290625154972, 541254.38890604476910084 7352802.66051256656646729, 541254.75300971837714314 7352787.13121110200881958, 541254.80675342015456408 7352770.19489714317023754, 541253.07031837094109505 7352754.89458231441676617, 541255.47440090728923678 7352736.68562777992337942, 541265.98149895248934627 7352721.17990067228674889, 541275.75989671982824802 7352703.32736156415194273, 541280.948955915751867 7352685.92655829526484013, 541293.94096352334599942 7352636.55127708148211241, 541292.7906325242947787 7352618.96989132836461067, 541299.57558433793019503 7352596.76060725748538971, 541302.42472278198692948 7352584.97597596608102322, 541306.1915244817500934 7352566.95122035313397646, 541307.8645698189502582 7352527.88777501694858074, 541305.16757547238375992 7352485.77318410389125347, 541303.73257053468842059 7352463.82056858483701944, 541017.81369266100227833 7352475.85657281987369061, 540986.8011122290045023 7352477.16207440663129091, 540989.17333922348916531 7352522.63481398858129978, 541016.82250010874122381 7353052.6359881553798914, 541020.50561006949283183 7353123.23677823320031166, 541044.93251597078051418 7353094.82623887062072754, 541099.45858236751519144 7353034.42881329357624054, 541111.73943743796553463 7353019.84795299172401428, 541114.29229173937346786 7353018.63230808638036251)))"/>
    <s v="Diaz_de_espada"/>
    <n v="29.41"/>
    <m/>
    <s v="G-0"/>
    <s v="Ha"/>
    <s v="29,5 ha"/>
    <n v="29.5"/>
    <d v="2019-04-01T00:00:00"/>
    <m/>
    <d v="2020-12-05T00:00:00"/>
    <n v="580"/>
    <n v="12"/>
    <n v="10.6"/>
    <n v="9.1"/>
    <n v="13.4"/>
    <n v="9.6"/>
    <n v="8.1999999999999993"/>
    <n v="11"/>
    <n v="19.3"/>
    <n v="11.6"/>
    <x v="1"/>
    <m/>
    <m/>
    <m/>
    <n v="4.4000000000000004"/>
    <n v="670"/>
    <n v="0.2"/>
    <n v="19.7"/>
    <n v="0"/>
    <n v="0"/>
    <n v="10.4"/>
    <n v="12.2"/>
    <s v="SSP_PI"/>
    <x v="1"/>
  </r>
  <r>
    <s v="MultiPolygon (((543376.7974284403026104 7352706.35404115170240402, 543402.8862193189561367 7352648.67359424661844969, 543409.14295202121138573 7352610.62477840762585402, 543397.70468432828783989 7352591.53320356458425522, 543387.94225456472486258 7352575.23876427300274372, 543344.20892579667270184 7352532.20893118344247341, 543329.99874179530888796 7352520.96510994248092175, 543316.06760730594396591 7352509.94208688661456108, 543266.68619349040091038 7352470.86899751145392656, 543227.45312984846532345 7352452.01852490194141865, 543205.13607659749686718 7352450.78642751090228558, 543170.95256263762712479 7352457.7182877017185092, 543113.21735486481338739 7352468.24572435952723026, 543086.58931630291044712 7352473.0466839037835598, 542531.11541119683533907 7352570.26229606755077839, 542493.47535196878015995 7352577.11090019904077053, 542492.36247147712856531 7352583.19541301298886538, 542487.08539961464703083 7352682.220465037971735, 542491.39284095820039511 7352762.97247254010289907, 542512.94147887546569109 7352890.68647839315235615, 542532.34896193444728851 7352934.64458483550697565, 542534.39674576371908188 7352943.50102483388036489, 543376.7974284403026104 7352706.35404115170240402)))"/>
    <s v="F_10"/>
    <n v="28.31"/>
    <m/>
    <s v="G-2"/>
    <s v="Ha"/>
    <s v="28 ha"/>
    <m/>
    <d v="2020-08-01T00:00:00"/>
    <m/>
    <m/>
    <n v="0"/>
    <m/>
    <m/>
    <m/>
    <m/>
    <m/>
    <m/>
    <m/>
    <m/>
    <m/>
    <x v="0"/>
    <m/>
    <m/>
    <m/>
    <m/>
    <n v="0"/>
    <m/>
    <m/>
    <n v="0"/>
    <m/>
    <m/>
    <m/>
    <s v="PP"/>
    <x v="2"/>
  </r>
  <r>
    <s v="MultiPolygon (((542672.71310756076127291 7356694.6575236888602376, 542633.72767908498644829 7356685.21457940712571144, 542609.44054758548736572 7356700.86772236693650484, 542582.6400448102504015 7356732.17443255800753832, 542505.78073973674327135 7356832.57056882325559855, 542418.61622868850827217 7356942.6014806441962719, 542401.70479213166981936 7356968.4777033356949687, 542400.73542451206594706 7356975.3941919906064868, 542464.22968423273414373 7356951.34802003297954798, 542550.34353609941899776 7356924.71982357185333967, 542686.52066330891102552 7356871.06768934149295092, 542700.37280680611729622 7356855.29691007453948259, 542715.65173702035099268 7356751.04575184639543295, 542702.73010044544935226 7356703.67225210927426815, 542672.71310756076127291 7356694.6575236888602376)),((542958.21602177713066339 7356987.13260615151375532, 542703.82765753567218781 7356880.95530701894313097, 542693.72754075657576323 7356884.50240653939545155, 542267.50224955566227436 7357058.89815790392458439, 542256.77693995740264654 7357064.63687516003847122, 542252.22055180184543133 7357073.30853221751749516, 542245.80243807658553123 7357093.03820945229381323, 542238.04420668538659811 7357130.04198073595762253, 542238.46109616942703724 7357149.99286967702209949, 542241.92814909107983112 7357171.34537814930081367, 542247.74159893207252026 7357192.6910004373639822, 542264.33761894423514605 7357216.13938664738088846, 542284.00057374127209187 7357229.24076895974576473, 542304.25986545160412788 7357239.11091691162437201, 542321.64784472715109587 7357256.1722345007583499, 542338.72693649958819151 7357275.53589067794382572, 542355.28338522929698229 7357294.14938478730618954, 542427.52678980771452188 7357322.88116447534412146, 542533.35343889426440001 7357348.44173321314156055, 542640.5550550976768136 7357365.64540085103362799, 542683.80026406608521938 7357357.89834525343030691, 542773.3964003250002861 7357342.41317182593047619, 542818.27835921198129654 7357337.08293481077998877, 542950.01685474067926407 7357090.20287993643432856, 542950.85220001451671124 7357078.48895168304443359, 542938.49631176702678204 7357066.67516955640166998, 542928.79754871781915426 7357053.19232378900051117, 542925.93692283611744642 7357032.3856728496029973, 542934.3977412972599268 7357019.86948086880147457, 542941.53533142898231745 7357012.83246420975774527, 542961.07736503053456545 7356996.72893321700394154, 542958.21602177713066339 7356987.13260615151375532)))"/>
    <s v="Ribera_4"/>
    <n v="28.14"/>
    <m/>
    <s v="G-0"/>
    <s v="Ha"/>
    <s v="28 ha"/>
    <n v="28"/>
    <d v="2020-10-01T00:00:00"/>
    <m/>
    <m/>
    <n v="0"/>
    <m/>
    <m/>
    <m/>
    <m/>
    <m/>
    <m/>
    <m/>
    <m/>
    <m/>
    <x v="3"/>
    <m/>
    <m/>
    <m/>
    <m/>
    <n v="0"/>
    <m/>
    <m/>
    <n v="0"/>
    <m/>
    <m/>
    <m/>
    <s v="SSP_PI"/>
    <x v="2"/>
  </r>
  <r>
    <s v="MultiPolygon (((541781.67982452746946365 7350304.68469663243740797, 541773.72739824489690363 7350330.03305540792644024, 541692.53366699104662985 7350311.51355248689651489, 541686.95540735952090472 7350312.92398498300462961, 541684.77047211094759405 7350319.64523486513644457, 541669.34684866084717214 7350426.84267382975667715, 541598.21271102118771523 7350411.96917232032865286, 541574.17799481877591461 7350417.14256414864212275, 541558.22670334798749536 7350444.94954522512853146, 541561.08870380977168679 7350511.54619555734097958, 541696.33875106053892523 7350480.59520285483449697, 541945.52379079244565219 7350408.16771725565195084, 541998.2277200436219573 7350389.19861388579010963, 542018.66983236419036984 7350392.22182881366461515, 542026.56756450387183577 7350382.4595605731010437, 542099.61402561247814447 7350307.16005123034119606, 542097.97397151484619826 7350244.05071612447500229, 542048.91977469506673515 7350234.28426969889551401, 542040.1537496525561437 7350174.50285301636904478, 542015.45076336921192706 7350165.62429305724799633, 541966.98052783031016588 7350160.25891989283263683, 541881.04361866624094546 7350154.5297926152125001, 541847.9419943958055228 7350154.62073114607483149, 541815.74975540756713599 7350177.53724025562405586, 541816.20444804860744625 7350208.36540131736546755, 541813.658169258502312 7350229.91783250495791435, 541809.38405843253713101 7350248.19647667277604342, 541805.56464024749584496 7350284.48094943072646856, 541800.29020561091601849 7350308.48872087989002466, 541781.67982452746946365 7350304.68469663243740797)),((541958.90524843381717801 7350798.24278136622160673, 541968.90060605492908508 7350774.6095689469948411, 541963.5835088980384171 7350738.6832368029281497, 541966.45761546934954822 7350709.07993911858648062, 541982.26520161132793874 7350557.90193346701562405, 541998.93501972476951778 7350411.89731964748352766, 541680.21888560114894062 7350504.101583581417799, 541562.26624381716828793 7350540.07477850001305342, 541579.20768131851218641 7350927.65574387367814779, 541582.79807500436436385 7350942.4814195754006505, 541616.7789901077048853 7350949.36926894262433052, 541630.62782330019399524 7350951.72339352779090405, 541643.29602183133829385 7350952.80955400504171848, 541662.16540137073025107 7350951.24216088280081749, 541674.16788633482065052 7350952.16318828798830509, 541695.69761141459457576 7350955.75887950789183378, 541716.98751986143179238 7350960.72142710164189339, 541740.22008691448718309 7350966.05855436995625496, 541759.67629990179557353 7350960.13969504646956921, 541779.00571841991040856 7350950.45724357478320599, 541794.29072201903909445 7350940.50770485680550337, 541805.906488380394876 7350939.21497031580656767, 541839.17145602928940207 7350929.38631525635719299, 541846.47033502568956465 7350930.97670826129615307, 541855.60121084412094206 7350935.72742231469601393, 541864.54436111357063055 7350940.38046442251652479, 541883.02000828227028251 7350935.38320716004818678, 541899.34014542668592185 7350925.66656019911170006, 541913.63892894901800901 7350916.16329076047986746, 541924.58093380159698427 7350909.32425379753112793, 541940.45954836695455015 7350902.98278758116066456, 541947.77892609278205782 7350898.96035744063556194, 541950.46199962822720408 7350896.5874029416590929, 541960.91682150098495185 7350896.14853408373892307, 541976.85903514688834548 7350899.82326200976967812, 541986.6466341963969171 7350892.87167743593454361, 541985.19289043406024575 7350878.76414376683533192, 541984.03108852356672287 7350873.39108363352715969, 541971.6669336297782138 7350865.28763126954436302, 541964.05055121588520706 7350862.98834601230919361, 541942.85401525255292654 7350858.60533349122852087, 541933.43228259787429124 7350855.76697451435029507, 541928.23258129274472594 7350844.68251130357384682, 541927.82982620818074793 7350843.8239381555467844, 541924.24417520337738097 7350839.13326147198677063, 541907.07138843974098563 7350822.9664120078086853, 541908.07732573966495693 7350808.59587915148586035, 541913.10701223951764405 7350793.72237764578312635, 541920.36413133202586323 7350792.21347169578075409, 541937.1685077256988734 7350795.28734400123357773, 541939.42891693022102118 7350795.40138916578143835, 541954.01072787190787494 7350797.62313427869230509, 541958.90524843381717801 7350798.24278136622160673)))"/>
    <s v="Mbokaja"/>
    <n v="27.76"/>
    <m/>
    <s v="G-7"/>
    <s v="Ha"/>
    <s v="28 ha"/>
    <n v="28"/>
    <d v="2018-11-01T00:00:00"/>
    <m/>
    <d v="2020-12-05T00:00:00"/>
    <n v="661"/>
    <n v="8.9"/>
    <n v="6.8"/>
    <n v="4.0999999999999996"/>
    <n v="9.6"/>
    <n v="5.3"/>
    <n v="3.3"/>
    <n v="7.9"/>
    <n v="4.7"/>
    <n v="2.2999999999999998"/>
    <x v="1"/>
    <m/>
    <m/>
    <m/>
    <n v="1.6"/>
    <n v="705"/>
    <n v="0.9"/>
    <n v="93.4"/>
    <n v="0"/>
    <n v="0"/>
    <n v="6.1"/>
    <n v="8.1999999999999993"/>
    <s v="SSP_PI"/>
    <x v="0"/>
  </r>
  <r>
    <s v="MultiPolygon (((542477.41234570741653442 7352586.86814265511929989, 542085.27299571968615055 7352689.51844712533056736, 542077.38649377971887589 7352690.70155680831521749, 542044.84067185781896114 7352683.15001438185572624, 541651.48631723877042532 7352451.22561749070882797, 541657.74387198127806187 7352542.37234237231314182, 541661.099578021094203 7352674.16132034454494715, 541672.74535239581018686 7352896.22837492264807224, 541684.5651613837108016 7352936.5346561660990119, 541683.88892229460179806 7352939.87978036794811487, 541992.1425150316208601 7352933.59761661849915981, 542136.76987990736961365 7352946.58404390327632427, 542326.47224286943674088 7352949.83756446186453104, 542503.80271221231669188 7352953.01084036007523537, 542524.90458324179053307 7352949.79317868407815695, 542511.07042394299060106 7352904.08320534694939852, 542494.95567566808313131 7352827.88156483415514231, 542478.05623271595686674 7352764.29255206417292356, 542474.96328179445117712 7352704.82550523709505796, 542479.9312528595328331 7352651.2460619593039155, 542477.41234570741653442 7352586.86814265511929989),(542202.361139269429259 7352872.59434766788035631, 542194.69685507926624268 7352877.00131107680499554, 542178.12284051813185215 7352874.89363292418420315, 542169.31076176278293133 7352870.83724123518913984, 542160.71453612297773361 7352851.10512296296656132, 542158.77052293787710369 7352845.57774589769542217, 542165.28516449953895062 7352831.49462369829416275, 542176.78159078466705978 7352820.38141162227839231, 542194.93037033418659121 7352817.65332853328436613, 542209.72225531749427319 7352843.77847032528370619, 542201.40310374565888196 7352860.33149296324700117, 542202.361139269429259 7352872.59434766788035631),(542391.81277855497319251 7352750.42601662874221802, 542390.90253034653142095 7352755.52240666374564171, 542384.48369233729317784 7352759.45035231113433838, 542376.67570281866937876 7352757.77379014436155558, 542370.87958789989352226 7352757.58218303974717855, 542363.35900903830770403 7352742.92423952650278807, 542365.27508008596487343 7352738.51727611664682627, 542362.92789305234327912 7352727.16455516032874584, 542366.98394084256142378 7352721.57932422216981649, 542374.8929907123092562 7352720.01322838477790356, 542386.01654917537234724 7352736.07428553141653538, 542392.33958363218698651 7352742.10990933049470186, 542391.81277855497319251 7352750.42601662874221802)))"/>
    <s v="F_11"/>
    <n v="27.31"/>
    <m/>
    <s v="G-7"/>
    <s v="Ha"/>
    <s v="27 ha"/>
    <n v="27"/>
    <d v="2020-07-01T00:00:00"/>
    <m/>
    <m/>
    <n v="0"/>
    <m/>
    <m/>
    <m/>
    <m/>
    <m/>
    <m/>
    <m/>
    <m/>
    <m/>
    <x v="0"/>
    <m/>
    <m/>
    <m/>
    <m/>
    <n v="0"/>
    <m/>
    <m/>
    <n v="0"/>
    <m/>
    <m/>
    <m/>
    <s v="PP"/>
    <x v="2"/>
  </r>
  <r>
    <s v="MultiPolygon (((543522.22272945859003812 7349325.7522377735003829, 543521.85149068955797702 7349304.8940080413594842, 543512.65434966189786792 7349299.52900910843163729, 543507.28935072931926697 7349262.93205210100859404, 543502.88238731981255114 7349190.31295940466225147, 543500.39149495831225067 7349106.58065463230013847, 543496.17613865400198847 7348989.89192784298211336, 543492.91881787346210331 7348797.32678757514804602, 543486.07710482564289123 7348781.36279046349227428, 543470.70456364762503654 7348789.10988139733672142, 543458.14356963697355241 7348791.8763041440397501, 543419.06920444441493601 7348819.44532380439341068, 543408.54586295073386282 7348839.0026154387742281, 543377.31972835958003998 7348842.25231916829943657, 543372.63733573339413851 7348822.2306151557713747, 543379.82060270174406469 7348789.4406604366376996, 543380.67173340322915465 7348783.25888432376086712, 543362.72653050138615072 7348773.39710615202784538, 543391.41113725199829787 7348750.56815229170024395, 543404.76033910003025085 7348713.90310013480484486, 543379.70172243542037904 7348712.12474669422954321, 543358.19981265219394118 7348715.19644809234887362, 543320.36938491323962808 7348723.84571255370974541, 543295.92688253230880946 7348734.19115458521991968, 543280.4828515665140003 7348760.46180103905498981, 543255.74750084383413196 7348754.28084542881697416, 543233.51900308683980256 7348748.726310970261693, 543233.51900308660697192 7348732.33483582641929388, 543170.94946383440401405 7348717.16646267473697662, 543127.57329421385657042 7348779.87734798341989517, 543115.50521408661734313 7348825.469081143848598, 543114.37353462388273329 7348878.53676450438797474, 543110.41265650547575206 7348938.75827875640243292, 543105.40093317197170109 7348969.96029821969568729, 543091.53785975696519017 7349022.46214184910058975, 543081.43357884290162474 7349077.71234989538788795, 543077.63506205833982676 7349106.23280643112957478, 543071.00596093875356019 7349155.51531292870640755, 543067.44925405690446496 7349230.04448895435780287, 543071.00596093886997551 7349262.37818788085132837, 543090.27911578502971679 7349285.52997570857405663, 543093.63955018715932965 7349308.29204035643488169, 543108.02804620948154479 7349317.18380756210535765, 543165.42036180419381708 7349333.3506570253521204, 543171.07875911635346711 7349345.96079960372298956, 543200.34075664484407753 7349352.58920788299292326, 543304.13193019921891391 7349347.41581605467945337, 543398.869668054045178 7349339.00905433297157288, 543449.79524386313278228 7349329.79395013954490423, 543522.22272945859003812 7349325.7522377735003829)),((543503.40024096460547298 7348772.63268466107547283, 543505.37327968154568225 7348824.91821066383272409, 543507.48095783370081335 7348874.54445079155266285, 543507.6725649384316057 7348914.20712147373706102, 543507.28935072897002101 7348955.01943478360772133, 543512.07952834758907557 7349079.37244575936347246, 543524.53399015590548515 7349287.45776150934398174, 543534.11434539302717894 7349305.08561514597386122, 543558.93462889292277396 7349313.55371186975389719, 543536.8537282234756276 7348772.56306628417223692, 543511.3692468989174813 7348768.6166528994217515, 543503.40024096460547298 7348772.63268466107547283)))"/>
    <s v="Chavez"/>
    <n v="25.48"/>
    <m/>
    <s v="G-0"/>
    <s v="Ha"/>
    <s v="25,5 ha"/>
    <n v="25.5"/>
    <d v="2018-10-01T00:00:00"/>
    <m/>
    <d v="2020-12-05T00:00:00"/>
    <n v="482"/>
    <n v="12"/>
    <n v="11"/>
    <n v="8.6999999999999993"/>
    <n v="12.2"/>
    <n v="9.9"/>
    <n v="7.3"/>
    <n v="12.5"/>
    <n v="17.600000000000001"/>
    <n v="8.1"/>
    <x v="1"/>
    <m/>
    <m/>
    <m/>
    <n v="3.9"/>
    <n v="491"/>
    <n v="1"/>
    <n v="98.3"/>
    <n v="0"/>
    <n v="0"/>
    <n v="10.9"/>
    <n v="12.2"/>
    <s v="SSP_PI"/>
    <x v="0"/>
  </r>
  <r>
    <s v="MultiPolygon (((543222.02295702614355832 7350083.48663537483662367, 543297.18018494150601327 7350100.71016677375882864, 543302.06616611289791763 7350105.30873728822916746, 543355.81195899622980505 7350119.8229754725471139, 543355.66825366765260696 7350125.7148939436301589, 543364.00316272443160415 7350130.02605380117893219, 543365.90537479694467038 7350135.46510767284780741, 543409.67480870697181672 7350146.39079433120787144, 543406.40102169115561992 7350158.57655711285769939, 543370.93499568710103631 7350149.84645840339362621, 543354.61152987251989543 7350134.02315448969602585, 543221.61393235705327243 7350104.10437870863825083, 543220.97736265952698886 7350109.24240555334836245, 543227.26754259469453245 7350117.73924821428954601, 543243.36253939406014979 7350120.75706011429429054, 543264.61810150649398565 7350125.37831514142453671, 543260.02512242598459125 7350144.69322842080146074, 543259.16289045475423336 7350153.21974458266049623, 543267.59360306418966502 7350156.09385115373879671, 543259.35449755925219506 7350173.33849058300256729, 543250.35630325949750841 7350192.42391214612871408, 543229.21457486355211586 7350192.33911373931914568, 543185.63021583971567452 7350181.61909934878349304, 543176.52601463824976236 7350174.93038512393832207, 543170.03669744729995728 7350152.46412416826933622, 543171.2958006135886535 7350114.57880229316651821, 543161.90200142632238567 7350110.92098408099263906, 543139.02973059704527259 7350101.60426301974803209, 543138.01001670304685831 7350099.93833138514310122, 543133.98094791278708726 7350093.3559427447617054, 543137.06235660065431148 7350085.75552428513765335, 543141.76884558936581016 7350082.56757245399057865, 543151.85593638010323048 7350079.15928368177264929, 543167.39630272216163576 7350065.66563021205365658, 543182.32922053174115717 7350045.86329492274671793, 543182.03317386435810477 7350032.5007820837199688, 543186.59139409719500691 7350002.71636772900819778, 543157.97593969968147576 7349995.83304853551089764, 543130.80507500353269279 7350002.74469431303441525, 543116.12818674545269459 7350012.31666992697864771, 543068.34616499382536858 7350058.30237507168203592, 543060.9882642951561138 7350066.93867462873458862, 543057.85567600780632347 7350073.31958190817385912, 543051.37222043122164905 7350089.57300381362438202, 543042.17507940309587866 7350103.22501002717763186, 543043.32472203159704804 7350118.74518551211804152, 543048.35440853144973516 7350121.61929208412766457, 543081.40663410141132772 7350129.23567449767142534, 543084.13703534414526075 7350116.87701624166220427, 543097.76473504898604006 7350117.04929209221154451, 543106.26765594317112118 7350114.4340256555005908, 543106.26765594317112118 7350106.9613485699519515, 543116.5824727020226419 7350099.59057149663567543, 543129.77047265530563891 7350099.84612320642918348, 543126.96122325689066201 7350105.8117059450596571, 543118.69816686445847154 7350119.89482814446091652, 543093.90899768681265414 7350141.16321677248924971, 543091.37575771124102175 7350159.20584693551063538, 543075.94583161605987698 7350170.76651445310562849, 543068.61511123774107546 7350169.88622619304805994, 543057.40784423111472279 7350179.96365548297762871, 543049.96184906200505793 7350181.02557157631963491, 543040.42219368473161012 7350191.31024001911282539, 543039.01356217486318201 7350203.53132936637848616, 543061.5752987596206367 7350212.72847039438784122, 543061.86270941677503288 7350239.88877749349921942, 543081.11922344448976219 7350245.34957997873425484, 543072.06578774494118989 7350261.01346079260110855, 543069.7665024878224358 7350275.67140430770814419, 543070.2694711385993287 7350296.65238228160887957, 543134.1464896856341511 7350312.45996842253953218, 543359.97941352566704154 7350361.82274878770112991, 543361.2015199022134766 7350348.98886602744460106, 543356.23407350399065763 7350330.73126960080116987, 543357.82592580642085522 7350309.99462936073541641, 543362.88458062615245581 7350305.48851917404681444, 543395.47785976901650429 7350312.04952893685549498, 543398.06132559524849057 7350306.3524919617921114, 543408.69551990902982652 7350243.12214739341288805, 543568.87957840494345874 7350281.21455143764615059, 543569.31441320350859314 7350277.22251366637647152, 543598.96137492929119617 7350281.49147011898458004, 543583.91637405985966325 7349839.63814824726432562, 543574.23957705509383231 7349837.88011758588254452, 543545.61335839924868196 7349830.21807250007987022, 543536.7019074191339314 7349813.45731067564338446, 543537.32258128561079502 7349798.78351194690912962, 543549.063871243968606 7349789.77398714609444141, 543569.49890150607097894 7349787.79344067070633173, 543580.12526602623984218 7349786.39019038341939449, 543566.172288897796534 7349469.35758374352008104, 543565.89560354233253747 7349463.0708767082542181, 543533.73318699037190527 7349456.09700572676956654, 543520.30291608779225498 7349455.69329037982970476, 543514.76676821114961058 7349458.54818626400083303, 543507.00668046821374446 7349472.91871912125498056, 543502.67914369236677885 7349491.23303569201380014, 543489.08132340118754655 7349531.06803021114319563, 543454.31472665746696293 7349585.3920896127820015, 543349.50564035109709948 7349753.14410983491688967, 543344.14064141770359129 7349768.08946400508284569, 543344.52385562716517597 7349787.25017448142170906, 543324.97993094124831259 7349820.2065965011715889, 543323.11027692316565663 7349830.65013362467288971, 543310.65411537478212267 7349828.90593385044485331, 543296.39796491339802742 7349824.14183746371418238, 543285.70323275786358863 7349838.07575199194252491, 543273.62922686489764601 7349852.58819721173495054, 543274.83400634967256337 7349863.38081665150821209, 543280.72592482075560838 7349877.0328228659927845, 543278.19117412494961172 7349883.70103458687663078, 543284.098789241630584 7349914.03856697864830494, 543279.02938782388810068 7349933.80967337917536497, 543272.81765215564519167 7349985.2512883273884654, 543258.30065848317462951 7350036.53101778030395508, 543263.99587882612831891 7350043.43654041364789009, 543258.02048290777020156 7350056.37707291450351477, 543233.63375840056687593 7350051.79763263184577227, 543228.12977456615772098 7350056.80818890128284693, 543222.09415076638106257 7350079.94474679883569479, 543222.02295702614355832 7350083.48663537483662367)))"/>
    <s v="Tajamar_Guazu_1"/>
    <n v="24.87"/>
    <m/>
    <s v="G-0"/>
    <s v="Ha"/>
    <s v="25 ha"/>
    <n v="25"/>
    <d v="2018-10-01T00:00:00"/>
    <m/>
    <d v="2020-12-05T00:00:00"/>
    <n v="643"/>
    <n v="13"/>
    <n v="11.1"/>
    <n v="8.8000000000000007"/>
    <n v="14.7"/>
    <n v="9.8000000000000007"/>
    <n v="7.9"/>
    <n v="11.6"/>
    <n v="22.8"/>
    <n v="10.5"/>
    <x v="1"/>
    <m/>
    <m/>
    <m/>
    <n v="5"/>
    <n v="669"/>
    <n v="1"/>
    <n v="100"/>
    <n v="0"/>
    <n v="0"/>
    <n v="11"/>
    <n v="12.9"/>
    <s v="SSP_PI"/>
    <x v="0"/>
  </r>
  <r>
    <s v="MultiPolygon (((543206.19596446957439184 7357219.7655723886564374, 543219.75100957415997982 7357218.78760472126305103, 543260.13346276804804802 7357229.69104139320552349, 543368.85682239010930061 7357035.41056652553379536, 543370.15895772818475962 7357028.65076086577028036, 543367.09792025107890368 7357023.66729895770549774, 543225.43108422681689262 7356928.09107124805450439, 543182.97094547096639872 7356884.15673930663615465, 543138.83028010558336973 7356820.31230178941041231, 543130.65192781761288643 7356810.24937356356531382, 543124.17071704939007759 7356811.32672193553298712, 543026.25248960684984922 7356978.66088484693318605, 543029.8276804918423295 7356990.13892266992479563, 543105.70544535759836435 7357021.62190584745258093, 542988.60039612744003534 7357044.62470061425119638, 542851.20042740367352962 7357315.43669737037271261, 542849.32013449445366859 7357328.71278574876487255, 542851.31108590960502625 7357338.28387598413974047, 542869.20672820974141359 7357339.31636948045343161, 542932.85194873623549938 7357348.43463551159948111, 543057.766244743950665 7357285.31913732457906008, 543090.32297856453806162 7357278.6050633117556572, 543115.87547870445996523 7357269.3505780091509223, 543134.70182613376528025 7357256.38563067372888327, 543154.82742938026785851 7357238.51687389146536589, 543170.00966410245746374 7357228.16121510043740273, 543206.19596446957439184 7357219.7655723886564374)),((543346.85395396873354912 7357274.09516885969787836, 543404.63346902467310429 7357256.41889814659953117, 543451.20436961483210325 7357268.04554861225187778, 543495.74905542936176062 7357247.24434051662683487, 543533.8213330339640379 7357238.99066604115068913, 543551.44136446435004473 7357256.1147802472114563, 543574.02664274536073208 7357258.92326681595295668, 543652.19396141171455383 7357234.18710244633257389, 543669.57339070457965136 7357236.64002540241926908, 543705.39533710107207298 7357240.40111557208001614, 543756.48050855472683907 7357246.54711857065558434, 543775.96945373062044382 7357258.06940943188965321, 543802.3389185257256031 7357270.69362088106572628, 543821.00679798517376184 7357275.94501835573464632, 543860.43229377921670675 7357269.39388164039701223, 543891.60583170969039202 7357254.09813640546053648, 543899.44905964378267527 7357240.73875620309263468, 543892.65750196296721697 7357114.87529148440808058, 543878.28805831912904978 7357100.55353577714413404, 543810.18096146639436483 7357077.45868462510406971, 543659.87152226734906435 7357053.58295150194317102, 543539.51113088335841894 7357038.23630090057849884, 543465.29576068930327892 7357032.0851479209959507, 543409.4593936400488019 7357028.89423140417784452, 543386.56360789388418198 7357047.49554421845823526, 543366.93451294768601656 7357079.88643893972039223, 543268.53042367752641439 7357258.44328550342470407, 543283.23570800106972456 7357271.10349849052727222, 543294.49825542699545622 7357276.69335185177624226, 543331.02135658543556929 7357283.79409338254481554, 543346.85395396873354912 7357274.09516885969787836)))"/>
    <s v="Ribera_5"/>
    <n v="24.55"/>
    <m/>
    <s v="G-0"/>
    <s v="Ha"/>
    <s v="25 ha"/>
    <n v="25"/>
    <d v="2020-10-01T00:00:00"/>
    <m/>
    <m/>
    <n v="0"/>
    <m/>
    <m/>
    <m/>
    <m/>
    <m/>
    <m/>
    <m/>
    <m/>
    <m/>
    <x v="3"/>
    <m/>
    <m/>
    <m/>
    <m/>
    <n v="0"/>
    <m/>
    <m/>
    <n v="0"/>
    <m/>
    <m/>
    <m/>
    <s v="SSP_PI"/>
    <x v="2"/>
  </r>
  <r>
    <s v="MultiPolygon (((543376.05593682173639536 7352706.94996832590550184, 542534.39674576371908188 7352943.50102483388036489, 542534.45624800305813551 7352949.58839453477412462, 542551.99178183171898127 7352972.41085168998688459, 542595.08867355901747942 7353040.01691354904323816, 542617.13175490871071815 7353060.61660545598715544, 542677.97657030541449785 7353137.77192843798547983, 542710.77251146547496319 7353195.16262142360210419, 542731.82165694795548916 7353227.2554679149761796, 542744.48367404192686081 7353255.01397714484483004, 542748.64465863816440105 7353257.32163246069103479, 542859.42029429413378239 7353207.35247423220425844, 542977.83375413622707129 7353161.65629622340202332, 543116.12776667345315218 7353115.68978838715702295, 543291.75406136747915298 7353071.75820661056786776, 543302.75880176352802664 7353045.42543494887650013, 543299.87790322175715119 7353019.13511161506175995, 543312.48804580152500421 7352981.66843799129128456, 543334.007733054459095 7352914.14423544332385063, 543370.66183221153914928 7352810.02215965930372477, 543388.33204491995275021 7352769.31263843458145857, 543376.05593682173639536 7352706.94996832590550184),(542977.01517194788902998 7353101.84845971968024969, 542958.09688513725996017 7353102.2298243660479784, 542946.88171680457890034 7353091.38705786969512701, 542934.6720523489639163 7353064.57618677709251642, 542917.19123000651597977 7353037.86457075085490942, 542940.28800145070999861 7353029.99958422686904669, 543003.31108840368688107 7353024.23451645113527775, 543013.2475846391171217 7353049.60443542990833521, 543011.37344563007354736 7353084.62388559151440859, 542991.86615556757897139 7353096.40283876284956932, 542977.01517194788902998 7353101.84845971968024969)))"/>
    <s v="F_9"/>
    <n v="23.96"/>
    <m/>
    <s v="G-0"/>
    <s v="Ha"/>
    <s v="24 ha"/>
    <n v="24"/>
    <d v="2020-06-01T00:00:00"/>
    <m/>
    <m/>
    <n v="0"/>
    <m/>
    <m/>
    <m/>
    <m/>
    <m/>
    <m/>
    <m/>
    <m/>
    <m/>
    <x v="2"/>
    <m/>
    <m/>
    <m/>
    <m/>
    <n v="0"/>
    <m/>
    <m/>
    <n v="0"/>
    <m/>
    <m/>
    <m/>
    <s v="PP"/>
    <x v="2"/>
  </r>
  <r>
    <s v="MultiPolygon (((541637.99566528596915305 7351080.49428386427462101, 541628.27568039018660784 7351078.83992310333997011, 541624.75320548377931118 7351081.74552467092871666, 541620.49933942407369614 7351082.42602571658790112, 541618.43388558924198151 7351082.1224319227039814, 541618.26759548578411341 7351082.48827014397829771, 541589.90717637818306684 7351077.71907209232449532, 541587.46385260112583637 7351077.30819329246878624, 541618.58294134528841823 7351609.8249385766685009, 541630.54640994826331735 7351613.48942445497959852, 541644.55007725884206593 7351659.65213266853243113, 541685.27421493886504322 7351668.9498809976503253, 541798.03497039061039686 7351702.40709650237113237, 541860.43900931999087334 7351715.66391306277364492, 542001.46782613999675959 7351747.0814905222505331, 542031.96928212780039757 7351723.47789030522108078, 542048.13613159139640629 7351703.96989195328205824, 542052.23173345578834414 7351628.14736797008663416, 542055.05028027179650962 7351485.4760370422154665, 542046.24768480227794498 7351310.44173633586615324, 542045.82817424414679408 7351233.15596635732799768, 542019.65398784086573869 7351231.50867697596549988, 542014.59851476398762316 7351258.4729252839460969, 541973.39821241819299757 7351251.10429866705089808, 541949.04569798056036234 7351246.74887951090931892, 541924.67953204712830484 7351261.60326254554092884, 541910.21253846783656627 7351252.12408370058983564, 541892.43984198442194611 7351246.75635372381657362, 541874.92879558587446809 7351252.14349502138793468, 541856.4543002787977457 7351234.23104642052203417, 541854.64223939459770918 7351229.94891453720629215, 541846.96279499493539333 7351211.18834672216325998, 541843.06613590382039547 7351205.67803596425801516, 541841.64217865373939276 7351199.94707048870623112, 541843.13727485947310925 7351194.96857363171875477, 541845.63711475301533937 7351186.49783240538090467, 541848.11629294976592064 7351179.7161244535818696, 541847.58764551859349012 7351173.9083152674138546, 541845.96122334711253643 7351168.93891371507197618, 541844.63402149733155966 7351167.14243804849684238, 541832.95979201607406139 7351158.935708899050951, 541828.45063764043152332 7351156.88864987343549728, 541809.40343815460801125 7351156.05322817992419004, 541800.87950582709163427 7351154.78811129461973906, 541794.2751491591334343 7351150.7983159888535738, 541774.52821741718798876 7351143.96993088163435459, 541738.55840293108485639 7351128.17695818096399307, 541737.70845537725836039 7351125.99932812340557575, 541738.27298888156656176 7351124.39956433791667223, 541702.02097182115539908 7351108.52703284565359354, 541674.82831982709467411 7351096.62104084435850382, 541637.99566528596915305 7351080.49428386427462101)))"/>
    <s v="Pindaiva"/>
    <n v="23.36"/>
    <m/>
    <s v="G-1"/>
    <s v="Ha"/>
    <s v="23 ha"/>
    <n v="23"/>
    <d v="2019-08-01T00:00:00"/>
    <m/>
    <d v="2020-12-05T00:00:00"/>
    <n v="571"/>
    <n v="6.5"/>
    <n v="5.3"/>
    <n v="4"/>
    <n v="7"/>
    <n v="4.4000000000000004"/>
    <n v="3.5"/>
    <n v="6.2"/>
    <n v="2.2000000000000002"/>
    <n v="1.7"/>
    <x v="1"/>
    <m/>
    <m/>
    <m/>
    <n v="1"/>
    <n v="667"/>
    <n v="0.9"/>
    <n v="95.6"/>
    <n v="0"/>
    <n v="0"/>
    <n v="4.9000000000000004"/>
    <n v="6.3"/>
    <s v="SSP_PI"/>
    <x v="1"/>
  </r>
  <r>
    <s v="MultiPolygon (((542057.32070099748671055 7356353.16225794795900583, 542060.21107522398233414 7356323.30913999676704407, 542046.42176173441112041 7356299.31407560594379902, 541873.28999766055494547 7356201.2367723248898983, 541858.44613408669829369 7356198.7928983960300684, 541780.42528234422206879 7356387.64606075827032328, 541780.84433700703084469 7356396.80425016675144434, 541788.47967140935361385 7356408.31719772238284349, 541983.92828035354614258 7356490.18315496761351824, 541993.37205635476857424 7356489.81223246641457081, 542037.33609083946794271 7356442.69896951410919428, 542057.47103933990001678 7356357.89464830327779055, 542057.32070099748671055 7356353.16225794795900583)),((541718.67773371189832687 7356086.64092470705509186, 541611.13068665005266666 7356076.08535102102905512, 541850.97019988484680653 7356177.53546977788209915, 541867.34475844539701939 7356140.13560307584702969, 541865.84110776428133249 7356130.62791709881275892, 541869.03038726840168238 7356109.55290281865745783, 541863.6771760955452919 7356105.30892178229987621, 541819.21181437280029058 7356097.16967761982232332, 541811.97467860206961632 7356093.46011719759553671, 541718.67773371189832687 7356086.64092470705509186)),((541602.84617333766072989 7356624.99668310862034559, 541626.00635614618659019 7356620.57737282011657953, 541848.80621333234012127 7356624.60848488751798868, 541867.23963056411594152 7356623.13503350876271725, 541902.13846552185714245 7356580.15035366173833609, 541874.31892976351082325 7356563.6942562647163868, 541926.50845616869628429 7356572.25629597902297974, 541939.29688555467873812 7356571.90352319274097681, 541972.92318583372980356 7356513.97219510190188885, 541976.13418173417448997 7356500.36754564568400383, 541784.31263617891818285 7356424.75499599985778332, 541762.52515370398759842 7356416.96730450354516506, 541754.74052899517118931 7356401.04675475135445595, 541779.98808937799185514 7356328.15287914033979177, 541764.49272701423615217 7356318.80644243210554123, 541783.15824343822896481 7356318.06554197985678911, 541798.93117338791489601 7356290.78276945557445288, 541813.29909843578934669 7356232.16531203128397465, 541766.40010913461446762 7356205.79764511436223984, 541773.86736574582755566 7356203.53019868303090334, 541804.18120087217539549 7356215.43201204482465982, 541816.29808667302131653 7356216.03713280707597733, 541809.05025557335466146 7356173.4256054051220417, 541608.51356809306889772 7356091.57204893697053194, 541567.30363102350383997 7356229.77837594971060753, 541574.36916301213204861 7356236.10552281700074673, 541712.17669051978737116 7356280.95632491447031498, 541717.69800832960754633 7356284.32754798233509064, 541711.59018877893686295 7356287.60255320928990841, 541699.62178789172321558 7356285.26153808459639549, 541689.95440742094069719 7356284.97402853891253471, 541596.31003059539943933 7356249.86013339925557375, 541582.67279411200433969 7356245.72351352218538523, 541563.96251617278903723 7356242.75226415880024433, 541559.44599167909473181 7356256.4162687174975872, 541474.4445674316957593 7356555.77611976489424706, 541476.33944260608404875 7356573.81107830069959164, 541470.653021982870996 7356590.15107398666441441, 541464.53510708548128605 7356622.56536045856773853, 541602.84617333766072989 7356624.99668310862034559)))"/>
    <s v="Ribera_2"/>
    <n v="21.44"/>
    <m/>
    <s v="G-0"/>
    <s v="Ha"/>
    <s v="21 ha"/>
    <n v="21"/>
    <d v="2020-08-01T00:00:00"/>
    <m/>
    <m/>
    <n v="0"/>
    <m/>
    <m/>
    <m/>
    <m/>
    <m/>
    <m/>
    <m/>
    <m/>
    <m/>
    <x v="3"/>
    <m/>
    <m/>
    <m/>
    <m/>
    <n v="0"/>
    <m/>
    <m/>
    <n v="0"/>
    <m/>
    <m/>
    <m/>
    <s v="SSP_PI"/>
    <x v="2"/>
  </r>
  <r>
    <s v="MultiPolygon (((541500.56686765421181917 7356019.33227029070258141, 541442.12674394529312849 7356014.01617967337369919, 541445.68467288464307785 7356058.53164016362279654, 541454.75786335952579975 7356086.57767789904028177, 541469.48858763836324215 7356091.27734208106994629, 541497.99319083243608475 7356097.25504674017429352, 541514.31415806710720062 7356100.14975898806005716, 541546.32392427418380976 7356129.28027664497494698, 541551.7524420078843832 7356130.09052942972630262, 541570.12285026907920837 7356136.55208025779575109, 541571.7921307347714901 7356135.53572931047528982, 541601.8128438713029027 7356031.39169467054307461, 541551.53969303611665964 7356026.85979321226477623, 541500.56686765421181917 7356019.33227029070258141)),((541224.16364538948982954 7355887.23636177834123373, 541152.54256549663841724 7355869.87422802578657866, 541151.03568766824901104 7355912.76166327949613333, 541150.94686810486018658 7355923.4711037278175354, 541173.09865690115839243 7355942.67312970198690891, 541204.14998973999172449 7355989.0402043592184782, 541275.84173778910189867 7356084.35434496030211449, 541351.25090750493109226 7356175.52782624308019876, 541545.07580794114619493 7356222.99388351384550333, 541563.79584381636232138 7356164.36412312276661396, 541562.40132837556302547 7356160.08076391648501158, 541521.84077474661171436 7356139.15995470155030489, 541505.48196008615195751 7356123.16192890517413616, 541443.05333062168210745 7356092.8383101923391223, 541429.57057025283575058 7356041.53058498818427324, 541434.59578924346715212 7356020.81230747140944004, 541359.99811500776559114 7356013.00893086940050125, 541349.06472203880548477 7356008.53024954628199339, 541340.98616534657776356 7356002.9111834317445755, 541224.16364538948982954 7355887.23636177834123373)),((541174.69943739101290703 7356269.57694498356431723, 541191.14626191183924675 7356268.70395668782293797, 541219.526426175609231 7356278.82148695643991232, 541239.07934686075896025 7356298.96814019419252872, 541252.70663166418671608 7356311.55923519749194384, 541278.22156381886452436 7356316.1910588638857007, 541302.17735776491463184 7356297.79422843083739281, 541319.05529485642910004 7356286.60044662933796644, 541339.45711209997534752 7356269.55936678592115641, 541349.70353799406439066 7356257.58650303073227406, 541376.07631490100175142 7356201.54270374588668346, 541366.6100196922197938 7356194.01595222018659115, 541354.14012334309518337 7356192.27930382452905178, 541341.79450059868395329 7356186.28273613378405571, 541233.97005881369113922 7356049.28441533446311951, 541213.97101827897131443 7356049.00762205850332975, 541215.64061334636062384 7356060.00898658391088247, 541215.36530870199203491 7356062.19059061072766781, 541211.35781205259263515 7356068.98578511271625757, 541204.21424582693725824 7356077.03347958065569401, 541186.82490841764956713 7356091.32813820615410805, 541164.5324056139215827 7356103.54879845399409533, 541147.88593447580933571 7356118.08256531413644552, 541152.12775626312941313 7356130.56138393376022577, 541166.67270949482917786 7356132.96971539035439491, 541163.87180750537663698 7356138.06320347357541323, 541151.91870370786637068 7356146.95982967503368855, 541156.63537570554763079 7356361.28766783885657787, 541171.86733354721218348 7356377.10370402876287699, 541242.00444247853010893 7356420.39828985370695591, 541270.68092100042849779 7356340.51714356057345867, 541269.88247242942452431 7356332.82626853231340647, 541235.2402018029242754 7356307.96222694963216782, 541229.15808982588350773 7356299.40488321054726839, 541214.1950184153392911 7356285.11934044677764177, 541174.42695526126772165 7356275.73040701914578676, 541174.69943739101290703 7356269.57694498356431723)),((541283.35026787780225277 7356622.94695078395307064, 541301.27686665672808886 7356617.29037519171833992, 541331.07682014442980289 7356628.35017013363540173, 541379.72905497532337904 7356635.20755081344395876, 541388.88759404793381691 7356633.52009130548685789, 541405.4284124244004488 7356617.7242766497656703, 541441.9004162335768342 7356619.86508770566433668, 541449.89199640974402428 7356595.14785808604210615, 541449.64437190629541874 7356574.34270654153078794, 541511.07803236600011587 7356353.62522622477263212, 541542.86583682708442211 7356243.60197944659739733, 541537.31564164534211159 7356236.11972370091825724, 541395.49154788721352816 7356200.47534249443560839, 541365.01171468291431665 7356261.29165496025234461, 541357.73572978563606739 7356282.64740033261477947, 541354.00403331313282251 7356299.31582140643149614, 541327.02643138915300369 7356302.29796298965811729, 541298.1409148620441556 7356324.24468659795820713, 541227.84076358564198017 7356503.72750598937273026, 541201.0136840445920825 7356595.20351921115070581, 541192.97798669151961803 7356607.63393609225749969, 541192.42266676761209965 7356619.30055274628102779, 541226.84531465452164412 7356635.7668781541287899, 541260.63970171194523573 7356641.38656435068696737, 541283.35026787780225277 7356622.94695078395307064)),((541235.65387811325490475 7356428.52745605818927288, 541161.92238654103130102 7356390.16134706232696772, 541164.16854295413941145 7356441.66846838593482971, 541169.54119732044637203 7356509.41601614095270634, 541206.45636885799467564 7356514.47936669737100601, 541213.88612620439380407 7356507.97134100832045078, 541235.65387811325490475 7356428.52745605818927288)))"/>
    <s v="Ribera_1"/>
    <n v="20.7"/>
    <m/>
    <s v="G-8"/>
    <s v="Ha"/>
    <s v="21 ha"/>
    <n v="21"/>
    <d v="2020-08-01T00:00:00"/>
    <m/>
    <m/>
    <n v="0"/>
    <m/>
    <m/>
    <m/>
    <m/>
    <m/>
    <m/>
    <m/>
    <m/>
    <m/>
    <x v="3"/>
    <m/>
    <m/>
    <m/>
    <m/>
    <n v="0"/>
    <m/>
    <m/>
    <n v="0"/>
    <m/>
    <m/>
    <m/>
    <s v="SSP_PI"/>
    <x v="2"/>
  </r>
  <r>
    <s v="MultiPolygon (((543474.09341983334161341 7349380.38720730226486921, 543529.29300840944051743 7349388.27286281250417233, 543529.29300840944051743 7349380.64469356369227171, 543530.48131575994193554 7349379.42809317726641893, 543528.3180838831467554 7349350.87343240063637495, 543477.54234771884512156 7349341.68257214594632387, 543405.49807633575983346 7349342.25739345978945494, 543236.45808064355514944 7349361.6933158989995718, 543100.90037827007472515 7349377.27950293384492397, 543103.9084934713318944 7349381.44104637671262026, 543101.8008153191767633 7349403.85907763056457043, 543089.15474640624597669 7349424.16943073365837336, 543083.02331905451137573 7349442.3721056841313839, 543084.93939010181929916 7349466.13138667400926352, 543086.66385404451284558 7349499.47102289833128452, 543072.29332118877209723 7349517.86530495528131723, 543072.10171408369205892 7349527.63726729620248079, 543073.87156080198474228 7349565.28765646554529667, 543077.80956644553225487 7349580.43931077420711517, 543091.45403166278265417 7349596.42421789653599262, 543088.57992509170435369 7349610.794750751927495, 543088.38831798708997667 7349621.1415344076231122, 543074.59260644565802068 7349646.05045802425593138, 543071.91010697919409722 7349665.78598981257528067, 543057.34796701872255653 7349671.05518519319593906, 543021.42163487942889333 7349662.43286548089236021, 542972.33772969036363065 7349651.72556282021105289, 542954.91030225181020796 7349655.77747606672346592, 542953.9555119943106547 7349655.89169234503060579, 542934.58746224397327751 7349652.64591382909566164, 542924.568639523582533 7349650.2816072478890419, 542917.99682119616772979 7349651.3499232791364193, 542913.01896708877757192 7349649.31389769725501537, 542910.87863767822273076 7349646.51768848113715649, 542907.56827930198051035 7349637.34302165172994137, 542902.34538256016094238 7349621.90442421939224005, 542885.80469878390431404 7349603.06877431645989418, 542878.96175250271335244 7349591.05921896267682314, 542874.65059264632873237 7349585.98163068760186434, 542873.30934291274752468 7349580.32922109682112932, 542861.90872018039226532 7349562.60556390881538391, 542846.10466991364955902 7349529.83321886789053679, 542833.35869438434019685 7349514.84497265331447124, 542821.91427236492745578 7349505.62819752376526594, 542811.28665671625640243 7349499.65062336064875126, 542809.8609472531825304 7349501.10772689338773489, 542795.15855925448704511 7349516.13386092707514763, 542789.95811824477277696 7349519.50878105312585831, 542786.18993157986551523 7349522.74022535234689713, 542744.188826983445324 7349565.15499257482588291, 542743.01076835265848786 7349567.60846714396029711, 542741.93925382487941533 7349568.61390766594558954, 542701.77999735018238425 7349611.06018126755952835, 542682.61237191932741553 7349632.44635359570384026, 542700.24022555560804904 7349661.95384772587567568, 542714.03593709704000503 7349683.79705766681581736, 542725.14914917212445289 7349701.04169709328562021, 542741.97876639117021114 7349738.18333582580089569, 542752.54896515025757253 7349747.79383064992725849, 542788.76270794647280127 7349760.05668535362929106, 542808.70982939878012985 7349767.58390099555253983, 542833.10233003553003073 7349773.02999526541680098, 542862.53144327201880515 7349779.60061003547161818, 542896.6375079161953181 7349789.18096527270972729, 542932.671166185522452 7349794.35713943187147379, 542941.21734417497646064 7349785.71385449822992086, 542942.98822953156195581 7349771.49671274702996016, 542798.70277772506233305 7349742.28281137626618147, 542800.30807043612003326 7349735.40298547223210335, 542943.66566631686873734 7349766.05806886777281761, 542948.91230997035745531 7349723.93660896364599466, 542955.48756387829780579 7349725.92841756250709295, 542956.48011846514418721 7349717.28611058928072453, 542942.94979418662842363 7349712.01157739572227001, 542951.43491280195303261 7349698.93990817759186029, 542964.27725449006538838 7349698.48125311732292175, 542971.91618207271676511 7349718.32046970073133707, 542971.91618207271676511 7349718.32046970166265965, 543012.94249586411751807 7349726.86175243090838194, 543018.44448964460752904 7349740.13877760525792837, 543038.93597133620642126 7349745.8016657056286931, 543061.34398226079065353 7349800.9526568204164505, 543081.3166854721494019 7349850.10982570331543684, 543120.91986126964911819 7349938.58236394450068474, 543128.24883302522357553 7349943.32463978789746761, 543148.34412706305738539 7349944.55860959645360708, 543162.89429158018901944 7349937.76853282283991575, 543179.70781502197496593 7349918.52998195961117744, 543203.06891249597538263 7349889.75298991519957781, 543211.63734271179419011 7349876.65784184914082289, 543174.45358894614037126 7349869.86776507645845413, 543165.88515873067080975 7349863.40102528966963291, 543187.38706851680763066 7349836.56405518017709255, 543203.23058099090121686 7349838.98908259999006987, 543211.15233722783159465 7349855.31760055758059025, 543228.6125346478074789 7349861.46100335568189621, 543239.60599228285718709 7349848.68919227737933397, 543261.91624454222619534 7349832.19900582544505596, 543271.94217445724643767 7349816.89224259741604328, 543245.021886853617616 7349806.65538367535918951, 543243.40520190738607198 7349793.35814999230206013, 543239.9697463964112103 7349781.71801837813109159, 543203.05564268224406987 7349772.84748061839491129, 543194.41964803368318826 7349685.2423442080616951, 543252.62030610139481723 7349701.40919367130845785, 543255.08575064467731863 7349717.85896300245076418, 543261.21463935251813382 7349744.65539540257304907, 543273.83929602231364697 7349760.70111408084630966, 543271.05051448952872306 7349787.65933555644005537, 543268.54465282266028225 7349795.66192603949457407, 543281.73172065976541489 7349801.94637053366750479, 543318.82355465274304152 7349747.32304614502936602, 543339.6285670620854944 7349714.84038160648196936, 543295.62412569904699922 7349703.430049829185009, 543307.69537329860031605 7349689.63433828670531511, 543350.23360494745429605 7349698.8797098184004426, 543359.40234680578578264 7349685.08067570813000202, 543376.62004148412961513 7349656.06118092034012079, 543377.67088669934310019 7349642.96603285614401102, 543387.69433336658403277 7349635.20594511181116104, 543390.2810292806243524 7349618.95826140325516462, 543402.8911718619056046 7349611.68317914474755526, 543422.93806519638746977 7349583.39119258429855108, 543461.09182992961723357 7349521.55299338512122631, 543467.80107245675753802 7349502.07193978130817413, 543483.84667054913006723 7349482.99505741335451603, 543494.88054530753288418 7349463.31191819254308939, 543501.2664508456364274 7349443.58836184721440077, 543507.45027076511178166 7349423.98605686891824007, 543509.269041329738684 7349391.9756949320435524, 543474.09341983334161341 7349380.38720730226486921),(543335.11835662135854363 7349636.96299108490347862, 543277.17370872129686177 7349623.28289362136274576, 543277.65871420525945723 7349616.89698808267712593, 543287.52049237780738622 7349619.16034700721502304, 543298.675618507550098 7349620.77703195344656706, 543308.69906517444178462 7349616.57365109212696552, 543304.9806897978996858 7349604.44851399399340153, 543310.80075560451950878 7349586.3416425958275795, 543275.72111563489306718 7349576.44283425435423851, 543271.81716906221117824 7349562.90559965651482344, 543273.05116210761480033 7349553.68460667971521616, 543269.97946070949546993 7349546.24785592500120401, 543246.78003172972239554 7349532.91020511835813522, 543284.28712248429656029 7349539.29611065611243248, 543348.95452033751644194 7349554.25044640991836786, 543388.72497001709416509 7349563.38471635524183512, 543390.94791181804612279 7349557.7667361656203866, 543371.02226985467132181 7349544.02491412125527859, 543358.97796700452454388 7349533.35479347500950098, 543339.09274216473568231 7349528.66640713065862656, 543335.29353254090528935 7349526.56471670046448708, 543334.24268732569180429 7349522.36133584007620811, 543341.67943807889241725 7349522.52300433628261089, 543369.72892189770936966 7349529.23224686179310083, 543390.17998646828345954 7349532.54645100049674511, 543397.45506872690748423 7349523.97802078630775213, 543343.45779151935130358 7349511.93371793255209923, 543347.82284087443258613 7349496.97938217874616385, 543360.3521492084255442 7349493.98851502873003483, 543375.38731920928694308 7349481.78254368342459202, 543378.78235759655945003 7349471.43576002400368452, 543381.04571652144659311 7349455.99641878716647625, 543409.01436609262600541 7349461.00814212113618851, 543427.78812003170605749 7349447.04402589425444603, 543449.71440961642656475 7349426.06753871776163578, 543458.28283983177971095 7349411.5173741988837719, 543468.58920636470429599 7349402.54477274790406227, 543477.2788879512809217 7349399.91765971016138792, 543485.03897569363471121 7349400.24099669884890318, 543486.65566063998267055 7349403.47436659131199121, 543481.32060031709261239 7349406.54606798943132162, 543437.73073245398700237 7349448.41820811945945024, 543432.75942624418530613 7349463.57462949212640524, 543413.60170963010750711 7349485.76363037899136543, 543413.72296100098174065 7349516.56147860549390316, 543404.87161091971211135 7349558.39320159330964088, 543394.08023890282493085 7349577.79342094901949167, 543383.47464072075672448 7349583.22574479039758444, 543359.54380673647392541 7349595.96091803070157766, 543335.11835662135854363 7349636.96299108490347862),(542864.63444264186546206 7349647.68520519230514765, 542767.85822492057923228 7349624.06446958798915148, 542769.69284516177140176 7349613.51540320087224245, 542866.92771794332657009 7349636.21882868558168411, 542864.63444264186546206 7349647.68520519230514765)))"/>
    <s v="Abuelito_2"/>
    <n v="20.329999999999998"/>
    <m/>
    <s v="G-7"/>
    <s v="Ha"/>
    <s v="20 ha"/>
    <n v="20"/>
    <d v="2019-11-01T00:00:00"/>
    <m/>
    <d v="2020-12-05T00:00:00"/>
    <n v="488"/>
    <n v="6.8"/>
    <n v="6.3"/>
    <n v="5.0999999999999996"/>
    <n v="7.1"/>
    <n v="4.5999999999999996"/>
    <n v="3.5"/>
    <n v="5.8"/>
    <n v="2.2999999999999998"/>
    <n v="2.1"/>
    <x v="1"/>
    <m/>
    <m/>
    <m/>
    <n v="0.9"/>
    <n v="583"/>
    <n v="0.8"/>
    <n v="84.9"/>
    <n v="0"/>
    <n v="0"/>
    <n v="6"/>
    <n v="7.1"/>
    <s v="SSP_PI"/>
    <x v="1"/>
  </r>
  <r>
    <s v="MultiPolygon (((541411.27528096467722207 7348392.36517172586172819, 541420.5682255452265963 7348393.61061790678650141, 541433.86096853320486844 7348385.65892300009727478, 541468.5418544914573431 7348396.58052797056734562, 541470.84113974845968187 7348384.12606616225093603, 541468.5418544914573431 7348363.81571306008845568, 541546.33433901681564748 7348383.74285195302218199, 541545.37630349316168576 7348398.30499191302806139, 541696.5543091349536553 7348438.15926969982683659, 541710.73323488584719598 7348448.8892675656825304, 541719.16394749446772039 7348449.27248177491128445, 541721.46323275135364383 7348467.28354962076991796, 541800.40535990544594824 7348488.74354535154998302, 541798.87250306748319417 7348503.1140782069414854, 541840.76913483953103423 7348513.58823615033179522, 541841.19641424145083874 7348329.52090342994779348, 541857.14501372585073113 7348275.10162361245602369, 541872.66518921125680208 7348204.97342327237129211, 541896.99929151451215148 7348140.78504317998886108, 541904.37616504752077162 7348115.30129824765026569, 541902.65170110471080989 7348091.06299949716776609, 541393.1684095652308315 7348086.17701832950115204, 541411.27528096467722207 7348392.36517172586172819)))"/>
    <s v="SSP_17_2"/>
    <n v="15.66"/>
    <m/>
    <s v="G-7"/>
    <s v="Ha"/>
    <s v="15.5 ha"/>
    <n v="15.5"/>
    <d v="2019-12-01T00:00:00"/>
    <m/>
    <d v="2020-12-05T00:00:00"/>
    <n v="433"/>
    <n v="7.5"/>
    <n v="6.7"/>
    <n v="5.7"/>
    <n v="7.8"/>
    <n v="5.9"/>
    <n v="4.9000000000000004"/>
    <n v="7"/>
    <n v="3.4"/>
    <n v="3.4"/>
    <x v="4"/>
    <m/>
    <m/>
    <m/>
    <n v="1.2"/>
    <n v="458"/>
    <n v="0"/>
    <n v="3.9"/>
    <n v="0"/>
    <n v="0"/>
    <n v="6.7"/>
    <n v="7.8"/>
    <s v="SSP_PN"/>
    <x v="1"/>
  </r>
  <r>
    <s v="MultiPolygon (((541512.42429454438388348 7355254.99902467802166939, 541559.71232921676710248 7355287.00938661117106676, 541571.89809199771843851 7355291.01068185269832611, 541571.17058377200737596 7355255.3627787921577692, 541562.55450610257685184 7355239.65646116249263287, 541544.60075925476849079 7355201.58537787944078445, 541530.14976129308342934 7355154.58644517138600349, 541515.57721137814223766 7355136.38390007242560387, 541474.74210944585502148 7355090.24055943172425032, 541451.13172652735374868 7355048.56856562662869692, 541436.61407893802970648 7355000.52867641020566225, 541432.051661042496562 7354962.61418130621314049, 541401.84304423409048468 7354917.07145382463932037, 541385.9288017968647182 7354899.06562524847686291, 541385.9288017968647182 7354876.96756289154291153, 541397.01574956998229027 7354865.16298112273216248, 541421.73447199538350105 7354848.94449855573475361, 541438.47418268211185932 7354831.85807870328426361, 541447.42658515181392431 7354809.36523307859897614, 541443.85664426989387721 7354777.026120375841856, 541433.28375936951488256 7354765.45557592995464802, 541426.7602009653346613 7354758.65653767623007298, 541409.8456347172614187 7354750.65394719317555428, 541391.56699054583441466 7354742.37854112684726715, 541382.10938361147418618 7354719.28015496022999287, 541381.01812127279117703 7354693.99924411624670029, 541360.15721664484590292 7354679.5934089096263051, 541265.3443133826367557 7354641.70959039311856031, 541235.33459907141514122 7354635.52577047701925039, 541153.94461631844751537 7354638.8904960174113512, 541099.92713055817876011 7354636.70797134004533291, 541082.4214638767298311 7354638.84502675384283066, 541095.97130458080209792 7354932.39459583722054958, 541119.88813750143162906 7354945.39880537148565054, 541130.43700677447486669 7354952.12825645972043276, 541139.98555223690345883 7354964.31401924043893814, 541152.35319207445718348 7354978.22761405631899834, 541178.17973408778198063 7355004.7816642951220274, 541199.64122674660757184 7355019.14995175320655107, 541234.01599041209556162 7355052.97908424958586693, 541256.70515320205595344 7355070.93944357149302959, 541270.93703286803793162 7355076.75950937718153, 541282.71357227175030857 7355092.58281328715384007, 541362.19384593225549906 7355150.96534839924424887, 541436.03593084332533181 7355200.2540306905284524, 541512.42429454438388348 7355254.99902467802166939)))"/>
    <s v="Aguaray_1"/>
    <n v="15.33"/>
    <m/>
    <s v="G-7"/>
    <s v="Ha"/>
    <s v="15,5 ha"/>
    <n v="15.5"/>
    <d v="2018-08-01T00:00:00"/>
    <m/>
    <d v="2020-11-05T00:00:00"/>
    <n v="467"/>
    <n v="15.7"/>
    <n v="14.7"/>
    <n v="13.4"/>
    <n v="16"/>
    <n v="11.9"/>
    <n v="10.7"/>
    <n v="12.9"/>
    <n v="30.8"/>
    <n v="13.7"/>
    <x v="0"/>
    <d v="2020-12-29T00:00:00"/>
    <m/>
    <m/>
    <n v="5.2"/>
    <n v="467"/>
    <n v="0.9"/>
    <n v="81"/>
    <n v="0"/>
    <n v="0"/>
    <n v="14.7"/>
    <n v="16"/>
    <s v="PP"/>
    <x v="0"/>
  </r>
  <r>
    <s v="MultiPolygon (((542110.02893721032887697 7351248.29868826176971197, 542091.45401249267160892 7351244.21849413681775331, 542091.4452756280079484 7351249.73145701456815004, 542091.3413035087287426 7351315.33786352444440126, 542091.11250220611691475 7351459.71148534584790468, 542090.99904437270015478 7351531.30337716639041901, 542090.90306635852903128 7351591.86550349462777376, 542090.89071017690002918 7351599.66225363127887249, 542119.23248564545065165 7351603.99475433863699436, 542134.68244760110974312 7351570.17259051650762558, 542131.72243024967610836 7351547.67645866516977549, 542131.04116054531186819 7351519.51731082703918219, 542138.76221721060574055 7351499.07921965420246124, 542148.50611975137144327 7351493.57167266122996807, 542152.13409481011331081 7351486.74325044080615044, 542152.8165909331291914 7351475.57012616377323866, 542152.80333872325718403 7351473.66111531853675842, 542156.9267107704654336 7351464.34450306370854378, 542157.35937782470136881 7351463.36690726689994335, 542155.22464162763208151 7351463.24911512155085802, 542155.40178267285227776 7351462.84829158615320921, 542153.94810895994305611 7351455.64575211890041828, 542156.70151401683688164 7351444.90403269696980715, 542164.49776109121739864 7351440.03452159184962511, 542168.60205274634063244 7351437.47099408973008394, 542170.25785121601074934 7351420.55187621805816889, 542170.85426132008433342 7351419.71297868900001049, 542182.82957431953400373 7351414.47729189042001963, 542189.73474454414099455 7351404.7254165094345808, 542188.12904299329966307 7351393.99568386375904083, 542187.37970498856157064 7351386.94313499797135592, 542182.60103526804596186 7351381.51718369498848915, 542182.45035041775554419 7351380.42271940130740404, 542186.99645317066460848 7351370.9733846727758646, 542190.98399507254362106 7351365.24790405482053757, 542187.98593895323574543 7351350.9975132429972291, 542185.22845724783837795 7351340.06487677525728941, 542179.09517814498394728 7351324.72573656216263771, 542173.37014060840010643 7351320.4931560019031167, 542171.63656307011842728 7351315.36348619963973761, 542169.13975583016872406 7351306.68259691260755062, 542165.19969484955072403 7351295.65388365555554628, 542164.7057525273412466 7351295.03948667366057634, 542162.39325955230742693 7351289.63980039767920971, 542162.31736393179744482 7351289.34456830006092787, 542160.8729849997907877 7351274.74478476587682962, 542161.76071760803461075 7351268.29818237014114857, 542159.22461531031876802 7351262.54666434228420258, 542155.0334384785965085 7351258.18444039486348629, 542147.99951539933681488 7351256.67175959516316652, 542138.29307771660387516 7351254.51139495242387056, 542128.72488973289728165 7351252.42709657642990351, 542118.3966003805398941 7351250.47693187743425369, 542110.02893721032887697 7351248.29868826176971197)),((542304.51332996878772974 7351632.78909486532211304, 542301.91850104928016663 7351608.94684504996985197, 542332.53509810473769903 7351616.70762010104954243, 542354.74181294068694115 7351607.02794649731367826, 542354.98677822388708591 7351592.79024973418563604, 542355.91889817733317614 7351592.43134146649390459, 542392.34548495803028345 7351600.93134601321071386, 542427.63045640289783478 7351577.44527793675661087, 542446.28425780590623617 7351556.71883193403482437, 542482.55553831160068512 7351511.12065072730183601, 542501.91757203079760075 7351466.86457366403192282, 542504.31830661743879318 7351461.3771803192794323, 542511.62514789495617151 7351429.95776282250881195, 542458.57565136719495058 7351348.76615533139556646, 542425.60837220400571823 7351298.31013661250472069, 542333.33242029789835215 7351157.08291754126548767, 542326.67911104392260313 7351157.99018698465079069, 542297.61160359717905521 7351163.44034462980926037, 542249.46854439191520214 7351166.61960325576364994, 542199.28167606983333826 7351187.51187423150986433, 542171.03607907891273499 7351210.67732787970453501, 542167.71617970522493124 7351213.40012304950505495, 542167.03490999806672335 7351248.37196794524788857, 542180.43321421276777983 7351291.51904930640012026, 542199.962945775128901 7351364.18781791906803846, 542207.57045749016106129 7351413.01214683149009943, 542204.84537866804748774 7351444.3505532955750823, 542197.12432200275361538 7351466.83245358429849148, 542178.50295004434883595 7351491.13107308931648731, 542161.47120740078389645 7351489.99562357924878597, 542152.93981775268912315 7351522.20597225148230791, 542161.5314879035577178 7351577.69384197890758514, 542217.33683709893375635 7351611.57566113397479057, 542219.21119659673422575 7351605.68230526987463236, 542286.28852623701095581 7351621.81798583827912807, 542305.32253125589340925 7351661.38801632076501846, 542316.26810374390333891 7351671.00709351524710655, 542322.34157573617994785 7351668.37221492454409599, 542319.48749660886824131 7351652.07545715756714344, 542315.14467218238860369 7351639.97770692221820354, 542304.51332996878772974 7351632.78909486532211304)))"/>
    <s v="Torito_2"/>
    <n v="13.92"/>
    <m/>
    <s v="G-0"/>
    <s v="Ha"/>
    <s v="14 ha"/>
    <n v="14"/>
    <d v="2019-09-01T00:00:00"/>
    <m/>
    <d v="2020-12-05T00:00:00"/>
    <n v="488"/>
    <n v="7"/>
    <n v="6.2"/>
    <n v="4.5"/>
    <n v="7.4"/>
    <n v="5.7"/>
    <n v="4.3"/>
    <n v="7.1"/>
    <n v="3.6"/>
    <n v="2.9"/>
    <x v="1"/>
    <m/>
    <m/>
    <m/>
    <n v="1.4"/>
    <n v="536"/>
    <n v="1"/>
    <n v="97.2"/>
    <n v="0"/>
    <n v="0"/>
    <n v="6.1"/>
    <n v="7.4"/>
    <s v="SSP_PI"/>
    <x v="1"/>
  </r>
  <r>
    <s v="MultiPolygon (((542271.30631250445730984 7350049.31391548924148083, 542357.51603725273162127 7350036.03689037077128887, 542370.06555414677131921 7350023.66925053205341101, 542422.44614639901556075 7350017.94012325350195169, 542437.03194081538822502 7350005.64909192640334368, 542459.09070875006727874 7349961.31599806435406208, 542468.19525846641045064 7349939.19789843261241913, 542510.32165838347282261 7349946.87361254263669252, 542541.60254254192113876 7349945.33314581029117107, 542561.337050024070777 7349815.23953157477080822, 542568.12966859864536673 7349617.31043717265129089, 542549.57820884266402572 7349616.03729777783155441, 542463.18660703767091036 7349671.32792293187230825, 542384.60242517234291881 7349725.48410124517977238, 542368.7542702869977802 7349725.31128936447203159, 542342.96044473862275481 7349706.15897570829838514, 542308.35053394827991724 7349690.47553214617073536, 542284.81207153503783047 7349688.29982471652328968, 542280.93202766368631274 7349690.31169931590557098, 542187.6971056591719389 7349748.33041136525571346, 542186.16583726811222732 7349750.49791254103183746, 542171.76387973036617041 7349844.7470257505774498, 542192.40894029813352972 7349851.22971182689070702, 542197.05601755785755813 7349876.55380513984709978, 542216.59994224261026829 7349879.8111259201541543, 542223.88101222331169993 7349875.21255540661513805, 542246.87386479368433356 7349878.27826908230781555, 542272.89696398901287466 7349871.29935276787728071, 542283.66242890630383044 7349878.27826908230781555, 542291.17736262595281005 7349896.65648042503744364, 542307.63593084097374231 7349948.54887671303004026, 542313.14231772057246417 7349970.7585644256323576, 542301.54819361190311611 7349975.4793474031612277, 542274.22040205216035247 7349988.21782059036195278, 542263.74692798731848598 7349984.99133490584790707, 542209.75885551690589637 7349971.60120725259184837, 542196.67001540528144687 7349954.79625893570482731, 542187.94013254065066576 7349953.91010328941047192, 542147.78904080437496305 7349951.37637940514832735, 542148.93868343287613243 7349992.76351402886211872, 542164.26725181227084249 7350001.96065505594015121, 542212.45336941175628453 7350010.06802284624427557, 542202.20545855129603297 7350034.15064865257591009, 542218.87527666380628943 7350045.07225362304598093, 542271.30631250445730984 7350049.31391548924148083)),((542361.11960100429132581 7350045.66204436309635639, 542274.30361938639543951 7350058.75719242822378874, 542299.73347486485727131 7350121.14027420431375504, 542383.65738674229942262 7350135.70241416431963444, 542396.11184855061583221 7350128.99616549722850323, 542427.15219951886683702 7350133.97795022279024124, 542418.72148691024631262 7350179.00561983697116375, 542410.09916719677858055 7350183.02936903666704893, 542365.45471179170999676 7350179.10142339020967484, 542337.76748515653889626 7350176.03570971265435219, 542304.61945603613276035 7350166.64696158282458782, 542305.96070576936472207 7350185.42445784714072943, 542309.02641944517381489 7350191.555885199457407, 542322.24730967241339386 7350202.86070437915623188, 542365.55051534413360059 7350190.02302836161106825, 542425.81094978575129062 7350192.41811716929078102, 542456.37228299211710691 7350194.04677755944430828, 542487.50843751279171556 7350200.27400846220552921, 542523.45693830656819046 7350198.58743813820183277, 542521.73588969884440303 7350155.21701322309672832, 542493.85490225360263139 7350145.92335074115544558, 542482.90986699878703803 7350079.75313958246260881, 542479.4609391133999452 7350048.90439571812748909, 542430.5053238517139107 7350037.12055877689272165, 542361.11960100429132581 7350045.66204436309635639)))"/>
    <s v="Lechera"/>
    <n v="13.35"/>
    <m/>
    <s v="G-2"/>
    <s v="Ha"/>
    <s v="13 ha"/>
    <n v="13"/>
    <d v="2019-04-01T00:00:00"/>
    <m/>
    <d v="2020-12-05T00:00:00"/>
    <n v="536"/>
    <n v="9.5"/>
    <n v="8.4"/>
    <n v="7"/>
    <n v="9.8000000000000007"/>
    <n v="7.9"/>
    <n v="6.1"/>
    <n v="9.6999999999999993"/>
    <n v="9.5"/>
    <n v="5.7"/>
    <x v="1"/>
    <m/>
    <m/>
    <m/>
    <n v="2.8"/>
    <n v="571"/>
    <n v="0.1"/>
    <n v="13.3"/>
    <n v="0"/>
    <n v="0"/>
    <n v="8.3000000000000007"/>
    <n v="9.8000000000000007"/>
    <s v="SSP_PI"/>
    <x v="1"/>
  </r>
  <r>
    <s v="MultiPolygon (((542104.94363792333751917 7356410.82850324362516403, 542073.15986842662096024 7356334.11039921455085278, 542065.98944285232573748 7356347.44824340008199215, 542061.36774052865803242 7356380.44308908097445965, 542054.67117891646921635 7356442.09151884354650974, 542114.59146609716117382 7356459.79899059049785137, 542104.94363792333751917 7356410.82850324362516403)),((542182.17539703473448753 7356641.15615732036530972, 542240.96512561663985252 7356555.29168265964835882, 542242.01767858304083347 7356547.63254474196583033, 542233.82969437818974257 7356536.92882355954498053, 542133.09382366389036179 7356484.8659582082182169, 542101.43558258283883333 7356471.58603418711572886, 542063.85436719469726086 7356463.50162294320762157, 542045.72763169836252928 7356461.81922253221273422, 542037.33597239200025797 7356463.10581227764487267, 542030.92747474368661642 7356468.59976999368518591, 542013.74722781777381897 7356484.26826332230120897, 541965.17315358016639948 7356562.68724271189421415, 541959.69175198674201965 7356578.92476437520235777, 541960.5793469836935401 7356593.64962522312998772, 541978.45998400542885065 7356592.80868635233491659, 542017.21220160461962223 7356592.75129576213657856, 542035.74311402533203363 7356586.70227303821593523, 542052.80807638168334961 7356589.94685157667845488, 542104.86542263813316822 7356611.58423319738358259, 542142.10558642912656069 7356657.49505871161818504, 542166.44300040230154991 7356661.77614078763872385, 542182.17539703473448753 7356641.15615732036530972)),((542277.3196116778999567 7356584.1047218656167388, 542261.39817239530384541 7356583.86379305645823479, 542191.0254478408023715 7356673.84551555104553699, 542187.85821326542645693 7356687.77489034924656153, 542200.97293802537024021 7356691.00302858557552099, 542204.44061164557933807 7356695.15960291307419538, 542198.66894849762320518 7356699.6216804888099432, 542200.88327697478234768 7356709.89748291112482548, 542221.0011752787977457 7356730.00406007934361696, 542231.06121988128870726 7356741.88086196407675743, 542243.08047264255583286 7356761.3893989622592926, 542249.11448901332914829 7356799.80040603131055832, 542242.30641949456185102 7356863.96414116676896811, 542245.70691732969135046 7356909.17587027791887522, 542248.98666065838187933 7356959.75182276777923107, 542253.83914176933467388 7356982.20459747407585382, 542252.15209520049393177 7357009.16810930706560612, 542250.5102045051753521 7357022.44340413808822632, 542260.17964643239974976 7357026.16416729055345058, 542288.1443392438814044 7357027.67822597734630108, 542351.81887725926935673 7356992.26395593024790287, 542401.44075666554272175 7356930.86024205759167671, 542592.92935996688902378 7356685.78394264820963144, 542543.33720832876861095 7356681.62463938817381859, 542486.20801230706274509 7356673.46916252840310335, 542384.70796654187142849 7356637.79886634089052677, 542277.3196116778999567 7356584.1047218656167388)))"/>
    <s v="Ribera_3"/>
    <n v="12.69"/>
    <m/>
    <s v="G-8"/>
    <s v="Ha"/>
    <s v="13 ha"/>
    <n v="13"/>
    <d v="2020-09-01T00:00:00"/>
    <m/>
    <m/>
    <n v="0"/>
    <m/>
    <m/>
    <m/>
    <m/>
    <m/>
    <m/>
    <m/>
    <m/>
    <m/>
    <x v="3"/>
    <m/>
    <m/>
    <m/>
    <m/>
    <n v="0"/>
    <m/>
    <m/>
    <n v="0"/>
    <m/>
    <m/>
    <m/>
    <s v="SSP_PI"/>
    <x v="2"/>
  </r>
  <r>
    <s v="MultiPolygon (((541967.01197070663329214 7349711.42537208832800388, 542152.86009925662074238 7349757.55352318845689297, 542157.72900692641269416 7349748.02870490495115519, 542160.20665177528280765 7349737.96176603343337774, 542182.35017226776108146 7349745.30293838120996952, 542187.6971056591719389 7349748.33041136525571346, 542280.93202766368631274 7349690.31169931590557098, 542284.81207153503783047 7349688.29982471652328968, 542291.61412375350482762 7349682.64741512481123209, 542303.58862060587853193 7349674.46421500109136105, 542319.01393973315134645 7349678.62366592511534691, 542324.37893866619560868 7349692.4193774675950408, 542395.75258518720511347 7349710.23883821256458759, 542474.69471234525553882 7349661.18741939589381218, 542500.65747503947932273 7349642.60153023432940245, 542540.95434922259300947 7349620.19618586078286171, 542554.11842726380564272 7349610.23763671051710844, 542541.57991658558603376 7349596.23690373636782169, 542526.60088664141949266 7349593.9662933861836791, 542499.93890108028426766 7349588.39148750528693199, 542491.02030721702612936 7349578.750535455532372, 542458.82602189364843071 7349569.54711892828345299, 542447.26235417579300702 7349563.8090845849364996, 542434.79592434247024357 7349558.4727433230727911, 542401.66092812165152282 7349551.23009984660893679, 542380.11594371031969786 7349547.09911915101110935, 542365.93212883442174643 7349535.92831921949982643, 542357.570794572471641 7349533.47747429087758064, 542332.56083526345901191 7349526.82654597051441669, 542327.88314640906173736 7349524.02509504090994596, 542288.97361020126845688 7349510.53512609284371138, 542248.93383213470224291 7349501.26155789662152529, 542236.87390529841650277 7349498.77474821172654629, 542022.64157076831907034 7349414.48058221954852343, 542020.08862830838188529 7349428.74939893651753664, 541991.4429919202812016 7349473.49115481786429882, 541965.0708187377313152 7349547.3332397323101759, 541959.97826115763746202 7349604.26075839530676603, 541945.06434253044426441 7349674.10154806450009346, 541946.24654339731205255 7349708.56725026108324528, 541967.01197070663329214 7349711.42537208832800388)))"/>
    <s v="Aviacion_kue_2"/>
    <n v="11.76"/>
    <m/>
    <s v="G-0"/>
    <s v="Ha"/>
    <s v="11,5 ha"/>
    <n v="11.5"/>
    <d v="2019-04-01T00:00:00"/>
    <m/>
    <d v="2020-12-05T00:00:00"/>
    <n v="560"/>
    <n v="11.2"/>
    <n v="10.1"/>
    <n v="8.6"/>
    <n v="11.9"/>
    <n v="9"/>
    <n v="8"/>
    <n v="10.6"/>
    <n v="15.3"/>
    <n v="9.1999999999999993"/>
    <x v="1"/>
    <m/>
    <m/>
    <m/>
    <n v="3.8"/>
    <n v="643"/>
    <n v="0.3"/>
    <n v="32.1"/>
    <n v="0"/>
    <n v="0"/>
    <n v="9.6999999999999993"/>
    <n v="11.3"/>
    <s v="SSP_PI"/>
    <x v="1"/>
  </r>
  <r>
    <s v="MultiPolygon (((541942.58735576586332172 7349044.80448587518185377, 541967.10354103508871049 7349099.4911917494609952, 541972.58359572023618966 7349103.99107405170798302, 542108.50958433502819389 7349215.60509722307324409, 542307.39775905723217875 7349325.97078955359756947, 542371.7777462505036965 7349323.09668298438191414, 542534.2605710718780756 7349439.59380266722291708, 542638.80544910451862961 7349525.39262014720588923, 542682.21343991323374212 7349575.83319046907126904, 542790.24766300746705383 7349487.3997752983123064, 542753.78681942820549011 7349473.68814671691507101, 542714.56285663426388055 7349459.23353089950978756, 542692.71964669355656952 7349452.14406802412122488, 542666.08625913446303457 7349412.09818313270807266, 542653.05697601055726409 7349392.26684778649359941, 542619.90894689015112817 7349362.37613944616168737, 542597.52280319237615913 7349337.74905042350292206, 542562.00516005512326956 7349326.57746666949242353, 542541.36761878058314323 7349312.28993809688836336, 542512.80057533888611943 7349299.1457948787137866, 542500.15450642560608685 7349283.24240518361330032, 542471.60504781908821315 7349264.65651602204889059, 542445.54648157418705523 7349253.35169684235006571, 542417.7634513865923509 7349239.55598530080169439, 542401.28524037881288677 7349222.59875653218477964, 542364.30506916344165802 7349195.5821547619998455, 542322.91793453902937472 7349182.9360858490690589, 542291.87758357054553926 7349189.45072740968316793, 542257.96312603133264929 7349187.72626346722245216, 542211.78581378841772676 7349173.0683199530467391, 542180.55385571555234492 7349141.93216543272137642, 542165.32109088858123869 7349104.85619066469371319, 542161.68055589869618416 7349066.24735905788838863, 542154.20787881361320615 7349033.86575835570693016, 542142.23243476718198508 7348999.66389015968888998, 542113.87458326516207308 7348980.31157258059829473, 542033.11218861618544906 7348972.55148483719676733, 542008.77808631397783756 7348976.09621627442538738, 541994.59916056296788156 7348986.44299992918968201, 541969.49862984172068536 7348988.93389229103922844, 541939.74037815141491592 7348981.96083661448210478, 541940.30379128525964916 7349039.7106828335672617, 541942.58735576586332172 7349044.80448587518185377)))"/>
    <s v="SSP_16_1"/>
    <n v="11.38"/>
    <m/>
    <s v="G-7"/>
    <s v="Ha"/>
    <s v="11 ha"/>
    <n v="11"/>
    <d v="2019-12-01T00:00:00"/>
    <m/>
    <d v="2020-12-05T00:00:00"/>
    <n v="342"/>
    <n v="8.4"/>
    <n v="7.1"/>
    <n v="4.5"/>
    <n v="9.1"/>
    <n v="5.8"/>
    <n v="3.3"/>
    <n v="8.3000000000000007"/>
    <n v="3.2"/>
    <n v="3.2"/>
    <x v="4"/>
    <m/>
    <m/>
    <m/>
    <n v="1.1000000000000001"/>
    <n v="383"/>
    <n v="0.4"/>
    <n v="39.700000000000003"/>
    <n v="0"/>
    <n v="0"/>
    <n v="6.6"/>
    <n v="8.3000000000000007"/>
    <s v="SSP_PN"/>
    <x v="1"/>
  </r>
  <r>
    <s v="MultiPolygon (((542045.39460443018469959 7349163.77897551283240318, 542045.39460443006828427 7349163.77897551283240318, 541674.08056989405304193 7349168.73465848434716463, 541654.79227117565460503 7349130.98463603109121323, 541645.64395615609828383 7349140.75669980235397816, 541556.20621939958073199 7349148.09518076665699482, 541517.22053927485831082 7349146.7192155858501792, 541475.94158384879119694 7349128.37301317416131496, 541455.32096426584757864 7349120.18475903663784266, 541462.2188200366217643 7349206.59956327546387911, 541462.50623069377616048 7349250.19017960503697395, 541530.90996708674356341 7349246.54964461550116539, 541552.12099943030625582 7349237.36184073239564896, 541574.21317275846377015 7349224.32322046440094709, 541638.48117215093225241 7349218.73513681348413229, 541684.38725798518862575 7349214.934472331777215, 541729.92135502956807613 7349216.19513173494488001, 541768.86809959076344967 7349217.88846845366060734, 541801.93821674468927085 7349222.21554231178015471, 541832.21213929378427565 7349232.7539330730214715, 541880.68873679358512163 7349229.87982650194317102, 541908.72360066045075655 7349222.90544113516807556, 541922.84229983692057431 7349212.25197286624461412, 541960.21514895092695951 7349205.18844305165112019, 541987.60550123953726143 7349217.04215048253536224, 542013.85567458916921169 7349237.73571779485791922, 542058.8833442039322108 7349286.97874371521174908, 542082.64262519171461463 7349330.95257425121963024, 542114.83261878846678883 7349361.99292521923780441, 542174.35674571758136153 7349397.89897110685706139, 542195.30760278040543199 7349420.62469927035272121, 542224.81509691069368273 7349439.78540974389761686, 542268.50151679199188948 7349443.04273052513599396, 542355.77855300204828382 7349437.19871382974088192, 542418.4340762528590858 7349431.54630424082279205, 542556.07211844157427549 7349510.69460961688309908, 542584.17422185477335006 7349522.75128609780222178, 542599.11957602459006011 7349534.82253369595855474, 542630.54314120230264962 7349576.01806121598929167, 542672.40929358848370612 7349618.36323136370629072, 542696.51682002411689609 7349598.00342964101582766, 542682.21343991323374212 7349575.83319046907126904, 542638.80544910451862961 7349525.39262014720588923, 542534.2605710718780756 7349439.59380266722291708, 542371.7777462505036965 7349323.09668298438191414, 542307.39775905723217875 7349325.97078955359756947, 542108.50958433502819389 7349215.60509722307324409, 542045.39460443018469959 7349163.77897551283240318)))"/>
    <s v="SSP_16_2"/>
    <n v="10.45"/>
    <m/>
    <s v="G-0"/>
    <s v="Ha"/>
    <s v="10 ha"/>
    <n v="10"/>
    <d v="2020-12-01T00:00:00"/>
    <m/>
    <m/>
    <n v="0"/>
    <m/>
    <m/>
    <m/>
    <m/>
    <m/>
    <m/>
    <m/>
    <m/>
    <m/>
    <x v="4"/>
    <m/>
    <m/>
    <m/>
    <m/>
    <n v="0"/>
    <m/>
    <m/>
    <n v="0"/>
    <m/>
    <m/>
    <m/>
    <s v="SSP_PN"/>
    <x v="2"/>
  </r>
  <r>
    <s v="MultiPolygon (((542971.91618207271676511 7349718.32046970073133707, 542971.91618207271676511 7349718.32046970166265965, 542962.90128930925857276 7349738.61357089225202799, 542949.49218492524232715 7349777.34498990420252085, 542932.671166185522452 7349794.35713943187147379, 542896.6375079161953181 7349789.18096527270972729, 542862.53144327201880515 7349779.60061003547161818, 542833.10233003553003073 7349773.02999526541680098, 542840.04779663134831935 7349801.63118584360927343, 542845.79600977303925902 7349836.40787535067647696, 542847.99975233629811555 7349855.8924449672922492, 542877.26747672411147505 7349906.24866502080112696, 542935.44582659227307886 7349968.77484694123268127, 543040.39547858492005616 7349971.00138796400278807, 543097.92700870265252888 7349971.059768196195364, 543126.66807441122364253 7349960.13816322758793831, 543120.91986126953270286 7349946.12689369358122349, 543051.2227769261226058 7349817.4387719826772809, 543018.44448964460752904 7349740.13877760525792837, 543012.94249586411751807 7349726.86175243090838194, 542971.91618207271676511 7349718.32046970073133707)),((542909.54279535554815084 7349959.47801686078310013, 542893.57803151360712945 7349939.80385923571884632, 542860.59765861323103309 7349900.06933589372783899, 542840.6226179456571117 7349864.71782507281750441, 542833.72476217546500266 7349833.390063451603055, 542825.28207412350457162 7349808.16977829206734896, 542809.25408431969117373 7349769.8174038277938962, 542790.03834229940548539 7349764.26780042145401239, 542751.66901957849040627 7349753.48990078084170818, 542728.8198723403038457 7349752.0528474934399128, 542725.94576576945837587 7349754.71139607112854719, 542734.71179081045556813 7349763.4055684506893158, 542731.76583157537970692 7349774.32717341836541891, 542730.70008567871991545 7349778.64013757184147835, 542759.42910731991287321 7349828.43222961481660604, 542843.73473642836324871 7349962.73833157122135162, 542889.03784128942061216 7349974.18984987027943134, 542896.95959752518683672 7349965.75614340230822563, 542909.54279535554815084 7349959.47801686078310013)),((542941.36005325464066118 7349993.26348827593028545, 542941.2567650486016646 7350034.11497187428176403, 542963.63437917758710682 7350058.86372392997145653, 542963.31104218831751496 7350074.16834142245352268, 542958.21010859601665288 7350101.24707183893769979, 542978.81774529069662094 7350104.93475419376045465, 543025.66568240651395172 7350069.43953803554177284, 543042.04808986408170313 7350055.78753182105720043, 543092.91977618006058037 7350014.54410251975059509, 543119.57711460394784808 7349989.79085960425436497, 543108.79921498685143888 7349987.02453210204839706, 543061.73571987822651863 7349985.55155248381197453, 542941.36005325464066118 7349993.26348827593028545)),((542951.81910669628996402 7350100.23738617170602083, 542955.75304006517399102 7350078.70853163953870535, 542943.66832009295467287 7350071.31219801213592291, 542925.23811170738190413 7350063.87544726021587849, 542924.91477471811231226 7350045.01412288937717676, 542929.76482955645769835 7350031.54174833837896585, 542932.63444533594883978 7350021.69344253931194544, 542934.58135176682844758 7349998.7531280517578125, 542914.67577005946077406 7349995.54356353636831045, 542879.01439459365792572 7349997.69465275015681982, 542872.53418246423825622 7350002.44141930714249611, 542882.53355277236551046 7350015.274556003510952, 542895.80217139516025782 7350034.8716855151578784, 542909.32652252726256847 7350057.27063499949872494, 542922.59303548408206552 7350080.79225899651646614, 542931.03572353825438768 7350096.3842871468514204, 542951.81910669628996402 7350100.23738617170602083)))"/>
    <s v="Abuelito 1;"/>
    <n v="7.27"/>
    <m/>
    <s v="G-7"/>
    <s v="Ha"/>
    <s v="7 ha"/>
    <n v="7"/>
    <d v="2018-10-01T00:00:00"/>
    <m/>
    <d v="2020-12-05T00:00:00"/>
    <n v="655"/>
    <n v="12.7"/>
    <n v="11"/>
    <n v="8.3000000000000007"/>
    <n v="13.1"/>
    <n v="8.1"/>
    <n v="6"/>
    <n v="10.4"/>
    <n v="16"/>
    <n v="7.4"/>
    <x v="1"/>
    <m/>
    <m/>
    <m/>
    <n v="3.5"/>
    <n v="667"/>
    <n v="0.5"/>
    <n v="47.1"/>
    <n v="0"/>
    <n v="0"/>
    <n v="11"/>
    <n v="13.1"/>
    <s v="SSP_PI"/>
    <x v="0"/>
  </r>
  <r>
    <s v="MultiPolygon (((543464.35199798480607569 7348153.21529407799243927, 543442.02318069315515459 7348150.65280907973647118, 543408.65232389839366078 7348149.99671622738242149, 543382.52917466720100492 7348147.87450605817139149, 543365.47614234406501055 7348149.40736289974302053, 543346.8902531829662621 7348153.43111209757626057, 543335.6812375548761338 7348153.62271920219063759, 543307.9940109180752188 7348146.9164705378934741, 543288.73749689036048949 7348140.6892396342009306, 543261.81669867248274386 7348131.30049149878323078, 543245.91330897808074951 7348127.85156361386179924, 543241.506345568690449 7348130.48616130463778973, 543231.63857967394869775 7348127.18093874771147966, 543230.96795480733271688 7348121.62433270923793316, 543225.22655891568865627 7348118.7438055956736207, 543222.15930101706180722 7348119.67271966766566038, 543217.69916280324105173 7348125.02535881754010916, 543213.91492248419672251 7348135.5637495806440711, 543214.68883167405147105 7348143.51633182354271412, 543208.2625128939980641 7348157.79017373360693455, 543203.4723352751461789 7348164.6880295043811202, 543194.75421200890559703 7348165.35865436960011721, 543173.77323403849732131 7348160.08945898804813623, 543165.49220578174572438 7348146.03329128678888083, 543144.07413280173204839 7348138.34205259848386049, 543138.70913386857137084 7348143.51544442679733038, 543138.32591965910978615 7348156.25731689296662807, 543139.18815163057297468 7348162.10133358836174011, 543145.67884230404160917 7348169.55005978420376778, 543145.43933342327363789 7348176.80717887543141842, 543144.14598546619527042 7348191.84833659883588552, 543142.9484410616569221 7348202.53043268714100122, 543134.03871069103479385 7348219.53556323237717152, 543129.05477686494123191 7348234.26471468061208725, 543126.56603360618464649 7348252.92310123611241579, 543122.44648085406515747 7348265.28175949212163687, 543104.15994118642993271 7348285.75580272916704416, 543095.71728974254801869 7348291.34032573457807302, 543077.18895473645534366 7348297.17717918567359447, 543069.85033060237765312 7348304.7528230668976903, 543064.8685458789113909 7348313.99786587059497833, 543054.85707465629093349 7348326.16491702198982239, 543050.30640591855626553 7348334.02080831583589315, 543040.16439838649239391 7348337.47516936995089054, 543034.21140912012197077 7348355.67241115495562553, 543030.71457945881411433 7348371.1446848614141345, 543027.65861843503080308 7348384.28767162654548883, 543036.41489082481712103 7348394.95186762418597937, 543042.49841640016529709 7348397.73017064202576876, 543051.83926275640260428 7348397.53856353834271431, 543057.20426168921403587 7348392.65258236695080996, 543066.01818850729614496 7348394.76026051957160234, 543070.42515191645361483 7348396.3889209097251296, 543074.92791887780185789 7348406.83150811865925789, 543084.53401294176001102 7348414.74820233974605799, 543089.10684462892822921 7348421.96846939250826836, 543096.00470039958599955 7348439.88373368512839079, 543101.94625023182015866 7348448.61995742470026016, 543107.35230958519969136 7348454.23677344620227814, 543115.06960732163861394 7348459.04444416053593159, 543123.02130216837394983 7348465.0800679586827755, 543129.44014017726294696 7348478.7799759479239583, 543151.37915367027744651 7348486.061045927926898, 543164.69584744982421398 7348477.6303333193063736, 543177.4574825243325904 7348477.94088653847575188, 543189.4965074525680393 7348458.64893336035311222, 543193.86550679651554674 7348450.18093609251081944, 543192.05091698234900832 7348438.58617976866662502, 543180.52664004149846733 7348420.63304443750530481, 543176.99928058648947626 7348413.53797030542045832, 543177.80426169361453503 7348406.17637982964515686, 543186.49676733394153416 7348395.95130638964474201, 543202.97447135660331696 7348388.53324015811085701, 543225.56693240709137172 7348375.72351814061403275, 543233.32931576925329864 7348368.13111434131860733, 543257.95388267328962684 7348347.72971919365227222, 543278.63055163901299238 7348317.3223231565207243, 543321.13792467629536986 7348279.31127659045159817, 543352.40833737049251795 7348265.42592776287347078, 543425.88583453570026904 7348234.62605518847703934, 543445.6371559799881652 7348227.77466258499771357, 543464.37874758546240628 7348218.31557231210172176, 543465.75070093723479658 7348180.7888103760778904, 543464.35199798480607569 7348153.21529407799243927)))"/>
    <s v="SSP_15"/>
    <n v="7.12"/>
    <m/>
    <s v="G-7"/>
    <s v="Ha"/>
    <s v="7 ha"/>
    <n v="7"/>
    <d v="2019-12-01T00:00:00"/>
    <m/>
    <d v="2020-12-05T00:00:00"/>
    <n v="433"/>
    <n v="8.1"/>
    <n v="7"/>
    <n v="5"/>
    <n v="8.4"/>
    <n v="5.9"/>
    <n v="4.3"/>
    <n v="7.3"/>
    <n v="3.6"/>
    <n v="3.6"/>
    <x v="4"/>
    <m/>
    <m/>
    <m/>
    <n v="1.2"/>
    <n v="442"/>
    <n v="0.4"/>
    <n v="40.799999999999997"/>
    <n v="0"/>
    <n v="0"/>
    <n v="7"/>
    <n v="8.4"/>
    <s v="SSP_PN"/>
    <x v="1"/>
  </r>
  <r>
    <s v="MultiPolygon (((541840.76913483953103423 7348513.58823615033179522, 541798.87250306748319417 7348503.1140782069414854, 541800.40535990544594824 7348488.74354535154998302, 541721.46323275135364383 7348467.28354962076991796, 541719.16394749446772039 7348449.27248177491128445, 541710.73323488584719598 7348448.8892675656825304, 541696.5543091349536553 7348438.15926969982683659, 541652.86788925365544856 7348424.74677236936986446, 541545.37630349316168576 7348398.30499191302806139, 541546.33433901681564748 7348383.74285195302218199, 541468.5418544914573431 7348363.81571306008845568, 541470.84113974845968187 7348384.12606616225093603, 541468.5418544914573431 7348396.58052797056734562, 541433.86096853320486844 7348385.65892300009727478, 541420.5682255452265963 7348393.61061790678650141, 541411.27528096467722207 7348392.36517172586172819, 541424.59197474492248148 7348564.23674469254910946, 541670.42389014328364283 7348595.4687027670443058, 541754.53940913022961468 7348685.14082778990268707, 541764.11976436781696975 7348682.84154253359884024, 541778.29869011964183301 7348607.92316457442939281, 541806.27332741382997483 7348569.02692230977118015, 541841.33742758363950998 7348540.66907080635428429, 541840.76913483953103423 7348513.58823615033179522)))"/>
    <s v="SSP_17_1"/>
    <n v="7.05"/>
    <m/>
    <s v="Corymbia"/>
    <s v="Ha"/>
    <s v="7 ha"/>
    <n v="7"/>
    <d v="2019-12-01T00:00:00"/>
    <m/>
    <d v="2020-12-05T00:00:00"/>
    <n v="333"/>
    <n v="5"/>
    <n v="4.2"/>
    <n v="3.2"/>
    <n v="5.4"/>
    <n v="3.2"/>
    <n v="2.4"/>
    <n v="5"/>
    <n v="0.6"/>
    <n v="0.6"/>
    <x v="4"/>
    <m/>
    <m/>
    <m/>
    <n v="0.3"/>
    <n v="383"/>
    <n v="0"/>
    <n v="0"/>
    <n v="0"/>
    <n v="0"/>
    <n v="3.9"/>
    <n v="5.0999999999999996"/>
    <s v="SSP_PN"/>
    <x v="1"/>
  </r>
  <r>
    <s v="MultiPolygon (((543408.69551990902982652 7350243.12214739341288805, 543398.06132559524849057 7350306.3524919617921114, 543384.84043536731041968 7350333.9439150420948863, 543377.03419227432459593 7350365.50844107754528522, 543590.11326817097142339 7350412.79647575132548809, 543598.96137492929119617 7350281.49147011898458004, 543569.31441320350859314 7350277.22251366637647152, 543568.87957840494345874 7350281.21455143764615059, 543408.69551990902982652 7350243.12214739341288805)),((543018.37984320835676044 7350096.85186408925801516, 542980.88475677068345249 7350126.72083125077188015, 542978.72917684225831181 7350151.00703177880495787, 542965.07717062858864665 7350177.16140157729387283, 542951.85628040053416044 7350203.17206604778766632, 542943.06958619353827089 7350267.78806344792246819, 543070.2694711385993287 7350296.65238228160887957, 543069.7665024878224358 7350275.67140430770814419, 543072.06578774494118989 7350261.01346079260110855, 543081.11922344448976219 7350245.34957997873425484, 543061.86270941677503288 7350239.88877749349921942, 543061.5752987596206367 7350212.72847039438784122, 543039.01356217486318201 7350203.53132936637848616, 543040.42219368473161012 7350191.31024001911282539, 543049.96184906200505793 7350181.02557157631963491, 543057.40784423111472279 7350179.96365548297762871, 543068.61511123774107546 7350169.88622619304805994, 543067.32351190224289894 7350166.16794393863528967, 543067.75462788785807788 7350150.07294713985174894, 543078.70145339309237897 7350149.4374435730278492, 543083.13109804433770478 7350137.71428888291120529, 543076.08953694452065974 7350130.38531712628901005, 543048.35440853144973516 7350121.61929208412766457, 543043.32472203159704804 7350118.74518551211804152, 543042.17507940309587866 7350103.22501002717763186, 543046.38287130836397409 7350096.97906891815364361, 543030.10383180365897715 7350090.29153045639395714, 543018.37984320835676044 7350096.85186408925801516)),((542802.97265229490585625 7350200.19188797939568758, 542829.96297578222583979 7350203.89982379321008921, 542827.08886921079829335 7350217.21651757415384054, 542805.67242347216233611 7350213.98526435811072588, 542810.30653176421765238 7350237.66134490538388491, 542932.9569445145316422 7350265.49329318292438984, 542951.71257507207337767 7350161.49752076435834169, 542925.76652816450223327 7350155.99804760236293077, 542950.10063046950381249 7350143.83099645003676414, 542951.5688697436125949 7350134.98388764355331659, 542944.02433999394997954 7350129.37937982939183712, 542917.9963572685373947 7350122.31752405129373074, 542916.21735891653224826 7350123.41560869663953781, 542902.27794204570818692 7350126.43342059664428234, 542881.58437473233789206 7350134.62462432496249676, 542844.7958106198348105 7350137.92984688002616167, 542808.58206782140769064 7350148.85145185142755508, 542796.65452555054798722 7350163.22198470775038004, 542802.40273869317024946 7350197.28014757763594389, 542802.97265229490585625 7350200.19188797939568758)))"/>
    <s v="Tajamar_Guazu_2"/>
    <n v="5.98"/>
    <m/>
    <s v="G-0"/>
    <s v="Ha"/>
    <s v="6 ha"/>
    <n v="6"/>
    <d v="2019-12-01T00:00:00"/>
    <m/>
    <d v="2020-12-05T00:00:00"/>
    <n v="369"/>
    <n v="6.7"/>
    <n v="5.8"/>
    <n v="4.0999999999999996"/>
    <n v="7.2"/>
    <n v="4.3"/>
    <n v="2.9"/>
    <n v="5.7"/>
    <n v="1.8"/>
    <n v="1.8"/>
    <x v="1"/>
    <m/>
    <m/>
    <m/>
    <n v="0.7"/>
    <n v="488"/>
    <n v="0.9"/>
    <n v="97.6"/>
    <n v="0"/>
    <n v="0"/>
    <n v="5.5"/>
    <n v="7"/>
    <s v="SSP_PI"/>
    <x v="1"/>
  </r>
  <r>
    <s v="MultiPolygon (((543683.54556033806875348 7353638.97077760379761457, 543290.09518487995956093 7353670.33318876009434462, 543574.50073971669189632 7353740.84638838563114405, 543741.55216579628176987 7353782.26376000326126814, 543773.66763520869426429 7353790.3999258279800415, 543768.89336247753817588 7353658.22077506687492132, 543768.93883174157235771 7353632.57611010782420635, 543683.54556033806875348 7353638.97077760379761457)))"/>
    <s v="F_7_2"/>
    <n v="3.79"/>
    <m/>
    <s v="G-7"/>
    <s v="Ha"/>
    <s v="4 ha"/>
    <n v="4"/>
    <d v="2019-07-01T00:00:00"/>
    <m/>
    <d v="2020-12-05T00:00:00"/>
    <n v="750"/>
    <n v="8.8000000000000007"/>
    <n v="7.4"/>
    <n v="6"/>
    <n v="9.1"/>
    <n v="6.9"/>
    <n v="4.9000000000000004"/>
    <n v="9.5"/>
    <n v="9"/>
    <n v="6.4"/>
    <x v="0"/>
    <m/>
    <m/>
    <m/>
    <n v="2.9"/>
    <n v="750"/>
    <n v="0.9"/>
    <n v="86.7"/>
    <n v="0"/>
    <n v="0"/>
    <n v="7.4"/>
    <n v="9.1"/>
    <s v="PP"/>
    <x v="1"/>
  </r>
  <r>
    <s v="MultiPolygon (((543322.61639062885660678 7353071.2815806120634079, 543751.38769579620566219 7353216.07765087950974703, 543747.93203172390349209 7353088.58183432463556528, 543744.0216750109102577 7353053.47956243436783552, 543340.61836384632624686 7353067.75691136717796326, 543322.61639062885660678 7353071.2815806120634079)))"/>
    <s v="F_8_2"/>
    <n v="3.51"/>
    <m/>
    <s v="G-2"/>
    <s v="Ha"/>
    <s v="3.5 ha"/>
    <m/>
    <d v="2019-07-01T00:00:00"/>
    <m/>
    <d v="2020-12-05T00:00:00"/>
    <n v="750"/>
    <n v="10"/>
    <n v="9.4"/>
    <n v="8.3000000000000007"/>
    <n v="10.199999999999999"/>
    <n v="7.4"/>
    <n v="6.7"/>
    <n v="8.6999999999999993"/>
    <n v="12.8"/>
    <n v="9"/>
    <x v="0"/>
    <m/>
    <m/>
    <m/>
    <n v="3.4"/>
    <n v="900"/>
    <n v="1"/>
    <n v="100"/>
    <n v="0"/>
    <n v="0"/>
    <n v="9.1999999999999993"/>
    <n v="10.199999999999999"/>
    <s v="PP"/>
    <x v="1"/>
  </r>
  <r>
    <s v="MultiPolygon (((543064.65398761339019984 7351331.15036968979984522, 542806.80779257218819112 7351256.2951001999899745, 542828.10216902755200863 7351375.74324311967939138, 542832.12962005194276571 7351378.02659715246409178, 542862.80753639061003923 7351397.82237896323204041, 542881.38974555116146803 7351431.31455492880195379, 543011.17167313862591982 7351464.41845217533409595, 543027.99191240849904716 7351435.67304113414138556, 543035.0244919239776209 7351401.56098877172917128, 543048.28130848205182701 7351379.8974104942753911, 543070.10655525443144143 7351351.44375544227659702, 543065.03569270670413971 7351337.59261019062250853, 543064.65398761339019984 7351331.15036968979984522)))"/>
    <s v="Jakare_3"/>
    <n v="3.2"/>
    <m/>
    <s v="G-0"/>
    <s v="Ha"/>
    <s v="3 ha"/>
    <n v="3"/>
    <d v="2021-01-01T00:00:00"/>
    <m/>
    <m/>
    <n v="0"/>
    <m/>
    <m/>
    <m/>
    <m/>
    <m/>
    <m/>
    <m/>
    <m/>
    <m/>
    <x v="1"/>
    <m/>
    <m/>
    <m/>
    <m/>
    <n v="0"/>
    <m/>
    <m/>
    <n v="0"/>
    <m/>
    <m/>
    <m/>
    <s v="SSP_PI"/>
    <x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8">
  <r>
    <s v="Rodeo Guazu"/>
    <s v="Abuelito-1"/>
    <s v="Abuelito_1_Str1"/>
    <n v="714"/>
    <m/>
    <m/>
    <m/>
    <n v="2018"/>
    <x v="0"/>
    <n v="20"/>
    <m/>
    <m/>
    <m/>
    <m/>
    <m/>
    <m/>
    <m/>
    <m/>
    <m/>
    <m/>
    <n v="26.652167559999999"/>
    <n v="26.652167559999999"/>
    <n v="0"/>
    <m/>
    <m/>
    <m/>
    <m/>
    <m/>
    <m/>
    <m/>
    <m/>
    <m/>
    <m/>
    <m/>
    <m/>
    <m/>
    <m/>
    <m/>
    <m/>
    <n v="16.484674919457781"/>
    <m/>
    <m/>
    <m/>
  </r>
  <r>
    <s v="Rodeo Guazu"/>
    <s v="Abuelito-2"/>
    <s v="Abuelito_1_Str1"/>
    <n v="714"/>
    <m/>
    <m/>
    <m/>
    <n v="2018"/>
    <x v="1"/>
    <n v="20"/>
    <m/>
    <m/>
    <m/>
    <m/>
    <m/>
    <m/>
    <m/>
    <m/>
    <m/>
    <m/>
    <n v="38.939749829999997"/>
    <n v="38.939749829999997"/>
    <n v="0"/>
    <m/>
    <m/>
    <m/>
    <m/>
    <m/>
    <m/>
    <m/>
    <m/>
    <m/>
    <m/>
    <m/>
    <m/>
    <m/>
    <m/>
    <m/>
    <m/>
    <n v="24.084687144018591"/>
    <m/>
    <m/>
    <m/>
  </r>
  <r>
    <s v="Rodeo Guazu"/>
    <s v="Abuelito-3"/>
    <s v="Abuelito_1_Str1"/>
    <n v="714"/>
    <m/>
    <m/>
    <m/>
    <n v="2018"/>
    <x v="2"/>
    <n v="20"/>
    <m/>
    <m/>
    <m/>
    <m/>
    <m/>
    <m/>
    <m/>
    <m/>
    <m/>
    <m/>
    <n v="54.747157260000002"/>
    <n v="54.747157260000002"/>
    <n v="0"/>
    <m/>
    <m/>
    <m/>
    <m/>
    <m/>
    <m/>
    <m/>
    <m/>
    <m/>
    <m/>
    <m/>
    <m/>
    <m/>
    <m/>
    <m/>
    <m/>
    <n v="33.861752075654927"/>
    <m/>
    <m/>
    <m/>
  </r>
  <r>
    <s v="Rodeo Guazu"/>
    <s v="Abuelito-4"/>
    <s v="Abuelito_2_Str1"/>
    <n v="714"/>
    <m/>
    <m/>
    <m/>
    <n v="2019"/>
    <x v="3"/>
    <n v="20"/>
    <m/>
    <m/>
    <m/>
    <m/>
    <m/>
    <m/>
    <m/>
    <m/>
    <m/>
    <m/>
    <n v="40.737443599999999"/>
    <n v="40.737443599999999"/>
    <n v="0"/>
    <m/>
    <m/>
    <m/>
    <m/>
    <m/>
    <m/>
    <m/>
    <m/>
    <m/>
    <m/>
    <m/>
    <m/>
    <m/>
    <m/>
    <m/>
    <m/>
    <n v="25.196581602001075"/>
    <m/>
    <m/>
    <m/>
  </r>
  <r>
    <s v="Rodeo Guazu"/>
    <s v="Abuelito-5"/>
    <s v="Abuelito_2_Str1"/>
    <n v="714"/>
    <m/>
    <m/>
    <m/>
    <n v="2019"/>
    <x v="4"/>
    <n v="20"/>
    <m/>
    <m/>
    <m/>
    <m/>
    <m/>
    <m/>
    <m/>
    <m/>
    <m/>
    <m/>
    <n v="46.85721762"/>
    <n v="46.85721762"/>
    <n v="0"/>
    <m/>
    <m/>
    <m/>
    <m/>
    <m/>
    <m/>
    <m/>
    <m/>
    <m/>
    <m/>
    <m/>
    <m/>
    <m/>
    <m/>
    <m/>
    <m/>
    <n v="28.981732849948706"/>
    <m/>
    <m/>
    <m/>
  </r>
  <r>
    <s v="Rodeo Guazu"/>
    <s v="Abuelito-6"/>
    <s v="Abuelito_2_Str1"/>
    <n v="714"/>
    <m/>
    <m/>
    <m/>
    <n v="2019"/>
    <x v="5"/>
    <n v="20"/>
    <m/>
    <m/>
    <m/>
    <m/>
    <m/>
    <m/>
    <m/>
    <m/>
    <m/>
    <m/>
    <n v="44.07093837"/>
    <n v="44.07093837"/>
    <n v="0"/>
    <m/>
    <m/>
    <m/>
    <m/>
    <m/>
    <m/>
    <m/>
    <m/>
    <m/>
    <m/>
    <m/>
    <m/>
    <m/>
    <m/>
    <m/>
    <m/>
    <n v="27.258386800600942"/>
    <m/>
    <m/>
    <m/>
  </r>
  <r>
    <s v="Rodeo Guazu"/>
    <s v="Aguaray 1-1"/>
    <s v="Aguaray_1_Str1"/>
    <n v="1000"/>
    <m/>
    <m/>
    <m/>
    <n v="2018"/>
    <x v="6"/>
    <n v="20"/>
    <m/>
    <m/>
    <m/>
    <m/>
    <m/>
    <m/>
    <m/>
    <m/>
    <m/>
    <m/>
    <n v="129.63506520000001"/>
    <n v="129.63506520000001"/>
    <n v="0"/>
    <m/>
    <m/>
    <m/>
    <m/>
    <m/>
    <m/>
    <m/>
    <m/>
    <m/>
    <m/>
    <m/>
    <m/>
    <m/>
    <m/>
    <m/>
    <m/>
    <n v="80.180792169112209"/>
    <m/>
    <m/>
    <m/>
  </r>
  <r>
    <s v="Rodeo Guazu"/>
    <s v="Aguaray 1-2"/>
    <s v="Aguaray_1_Str1"/>
    <n v="1000"/>
    <m/>
    <m/>
    <m/>
    <n v="2018"/>
    <x v="7"/>
    <n v="20"/>
    <m/>
    <m/>
    <m/>
    <m/>
    <m/>
    <m/>
    <m/>
    <m/>
    <m/>
    <m/>
    <n v="112.11385610000001"/>
    <n v="112.11385610000001"/>
    <n v="0"/>
    <m/>
    <m/>
    <m/>
    <m/>
    <m/>
    <m/>
    <m/>
    <m/>
    <m/>
    <m/>
    <m/>
    <m/>
    <m/>
    <m/>
    <m/>
    <m/>
    <n v="69.343721016864606"/>
    <m/>
    <m/>
    <m/>
  </r>
  <r>
    <s v="Rodeo Guazu"/>
    <s v="Aguaray 1-3"/>
    <s v="Aguaray_1_Str1"/>
    <n v="1000"/>
    <m/>
    <m/>
    <m/>
    <n v="2018"/>
    <x v="8"/>
    <n v="20"/>
    <m/>
    <m/>
    <m/>
    <m/>
    <m/>
    <m/>
    <m/>
    <m/>
    <m/>
    <m/>
    <n v="69.614125110000003"/>
    <n v="69.614125110000003"/>
    <n v="0"/>
    <m/>
    <m/>
    <m/>
    <m/>
    <m/>
    <m/>
    <m/>
    <m/>
    <m/>
    <m/>
    <m/>
    <m/>
    <m/>
    <m/>
    <m/>
    <m/>
    <n v="43.057144213782408"/>
    <m/>
    <m/>
    <m/>
  </r>
  <r>
    <s v="Rodeo Guazu"/>
    <s v="Aguaray 3-6"/>
    <s v="Aguaray_3_Str1"/>
    <n v="1000"/>
    <m/>
    <m/>
    <m/>
    <n v="2018"/>
    <x v="9"/>
    <n v="20"/>
    <m/>
    <m/>
    <m/>
    <m/>
    <m/>
    <m/>
    <m/>
    <m/>
    <m/>
    <m/>
    <n v="105.4723635"/>
    <n v="105.4723635"/>
    <n v="0"/>
    <m/>
    <m/>
    <m/>
    <m/>
    <m/>
    <m/>
    <m/>
    <m/>
    <m/>
    <m/>
    <m/>
    <m/>
    <m/>
    <m/>
    <m/>
    <m/>
    <n v="65.235880772932688"/>
    <m/>
    <m/>
    <m/>
  </r>
  <r>
    <s v="Rodeo Guazu"/>
    <s v="Aguaray 3-8"/>
    <s v="Aguaray_3_Str1"/>
    <n v="1000"/>
    <m/>
    <m/>
    <m/>
    <n v="2018"/>
    <x v="10"/>
    <n v="20"/>
    <m/>
    <m/>
    <m/>
    <m/>
    <m/>
    <m/>
    <m/>
    <m/>
    <m/>
    <m/>
    <n v="90.042684480000005"/>
    <n v="90.042684480000005"/>
    <n v="0"/>
    <m/>
    <m/>
    <m/>
    <m/>
    <m/>
    <m/>
    <m/>
    <m/>
    <m/>
    <m/>
    <m/>
    <m/>
    <m/>
    <m/>
    <m/>
    <m/>
    <n v="55.692445246209701"/>
    <m/>
    <m/>
    <m/>
  </r>
  <r>
    <s v="Rodeo Guazu"/>
    <s v="Aguaray 4-6"/>
    <s v="Aguaray_4_StrObs"/>
    <n v="1000"/>
    <m/>
    <m/>
    <m/>
    <n v="2018"/>
    <x v="11"/>
    <n v="20"/>
    <m/>
    <m/>
    <m/>
    <m/>
    <m/>
    <m/>
    <m/>
    <m/>
    <m/>
    <m/>
    <n v="99.203221389999996"/>
    <n v="99.203221389999996"/>
    <n v="0"/>
    <m/>
    <m/>
    <m/>
    <m/>
    <m/>
    <m/>
    <m/>
    <m/>
    <m/>
    <m/>
    <m/>
    <m/>
    <m/>
    <m/>
    <m/>
    <m/>
    <n v="61.358343627986358"/>
    <m/>
    <m/>
    <m/>
  </r>
  <r>
    <s v="Rodeo Guazu"/>
    <s v="Aviacion kue-1"/>
    <s v="Aviacion_kue_1_Str1"/>
    <n v="714"/>
    <m/>
    <m/>
    <m/>
    <n v="2018"/>
    <x v="12"/>
    <n v="20"/>
    <m/>
    <m/>
    <m/>
    <m/>
    <m/>
    <m/>
    <m/>
    <m/>
    <m/>
    <m/>
    <n v="73.301243999999997"/>
    <n v="73.301243999999997"/>
    <n v="0"/>
    <m/>
    <m/>
    <m/>
    <m/>
    <m/>
    <m/>
    <m/>
    <m/>
    <m/>
    <m/>
    <m/>
    <m/>
    <m/>
    <m/>
    <m/>
    <m/>
    <n v="45.337670034213723"/>
    <m/>
    <m/>
    <m/>
  </r>
  <r>
    <s v="Rodeo Guazu"/>
    <s v="Aviacion kue-2"/>
    <s v="Aviacion_kue_1_Str1"/>
    <n v="714"/>
    <m/>
    <m/>
    <m/>
    <n v="2018"/>
    <x v="13"/>
    <n v="20"/>
    <m/>
    <m/>
    <m/>
    <m/>
    <m/>
    <m/>
    <m/>
    <m/>
    <m/>
    <m/>
    <n v="118.3712833"/>
    <n v="118.3712833"/>
    <n v="0"/>
    <m/>
    <m/>
    <m/>
    <m/>
    <m/>
    <m/>
    <m/>
    <m/>
    <m/>
    <m/>
    <m/>
    <m/>
    <m/>
    <m/>
    <m/>
    <m/>
    <n v="73.214012354030899"/>
    <m/>
    <m/>
    <m/>
  </r>
  <r>
    <s v="Rodeo Guazu"/>
    <s v="Aviacion kue-4"/>
    <s v="Aviacion_kue_1_Str1"/>
    <n v="714"/>
    <m/>
    <m/>
    <m/>
    <n v="2018"/>
    <x v="14"/>
    <n v="20"/>
    <m/>
    <m/>
    <m/>
    <m/>
    <m/>
    <m/>
    <m/>
    <m/>
    <m/>
    <m/>
    <n v="92.766252339999994"/>
    <n v="92.766252339999994"/>
    <n v="0"/>
    <m/>
    <m/>
    <m/>
    <m/>
    <m/>
    <m/>
    <m/>
    <m/>
    <m/>
    <m/>
    <m/>
    <m/>
    <m/>
    <m/>
    <m/>
    <m/>
    <n v="57.377003573111615"/>
    <m/>
    <m/>
    <m/>
  </r>
  <r>
    <s v="Rodeo Guazu"/>
    <s v="Aviacion kue-5"/>
    <s v="Aviacion_kue_2_Str1"/>
    <n v="714"/>
    <m/>
    <m/>
    <m/>
    <n v="2019"/>
    <x v="15"/>
    <n v="20"/>
    <m/>
    <m/>
    <m/>
    <m/>
    <m/>
    <m/>
    <m/>
    <m/>
    <m/>
    <m/>
    <n v="109.095221"/>
    <n v="109.095221"/>
    <n v="0"/>
    <m/>
    <m/>
    <m/>
    <m/>
    <m/>
    <m/>
    <m/>
    <m/>
    <m/>
    <m/>
    <m/>
    <m/>
    <m/>
    <m/>
    <m/>
    <m/>
    <n v="67.476660177931279"/>
    <m/>
    <m/>
    <m/>
  </r>
  <r>
    <s v="Rodeo Guazu"/>
    <s v="Aviacion kue-6"/>
    <s v="Aviacion_kue_1_Str1"/>
    <n v="714"/>
    <m/>
    <m/>
    <m/>
    <n v="2018"/>
    <x v="16"/>
    <n v="20"/>
    <m/>
    <m/>
    <m/>
    <m/>
    <m/>
    <m/>
    <m/>
    <m/>
    <m/>
    <m/>
    <n v="110.9779429"/>
    <n v="110.9779429"/>
    <n v="0"/>
    <m/>
    <m/>
    <m/>
    <m/>
    <m/>
    <m/>
    <m/>
    <m/>
    <m/>
    <m/>
    <m/>
    <m/>
    <m/>
    <m/>
    <m/>
    <m/>
    <n v="68.641145521022978"/>
    <m/>
    <m/>
    <m/>
  </r>
  <r>
    <s v="Rodeo Guazu"/>
    <s v="Aviacion kue-7"/>
    <s v="Aviacion_kue_2_Str1"/>
    <n v="714"/>
    <m/>
    <m/>
    <m/>
    <n v="2019"/>
    <x v="17"/>
    <n v="20"/>
    <m/>
    <m/>
    <m/>
    <m/>
    <m/>
    <m/>
    <m/>
    <m/>
    <m/>
    <m/>
    <n v="116.85673199999999"/>
    <n v="116.85673199999999"/>
    <n v="0"/>
    <m/>
    <m/>
    <m/>
    <m/>
    <m/>
    <m/>
    <m/>
    <m/>
    <m/>
    <m/>
    <m/>
    <m/>
    <m/>
    <m/>
    <m/>
    <m/>
    <n v="72.277244799454479"/>
    <m/>
    <m/>
    <m/>
  </r>
  <r>
    <s v="Rodeo Guazu"/>
    <s v="Aviacion kue-8"/>
    <s v="Aviacion_kue_2_Str1"/>
    <n v="714"/>
    <m/>
    <m/>
    <m/>
    <n v="2019"/>
    <x v="18"/>
    <n v="20"/>
    <m/>
    <m/>
    <m/>
    <m/>
    <m/>
    <m/>
    <m/>
    <m/>
    <m/>
    <m/>
    <n v="68.371201651878351"/>
    <n v="68.371201651878351"/>
    <n v="0"/>
    <m/>
    <m/>
    <m/>
    <m/>
    <m/>
    <m/>
    <m/>
    <m/>
    <m/>
    <m/>
    <m/>
    <m/>
    <m/>
    <m/>
    <m/>
    <m/>
    <n v="42.288381631497948"/>
    <m/>
    <m/>
    <m/>
  </r>
  <r>
    <s v="Rodeo Guazu"/>
    <s v="Aviacion kue-9"/>
    <s v="Aviacion_kue_1_Str1"/>
    <n v="714"/>
    <m/>
    <m/>
    <m/>
    <n v="2018"/>
    <x v="19"/>
    <n v="20"/>
    <m/>
    <m/>
    <m/>
    <m/>
    <m/>
    <m/>
    <m/>
    <m/>
    <m/>
    <m/>
    <n v="57.315850973808224"/>
    <n v="57.315850973808224"/>
    <n v="0"/>
    <m/>
    <m/>
    <m/>
    <m/>
    <m/>
    <m/>
    <m/>
    <m/>
    <m/>
    <m/>
    <m/>
    <m/>
    <m/>
    <m/>
    <m/>
    <m/>
    <n v="35.450518945908811"/>
    <m/>
    <m/>
    <m/>
  </r>
  <r>
    <s v="Rodeo Guazu"/>
    <s v="Chavez-3"/>
    <s v="Chavez_Str1"/>
    <n v="714"/>
    <m/>
    <m/>
    <m/>
    <n v="2018"/>
    <x v="20"/>
    <n v="20"/>
    <m/>
    <m/>
    <m/>
    <m/>
    <m/>
    <m/>
    <m/>
    <m/>
    <m/>
    <m/>
    <n v="61.447104278556289"/>
    <n v="61.447104278556289"/>
    <n v="0"/>
    <m/>
    <m/>
    <m/>
    <m/>
    <m/>
    <m/>
    <m/>
    <m/>
    <m/>
    <m/>
    <m/>
    <m/>
    <m/>
    <m/>
    <m/>
    <m/>
    <n v="38.005747055794949"/>
    <m/>
    <m/>
    <m/>
  </r>
  <r>
    <s v="Rodeo Guazu"/>
    <s v="Chavez-5"/>
    <s v="Chavez_Str1"/>
    <n v="714"/>
    <m/>
    <m/>
    <m/>
    <n v="2018"/>
    <x v="21"/>
    <n v="20"/>
    <m/>
    <m/>
    <m/>
    <m/>
    <m/>
    <m/>
    <m/>
    <m/>
    <m/>
    <m/>
    <n v="76.002255513851892"/>
    <n v="76.002255513851892"/>
    <n v="0"/>
    <m/>
    <m/>
    <m/>
    <m/>
    <m/>
    <m/>
    <m/>
    <m/>
    <m/>
    <m/>
    <m/>
    <m/>
    <m/>
    <m/>
    <m/>
    <m/>
    <n v="47.008276999269171"/>
    <m/>
    <m/>
    <m/>
  </r>
  <r>
    <s v="Rodeo Guazu"/>
    <s v="Diaz de espada-1"/>
    <s v="Diaz_de_espada_Str1"/>
    <n v="714"/>
    <m/>
    <m/>
    <m/>
    <n v="2019"/>
    <x v="22"/>
    <n v="20"/>
    <m/>
    <m/>
    <m/>
    <m/>
    <m/>
    <m/>
    <m/>
    <m/>
    <m/>
    <m/>
    <n v="73.991412811090825"/>
    <n v="73.991412811090825"/>
    <n v="0"/>
    <m/>
    <m/>
    <m/>
    <m/>
    <m/>
    <m/>
    <m/>
    <m/>
    <m/>
    <m/>
    <m/>
    <m/>
    <m/>
    <m/>
    <m/>
    <m/>
    <n v="45.764547452899023"/>
    <m/>
    <m/>
    <m/>
  </r>
  <r>
    <s v="Rodeo Guazu"/>
    <s v="Diaz de espada-2"/>
    <s v="Diaz_de_espada_Str1"/>
    <n v="714"/>
    <m/>
    <m/>
    <m/>
    <n v="2019"/>
    <x v="23"/>
    <n v="20"/>
    <m/>
    <m/>
    <m/>
    <m/>
    <m/>
    <m/>
    <m/>
    <m/>
    <m/>
    <m/>
    <n v="81.062293546627728"/>
    <n v="81.062293546627728"/>
    <n v="0"/>
    <m/>
    <m/>
    <m/>
    <m/>
    <m/>
    <m/>
    <m/>
    <m/>
    <m/>
    <m/>
    <m/>
    <m/>
    <m/>
    <m/>
    <m/>
    <m/>
    <n v="50.137969241471268"/>
    <m/>
    <m/>
    <m/>
  </r>
  <r>
    <s v="Rodeo Guazu"/>
    <s v="Diaz de espada-3"/>
    <s v="Diaz_de_espada_Str1"/>
    <n v="714"/>
    <m/>
    <m/>
    <m/>
    <n v="2019"/>
    <x v="24"/>
    <n v="20"/>
    <m/>
    <m/>
    <m/>
    <m/>
    <m/>
    <m/>
    <m/>
    <m/>
    <m/>
    <m/>
    <n v="76.874284942510954"/>
    <n v="76.874284942510954"/>
    <n v="0"/>
    <m/>
    <m/>
    <m/>
    <m/>
    <m/>
    <m/>
    <m/>
    <m/>
    <m/>
    <m/>
    <m/>
    <m/>
    <m/>
    <m/>
    <m/>
    <m/>
    <n v="47.547637320311864"/>
    <m/>
    <m/>
    <m/>
  </r>
  <r>
    <s v="Rodeo Guazu"/>
    <s v="Diaz de espada-4"/>
    <s v="Diaz_de_espada_Str1"/>
    <n v="714"/>
    <m/>
    <m/>
    <m/>
    <n v="2019"/>
    <x v="25"/>
    <n v="20"/>
    <m/>
    <m/>
    <m/>
    <m/>
    <m/>
    <m/>
    <m/>
    <m/>
    <m/>
    <m/>
    <n v="95.811246120759407"/>
    <n v="95.811246120759407"/>
    <n v="0"/>
    <m/>
    <m/>
    <m/>
    <m/>
    <m/>
    <m/>
    <m/>
    <m/>
    <m/>
    <m/>
    <m/>
    <m/>
    <m/>
    <m/>
    <m/>
    <m/>
    <n v="59.260367561972473"/>
    <m/>
    <m/>
    <m/>
  </r>
  <r>
    <s v="Rodeo Guazu"/>
    <s v="F_2_1"/>
    <s v="F_2_Str1"/>
    <n v="1000"/>
    <m/>
    <m/>
    <m/>
    <n v="2019"/>
    <x v="26"/>
    <n v="20"/>
    <m/>
    <m/>
    <m/>
    <m/>
    <m/>
    <m/>
    <m/>
    <m/>
    <m/>
    <m/>
    <n v="104.88300406521979"/>
    <n v="104.88300406521979"/>
    <n v="0"/>
    <m/>
    <m/>
    <m/>
    <m/>
    <m/>
    <m/>
    <m/>
    <m/>
    <m/>
    <m/>
    <m/>
    <m/>
    <m/>
    <m/>
    <m/>
    <m/>
    <n v="64.871355123332307"/>
    <m/>
    <m/>
    <m/>
  </r>
  <r>
    <s v="Rodeo Guazu"/>
    <s v="F_2_2"/>
    <s v="F_2_Str1"/>
    <n v="1000"/>
    <m/>
    <m/>
    <m/>
    <n v="2019"/>
    <x v="27"/>
    <n v="20"/>
    <m/>
    <m/>
    <m/>
    <m/>
    <m/>
    <m/>
    <m/>
    <m/>
    <m/>
    <m/>
    <n v="105.6667532094163"/>
    <n v="105.6667532094163"/>
    <n v="0"/>
    <m/>
    <m/>
    <m/>
    <m/>
    <m/>
    <m/>
    <m/>
    <m/>
    <m/>
    <m/>
    <m/>
    <m/>
    <m/>
    <m/>
    <m/>
    <m/>
    <n v="65.356113063991259"/>
    <m/>
    <m/>
    <m/>
  </r>
  <r>
    <s v="Rodeo Guazu"/>
    <s v="F_2_3"/>
    <s v="F_2_Str1"/>
    <n v="1000"/>
    <m/>
    <m/>
    <m/>
    <n v="2019"/>
    <x v="28"/>
    <n v="20"/>
    <m/>
    <m/>
    <m/>
    <m/>
    <m/>
    <m/>
    <m/>
    <m/>
    <m/>
    <m/>
    <n v="78.560781894371786"/>
    <n v="78.560781894371786"/>
    <n v="0"/>
    <m/>
    <m/>
    <m/>
    <m/>
    <m/>
    <m/>
    <m/>
    <m/>
    <m/>
    <m/>
    <m/>
    <m/>
    <m/>
    <m/>
    <m/>
    <m/>
    <n v="48.590755255897975"/>
    <m/>
    <m/>
    <m/>
  </r>
  <r>
    <s v="Rodeo Guazu"/>
    <s v="F_2_4"/>
    <s v="F_2_Str1"/>
    <n v="1000"/>
    <m/>
    <m/>
    <m/>
    <n v="2019"/>
    <x v="29"/>
    <n v="20"/>
    <m/>
    <m/>
    <m/>
    <m/>
    <m/>
    <m/>
    <m/>
    <m/>
    <m/>
    <m/>
    <n v="70.652960495760823"/>
    <n v="70.652960495760823"/>
    <n v="0"/>
    <m/>
    <m/>
    <m/>
    <m/>
    <m/>
    <m/>
    <m/>
    <m/>
    <m/>
    <m/>
    <m/>
    <m/>
    <m/>
    <m/>
    <m/>
    <m/>
    <n v="43.699675954982993"/>
    <m/>
    <m/>
    <m/>
  </r>
  <r>
    <s v="Rodeo Guazu"/>
    <s v="F_2_5"/>
    <s v="F_2_Str1"/>
    <n v="1000"/>
    <m/>
    <m/>
    <m/>
    <n v="2019"/>
    <x v="30"/>
    <n v="20"/>
    <m/>
    <m/>
    <m/>
    <m/>
    <m/>
    <m/>
    <m/>
    <m/>
    <m/>
    <m/>
    <n v="104.65711582977406"/>
    <n v="104.65711582977406"/>
    <n v="0"/>
    <m/>
    <m/>
    <m/>
    <m/>
    <m/>
    <m/>
    <m/>
    <m/>
    <m/>
    <m/>
    <m/>
    <m/>
    <m/>
    <m/>
    <m/>
    <m/>
    <n v="64.731640628401649"/>
    <m/>
    <m/>
    <m/>
  </r>
  <r>
    <s v="Rodeo Guazu"/>
    <s v="F_2_6"/>
    <s v="F_2_Str1"/>
    <n v="1000"/>
    <m/>
    <m/>
    <m/>
    <n v="2019"/>
    <x v="31"/>
    <n v="20"/>
    <m/>
    <m/>
    <m/>
    <m/>
    <m/>
    <m/>
    <m/>
    <m/>
    <m/>
    <m/>
    <n v="113.74366412767864"/>
    <n v="113.74366412767864"/>
    <n v="0"/>
    <m/>
    <m/>
    <m/>
    <m/>
    <m/>
    <m/>
    <m/>
    <m/>
    <m/>
    <m/>
    <m/>
    <m/>
    <m/>
    <m/>
    <m/>
    <m/>
    <n v="70.351776195000539"/>
    <m/>
    <m/>
    <m/>
  </r>
  <r>
    <s v="Rodeo Guazu"/>
    <s v="F_7_1"/>
    <s v="F_7_Str1"/>
    <n v="1000"/>
    <m/>
    <m/>
    <m/>
    <n v="2019"/>
    <x v="32"/>
    <n v="20"/>
    <m/>
    <m/>
    <m/>
    <m/>
    <m/>
    <m/>
    <m/>
    <m/>
    <m/>
    <m/>
    <n v="83.819948260000004"/>
    <n v="83.819948260000004"/>
    <n v="0"/>
    <m/>
    <m/>
    <m/>
    <m/>
    <m/>
    <m/>
    <m/>
    <m/>
    <m/>
    <m/>
    <m/>
    <m/>
    <m/>
    <m/>
    <m/>
    <m/>
    <n v="51.843610682742941"/>
    <m/>
    <m/>
    <m/>
  </r>
  <r>
    <s v="Rodeo Guazu"/>
    <s v="F_7_2"/>
    <s v="F_7_Str1"/>
    <n v="1000"/>
    <m/>
    <m/>
    <m/>
    <n v="2019"/>
    <x v="33"/>
    <n v="20"/>
    <m/>
    <m/>
    <m/>
    <m/>
    <m/>
    <m/>
    <m/>
    <m/>
    <m/>
    <m/>
    <n v="106.7941352"/>
    <n v="106.7941352"/>
    <n v="0"/>
    <m/>
    <m/>
    <m/>
    <m/>
    <m/>
    <m/>
    <m/>
    <m/>
    <m/>
    <m/>
    <m/>
    <m/>
    <m/>
    <m/>
    <m/>
    <m/>
    <n v="66.05341190780895"/>
    <m/>
    <m/>
    <m/>
  </r>
  <r>
    <s v="Rodeo Guazu"/>
    <s v="F_7_3"/>
    <s v="F_7_Str1"/>
    <n v="1000"/>
    <m/>
    <m/>
    <m/>
    <n v="2019"/>
    <x v="34"/>
    <n v="20"/>
    <m/>
    <m/>
    <m/>
    <m/>
    <m/>
    <m/>
    <m/>
    <m/>
    <m/>
    <m/>
    <n v="98.348193260000002"/>
    <n v="98.348193260000002"/>
    <n v="0"/>
    <m/>
    <m/>
    <m/>
    <m/>
    <m/>
    <m/>
    <m/>
    <m/>
    <m/>
    <m/>
    <m/>
    <m/>
    <m/>
    <m/>
    <m/>
    <m/>
    <n v="60.829498807454918"/>
    <m/>
    <m/>
    <m/>
  </r>
  <r>
    <s v="Rodeo Guazu"/>
    <s v="F_8_1"/>
    <s v="F_8_Str1"/>
    <n v="1000"/>
    <m/>
    <m/>
    <m/>
    <n v="2019"/>
    <x v="35"/>
    <n v="20"/>
    <m/>
    <m/>
    <m/>
    <m/>
    <m/>
    <m/>
    <m/>
    <m/>
    <m/>
    <m/>
    <n v="60.174238750000001"/>
    <n v="60.174238750000001"/>
    <n v="0"/>
    <m/>
    <m/>
    <m/>
    <m/>
    <m/>
    <m/>
    <m/>
    <m/>
    <m/>
    <m/>
    <m/>
    <m/>
    <m/>
    <m/>
    <m/>
    <m/>
    <n v="37.21846495548558"/>
    <m/>
    <m/>
    <m/>
  </r>
  <r>
    <s v="Rodeo Guazu"/>
    <s v="F_8_2"/>
    <s v="F_8_Str1"/>
    <n v="1000"/>
    <m/>
    <m/>
    <m/>
    <n v="2019"/>
    <x v="36"/>
    <n v="20"/>
    <m/>
    <m/>
    <m/>
    <m/>
    <m/>
    <m/>
    <m/>
    <m/>
    <m/>
    <m/>
    <n v="91.746765819999993"/>
    <n v="91.746765819999993"/>
    <n v="0"/>
    <m/>
    <m/>
    <m/>
    <m/>
    <m/>
    <m/>
    <m/>
    <m/>
    <m/>
    <m/>
    <m/>
    <m/>
    <m/>
    <m/>
    <m/>
    <m/>
    <n v="56.746439329916932"/>
    <m/>
    <m/>
    <m/>
  </r>
  <r>
    <s v="Rodeo Guazu"/>
    <s v="F_8_2_1"/>
    <s v="F_8_2_Str1"/>
    <n v="1000"/>
    <m/>
    <m/>
    <m/>
    <n v="2019"/>
    <x v="37"/>
    <n v="20"/>
    <m/>
    <m/>
    <m/>
    <m/>
    <m/>
    <m/>
    <m/>
    <m/>
    <m/>
    <m/>
    <n v="73.348098039999996"/>
    <n v="73.348098039999996"/>
    <n v="0"/>
    <m/>
    <m/>
    <m/>
    <m/>
    <m/>
    <m/>
    <m/>
    <m/>
    <m/>
    <m/>
    <m/>
    <m/>
    <m/>
    <m/>
    <m/>
    <m/>
    <n v="45.366649801668828"/>
    <m/>
    <m/>
    <m/>
  </r>
  <r>
    <s v="Rodeo Guazu"/>
    <s v="F_8_3"/>
    <s v="F_8_Str1"/>
    <n v="1000"/>
    <m/>
    <m/>
    <m/>
    <n v="2019"/>
    <x v="38"/>
    <n v="20"/>
    <m/>
    <m/>
    <m/>
    <m/>
    <m/>
    <m/>
    <m/>
    <m/>
    <m/>
    <m/>
    <n v="84.902009430000007"/>
    <n v="84.902009430000007"/>
    <n v="0"/>
    <m/>
    <m/>
    <m/>
    <m/>
    <m/>
    <m/>
    <m/>
    <m/>
    <m/>
    <m/>
    <m/>
    <m/>
    <m/>
    <m/>
    <m/>
    <m/>
    <n v="52.512878073106677"/>
    <m/>
    <m/>
    <m/>
  </r>
  <r>
    <s v="Rodeo Guazu"/>
    <s v="F_8_4"/>
    <s v="F_8_Str1"/>
    <n v="1000"/>
    <m/>
    <m/>
    <m/>
    <n v="2019"/>
    <x v="39"/>
    <n v="20"/>
    <m/>
    <m/>
    <m/>
    <m/>
    <m/>
    <m/>
    <m/>
    <m/>
    <m/>
    <m/>
    <n v="103.84195010000001"/>
    <n v="103.84195010000001"/>
    <n v="0"/>
    <m/>
    <m/>
    <m/>
    <m/>
    <m/>
    <m/>
    <m/>
    <m/>
    <m/>
    <m/>
    <m/>
    <m/>
    <m/>
    <m/>
    <m/>
    <m/>
    <n v="64.227451164990967"/>
    <m/>
    <m/>
    <m/>
  </r>
  <r>
    <s v="Rodeo Guazu"/>
    <s v="F_8_5"/>
    <s v="F_8_Str1"/>
    <n v="1000"/>
    <m/>
    <m/>
    <m/>
    <n v="2019"/>
    <x v="40"/>
    <n v="20"/>
    <m/>
    <m/>
    <m/>
    <m/>
    <m/>
    <m/>
    <m/>
    <m/>
    <m/>
    <m/>
    <n v="45.332930580000003"/>
    <n v="45.332930580000003"/>
    <n v="0"/>
    <m/>
    <m/>
    <m/>
    <m/>
    <m/>
    <m/>
    <m/>
    <m/>
    <m/>
    <m/>
    <m/>
    <m/>
    <m/>
    <m/>
    <m/>
    <m/>
    <n v="28.038943627204432"/>
    <m/>
    <m/>
    <m/>
  </r>
  <r>
    <s v="Rodeo Guazu"/>
    <s v="F_8_6"/>
    <s v="F_8_Str1"/>
    <n v="1000"/>
    <m/>
    <m/>
    <m/>
    <n v="2019"/>
    <x v="41"/>
    <n v="20"/>
    <m/>
    <m/>
    <m/>
    <m/>
    <m/>
    <m/>
    <m/>
    <m/>
    <m/>
    <m/>
    <n v="50.552152890000002"/>
    <n v="50.552152890000002"/>
    <n v="0"/>
    <m/>
    <m/>
    <m/>
    <m/>
    <m/>
    <m/>
    <m/>
    <m/>
    <m/>
    <m/>
    <m/>
    <m/>
    <m/>
    <m/>
    <m/>
    <m/>
    <n v="31.267093192114775"/>
    <m/>
    <m/>
    <m/>
  </r>
  <r>
    <s v="Rodeo Guazu"/>
    <s v="F10 1"/>
    <s v="F_10_Str1"/>
    <n v="1000"/>
    <m/>
    <m/>
    <m/>
    <n v="2020"/>
    <x v="42"/>
    <n v="20"/>
    <m/>
    <m/>
    <m/>
    <m/>
    <m/>
    <m/>
    <m/>
    <m/>
    <m/>
    <m/>
    <n v="69.429802370000004"/>
    <n v="69.429802370000004"/>
    <n v="0"/>
    <m/>
    <m/>
    <m/>
    <m/>
    <m/>
    <m/>
    <m/>
    <m/>
    <m/>
    <m/>
    <m/>
    <m/>
    <m/>
    <m/>
    <m/>
    <m/>
    <n v="42.943138460129411"/>
    <m/>
    <m/>
    <m/>
  </r>
  <r>
    <s v="Rodeo Guazu"/>
    <s v="F10 2"/>
    <s v="F_10_Str1"/>
    <n v="1000"/>
    <m/>
    <m/>
    <m/>
    <n v="2020"/>
    <x v="43"/>
    <n v="20"/>
    <m/>
    <m/>
    <m/>
    <m/>
    <m/>
    <m/>
    <m/>
    <m/>
    <m/>
    <m/>
    <n v="84.538626469999997"/>
    <n v="84.538626469999997"/>
    <n v="0"/>
    <m/>
    <m/>
    <m/>
    <m/>
    <m/>
    <m/>
    <m/>
    <m/>
    <m/>
    <m/>
    <m/>
    <m/>
    <m/>
    <m/>
    <m/>
    <m/>
    <n v="52.2881214954893"/>
    <m/>
    <m/>
    <m/>
  </r>
  <r>
    <s v="Rodeo Guazu"/>
    <s v="F10 3"/>
    <s v="F_10_Str1"/>
    <n v="1000"/>
    <m/>
    <m/>
    <m/>
    <n v="2020"/>
    <x v="44"/>
    <n v="20"/>
    <m/>
    <m/>
    <m/>
    <m/>
    <m/>
    <m/>
    <m/>
    <m/>
    <m/>
    <m/>
    <n v="101.2486389"/>
    <n v="101.2486389"/>
    <n v="0"/>
    <m/>
    <m/>
    <m/>
    <m/>
    <m/>
    <m/>
    <m/>
    <m/>
    <m/>
    <m/>
    <m/>
    <m/>
    <m/>
    <m/>
    <m/>
    <m/>
    <n v="62.62345809385522"/>
    <m/>
    <m/>
    <m/>
  </r>
  <r>
    <s v="Rodeo Guazu"/>
    <s v="F-1-1"/>
    <s v="F_1_Str1"/>
    <n v="1000"/>
    <m/>
    <m/>
    <m/>
    <n v="2019"/>
    <x v="45"/>
    <n v="20"/>
    <m/>
    <m/>
    <m/>
    <m/>
    <m/>
    <m/>
    <m/>
    <m/>
    <m/>
    <m/>
    <n v="47.737211719999998"/>
    <n v="47.737211719999998"/>
    <n v="0"/>
    <m/>
    <m/>
    <m/>
    <m/>
    <m/>
    <m/>
    <m/>
    <m/>
    <m/>
    <m/>
    <m/>
    <m/>
    <m/>
    <m/>
    <m/>
    <m/>
    <n v="29.52601941264135"/>
    <m/>
    <m/>
    <m/>
  </r>
  <r>
    <s v="Rodeo Guazu"/>
    <s v="F11 1"/>
    <s v="F_11_Str1"/>
    <n v="1000"/>
    <m/>
    <m/>
    <m/>
    <n v="2020"/>
    <x v="46"/>
    <n v="20"/>
    <m/>
    <m/>
    <m/>
    <m/>
    <m/>
    <m/>
    <m/>
    <m/>
    <m/>
    <m/>
    <n v="73.667909559999998"/>
    <n v="73.667909559999998"/>
    <n v="0"/>
    <m/>
    <m/>
    <m/>
    <m/>
    <m/>
    <m/>
    <m/>
    <m/>
    <m/>
    <m/>
    <m/>
    <m/>
    <m/>
    <m/>
    <m/>
    <m/>
    <n v="45.564456938023845"/>
    <m/>
    <m/>
    <m/>
  </r>
  <r>
    <s v="Rodeo Guazu"/>
    <s v="F11 2"/>
    <s v="F_11_Str1"/>
    <n v="1000"/>
    <m/>
    <m/>
    <m/>
    <n v="2020"/>
    <x v="47"/>
    <n v="20"/>
    <m/>
    <m/>
    <m/>
    <m/>
    <m/>
    <m/>
    <m/>
    <m/>
    <m/>
    <m/>
    <n v="60.869945309999999"/>
    <n v="60.869945309999999"/>
    <n v="0"/>
    <m/>
    <m/>
    <m/>
    <m/>
    <m/>
    <m/>
    <m/>
    <m/>
    <m/>
    <m/>
    <m/>
    <m/>
    <m/>
    <m/>
    <m/>
    <m/>
    <n v="37.648767536133697"/>
    <m/>
    <m/>
    <m/>
  </r>
  <r>
    <s v="Rodeo Guazu"/>
    <s v="F11 3"/>
    <s v="F_11_Str1"/>
    <n v="1000"/>
    <m/>
    <m/>
    <m/>
    <n v="2020"/>
    <x v="48"/>
    <n v="20"/>
    <m/>
    <m/>
    <m/>
    <m/>
    <m/>
    <m/>
    <m/>
    <m/>
    <m/>
    <m/>
    <n v="75.29920559"/>
    <n v="75.29920559"/>
    <n v="0"/>
    <m/>
    <m/>
    <m/>
    <m/>
    <m/>
    <m/>
    <m/>
    <m/>
    <m/>
    <m/>
    <m/>
    <m/>
    <m/>
    <m/>
    <m/>
    <m/>
    <n v="46.573432462862996"/>
    <m/>
    <m/>
    <m/>
  </r>
  <r>
    <s v="Rodeo Guazu"/>
    <s v="F12 1"/>
    <s v="F_12_Str1"/>
    <n v="1000"/>
    <m/>
    <m/>
    <m/>
    <n v="2020"/>
    <x v="49"/>
    <n v="20"/>
    <m/>
    <m/>
    <m/>
    <m/>
    <m/>
    <m/>
    <m/>
    <m/>
    <m/>
    <m/>
    <n v="55.870110920000002"/>
    <n v="55.870110920000002"/>
    <n v="0"/>
    <m/>
    <m/>
    <m/>
    <m/>
    <m/>
    <m/>
    <m/>
    <m/>
    <m/>
    <m/>
    <m/>
    <m/>
    <m/>
    <m/>
    <m/>
    <m/>
    <n v="34.55631194561829"/>
    <m/>
    <m/>
    <m/>
  </r>
  <r>
    <s v="Rodeo Guazu"/>
    <s v="F12 2"/>
    <s v="F_12_Str1"/>
    <n v="1000"/>
    <m/>
    <m/>
    <m/>
    <n v="2020"/>
    <x v="50"/>
    <n v="20"/>
    <m/>
    <m/>
    <m/>
    <m/>
    <m/>
    <m/>
    <m/>
    <m/>
    <m/>
    <m/>
    <n v="57.029199149999997"/>
    <n v="57.029199149999997"/>
    <n v="0"/>
    <m/>
    <m/>
    <m/>
    <m/>
    <m/>
    <m/>
    <m/>
    <m/>
    <m/>
    <m/>
    <m/>
    <m/>
    <m/>
    <m/>
    <m/>
    <m/>
    <n v="35.273221466448263"/>
    <m/>
    <m/>
    <m/>
  </r>
  <r>
    <s v="Rodeo Guazu"/>
    <s v="F12 3"/>
    <s v="F_12_Str1"/>
    <n v="1000"/>
    <m/>
    <m/>
    <m/>
    <n v="2020"/>
    <x v="51"/>
    <n v="20"/>
    <m/>
    <m/>
    <m/>
    <m/>
    <m/>
    <m/>
    <m/>
    <m/>
    <m/>
    <m/>
    <n v="52.911173820000002"/>
    <n v="52.911173820000002"/>
    <n v="0"/>
    <m/>
    <m/>
    <m/>
    <m/>
    <m/>
    <m/>
    <m/>
    <m/>
    <m/>
    <m/>
    <m/>
    <m/>
    <m/>
    <m/>
    <m/>
    <m/>
    <n v="32.726175012447101"/>
    <m/>
    <m/>
    <m/>
  </r>
  <r>
    <s v="Rodeo Guazu"/>
    <s v="F12 4"/>
    <s v="F_12_Str1"/>
    <n v="1000"/>
    <m/>
    <m/>
    <m/>
    <n v="2020"/>
    <x v="52"/>
    <n v="20"/>
    <m/>
    <m/>
    <m/>
    <m/>
    <m/>
    <m/>
    <m/>
    <m/>
    <m/>
    <m/>
    <n v="43.093776079999998"/>
    <n v="43.093776079999998"/>
    <n v="0"/>
    <m/>
    <m/>
    <m/>
    <m/>
    <m/>
    <m/>
    <m/>
    <m/>
    <m/>
    <m/>
    <m/>
    <m/>
    <m/>
    <m/>
    <m/>
    <m/>
    <n v="26.654000584810433"/>
    <m/>
    <m/>
    <m/>
  </r>
  <r>
    <s v="Rodeo Guazu"/>
    <s v="F-1-3"/>
    <s v="F_1_Str2"/>
    <n v="1000"/>
    <m/>
    <m/>
    <m/>
    <n v="2019"/>
    <x v="53"/>
    <n v="20"/>
    <m/>
    <m/>
    <m/>
    <m/>
    <m/>
    <m/>
    <m/>
    <m/>
    <m/>
    <m/>
    <n v="60.371045629999998"/>
    <n v="60.371045629999998"/>
    <n v="0"/>
    <m/>
    <m/>
    <m/>
    <m/>
    <m/>
    <m/>
    <m/>
    <m/>
    <m/>
    <m/>
    <m/>
    <m/>
    <m/>
    <m/>
    <m/>
    <m/>
    <n v="37.340192294600079"/>
    <m/>
    <m/>
    <m/>
  </r>
  <r>
    <s v="Rodeo Guazu"/>
    <s v="F-1-4"/>
    <s v="F_1_Str1"/>
    <n v="1000"/>
    <m/>
    <m/>
    <m/>
    <n v="2019"/>
    <x v="54"/>
    <n v="20"/>
    <m/>
    <m/>
    <m/>
    <m/>
    <m/>
    <m/>
    <m/>
    <m/>
    <m/>
    <m/>
    <n v="59.769570880000003"/>
    <n v="59.769570880000003"/>
    <n v="0"/>
    <m/>
    <m/>
    <m/>
    <m/>
    <m/>
    <m/>
    <m/>
    <m/>
    <m/>
    <m/>
    <m/>
    <m/>
    <m/>
    <m/>
    <m/>
    <m/>
    <n v="36.968173181944763"/>
    <m/>
    <m/>
    <m/>
  </r>
  <r>
    <s v="Rodeo Guazu"/>
    <s v="F-1-6"/>
    <s v="F_1_Str1"/>
    <n v="1000"/>
    <m/>
    <m/>
    <m/>
    <n v="2019"/>
    <x v="55"/>
    <n v="20"/>
    <m/>
    <m/>
    <m/>
    <m/>
    <m/>
    <m/>
    <m/>
    <m/>
    <m/>
    <m/>
    <n v="25.245875417546014"/>
    <n v="25.245875417546014"/>
    <n v="0"/>
    <m/>
    <m/>
    <m/>
    <m/>
    <m/>
    <m/>
    <m/>
    <m/>
    <m/>
    <m/>
    <m/>
    <m/>
    <m/>
    <m/>
    <m/>
    <m/>
    <n v="15.614866910110949"/>
    <m/>
    <m/>
    <m/>
  </r>
  <r>
    <s v="Rodeo Guazu"/>
    <s v="F-1-7"/>
    <s v="F_1_Str1"/>
    <n v="1000"/>
    <m/>
    <m/>
    <m/>
    <n v="2019"/>
    <x v="56"/>
    <n v="20"/>
    <m/>
    <m/>
    <m/>
    <m/>
    <m/>
    <m/>
    <m/>
    <m/>
    <m/>
    <m/>
    <n v="28.265510449607824"/>
    <n v="28.265510449607824"/>
    <n v="0"/>
    <m/>
    <m/>
    <m/>
    <m/>
    <m/>
    <m/>
    <m/>
    <m/>
    <m/>
    <m/>
    <m/>
    <m/>
    <m/>
    <m/>
    <m/>
    <m/>
    <n v="17.482546218628151"/>
    <m/>
    <m/>
    <m/>
  </r>
  <r>
    <s v="Rodeo Guazu"/>
    <s v="F-1-8"/>
    <s v="F_1_Str1"/>
    <n v="1000"/>
    <m/>
    <m/>
    <m/>
    <n v="2019"/>
    <x v="57"/>
    <n v="20"/>
    <m/>
    <m/>
    <m/>
    <m/>
    <m/>
    <m/>
    <m/>
    <m/>
    <m/>
    <m/>
    <n v="43.537764439310102"/>
    <n v="43.537764439310102"/>
    <n v="0"/>
    <m/>
    <m/>
    <m/>
    <m/>
    <m/>
    <m/>
    <m/>
    <m/>
    <m/>
    <m/>
    <m/>
    <m/>
    <m/>
    <m/>
    <m/>
    <m/>
    <n v="26.928612537281982"/>
    <m/>
    <m/>
    <m/>
  </r>
  <r>
    <s v="Rodeo Guazu"/>
    <s v="F3 1"/>
    <s v="F_3_Str1"/>
    <n v="800"/>
    <m/>
    <m/>
    <m/>
    <n v="2020"/>
    <x v="58"/>
    <n v="20"/>
    <m/>
    <m/>
    <m/>
    <m/>
    <m/>
    <m/>
    <m/>
    <m/>
    <m/>
    <m/>
    <n v="66.245669149999998"/>
    <n v="66.245669149999998"/>
    <n v="0"/>
    <m/>
    <m/>
    <m/>
    <m/>
    <m/>
    <m/>
    <m/>
    <m/>
    <m/>
    <m/>
    <m/>
    <m/>
    <m/>
    <m/>
    <m/>
    <m/>
    <n v="40.973715113462347"/>
    <m/>
    <m/>
    <m/>
  </r>
  <r>
    <s v="Rodeo Guazu"/>
    <s v="F3 2"/>
    <s v="F_3_Str1"/>
    <n v="800"/>
    <m/>
    <m/>
    <m/>
    <n v="2020"/>
    <x v="59"/>
    <n v="20"/>
    <m/>
    <m/>
    <m/>
    <m/>
    <m/>
    <m/>
    <m/>
    <m/>
    <m/>
    <m/>
    <n v="63.281863889999997"/>
    <n v="63.281863889999997"/>
    <n v="0"/>
    <m/>
    <m/>
    <m/>
    <m/>
    <m/>
    <m/>
    <m/>
    <m/>
    <m/>
    <m/>
    <m/>
    <m/>
    <m/>
    <m/>
    <m/>
    <m/>
    <n v="39.140567166838863"/>
    <m/>
    <m/>
    <m/>
  </r>
  <r>
    <s v="Rodeo Guazu"/>
    <s v="F3 4"/>
    <s v="F_3_Str1"/>
    <n v="800"/>
    <m/>
    <m/>
    <m/>
    <n v="2020"/>
    <x v="60"/>
    <n v="20"/>
    <m/>
    <m/>
    <m/>
    <m/>
    <m/>
    <m/>
    <m/>
    <m/>
    <m/>
    <m/>
    <n v="25.576114650000001"/>
    <n v="25.576114650000001"/>
    <n v="0"/>
    <m/>
    <m/>
    <m/>
    <m/>
    <m/>
    <m/>
    <m/>
    <m/>
    <m/>
    <m/>
    <m/>
    <m/>
    <m/>
    <m/>
    <m/>
    <m/>
    <n v="15.819123707626568"/>
    <m/>
    <m/>
    <m/>
  </r>
  <r>
    <s v="Rodeo Guazu"/>
    <s v="F3 5"/>
    <s v="F_3_Str1"/>
    <n v="800"/>
    <m/>
    <m/>
    <m/>
    <n v="2020"/>
    <x v="61"/>
    <n v="20"/>
    <m/>
    <m/>
    <m/>
    <m/>
    <m/>
    <m/>
    <m/>
    <m/>
    <m/>
    <m/>
    <n v="50.156684519999999"/>
    <n v="50.156684519999999"/>
    <n v="0"/>
    <m/>
    <m/>
    <m/>
    <m/>
    <m/>
    <m/>
    <m/>
    <m/>
    <m/>
    <m/>
    <m/>
    <m/>
    <m/>
    <m/>
    <m/>
    <m/>
    <n v="31.022491416079042"/>
    <m/>
    <m/>
    <m/>
  </r>
  <r>
    <s v="Rodeo Guazu"/>
    <s v="F4 1"/>
    <s v="F_4_Str1"/>
    <n v="800"/>
    <m/>
    <m/>
    <m/>
    <n v="2020"/>
    <x v="62"/>
    <n v="20"/>
    <m/>
    <m/>
    <m/>
    <m/>
    <m/>
    <m/>
    <m/>
    <m/>
    <m/>
    <m/>
    <n v="47.490273420000001"/>
    <n v="47.490273420000001"/>
    <n v="0"/>
    <m/>
    <m/>
    <m/>
    <m/>
    <m/>
    <m/>
    <m/>
    <m/>
    <m/>
    <m/>
    <m/>
    <m/>
    <m/>
    <m/>
    <m/>
    <m/>
    <n v="29.373285208509568"/>
    <m/>
    <m/>
    <m/>
  </r>
  <r>
    <s v="Rodeo Guazu"/>
    <s v="F4 2"/>
    <s v="F_4_Str1"/>
    <n v="800"/>
    <m/>
    <m/>
    <m/>
    <n v="2020"/>
    <x v="63"/>
    <n v="20"/>
    <m/>
    <m/>
    <m/>
    <m/>
    <m/>
    <m/>
    <m/>
    <m/>
    <m/>
    <m/>
    <n v="40.021560809999997"/>
    <n v="40.021560809999997"/>
    <n v="0"/>
    <m/>
    <m/>
    <m/>
    <m/>
    <m/>
    <m/>
    <m/>
    <m/>
    <m/>
    <m/>
    <m/>
    <m/>
    <m/>
    <m/>
    <m/>
    <m/>
    <n v="24.75379978896401"/>
    <m/>
    <m/>
    <m/>
  </r>
  <r>
    <s v="Rodeo Guazu"/>
    <s v="F4 3"/>
    <s v="F_4_Str1"/>
    <n v="800"/>
    <m/>
    <m/>
    <m/>
    <n v="2020"/>
    <x v="64"/>
    <n v="20"/>
    <m/>
    <m/>
    <m/>
    <m/>
    <m/>
    <m/>
    <m/>
    <m/>
    <m/>
    <m/>
    <n v="39.845023189999999"/>
    <n v="39.845023189999999"/>
    <n v="0"/>
    <m/>
    <m/>
    <m/>
    <m/>
    <m/>
    <m/>
    <m/>
    <m/>
    <m/>
    <m/>
    <m/>
    <m/>
    <m/>
    <m/>
    <m/>
    <m/>
    <n v="24.644609222373003"/>
    <m/>
    <m/>
    <m/>
  </r>
  <r>
    <s v="Rodeo Guazu"/>
    <s v="F4 4"/>
    <s v="F_4_Str1"/>
    <n v="800"/>
    <m/>
    <m/>
    <m/>
    <n v="2020"/>
    <x v="65"/>
    <n v="20"/>
    <m/>
    <m/>
    <m/>
    <m/>
    <m/>
    <m/>
    <m/>
    <m/>
    <m/>
    <m/>
    <n v="45.263000220000002"/>
    <n v="45.263000220000002"/>
    <n v="0"/>
    <m/>
    <m/>
    <m/>
    <m/>
    <m/>
    <m/>
    <m/>
    <m/>
    <m/>
    <m/>
    <m/>
    <m/>
    <m/>
    <m/>
    <m/>
    <m/>
    <n v="27.995690888041455"/>
    <m/>
    <m/>
    <m/>
  </r>
  <r>
    <s v="Rodeo Guazu"/>
    <s v="F4 5"/>
    <s v="F_4_Str1"/>
    <n v="800"/>
    <m/>
    <m/>
    <m/>
    <n v="2020"/>
    <x v="66"/>
    <n v="20"/>
    <m/>
    <m/>
    <m/>
    <m/>
    <m/>
    <m/>
    <m/>
    <m/>
    <m/>
    <m/>
    <n v="38.371207220000002"/>
    <n v="38.371207220000002"/>
    <n v="0"/>
    <m/>
    <m/>
    <m/>
    <m/>
    <m/>
    <m/>
    <m/>
    <m/>
    <m/>
    <m/>
    <m/>
    <m/>
    <m/>
    <m/>
    <m/>
    <m/>
    <n v="23.733036942112463"/>
    <m/>
    <m/>
    <m/>
  </r>
  <r>
    <s v="Rodeo Guazu"/>
    <s v="F-5-2"/>
    <s v="F_5_Str1"/>
    <n v="1000"/>
    <m/>
    <m/>
    <m/>
    <n v="2019"/>
    <x v="67"/>
    <n v="20"/>
    <m/>
    <m/>
    <m/>
    <m/>
    <m/>
    <m/>
    <m/>
    <m/>
    <m/>
    <m/>
    <n v="45.209296940000002"/>
    <n v="45.209296940000002"/>
    <n v="0"/>
    <m/>
    <m/>
    <m/>
    <m/>
    <m/>
    <m/>
    <m/>
    <m/>
    <m/>
    <m/>
    <m/>
    <m/>
    <m/>
    <m/>
    <m/>
    <m/>
    <n v="27.962474786164723"/>
    <m/>
    <m/>
    <m/>
  </r>
  <r>
    <s v="Rodeo Guazu"/>
    <s v="F-5-4"/>
    <s v="F_5_Str1"/>
    <n v="1000"/>
    <m/>
    <m/>
    <m/>
    <n v="2019"/>
    <x v="68"/>
    <n v="20"/>
    <m/>
    <m/>
    <m/>
    <m/>
    <m/>
    <m/>
    <m/>
    <m/>
    <m/>
    <m/>
    <n v="52.143665519999999"/>
    <n v="52.143665519999999"/>
    <n v="0"/>
    <m/>
    <m/>
    <m/>
    <m/>
    <m/>
    <m/>
    <m/>
    <m/>
    <m/>
    <m/>
    <m/>
    <m/>
    <m/>
    <m/>
    <m/>
    <m/>
    <n v="32.251462222389669"/>
    <m/>
    <m/>
    <m/>
  </r>
  <r>
    <s v="Rodeo Guazu"/>
    <s v="F-5-6"/>
    <s v="F_5_Str1"/>
    <n v="1000"/>
    <m/>
    <m/>
    <m/>
    <n v="2019"/>
    <x v="69"/>
    <n v="20"/>
    <m/>
    <m/>
    <m/>
    <m/>
    <m/>
    <m/>
    <m/>
    <m/>
    <m/>
    <m/>
    <n v="28.625330739999999"/>
    <n v="28.625330739999999"/>
    <n v="0"/>
    <m/>
    <m/>
    <m/>
    <m/>
    <m/>
    <m/>
    <m/>
    <m/>
    <m/>
    <m/>
    <m/>
    <m/>
    <m/>
    <m/>
    <m/>
    <m/>
    <n v="17.705099243750283"/>
    <m/>
    <m/>
    <m/>
  </r>
  <r>
    <s v="Rodeo Guazu"/>
    <s v="F-6-1"/>
    <s v="F_6_Str1"/>
    <n v="1000"/>
    <m/>
    <m/>
    <m/>
    <n v="2019"/>
    <x v="70"/>
    <n v="20"/>
    <m/>
    <m/>
    <m/>
    <m/>
    <m/>
    <m/>
    <m/>
    <m/>
    <m/>
    <m/>
    <n v="32.122252750000001"/>
    <n v="32.122252750000001"/>
    <n v="0"/>
    <m/>
    <m/>
    <m/>
    <m/>
    <m/>
    <m/>
    <m/>
    <m/>
    <m/>
    <m/>
    <m/>
    <m/>
    <m/>
    <m/>
    <m/>
    <m/>
    <n v="19.867986086772476"/>
    <m/>
    <m/>
    <m/>
  </r>
  <r>
    <s v="Rodeo Guazu"/>
    <s v="F-6-2"/>
    <s v="F_6_Str1"/>
    <n v="1000"/>
    <m/>
    <m/>
    <m/>
    <n v="2019"/>
    <x v="71"/>
    <n v="20"/>
    <m/>
    <m/>
    <m/>
    <m/>
    <m/>
    <m/>
    <m/>
    <m/>
    <m/>
    <m/>
    <n v="38.281273280000001"/>
    <n v="38.281273280000001"/>
    <n v="0"/>
    <m/>
    <m/>
    <m/>
    <m/>
    <m/>
    <m/>
    <m/>
    <m/>
    <m/>
    <m/>
    <m/>
    <m/>
    <m/>
    <m/>
    <m/>
    <m/>
    <n v="23.677411756589049"/>
    <m/>
    <m/>
    <m/>
  </r>
  <r>
    <s v="Rodeo Guazu"/>
    <s v="F-6-3"/>
    <s v="F_6_Str1"/>
    <n v="1000"/>
    <m/>
    <m/>
    <m/>
    <n v="2019"/>
    <x v="72"/>
    <n v="20"/>
    <m/>
    <m/>
    <m/>
    <m/>
    <m/>
    <m/>
    <m/>
    <m/>
    <m/>
    <m/>
    <n v="71.495046520000002"/>
    <n v="71.495046520000002"/>
    <n v="0"/>
    <m/>
    <m/>
    <m/>
    <m/>
    <m/>
    <m/>
    <m/>
    <m/>
    <m/>
    <m/>
    <m/>
    <m/>
    <m/>
    <m/>
    <m/>
    <m/>
    <n v="44.220515932915418"/>
    <m/>
    <m/>
    <m/>
  </r>
  <r>
    <s v="Rodeo Guazu"/>
    <s v="F-6-4"/>
    <s v="F_6_Str1"/>
    <n v="1000"/>
    <m/>
    <m/>
    <m/>
    <n v="2019"/>
    <x v="73"/>
    <n v="20"/>
    <m/>
    <m/>
    <m/>
    <m/>
    <m/>
    <m/>
    <m/>
    <m/>
    <m/>
    <m/>
    <n v="68.358160470000001"/>
    <n v="68.358160470000001"/>
    <n v="0"/>
    <m/>
    <m/>
    <m/>
    <m/>
    <m/>
    <m/>
    <m/>
    <m/>
    <m/>
    <m/>
    <m/>
    <m/>
    <m/>
    <m/>
    <m/>
    <m/>
    <n v="42.280315509170514"/>
    <m/>
    <m/>
    <m/>
  </r>
  <r>
    <s v="Rodeo Guazu"/>
    <s v="F-6-6"/>
    <s v="F_6_Str1"/>
    <n v="1000"/>
    <m/>
    <m/>
    <m/>
    <n v="2019"/>
    <x v="74"/>
    <n v="20"/>
    <m/>
    <m/>
    <m/>
    <m/>
    <m/>
    <m/>
    <m/>
    <m/>
    <m/>
    <m/>
    <n v="65.072982190000005"/>
    <n v="65.072982190000005"/>
    <n v="0"/>
    <m/>
    <m/>
    <m/>
    <m/>
    <m/>
    <m/>
    <m/>
    <m/>
    <m/>
    <m/>
    <m/>
    <m/>
    <m/>
    <m/>
    <m/>
    <m/>
    <n v="40.248394620321676"/>
    <m/>
    <m/>
    <m/>
  </r>
  <r>
    <s v="Rodeo Guazu"/>
    <s v="F-6-7"/>
    <s v="F_6_Str1"/>
    <n v="1000"/>
    <m/>
    <m/>
    <m/>
    <n v="2019"/>
    <x v="75"/>
    <n v="20"/>
    <m/>
    <m/>
    <m/>
    <m/>
    <m/>
    <m/>
    <m/>
    <m/>
    <m/>
    <m/>
    <n v="63.080895400000003"/>
    <n v="63.080895400000003"/>
    <n v="0"/>
    <m/>
    <m/>
    <m/>
    <m/>
    <m/>
    <m/>
    <m/>
    <m/>
    <m/>
    <m/>
    <m/>
    <m/>
    <m/>
    <m/>
    <m/>
    <m/>
    <n v="39.016265823646187"/>
    <m/>
    <m/>
    <m/>
  </r>
  <r>
    <s v="Rodeo Guazu"/>
    <s v="F-6-8"/>
    <s v="F_6_Str1"/>
    <n v="1000"/>
    <m/>
    <m/>
    <m/>
    <n v="2019"/>
    <x v="76"/>
    <n v="20"/>
    <m/>
    <m/>
    <m/>
    <m/>
    <m/>
    <m/>
    <m/>
    <m/>
    <m/>
    <m/>
    <n v="52.095673210000001"/>
    <n v="52.095673210000001"/>
    <n v="0"/>
    <m/>
    <m/>
    <m/>
    <m/>
    <m/>
    <m/>
    <m/>
    <m/>
    <m/>
    <m/>
    <m/>
    <m/>
    <m/>
    <m/>
    <m/>
    <m/>
    <n v="32.221778421730576"/>
    <m/>
    <m/>
    <m/>
  </r>
  <r>
    <s v="Rodeo Guazu"/>
    <s v="F9 1"/>
    <s v="F_9_Str1"/>
    <n v="800"/>
    <m/>
    <m/>
    <m/>
    <n v="2020"/>
    <x v="77"/>
    <n v="20"/>
    <m/>
    <m/>
    <m/>
    <m/>
    <m/>
    <m/>
    <m/>
    <m/>
    <m/>
    <m/>
    <n v="51.512661540000003"/>
    <n v="51.512661540000003"/>
    <n v="0"/>
    <m/>
    <m/>
    <m/>
    <m/>
    <m/>
    <m/>
    <m/>
    <m/>
    <m/>
    <m/>
    <m/>
    <m/>
    <m/>
    <m/>
    <m/>
    <m/>
    <n v="31.861178938309042"/>
    <m/>
    <m/>
    <m/>
  </r>
  <r>
    <s v="Rodeo Guazu"/>
    <s v="F9 2"/>
    <s v="F_9_Str1"/>
    <n v="800"/>
    <m/>
    <m/>
    <m/>
    <n v="2020"/>
    <x v="78"/>
    <n v="20"/>
    <m/>
    <m/>
    <m/>
    <m/>
    <m/>
    <m/>
    <m/>
    <m/>
    <m/>
    <m/>
    <n v="49.030181380000002"/>
    <n v="49.030181380000002"/>
    <n v="0"/>
    <m/>
    <m/>
    <m/>
    <m/>
    <m/>
    <m/>
    <m/>
    <m/>
    <m/>
    <m/>
    <m/>
    <m/>
    <m/>
    <m/>
    <m/>
    <m/>
    <n v="30.325736151545939"/>
    <m/>
    <m/>
    <m/>
  </r>
  <r>
    <s v="Rodeo Guazu"/>
    <s v="F9 3"/>
    <s v="F_9_Str1"/>
    <n v="800"/>
    <m/>
    <m/>
    <m/>
    <n v="2020"/>
    <x v="79"/>
    <n v="20"/>
    <m/>
    <m/>
    <m/>
    <m/>
    <m/>
    <m/>
    <m/>
    <m/>
    <m/>
    <m/>
    <n v="61.14392711"/>
    <n v="61.14392711"/>
    <n v="0"/>
    <m/>
    <m/>
    <m/>
    <m/>
    <m/>
    <m/>
    <m/>
    <m/>
    <m/>
    <m/>
    <m/>
    <m/>
    <m/>
    <m/>
    <m/>
    <m/>
    <n v="37.818228458840281"/>
    <m/>
    <m/>
    <m/>
  </r>
  <r>
    <s v="Rodeo Guazu"/>
    <s v="Jakare 1"/>
    <s v="Jakare_3_Str1"/>
    <n v="476"/>
    <m/>
    <m/>
    <m/>
    <n v="2020"/>
    <x v="80"/>
    <n v="20"/>
    <m/>
    <m/>
    <m/>
    <m/>
    <m/>
    <m/>
    <m/>
    <m/>
    <m/>
    <m/>
    <n v="97.005966130000004"/>
    <n v="97.005966130000004"/>
    <n v="0"/>
    <m/>
    <m/>
    <m/>
    <m/>
    <m/>
    <m/>
    <m/>
    <m/>
    <m/>
    <m/>
    <m/>
    <m/>
    <m/>
    <m/>
    <m/>
    <m/>
    <n v="59.999315751749762"/>
    <m/>
    <m/>
    <m/>
  </r>
  <r>
    <s v="Rodeo Guazu"/>
    <s v="Jakare 2"/>
    <s v="Jakare_3_Str1"/>
    <n v="476"/>
    <m/>
    <m/>
    <m/>
    <n v="2020"/>
    <x v="81"/>
    <n v="20"/>
    <m/>
    <m/>
    <m/>
    <m/>
    <m/>
    <m/>
    <m/>
    <m/>
    <m/>
    <m/>
    <n v="89.257746819999994"/>
    <n v="89.257746819999994"/>
    <n v="0"/>
    <m/>
    <m/>
    <m/>
    <m/>
    <m/>
    <m/>
    <m/>
    <m/>
    <m/>
    <m/>
    <m/>
    <m/>
    <m/>
    <m/>
    <m/>
    <m/>
    <n v="55.206952194734228"/>
    <m/>
    <m/>
    <m/>
  </r>
  <r>
    <s v="Rodeo Guazu"/>
    <s v="Jakare_1"/>
    <s v="Jakare_3_Str1"/>
    <n v="476"/>
    <m/>
    <m/>
    <m/>
    <n v="2020"/>
    <x v="82"/>
    <n v="20"/>
    <m/>
    <m/>
    <m/>
    <m/>
    <m/>
    <m/>
    <m/>
    <m/>
    <m/>
    <m/>
    <n v="94.256100540000006"/>
    <n v="94.256100540000006"/>
    <n v="0"/>
    <m/>
    <m/>
    <m/>
    <m/>
    <m/>
    <m/>
    <m/>
    <m/>
    <m/>
    <m/>
    <m/>
    <m/>
    <m/>
    <m/>
    <m/>
    <m/>
    <n v="58.298491973672299"/>
    <m/>
    <m/>
    <m/>
  </r>
  <r>
    <s v="Rodeo Guazu"/>
    <s v="Jakare_2"/>
    <s v="Jakare_Str1"/>
    <n v="714"/>
    <m/>
    <m/>
    <m/>
    <n v="2019"/>
    <x v="83"/>
    <n v="20"/>
    <m/>
    <m/>
    <m/>
    <m/>
    <m/>
    <m/>
    <m/>
    <m/>
    <m/>
    <m/>
    <n v="91.497457639999993"/>
    <n v="91.497457639999993"/>
    <n v="0"/>
    <m/>
    <m/>
    <m/>
    <m/>
    <m/>
    <m/>
    <m/>
    <m/>
    <m/>
    <m/>
    <m/>
    <m/>
    <m/>
    <m/>
    <m/>
    <m/>
    <n v="56.592239327504011"/>
    <m/>
    <m/>
    <m/>
  </r>
  <r>
    <s v="Rodeo Guazu"/>
    <s v="Jakare_2_1"/>
    <s v="Jakare_2_Str1"/>
    <n v="714"/>
    <m/>
    <m/>
    <m/>
    <n v="2019"/>
    <x v="84"/>
    <n v="20"/>
    <m/>
    <m/>
    <m/>
    <m/>
    <m/>
    <m/>
    <m/>
    <m/>
    <m/>
    <m/>
    <n v="62.609616320000001"/>
    <n v="62.609616320000001"/>
    <n v="0"/>
    <m/>
    <m/>
    <m/>
    <m/>
    <m/>
    <m/>
    <m/>
    <m/>
    <m/>
    <m/>
    <m/>
    <m/>
    <m/>
    <m/>
    <m/>
    <m/>
    <n v="38.724774243734288"/>
    <m/>
    <m/>
    <m/>
  </r>
  <r>
    <s v="Rodeo Guazu"/>
    <s v="Jakare_2_2"/>
    <s v="Jakare_2_Str1"/>
    <n v="714"/>
    <m/>
    <m/>
    <m/>
    <n v="2019"/>
    <x v="85"/>
    <n v="20"/>
    <m/>
    <m/>
    <m/>
    <m/>
    <m/>
    <m/>
    <m/>
    <m/>
    <m/>
    <m/>
    <n v="70.943867190000006"/>
    <n v="70.943867190000006"/>
    <n v="0"/>
    <m/>
    <m/>
    <m/>
    <m/>
    <m/>
    <m/>
    <m/>
    <m/>
    <m/>
    <m/>
    <m/>
    <m/>
    <m/>
    <m/>
    <m/>
    <m/>
    <n v="43.879605121180496"/>
    <m/>
    <m/>
    <m/>
  </r>
  <r>
    <s v="Rodeo Guazu"/>
    <s v="Jakare_2_3"/>
    <s v="Jakare_2_Str1"/>
    <n v="714"/>
    <m/>
    <m/>
    <m/>
    <n v="2019"/>
    <x v="86"/>
    <n v="20"/>
    <m/>
    <m/>
    <m/>
    <m/>
    <m/>
    <m/>
    <m/>
    <m/>
    <m/>
    <m/>
    <n v="63.264826659999997"/>
    <n v="63.264826659999997"/>
    <n v="0"/>
    <m/>
    <m/>
    <m/>
    <m/>
    <m/>
    <m/>
    <m/>
    <m/>
    <m/>
    <m/>
    <m/>
    <m/>
    <m/>
    <m/>
    <m/>
    <m/>
    <n v="39.130029442376276"/>
    <m/>
    <m/>
    <m/>
  </r>
  <r>
    <s v="Rodeo Guazu"/>
    <s v="Jakare_2_4"/>
    <s v="Jakare_2_Str1"/>
    <n v="714"/>
    <m/>
    <m/>
    <m/>
    <n v="2019"/>
    <x v="87"/>
    <n v="20"/>
    <m/>
    <m/>
    <m/>
    <m/>
    <m/>
    <m/>
    <m/>
    <m/>
    <m/>
    <m/>
    <n v="65.991909079999999"/>
    <n v="65.991909079999999"/>
    <n v="0"/>
    <m/>
    <m/>
    <m/>
    <m/>
    <m/>
    <m/>
    <m/>
    <m/>
    <m/>
    <m/>
    <m/>
    <m/>
    <m/>
    <m/>
    <m/>
    <m/>
    <n v="40.816761565422716"/>
    <m/>
    <m/>
    <m/>
  </r>
  <r>
    <s v="Rodeo Guazu"/>
    <s v="Jakare_2_5"/>
    <s v="Jakare_2_Str1"/>
    <n v="714"/>
    <m/>
    <m/>
    <m/>
    <n v="2019"/>
    <x v="88"/>
    <n v="20"/>
    <m/>
    <m/>
    <m/>
    <m/>
    <m/>
    <m/>
    <m/>
    <m/>
    <m/>
    <m/>
    <n v="77.684282980000006"/>
    <n v="77.684282980000006"/>
    <n v="0"/>
    <m/>
    <m/>
    <m/>
    <m/>
    <m/>
    <m/>
    <m/>
    <m/>
    <m/>
    <m/>
    <m/>
    <m/>
    <m/>
    <m/>
    <m/>
    <m/>
    <n v="48.048630506076066"/>
    <m/>
    <m/>
    <m/>
  </r>
  <r>
    <s v="Rodeo Guazu"/>
    <s v="Jakare_3"/>
    <s v="Jakare_Str2"/>
    <n v="714"/>
    <m/>
    <m/>
    <m/>
    <n v="2019"/>
    <x v="89"/>
    <n v="20"/>
    <m/>
    <m/>
    <m/>
    <m/>
    <m/>
    <m/>
    <m/>
    <m/>
    <m/>
    <m/>
    <n v="67.809409939999995"/>
    <n v="67.809409939999995"/>
    <n v="0"/>
    <m/>
    <m/>
    <m/>
    <m/>
    <m/>
    <m/>
    <m/>
    <m/>
    <m/>
    <m/>
    <m/>
    <m/>
    <m/>
    <m/>
    <m/>
    <m/>
    <n v="41.940906938420468"/>
    <m/>
    <m/>
    <m/>
  </r>
  <r>
    <s v="Rodeo Guazu"/>
    <s v="Jakare_4"/>
    <s v="Jakare_Str1"/>
    <n v="714"/>
    <m/>
    <m/>
    <m/>
    <n v="2019"/>
    <x v="90"/>
    <n v="20"/>
    <m/>
    <m/>
    <m/>
    <m/>
    <m/>
    <m/>
    <m/>
    <m/>
    <m/>
    <m/>
    <n v="66.514941320000005"/>
    <n v="66.514941320000005"/>
    <n v="0"/>
    <m/>
    <m/>
    <m/>
    <m/>
    <m/>
    <m/>
    <m/>
    <m/>
    <m/>
    <m/>
    <m/>
    <m/>
    <m/>
    <m/>
    <m/>
    <m/>
    <n v="41.14026307536129"/>
    <m/>
    <m/>
    <m/>
  </r>
  <r>
    <s v="Rodeo Guazu"/>
    <s v="Jakare_5"/>
    <s v="Jakare_Str1"/>
    <n v="714"/>
    <m/>
    <m/>
    <m/>
    <n v="2019"/>
    <x v="91"/>
    <n v="20"/>
    <m/>
    <m/>
    <m/>
    <m/>
    <m/>
    <m/>
    <m/>
    <m/>
    <m/>
    <m/>
    <n v="60.21492903"/>
    <n v="60.21492903"/>
    <n v="0"/>
    <m/>
    <m/>
    <m/>
    <m/>
    <m/>
    <m/>
    <m/>
    <m/>
    <m/>
    <m/>
    <m/>
    <m/>
    <m/>
    <m/>
    <m/>
    <m/>
    <n v="37.243632365853664"/>
    <m/>
    <m/>
    <m/>
  </r>
  <r>
    <s v="Rodeo Guazu"/>
    <s v="Lechera-3"/>
    <s v="Lechera_Str1"/>
    <n v="714"/>
    <m/>
    <m/>
    <m/>
    <n v="2019"/>
    <x v="92"/>
    <n v="20"/>
    <m/>
    <m/>
    <m/>
    <m/>
    <m/>
    <m/>
    <m/>
    <m/>
    <m/>
    <m/>
    <n v="60.619998709999997"/>
    <n v="60.619998709999997"/>
    <n v="0"/>
    <m/>
    <m/>
    <m/>
    <m/>
    <m/>
    <m/>
    <m/>
    <m/>
    <m/>
    <m/>
    <m/>
    <m/>
    <m/>
    <m/>
    <m/>
    <m/>
    <n v="37.494172663542265"/>
    <m/>
    <m/>
    <m/>
  </r>
  <r>
    <s v="Rodeo Guazu"/>
    <s v="Lechera-4"/>
    <s v="Lechera_Str1"/>
    <n v="714"/>
    <m/>
    <m/>
    <m/>
    <n v="2019"/>
    <x v="93"/>
    <n v="20"/>
    <m/>
    <m/>
    <m/>
    <m/>
    <m/>
    <m/>
    <m/>
    <m/>
    <m/>
    <m/>
    <n v="61.766319000000003"/>
    <n v="61.766319000000003"/>
    <n v="0"/>
    <m/>
    <m/>
    <m/>
    <m/>
    <m/>
    <m/>
    <m/>
    <m/>
    <m/>
    <m/>
    <m/>
    <m/>
    <m/>
    <m/>
    <m/>
    <m/>
    <n v="38.203185065317392"/>
    <m/>
    <m/>
    <m/>
  </r>
  <r>
    <s v="Rodeo Guazu"/>
    <s v="Mbokaja-1"/>
    <s v="Mbokaja_Str1"/>
    <n v="714"/>
    <m/>
    <m/>
    <m/>
    <n v="2018"/>
    <x v="94"/>
    <n v="20"/>
    <m/>
    <m/>
    <m/>
    <m/>
    <m/>
    <m/>
    <m/>
    <m/>
    <m/>
    <m/>
    <n v="66.895577919999994"/>
    <n v="66.895577919999994"/>
    <n v="0"/>
    <m/>
    <m/>
    <m/>
    <m/>
    <m/>
    <m/>
    <m/>
    <m/>
    <m/>
    <m/>
    <m/>
    <m/>
    <m/>
    <m/>
    <m/>
    <m/>
    <n v="41.375691229537566"/>
    <m/>
    <m/>
    <m/>
  </r>
  <r>
    <s v="Rodeo Guazu"/>
    <s v="Mbokaja-3"/>
    <s v="Mbokaja_Str1"/>
    <n v="714"/>
    <m/>
    <m/>
    <m/>
    <n v="2018"/>
    <x v="95"/>
    <n v="20"/>
    <m/>
    <m/>
    <m/>
    <m/>
    <m/>
    <m/>
    <m/>
    <m/>
    <m/>
    <m/>
    <n v="65.959902869999993"/>
    <n v="65.959902869999993"/>
    <n v="0"/>
    <m/>
    <m/>
    <m/>
    <m/>
    <m/>
    <m/>
    <m/>
    <m/>
    <m/>
    <m/>
    <m/>
    <m/>
    <m/>
    <m/>
    <m/>
    <m/>
    <n v="40.796965353123426"/>
    <m/>
    <m/>
    <m/>
  </r>
  <r>
    <s v="Rodeo Guazu"/>
    <s v="Mbokaja-4"/>
    <s v="Mbokaja_Str1"/>
    <n v="714"/>
    <m/>
    <m/>
    <m/>
    <n v="2018"/>
    <x v="96"/>
    <n v="20"/>
    <m/>
    <m/>
    <m/>
    <m/>
    <m/>
    <m/>
    <m/>
    <m/>
    <m/>
    <m/>
    <n v="58.471317839999998"/>
    <n v="58.471317839999998"/>
    <n v="0"/>
    <m/>
    <m/>
    <m/>
    <m/>
    <m/>
    <m/>
    <m/>
    <m/>
    <m/>
    <m/>
    <m/>
    <m/>
    <m/>
    <m/>
    <m/>
    <m/>
    <n v="36.165188611199483"/>
    <m/>
    <m/>
    <m/>
  </r>
  <r>
    <s v="Rodeo Guazu"/>
    <s v="Naranja-1"/>
    <s v="Naranja_Str1"/>
    <n v="714"/>
    <m/>
    <m/>
    <m/>
    <n v="2018"/>
    <x v="97"/>
    <n v="20"/>
    <m/>
    <m/>
    <m/>
    <m/>
    <m/>
    <m/>
    <m/>
    <m/>
    <m/>
    <m/>
    <n v="61.074231140000002"/>
    <n v="61.074231140000002"/>
    <n v="0"/>
    <m/>
    <m/>
    <m/>
    <m/>
    <m/>
    <m/>
    <m/>
    <m/>
    <m/>
    <m/>
    <m/>
    <m/>
    <m/>
    <m/>
    <m/>
    <m/>
    <n v="37.775120692612262"/>
    <m/>
    <m/>
    <m/>
  </r>
  <r>
    <s v="Rodeo Guazu"/>
    <s v="Naranja-2"/>
    <s v="Naranja_Str1"/>
    <n v="714"/>
    <m/>
    <m/>
    <m/>
    <n v="2018"/>
    <x v="98"/>
    <n v="20"/>
    <m/>
    <m/>
    <m/>
    <m/>
    <m/>
    <m/>
    <m/>
    <m/>
    <m/>
    <m/>
    <n v="59.939697870000003"/>
    <n v="59.939697870000003"/>
    <n v="0"/>
    <m/>
    <m/>
    <m/>
    <m/>
    <m/>
    <m/>
    <m/>
    <m/>
    <m/>
    <m/>
    <m/>
    <m/>
    <m/>
    <m/>
    <m/>
    <m/>
    <n v="37.073398699488969"/>
    <m/>
    <m/>
    <m/>
  </r>
  <r>
    <s v="Rodeo Guazu"/>
    <s v="Naranja-3"/>
    <s v="Naranja_Str1"/>
    <n v="714"/>
    <m/>
    <m/>
    <m/>
    <n v="2018"/>
    <x v="99"/>
    <n v="20"/>
    <m/>
    <m/>
    <m/>
    <m/>
    <m/>
    <m/>
    <m/>
    <m/>
    <m/>
    <m/>
    <n v="36.420229740000003"/>
    <n v="36.420229740000003"/>
    <n v="0"/>
    <m/>
    <m/>
    <m/>
    <m/>
    <m/>
    <m/>
    <m/>
    <m/>
    <m/>
    <m/>
    <m/>
    <m/>
    <m/>
    <m/>
    <m/>
    <m/>
    <n v="22.526334730722684"/>
    <m/>
    <m/>
    <m/>
  </r>
  <r>
    <s v="Rodeo Guazu"/>
    <s v="Naranja-4"/>
    <s v="Naranja_Str1"/>
    <n v="714"/>
    <m/>
    <m/>
    <m/>
    <n v="2018"/>
    <x v="100"/>
    <n v="20"/>
    <m/>
    <m/>
    <m/>
    <m/>
    <m/>
    <m/>
    <m/>
    <m/>
    <m/>
    <m/>
    <n v="66.221438789999993"/>
    <n v="66.221438789999993"/>
    <n v="0"/>
    <m/>
    <m/>
    <m/>
    <m/>
    <m/>
    <m/>
    <m/>
    <m/>
    <m/>
    <m/>
    <m/>
    <m/>
    <m/>
    <m/>
    <m/>
    <m/>
    <n v="40.958728354622487"/>
    <m/>
    <m/>
    <m/>
  </r>
  <r>
    <s v="Rodeo Guazu"/>
    <s v="Pindaiva_1"/>
    <s v="Pindaiva_Str1"/>
    <n v="714"/>
    <m/>
    <m/>
    <m/>
    <n v="2019"/>
    <x v="101"/>
    <n v="20"/>
    <m/>
    <m/>
    <m/>
    <m/>
    <m/>
    <m/>
    <m/>
    <m/>
    <m/>
    <m/>
    <n v="40.51078699"/>
    <n v="40.51078699"/>
    <n v="0"/>
    <m/>
    <m/>
    <m/>
    <m/>
    <m/>
    <m/>
    <m/>
    <m/>
    <m/>
    <m/>
    <m/>
    <m/>
    <m/>
    <m/>
    <m/>
    <m/>
    <n v="25.056391858492034"/>
    <m/>
    <m/>
    <m/>
  </r>
  <r>
    <s v="Rodeo Guazu"/>
    <s v="Pindaiva_2"/>
    <s v="Pindaiva_Str1"/>
    <n v="714"/>
    <m/>
    <m/>
    <m/>
    <n v="2019"/>
    <x v="102"/>
    <n v="20"/>
    <m/>
    <m/>
    <m/>
    <m/>
    <m/>
    <m/>
    <m/>
    <m/>
    <m/>
    <m/>
    <n v="53.254541830000001"/>
    <n v="53.254541830000001"/>
    <n v="0"/>
    <m/>
    <m/>
    <m/>
    <m/>
    <m/>
    <m/>
    <m/>
    <m/>
    <m/>
    <m/>
    <m/>
    <m/>
    <m/>
    <m/>
    <m/>
    <m/>
    <n v="32.938552111227096"/>
    <m/>
    <m/>
    <m/>
  </r>
  <r>
    <s v="Rodeo Guazu"/>
    <s v="Pindaiva_3"/>
    <s v="Pindaiva_Str1"/>
    <n v="714"/>
    <m/>
    <m/>
    <m/>
    <n v="2019"/>
    <x v="103"/>
    <n v="20"/>
    <m/>
    <m/>
    <m/>
    <m/>
    <m/>
    <m/>
    <m/>
    <m/>
    <m/>
    <m/>
    <n v="37.342492780000001"/>
    <n v="37.342492780000001"/>
    <n v="0"/>
    <m/>
    <m/>
    <m/>
    <m/>
    <m/>
    <m/>
    <m/>
    <m/>
    <m/>
    <m/>
    <m/>
    <m/>
    <m/>
    <m/>
    <m/>
    <m/>
    <n v="23.096765123312895"/>
    <m/>
    <m/>
    <m/>
  </r>
  <r>
    <s v="Rodeo Guazu"/>
    <s v="Ribera 1-1"/>
    <s v="Ribera_1_Str1"/>
    <n v="476"/>
    <m/>
    <m/>
    <m/>
    <n v="2020"/>
    <x v="104"/>
    <n v="20"/>
    <m/>
    <m/>
    <m/>
    <m/>
    <m/>
    <m/>
    <m/>
    <m/>
    <m/>
    <m/>
    <n v="88.89876538"/>
    <n v="88.89876538"/>
    <n v="0"/>
    <m/>
    <m/>
    <m/>
    <m/>
    <m/>
    <m/>
    <m/>
    <m/>
    <m/>
    <m/>
    <m/>
    <m/>
    <m/>
    <m/>
    <m/>
    <m/>
    <n v="54.984918008314054"/>
    <m/>
    <m/>
    <m/>
  </r>
  <r>
    <s v="Rodeo Guazu"/>
    <s v="Ribera 1-2"/>
    <s v="Ribera_1_Str1"/>
    <n v="476"/>
    <m/>
    <m/>
    <m/>
    <n v="2020"/>
    <x v="105"/>
    <n v="20"/>
    <m/>
    <m/>
    <m/>
    <m/>
    <m/>
    <m/>
    <m/>
    <m/>
    <m/>
    <m/>
    <n v="67.690882779999995"/>
    <n v="67.690882779999995"/>
    <n v="0"/>
    <m/>
    <m/>
    <m/>
    <m/>
    <m/>
    <m/>
    <m/>
    <m/>
    <m/>
    <m/>
    <m/>
    <m/>
    <m/>
    <m/>
    <m/>
    <m/>
    <n v="41.867596514518631"/>
    <m/>
    <m/>
    <m/>
  </r>
  <r>
    <s v="Rodeo Guazu"/>
    <s v="Ribera 1-3"/>
    <s v="Ribera_1_Str1"/>
    <n v="476"/>
    <m/>
    <m/>
    <m/>
    <n v="2020"/>
    <x v="106"/>
    <n v="20"/>
    <m/>
    <m/>
    <m/>
    <m/>
    <m/>
    <m/>
    <m/>
    <m/>
    <m/>
    <m/>
    <n v="74.928136300000006"/>
    <n v="74.928136300000006"/>
    <n v="0"/>
    <m/>
    <m/>
    <m/>
    <m/>
    <m/>
    <m/>
    <m/>
    <m/>
    <m/>
    <m/>
    <m/>
    <m/>
    <m/>
    <m/>
    <m/>
    <m/>
    <n v="46.34392180094504"/>
    <m/>
    <m/>
    <m/>
  </r>
  <r>
    <s v="Rodeo Guazu"/>
    <s v="Ribera 2-2"/>
    <s v="Ribera_2_Str1"/>
    <n v="476"/>
    <m/>
    <m/>
    <m/>
    <n v="2020"/>
    <x v="107"/>
    <n v="20"/>
    <m/>
    <m/>
    <m/>
    <m/>
    <m/>
    <m/>
    <m/>
    <m/>
    <m/>
    <m/>
    <n v="68.876006270000005"/>
    <n v="68.876006270000005"/>
    <n v="0"/>
    <m/>
    <m/>
    <m/>
    <m/>
    <m/>
    <m/>
    <m/>
    <m/>
    <m/>
    <m/>
    <m/>
    <m/>
    <m/>
    <m/>
    <m/>
    <m/>
    <n v="42.600609145783331"/>
    <m/>
    <m/>
    <m/>
  </r>
  <r>
    <s v="Rodeo Guazu"/>
    <s v="Ribera 2-3"/>
    <s v="Ribera_2_Str1"/>
    <n v="476"/>
    <m/>
    <m/>
    <m/>
    <n v="2020"/>
    <x v="108"/>
    <n v="20"/>
    <m/>
    <m/>
    <m/>
    <m/>
    <m/>
    <m/>
    <m/>
    <m/>
    <m/>
    <m/>
    <n v="69.976732049999995"/>
    <n v="69.976732049999995"/>
    <n v="0"/>
    <m/>
    <m/>
    <m/>
    <m/>
    <m/>
    <m/>
    <m/>
    <m/>
    <m/>
    <m/>
    <m/>
    <m/>
    <m/>
    <m/>
    <m/>
    <m/>
    <n v="43.281420814024493"/>
    <m/>
    <m/>
    <m/>
  </r>
  <r>
    <s v="Rodeo Guazu"/>
    <s v="Ribera 3-1"/>
    <s v="Ribera_3_Str1"/>
    <n v="476"/>
    <m/>
    <m/>
    <m/>
    <n v="2020"/>
    <x v="109"/>
    <n v="20"/>
    <m/>
    <m/>
    <m/>
    <m/>
    <m/>
    <m/>
    <m/>
    <m/>
    <m/>
    <m/>
    <n v="34.460540100000003"/>
    <n v="34.460540100000003"/>
    <n v="0"/>
    <m/>
    <m/>
    <m/>
    <m/>
    <m/>
    <m/>
    <m/>
    <m/>
    <m/>
    <m/>
    <m/>
    <m/>
    <m/>
    <m/>
    <m/>
    <m/>
    <n v="21.314243947273123"/>
    <m/>
    <m/>
    <m/>
  </r>
  <r>
    <s v="Rodeo Guazu"/>
    <s v="Ribera 3-2"/>
    <s v="Ribera_3_Str1"/>
    <n v="476"/>
    <m/>
    <m/>
    <m/>
    <n v="2020"/>
    <x v="110"/>
    <n v="20"/>
    <m/>
    <m/>
    <m/>
    <m/>
    <m/>
    <m/>
    <m/>
    <m/>
    <m/>
    <m/>
    <n v="66.078415379999996"/>
    <n v="66.078415379999996"/>
    <n v="0"/>
    <m/>
    <m/>
    <m/>
    <m/>
    <m/>
    <m/>
    <m/>
    <m/>
    <m/>
    <m/>
    <m/>
    <m/>
    <m/>
    <m/>
    <m/>
    <m/>
    <n v="40.870266715830269"/>
    <m/>
    <m/>
    <m/>
  </r>
  <r>
    <s v="Rodeo Guazu"/>
    <s v="Ribera 3-3"/>
    <s v="Ribera_3_Str1"/>
    <n v="476"/>
    <m/>
    <m/>
    <m/>
    <n v="2020"/>
    <x v="111"/>
    <n v="20"/>
    <m/>
    <m/>
    <m/>
    <m/>
    <m/>
    <m/>
    <m/>
    <m/>
    <m/>
    <m/>
    <n v="47.214443330000002"/>
    <n v="47.214443330000002"/>
    <n v="0"/>
    <m/>
    <m/>
    <m/>
    <m/>
    <m/>
    <m/>
    <m/>
    <m/>
    <m/>
    <m/>
    <m/>
    <m/>
    <m/>
    <m/>
    <m/>
    <m/>
    <n v="29.202681096989611"/>
    <m/>
    <m/>
    <m/>
  </r>
  <r>
    <s v="Rodeo Guazu"/>
    <s v="Ribera 4-2"/>
    <s v="Ribera_4_Str1"/>
    <n v="476"/>
    <m/>
    <m/>
    <m/>
    <n v="2020"/>
    <x v="112"/>
    <n v="20"/>
    <m/>
    <m/>
    <m/>
    <m/>
    <m/>
    <m/>
    <m/>
    <m/>
    <m/>
    <m/>
    <n v="59.196959579999998"/>
    <n v="59.196959579999998"/>
    <n v="0"/>
    <m/>
    <m/>
    <m/>
    <m/>
    <m/>
    <m/>
    <m/>
    <m/>
    <m/>
    <m/>
    <m/>
    <m/>
    <m/>
    <m/>
    <m/>
    <m/>
    <n v="36.614006448058738"/>
    <m/>
    <m/>
    <m/>
  </r>
  <r>
    <s v="Rodeo Guazu"/>
    <s v="Ribera 4-3"/>
    <s v="Ribera_4_Str1"/>
    <n v="476"/>
    <m/>
    <m/>
    <m/>
    <n v="2020"/>
    <x v="113"/>
    <n v="20"/>
    <m/>
    <m/>
    <m/>
    <m/>
    <m/>
    <m/>
    <m/>
    <m/>
    <m/>
    <m/>
    <n v="65.410436419999996"/>
    <n v="65.410436419999996"/>
    <n v="0"/>
    <m/>
    <m/>
    <m/>
    <m/>
    <m/>
    <m/>
    <m/>
    <m/>
    <m/>
    <m/>
    <m/>
    <m/>
    <m/>
    <m/>
    <m/>
    <m/>
    <n v="40.457113977545539"/>
    <m/>
    <m/>
    <m/>
  </r>
  <r>
    <s v="Rodeo Guazu"/>
    <s v="Ribera 5-1"/>
    <s v="Ribera_5_Str1"/>
    <n v="476"/>
    <m/>
    <m/>
    <m/>
    <n v="2020"/>
    <x v="114"/>
    <n v="20"/>
    <m/>
    <m/>
    <m/>
    <m/>
    <m/>
    <m/>
    <m/>
    <m/>
    <m/>
    <m/>
    <n v="63.440431230000002"/>
    <n v="63.440431230000002"/>
    <n v="0"/>
    <m/>
    <m/>
    <m/>
    <m/>
    <m/>
    <m/>
    <m/>
    <m/>
    <m/>
    <m/>
    <m/>
    <m/>
    <m/>
    <m/>
    <m/>
    <m/>
    <n v="39.238642906714752"/>
    <m/>
    <m/>
    <m/>
  </r>
  <r>
    <s v="Rodeo Guazu"/>
    <s v="Ribera 5-2"/>
    <s v="Ribera_5_Str1"/>
    <n v="476"/>
    <m/>
    <m/>
    <m/>
    <n v="2020"/>
    <x v="115"/>
    <n v="20"/>
    <m/>
    <m/>
    <m/>
    <m/>
    <m/>
    <m/>
    <m/>
    <m/>
    <m/>
    <m/>
    <n v="66.139474840000005"/>
    <n v="66.139474840000005"/>
    <n v="0"/>
    <m/>
    <m/>
    <m/>
    <m/>
    <m/>
    <m/>
    <m/>
    <m/>
    <m/>
    <m/>
    <m/>
    <m/>
    <m/>
    <m/>
    <m/>
    <m/>
    <n v="40.908032700401385"/>
    <m/>
    <m/>
    <m/>
  </r>
  <r>
    <s v="Rodeo Guazu"/>
    <s v="Ribera 5-3"/>
    <s v="Ribera_5_Str1"/>
    <n v="476"/>
    <m/>
    <m/>
    <m/>
    <n v="2020"/>
    <x v="116"/>
    <n v="20"/>
    <m/>
    <m/>
    <m/>
    <m/>
    <m/>
    <m/>
    <m/>
    <m/>
    <m/>
    <m/>
    <n v="8.4406262470000009"/>
    <n v="8.4406262470000009"/>
    <n v="0"/>
    <m/>
    <m/>
    <m/>
    <m/>
    <m/>
    <m/>
    <m/>
    <m/>
    <m/>
    <m/>
    <m/>
    <m/>
    <m/>
    <m/>
    <m/>
    <m/>
    <n v="5.2206252825478625"/>
    <m/>
    <m/>
    <m/>
  </r>
  <r>
    <s v="Rodeo Guazu"/>
    <s v="Ribera 5-4"/>
    <s v="Ribera_5_Str1"/>
    <n v="476"/>
    <m/>
    <m/>
    <m/>
    <n v="2020"/>
    <x v="117"/>
    <n v="20"/>
    <m/>
    <m/>
    <m/>
    <m/>
    <m/>
    <m/>
    <m/>
    <m/>
    <m/>
    <m/>
    <n v="5.5026704080000002"/>
    <n v="5.5026704080000002"/>
    <n v="0"/>
    <m/>
    <m/>
    <m/>
    <m/>
    <m/>
    <m/>
    <m/>
    <m/>
    <m/>
    <m/>
    <m/>
    <m/>
    <m/>
    <m/>
    <m/>
    <m/>
    <n v="3.4034655027810472"/>
    <m/>
    <m/>
    <m/>
  </r>
  <r>
    <s v="Rodeo Guazu"/>
    <s v="SSP 16 2-1"/>
    <s v="SSP_16_2_Str1"/>
    <n v="500"/>
    <m/>
    <m/>
    <m/>
    <n v="2020"/>
    <x v="118"/>
    <n v="20"/>
    <m/>
    <m/>
    <m/>
    <m/>
    <m/>
    <m/>
    <m/>
    <m/>
    <m/>
    <m/>
    <n v="26.986472750000001"/>
    <n v="26.986472750000001"/>
    <n v="0"/>
    <m/>
    <m/>
    <m/>
    <m/>
    <m/>
    <m/>
    <m/>
    <m/>
    <m/>
    <m/>
    <m/>
    <m/>
    <m/>
    <m/>
    <m/>
    <m/>
    <n v="16.691446558898786"/>
    <m/>
    <m/>
    <m/>
  </r>
  <r>
    <s v="Rodeo Guazu"/>
    <s v="SSP 16 2-2"/>
    <s v="SSP_16_2_Str1"/>
    <n v="500"/>
    <m/>
    <m/>
    <m/>
    <n v="2020"/>
    <x v="119"/>
    <n v="20"/>
    <m/>
    <m/>
    <m/>
    <m/>
    <m/>
    <m/>
    <m/>
    <m/>
    <m/>
    <m/>
    <n v="30.253924489999999"/>
    <n v="30.253924489999999"/>
    <n v="0"/>
    <m/>
    <m/>
    <m/>
    <m/>
    <m/>
    <m/>
    <m/>
    <m/>
    <m/>
    <m/>
    <m/>
    <m/>
    <m/>
    <m/>
    <m/>
    <m/>
    <n v="18.712403377050979"/>
    <m/>
    <m/>
    <m/>
  </r>
  <r>
    <s v="Rodeo Guazu"/>
    <s v="SSP 16 2-3"/>
    <s v="SSP_16_2_Str1"/>
    <n v="500"/>
    <m/>
    <m/>
    <m/>
    <n v="2020"/>
    <x v="120"/>
    <n v="20"/>
    <m/>
    <m/>
    <m/>
    <m/>
    <m/>
    <m/>
    <m/>
    <m/>
    <m/>
    <m/>
    <n v="68.021009599999999"/>
    <n v="68.021009599999999"/>
    <n v="0"/>
    <m/>
    <m/>
    <m/>
    <m/>
    <m/>
    <m/>
    <m/>
    <m/>
    <m/>
    <m/>
    <m/>
    <m/>
    <m/>
    <m/>
    <m/>
    <m/>
    <n v="42.071783783626977"/>
    <m/>
    <m/>
    <m/>
  </r>
  <r>
    <s v="Rodeo Guazu"/>
    <s v="SSP_15_1"/>
    <s v="SSP_15_Str1"/>
    <n v="500"/>
    <m/>
    <m/>
    <m/>
    <n v="2019"/>
    <x v="121"/>
    <n v="20"/>
    <m/>
    <m/>
    <m/>
    <m/>
    <m/>
    <m/>
    <m/>
    <m/>
    <m/>
    <m/>
    <n v="54.783237120000003"/>
    <n v="54.783237120000003"/>
    <n v="0"/>
    <m/>
    <m/>
    <m/>
    <m/>
    <m/>
    <m/>
    <m/>
    <m/>
    <m/>
    <m/>
    <m/>
    <m/>
    <m/>
    <m/>
    <m/>
    <m/>
    <n v="33.884067887751662"/>
    <m/>
    <m/>
    <m/>
  </r>
  <r>
    <s v="Rodeo Guazu"/>
    <s v="SSP_15_2"/>
    <s v="SSP_15_Str1"/>
    <n v="500"/>
    <m/>
    <m/>
    <m/>
    <n v="2019"/>
    <x v="122"/>
    <n v="20"/>
    <m/>
    <m/>
    <m/>
    <m/>
    <m/>
    <m/>
    <m/>
    <m/>
    <m/>
    <m/>
    <n v="38.905211700000002"/>
    <n v="38.905211700000002"/>
    <n v="0"/>
    <m/>
    <m/>
    <m/>
    <m/>
    <m/>
    <m/>
    <m/>
    <m/>
    <m/>
    <m/>
    <m/>
    <m/>
    <m/>
    <m/>
    <m/>
    <m/>
    <n v="24.063324909817783"/>
    <m/>
    <m/>
    <m/>
  </r>
  <r>
    <s v="Rodeo Guazu"/>
    <s v="SSP_15_3"/>
    <s v="SSP_15_Str1"/>
    <n v="500"/>
    <m/>
    <m/>
    <m/>
    <n v="2019"/>
    <x v="123"/>
    <n v="20"/>
    <m/>
    <m/>
    <m/>
    <m/>
    <m/>
    <m/>
    <m/>
    <m/>
    <m/>
    <m/>
    <n v="55.750658260000002"/>
    <n v="55.750658260000002"/>
    <n v="0"/>
    <m/>
    <m/>
    <m/>
    <m/>
    <m/>
    <m/>
    <m/>
    <m/>
    <m/>
    <m/>
    <m/>
    <m/>
    <m/>
    <m/>
    <m/>
    <m/>
    <n v="34.482429089226535"/>
    <m/>
    <m/>
    <m/>
  </r>
  <r>
    <s v="Rodeo Guazu"/>
    <s v="SSP_16_1_1"/>
    <s v="SSP_16_1_Str1"/>
    <n v="500"/>
    <m/>
    <m/>
    <m/>
    <n v="2019"/>
    <x v="124"/>
    <n v="20"/>
    <m/>
    <m/>
    <m/>
    <m/>
    <m/>
    <m/>
    <m/>
    <m/>
    <m/>
    <m/>
    <n v="69.778072109999997"/>
    <n v="69.778072109999997"/>
    <n v="0"/>
    <m/>
    <m/>
    <m/>
    <m/>
    <m/>
    <m/>
    <m/>
    <m/>
    <m/>
    <m/>
    <m/>
    <m/>
    <m/>
    <m/>
    <m/>
    <m/>
    <n v="43.158547335796257"/>
    <m/>
    <m/>
    <m/>
  </r>
  <r>
    <s v="Rodeo Guazu"/>
    <s v="SSP_16_1_2"/>
    <s v="SSP_16_1_Str1"/>
    <n v="500"/>
    <m/>
    <m/>
    <m/>
    <n v="2019"/>
    <x v="125"/>
    <n v="20"/>
    <m/>
    <m/>
    <m/>
    <m/>
    <m/>
    <m/>
    <m/>
    <m/>
    <m/>
    <m/>
    <n v="42.800715529999998"/>
    <n v="42.800715529999998"/>
    <n v="0"/>
    <m/>
    <m/>
    <m/>
    <m/>
    <m/>
    <m/>
    <m/>
    <m/>
    <m/>
    <m/>
    <m/>
    <m/>
    <m/>
    <m/>
    <m/>
    <m/>
    <n v="26.472739233830559"/>
    <m/>
    <m/>
    <m/>
  </r>
  <r>
    <s v="Rodeo Guazu"/>
    <s v="SSP_16_1_3"/>
    <s v="SSP_16_1_Str1"/>
    <n v="500"/>
    <m/>
    <m/>
    <m/>
    <n v="2019"/>
    <x v="126"/>
    <n v="20"/>
    <m/>
    <m/>
    <m/>
    <m/>
    <m/>
    <m/>
    <m/>
    <m/>
    <m/>
    <m/>
    <n v="47.744530359999999"/>
    <n v="47.744530359999999"/>
    <n v="0"/>
    <m/>
    <m/>
    <m/>
    <m/>
    <m/>
    <m/>
    <m/>
    <m/>
    <m/>
    <m/>
    <m/>
    <m/>
    <m/>
    <m/>
    <m/>
    <m/>
    <n v="29.530546076410101"/>
    <m/>
    <m/>
    <m/>
  </r>
  <r>
    <s v="Rodeo Guazu"/>
    <s v="SSP_17_1_1"/>
    <s v="SSP_17_1_Str1"/>
    <n v="500"/>
    <m/>
    <m/>
    <m/>
    <n v="2019"/>
    <x v="127"/>
    <n v="20"/>
    <s v="Error"/>
    <e v="#VALUE!"/>
    <s v="G7"/>
    <s v="2x7(PxR)"/>
    <n v="503609.06140000001"/>
    <n v="7370704.2019999996"/>
    <s v="NaN"/>
    <n v="1"/>
    <n v="14.532970389999999"/>
    <n v="14.532970389999999"/>
    <n v="47.623491360000003"/>
    <n v="47.623491360000003"/>
    <n v="0"/>
    <n v="16.976701829620573"/>
    <n v="14.3"/>
    <n v="18.7"/>
    <n v="15.700000000000001"/>
    <n v="1.3225320068304245"/>
    <n v="15.901297898640296"/>
    <n v="13.6"/>
    <n v="17.8"/>
    <n v="20.5"/>
    <n v="750"/>
    <n v="1"/>
    <n v="100"/>
    <n v="0"/>
    <n v="0"/>
    <n v="0"/>
    <n v="1"/>
    <n v="29.455682050319751"/>
    <n v="5"/>
    <m/>
    <n v="0.58904511999999998"/>
  </r>
  <r>
    <s v="Rodeo Guazu"/>
    <s v="SSP_17_1_2"/>
    <s v="SSP_17_1_Str1"/>
    <n v="500"/>
    <m/>
    <m/>
    <m/>
    <n v="2019"/>
    <x v="128"/>
    <n v="20"/>
    <s v="Error"/>
    <e v="#VALUE!"/>
    <s v="PL 01"/>
    <s v="2x7(PxR)"/>
    <n v="503586.90035000001"/>
    <n v="7371154.5894999998"/>
    <s v="NaN"/>
    <n v="1"/>
    <n v="11.49256435"/>
    <n v="11.49256435"/>
    <n v="52.13702292"/>
    <n v="52.13702292"/>
    <n v="0"/>
    <n v="17.556803078304636"/>
    <n v="16.360900000000001"/>
    <n v="18.8"/>
    <n v="14.823076923076922"/>
    <n v="1.1762609164593303"/>
    <n v="14.998647063532671"/>
    <n v="13.4"/>
    <n v="17.5"/>
    <n v="18.899999999999999"/>
    <n v="500"/>
    <n v="0"/>
    <n v="0"/>
    <n v="0"/>
    <n v="0"/>
    <n v="0"/>
    <n v="1"/>
    <n v="32.247353697205988"/>
    <n v="5"/>
    <m/>
    <m/>
  </r>
  <r>
    <s v="Rodeo Guazu"/>
    <s v="SSP_17_1_3"/>
    <s v="SSP_17_1_Str1"/>
    <n v="500"/>
    <m/>
    <m/>
    <m/>
    <n v="2019"/>
    <x v="129"/>
    <n v="20"/>
    <s v="Error"/>
    <e v="#VALUE!"/>
    <s v="PL 01"/>
    <s v="2x7(PxR)"/>
    <n v="503898.99569999997"/>
    <n v="7371361.6155000003"/>
    <s v="NaN"/>
    <n v="1"/>
    <n v="13.126043770000001"/>
    <n v="13.126043770000001"/>
    <n v="61.80993419"/>
    <n v="61.80993419"/>
    <n v="0"/>
    <n v="17.849923505261224"/>
    <n v="15.8"/>
    <n v="19.8"/>
    <n v="15.161538461538463"/>
    <n v="0.91336234279215234"/>
    <n v="15.26276552103657"/>
    <n v="13.6"/>
    <n v="16.7"/>
    <n v="20.2"/>
    <n v="600"/>
    <n v="0"/>
    <n v="0"/>
    <n v="0"/>
    <n v="0"/>
    <n v="0"/>
    <n v="1"/>
    <n v="38.230161566462442"/>
    <n v="5"/>
    <m/>
    <m/>
  </r>
  <r>
    <s v="Rodeo Guazu"/>
    <s v="SSP_17_2_1"/>
    <s v="SSP_17_2_Str1"/>
    <n v="500"/>
    <m/>
    <m/>
    <m/>
    <n v="2019"/>
    <x v="130"/>
    <n v="20"/>
    <s v="Error"/>
    <e v="#VALUE!"/>
    <s v="PL 01"/>
    <s v="2x7(PxR)"/>
    <n v="504106.77179999999"/>
    <n v="7371480.5885000005"/>
    <s v="NaN"/>
    <n v="1"/>
    <n v="12.38450389"/>
    <n v="12.38450389"/>
    <n v="22.637246940000001"/>
    <n v="22.637246940000001"/>
    <n v="0"/>
    <n v="18.771914256345379"/>
    <n v="16.933699999999998"/>
    <n v="20.100000000000001"/>
    <n v="16.209090909090911"/>
    <n v="1.3685426887419663"/>
    <n v="16.419638615103771"/>
    <n v="14.3"/>
    <n v="18.3"/>
    <n v="20.100000000000001"/>
    <n v="650"/>
    <n v="0"/>
    <n v="0"/>
    <n v="0"/>
    <n v="0"/>
    <n v="0"/>
    <n v="1"/>
    <n v="14.001399925064495"/>
    <n v="5"/>
    <m/>
    <m/>
  </r>
  <r>
    <s v="Rodeo Guazu"/>
    <s v="SSP_17_2_2"/>
    <s v="SSP_17_2_Str1"/>
    <n v="500"/>
    <m/>
    <m/>
    <m/>
    <n v="2019"/>
    <x v="131"/>
    <n v="20"/>
    <m/>
    <m/>
    <m/>
    <m/>
    <m/>
    <m/>
    <m/>
    <m/>
    <m/>
    <m/>
    <n v="25.79184674"/>
    <n v="25.79184674"/>
    <n v="0"/>
    <m/>
    <m/>
    <m/>
    <m/>
    <m/>
    <m/>
    <m/>
    <m/>
    <m/>
    <m/>
    <m/>
    <m/>
    <m/>
    <m/>
    <m/>
    <m/>
    <n v="15.952556508742619"/>
    <m/>
    <m/>
    <m/>
  </r>
  <r>
    <s v="Rodeo Guazu"/>
    <s v="SSP_17_2_3"/>
    <s v="SSP_17_2_Str1"/>
    <n v="500"/>
    <m/>
    <m/>
    <m/>
    <n v="2019"/>
    <x v="132"/>
    <n v="20"/>
    <m/>
    <m/>
    <m/>
    <m/>
    <m/>
    <m/>
    <m/>
    <m/>
    <m/>
    <m/>
    <n v="20.75625857"/>
    <n v="20.75625857"/>
    <n v="0"/>
    <m/>
    <m/>
    <m/>
    <m/>
    <m/>
    <m/>
    <m/>
    <m/>
    <m/>
    <m/>
    <m/>
    <m/>
    <m/>
    <m/>
    <m/>
    <m/>
    <n v="12.837986790394455"/>
    <m/>
    <m/>
    <m/>
  </r>
  <r>
    <s v="Rodeo Guazu"/>
    <s v="Tajamar Guazu-1"/>
    <s v="Tajamar_Guazu_1_Str1"/>
    <n v="714"/>
    <m/>
    <m/>
    <m/>
    <n v="2018"/>
    <x v="133"/>
    <n v="20"/>
    <m/>
    <m/>
    <m/>
    <m/>
    <m/>
    <m/>
    <m/>
    <m/>
    <m/>
    <m/>
    <n v="42.956691120000002"/>
    <n v="42.956691120000002"/>
    <n v="0"/>
    <m/>
    <m/>
    <m/>
    <m/>
    <m/>
    <m/>
    <m/>
    <m/>
    <m/>
    <m/>
    <m/>
    <m/>
    <m/>
    <m/>
    <m/>
    <m/>
    <n v="26.569211946255631"/>
    <m/>
    <m/>
    <m/>
  </r>
  <r>
    <s v="Rodeo Guazu"/>
    <s v="Tajamar Guazu-2"/>
    <s v="Tajamar_Guazu_1_Str1"/>
    <n v="714"/>
    <m/>
    <m/>
    <m/>
    <n v="2018"/>
    <x v="134"/>
    <n v="20"/>
    <m/>
    <m/>
    <m/>
    <m/>
    <m/>
    <m/>
    <m/>
    <m/>
    <m/>
    <m/>
    <n v="89.012367780000005"/>
    <n v="89.012367780000005"/>
    <n v="0"/>
    <m/>
    <m/>
    <m/>
    <m/>
    <m/>
    <m/>
    <m/>
    <m/>
    <m/>
    <m/>
    <m/>
    <m/>
    <m/>
    <m/>
    <m/>
    <m/>
    <n v="55.055182411006797"/>
    <m/>
    <m/>
    <m/>
  </r>
  <r>
    <s v="Rodeo Guazu"/>
    <s v="Tajamar Guazu-3"/>
    <s v="Tajamar_Guazu_1_Str1"/>
    <n v="714"/>
    <m/>
    <m/>
    <m/>
    <n v="2018"/>
    <x v="135"/>
    <n v="20"/>
    <m/>
    <m/>
    <m/>
    <m/>
    <m/>
    <m/>
    <m/>
    <m/>
    <m/>
    <m/>
    <n v="73.239666139999997"/>
    <n v="73.239666139999997"/>
    <n v="0"/>
    <m/>
    <m/>
    <m/>
    <m/>
    <m/>
    <m/>
    <m/>
    <m/>
    <m/>
    <m/>
    <m/>
    <m/>
    <m/>
    <m/>
    <m/>
    <m/>
    <n v="45.299583413226863"/>
    <m/>
    <m/>
    <m/>
  </r>
  <r>
    <s v="Rodeo Guazu"/>
    <s v="Tajamar_Guazu_2_1"/>
    <s v="Tajamar_Guazu_2_Str1"/>
    <n v="714"/>
    <m/>
    <m/>
    <m/>
    <n v="2019"/>
    <x v="136"/>
    <n v="20"/>
    <s v="280"/>
    <n v="35.714285714285715"/>
    <s v="G7"/>
    <s v="2x7(PxR)"/>
    <n v="503853.64789999998"/>
    <n v="7370822.6660000002"/>
    <s v="NaN"/>
    <n v="1"/>
    <n v="14.860041989999999"/>
    <n v="14.860041989999999"/>
    <n v="57.616854140000001"/>
    <n v="57.616854140000001"/>
    <n v="0"/>
    <n v="15.959686054240745"/>
    <n v="9.5"/>
    <n v="17.100000000000001"/>
    <n v="12.654545454545456"/>
    <n v="2.8267874473909842"/>
    <n v="13.755855806931605"/>
    <n v="8"/>
    <n v="17.7"/>
    <n v="20.3"/>
    <n v="550"/>
    <n v="0.72727272727272729"/>
    <n v="72.727272727272734"/>
    <n v="0"/>
    <n v="0"/>
    <n v="0"/>
    <n v="1"/>
    <n v="35.636692897172942"/>
    <n v="5"/>
    <m/>
    <m/>
  </r>
  <r>
    <s v="Rodeo Guazu"/>
    <s v="Tajamar_Guazu_2_2"/>
    <s v="Tajamar_Guazu_2_Str1"/>
    <n v="714"/>
    <m/>
    <m/>
    <m/>
    <n v="2019"/>
    <x v="137"/>
    <n v="20"/>
    <m/>
    <m/>
    <m/>
    <m/>
    <m/>
    <m/>
    <m/>
    <m/>
    <m/>
    <m/>
    <n v="46.871215560000003"/>
    <n v="46.871215560000003"/>
    <n v="0"/>
    <m/>
    <m/>
    <m/>
    <m/>
    <m/>
    <m/>
    <m/>
    <m/>
    <m/>
    <m/>
    <m/>
    <m/>
    <m/>
    <m/>
    <m/>
    <m/>
    <n v="28.990390738277021"/>
    <m/>
    <m/>
    <m/>
  </r>
  <r>
    <s v="Rodeo Guazu"/>
    <s v="Tajamar_Guazu_2_3"/>
    <s v="Tajamar_Guazu_2_Str2"/>
    <n v="714"/>
    <m/>
    <m/>
    <m/>
    <n v="2019"/>
    <x v="138"/>
    <n v="20"/>
    <m/>
    <m/>
    <m/>
    <m/>
    <m/>
    <m/>
    <m/>
    <m/>
    <m/>
    <m/>
    <n v="49.303099240000002"/>
    <n v="49.303099240000002"/>
    <n v="0"/>
    <m/>
    <m/>
    <m/>
    <m/>
    <m/>
    <m/>
    <m/>
    <m/>
    <m/>
    <m/>
    <m/>
    <m/>
    <m/>
    <m/>
    <m/>
    <m/>
    <n v="30.49453901501608"/>
    <m/>
    <m/>
    <m/>
  </r>
  <r>
    <s v="Rodeo Guazu"/>
    <s v="Torito_2_1"/>
    <s v="Torito_2_Str1"/>
    <n v="714"/>
    <m/>
    <m/>
    <m/>
    <n v="2019"/>
    <x v="139"/>
    <n v="20"/>
    <s v="280"/>
    <n v="35.714285714285715"/>
    <s v="G7"/>
    <s v="2x7(PxR)"/>
    <n v="504361.15364999999"/>
    <n v="7371316.3300000001"/>
    <s v="NaN"/>
    <n v="1"/>
    <n v="12.751867130000001"/>
    <n v="12.751867130000001"/>
    <n v="26.318804180000001"/>
    <n v="26.318804180000001"/>
    <n v="0"/>
    <n v="16.808597757080619"/>
    <n v="11.7"/>
    <n v="17.7"/>
    <n v="15.245454545454544"/>
    <n v="1.9876436483251514"/>
    <n v="15.700848172500256"/>
    <n v="12.4"/>
    <n v="17.7"/>
    <n v="20.6"/>
    <n v="650"/>
    <n v="1"/>
    <n v="100"/>
    <n v="0"/>
    <n v="0"/>
    <n v="0"/>
    <n v="1"/>
    <n v="16.27848580043096"/>
    <n v="5"/>
    <m/>
    <m/>
  </r>
  <r>
    <s v="Rodeo Guazu"/>
    <s v="Torito_2_2"/>
    <s v="Torito_2_Str1"/>
    <n v="714"/>
    <m/>
    <m/>
    <m/>
    <n v="2019"/>
    <x v="140"/>
    <n v="20"/>
    <s v="280"/>
    <n v="35.714285714285715"/>
    <s v="G7"/>
    <s v="2x7(PxR)"/>
    <n v="503785.93460000004"/>
    <n v="7370945.3234999999"/>
    <s v="NaN"/>
    <n v="1"/>
    <n v="15.29809083"/>
    <n v="14.108239940000001"/>
    <n v="30.70277334"/>
    <n v="30.70277334"/>
    <n v="0"/>
    <n v="19.124562237735567"/>
    <n v="10.9"/>
    <n v="21.5"/>
    <n v="15.391666666666667"/>
    <n v="1.9570192238259279"/>
    <n v="15.836273167485276"/>
    <n v="11.9"/>
    <n v="18.600000000000001"/>
    <n v="20.100000000000001"/>
    <n v="600"/>
    <n v="1"/>
    <n v="100"/>
    <n v="0"/>
    <n v="0"/>
    <n v="0"/>
    <n v="1"/>
    <n v="18.990021599417521"/>
    <n v="5"/>
    <m/>
    <m/>
  </r>
  <r>
    <s v="Rodeo Guazu"/>
    <s v="Torito_2_3"/>
    <s v="Torito_2_Str1"/>
    <n v="714"/>
    <m/>
    <m/>
    <m/>
    <n v="2019"/>
    <x v="141"/>
    <n v="20"/>
    <s v="280"/>
    <n v="35.714285714285715"/>
    <s v="PL 01"/>
    <s v="2x7(PxR)"/>
    <n v="503664.74459999998"/>
    <n v="7371013.3420000002"/>
    <s v="NaN"/>
    <n v="1"/>
    <n v="16.125961910000001"/>
    <n v="16.125961910000001"/>
    <n v="16.829162239999999"/>
    <n v="16.829162239999999"/>
    <n v="0"/>
    <n v="19.699985957562582"/>
    <n v="17.721299999999999"/>
    <n v="20.6"/>
    <n v="17.708333333333332"/>
    <n v="1.4393548639034168"/>
    <n v="17.917457294475952"/>
    <n v="15.2"/>
    <n v="19.7"/>
    <n v="19.8"/>
    <n v="550"/>
    <n v="0"/>
    <n v="0"/>
    <n v="0"/>
    <n v="0"/>
    <n v="0"/>
    <n v="1"/>
    <n v="10.409032138518265"/>
    <n v="5"/>
    <m/>
    <m/>
  </r>
  <r>
    <s v="Rodeo Guazu"/>
    <s v="Torito-1"/>
    <s v="Torito_1_Str1"/>
    <n v="714"/>
    <m/>
    <m/>
    <m/>
    <n v="2019"/>
    <x v="142"/>
    <n v="20"/>
    <m/>
    <m/>
    <m/>
    <m/>
    <m/>
    <m/>
    <m/>
    <m/>
    <m/>
    <m/>
    <n v="13.054282110000001"/>
    <n v="13.054282110000001"/>
    <n v="0"/>
    <m/>
    <m/>
    <m/>
    <m/>
    <m/>
    <m/>
    <m/>
    <m/>
    <m/>
    <m/>
    <m/>
    <m/>
    <m/>
    <m/>
    <m/>
    <m/>
    <n v="8.0742249727265119"/>
    <m/>
    <m/>
    <m/>
  </r>
  <r>
    <s v="Rodeo Guazu"/>
    <s v="Torito-2"/>
    <s v="Torito_1_Str1"/>
    <n v="714"/>
    <m/>
    <m/>
    <m/>
    <n v="2019"/>
    <x v="143"/>
    <n v="20"/>
    <m/>
    <m/>
    <m/>
    <m/>
    <m/>
    <m/>
    <m/>
    <m/>
    <m/>
    <m/>
    <n v="22.049748109999999"/>
    <n v="22.049748109999999"/>
    <n v="0"/>
    <m/>
    <m/>
    <m/>
    <m/>
    <m/>
    <m/>
    <m/>
    <m/>
    <m/>
    <m/>
    <m/>
    <m/>
    <m/>
    <m/>
    <m/>
    <m/>
    <n v="13.638025081111962"/>
    <m/>
    <m/>
    <m/>
  </r>
  <r>
    <s v="Rodeo Guazu"/>
    <s v="Torito-3"/>
    <s v="Torito_1_Str1"/>
    <n v="714"/>
    <m/>
    <m/>
    <m/>
    <n v="2019"/>
    <x v="144"/>
    <n v="20"/>
    <m/>
    <m/>
    <m/>
    <m/>
    <m/>
    <m/>
    <m/>
    <m/>
    <m/>
    <m/>
    <n v="19.52535649"/>
    <n v="19.52535649"/>
    <n v="0"/>
    <m/>
    <m/>
    <m/>
    <m/>
    <m/>
    <m/>
    <m/>
    <m/>
    <m/>
    <m/>
    <m/>
    <m/>
    <m/>
    <m/>
    <m/>
    <m/>
    <n v="12.07665956997965"/>
    <m/>
    <m/>
    <m/>
  </r>
  <r>
    <s v="Rodeo Guazu"/>
    <s v="Torito-5"/>
    <s v="Torito_1_Str1"/>
    <n v="714"/>
    <m/>
    <m/>
    <m/>
    <n v="2019"/>
    <x v="145"/>
    <n v="20"/>
    <m/>
    <m/>
    <m/>
    <m/>
    <m/>
    <m/>
    <m/>
    <m/>
    <m/>
    <m/>
    <n v="16.883708890000001"/>
    <n v="16.883708890000001"/>
    <n v="0"/>
    <m/>
    <m/>
    <m/>
    <m/>
    <m/>
    <m/>
    <m/>
    <m/>
    <m/>
    <m/>
    <m/>
    <m/>
    <m/>
    <m/>
    <m/>
    <m/>
    <n v="10.442769874526837"/>
    <m/>
    <m/>
    <m/>
  </r>
  <r>
    <s v="Rodeo Guazu"/>
    <s v="Torito-6"/>
    <s v="Torito_1_Str1"/>
    <n v="714"/>
    <m/>
    <m/>
    <m/>
    <n v="2019"/>
    <x v="146"/>
    <n v="20"/>
    <m/>
    <m/>
    <m/>
    <m/>
    <m/>
    <m/>
    <m/>
    <m/>
    <m/>
    <m/>
    <n v="10.470497719999999"/>
    <n v="10.470497719999999"/>
    <n v="0"/>
    <m/>
    <m/>
    <m/>
    <m/>
    <m/>
    <m/>
    <m/>
    <m/>
    <m/>
    <m/>
    <m/>
    <m/>
    <m/>
    <m/>
    <m/>
    <m/>
    <n v="6.476124344129099"/>
    <m/>
    <m/>
    <m/>
  </r>
  <r>
    <s v="Rodeo Guazu"/>
    <s v="Torito-7"/>
    <s v="Torito_1_Str1"/>
    <n v="714"/>
    <m/>
    <m/>
    <m/>
    <n v="2019"/>
    <x v="147"/>
    <n v="20"/>
    <m/>
    <m/>
    <m/>
    <m/>
    <m/>
    <m/>
    <m/>
    <m/>
    <m/>
    <m/>
    <n v="15.25286208"/>
    <n v="15.25286208"/>
    <n v="0"/>
    <m/>
    <m/>
    <m/>
    <m/>
    <m/>
    <m/>
    <m/>
    <m/>
    <m/>
    <m/>
    <m/>
    <m/>
    <m/>
    <m/>
    <m/>
    <m/>
    <n v="9.4340721974706305"/>
    <m/>
    <m/>
    <m/>
  </r>
  <r>
    <s v="Rodeo Guazu"/>
    <s v="Torito-8"/>
    <s v="Torito_1_Str1"/>
    <n v="714"/>
    <m/>
    <m/>
    <m/>
    <n v="2019"/>
    <x v="148"/>
    <n v="20"/>
    <m/>
    <m/>
    <m/>
    <m/>
    <m/>
    <m/>
    <m/>
    <m/>
    <m/>
    <m/>
    <n v="25.07301373"/>
    <n v="25.07301373"/>
    <n v="0"/>
    <m/>
    <m/>
    <m/>
    <m/>
    <m/>
    <m/>
    <m/>
    <m/>
    <m/>
    <m/>
    <m/>
    <m/>
    <m/>
    <m/>
    <m/>
    <m/>
    <n v="15.507949950399892"/>
    <m/>
    <m/>
    <m/>
  </r>
  <r>
    <s v="Rodeo Guazu"/>
    <s v="Aguaray 2-1"/>
    <s v="Aguaray_2_StrObs"/>
    <n v="1000"/>
    <m/>
    <m/>
    <m/>
    <n v="2018"/>
    <x v="149"/>
    <n v="20"/>
    <m/>
    <m/>
    <m/>
    <m/>
    <m/>
    <m/>
    <m/>
    <m/>
    <m/>
    <m/>
    <n v="26.553116249999999"/>
    <n v="26.553116249999999"/>
    <n v="0"/>
    <m/>
    <m/>
    <m/>
    <m/>
    <m/>
    <m/>
    <m/>
    <m/>
    <m/>
    <m/>
    <m/>
    <m/>
    <m/>
    <m/>
    <m/>
    <m/>
    <n v="16.423410534787354"/>
    <m/>
    <m/>
    <m/>
  </r>
  <r>
    <s v="Rodeo Guazu"/>
    <s v="Aguaray 2-2"/>
    <s v="Aguaray_2_Str1"/>
    <n v="1000"/>
    <m/>
    <m/>
    <m/>
    <n v="2018"/>
    <x v="150"/>
    <n v="20"/>
    <m/>
    <m/>
    <m/>
    <m/>
    <m/>
    <m/>
    <m/>
    <m/>
    <m/>
    <m/>
    <n v="12.317662070000001"/>
    <n v="12.317662070000001"/>
    <n v="0"/>
    <m/>
    <m/>
    <m/>
    <m/>
    <m/>
    <m/>
    <m/>
    <m/>
    <m/>
    <m/>
    <m/>
    <m/>
    <m/>
    <m/>
    <m/>
    <m/>
    <n v="7.6186169299201802"/>
    <m/>
    <m/>
    <m/>
  </r>
  <r>
    <s v="Rodeo Guazu"/>
    <s v="Aguaray 2-3"/>
    <s v="Aguaray_2_Str1"/>
    <n v="1000"/>
    <m/>
    <m/>
    <m/>
    <n v="2018"/>
    <x v="151"/>
    <n v="20"/>
    <m/>
    <m/>
    <m/>
    <m/>
    <m/>
    <m/>
    <m/>
    <m/>
    <m/>
    <m/>
    <n v="20.395138240000001"/>
    <n v="20.395138240000001"/>
    <n v="0"/>
    <m/>
    <m/>
    <m/>
    <m/>
    <m/>
    <m/>
    <m/>
    <m/>
    <m/>
    <m/>
    <m/>
    <m/>
    <m/>
    <m/>
    <m/>
    <m/>
    <n v="12.614629675688649"/>
    <m/>
    <m/>
    <m/>
  </r>
  <r>
    <s v="Rodeo Guazu"/>
    <s v="Aguaray 2-4"/>
    <s v="Aguaray_2_Str1"/>
    <n v="1000"/>
    <m/>
    <m/>
    <m/>
    <n v="2018"/>
    <x v="152"/>
    <n v="20"/>
    <m/>
    <m/>
    <m/>
    <m/>
    <m/>
    <m/>
    <m/>
    <m/>
    <m/>
    <m/>
    <n v="16.180221979999999"/>
    <n v="16.180221979999999"/>
    <n v="0"/>
    <m/>
    <m/>
    <m/>
    <m/>
    <m/>
    <m/>
    <m/>
    <m/>
    <m/>
    <m/>
    <m/>
    <m/>
    <m/>
    <m/>
    <m/>
    <m/>
    <n v="10.00765505711707"/>
    <m/>
    <m/>
    <m/>
  </r>
  <r>
    <s v="Rodeo Guazu"/>
    <s v="Aguaray 2-5"/>
    <s v="Aguaray_2_Str1"/>
    <n v="1000"/>
    <m/>
    <m/>
    <m/>
    <n v="2018"/>
    <x v="153"/>
    <n v="20"/>
    <m/>
    <m/>
    <m/>
    <m/>
    <m/>
    <m/>
    <m/>
    <m/>
    <m/>
    <m/>
    <n v="9.5499808769999994"/>
    <n v="9.5499808769999994"/>
    <n v="0"/>
    <m/>
    <m/>
    <m/>
    <m/>
    <m/>
    <m/>
    <m/>
    <m/>
    <m/>
    <m/>
    <m/>
    <m/>
    <m/>
    <m/>
    <m/>
    <m/>
    <n v="5.9067739946470343"/>
    <m/>
    <m/>
    <m/>
  </r>
  <r>
    <s v="Rodeo Guazu"/>
    <s v="Aguaray 3-3"/>
    <s v="Aguaray_3_Str1"/>
    <n v="1000"/>
    <m/>
    <m/>
    <m/>
    <n v="2018"/>
    <x v="154"/>
    <n v="20"/>
    <m/>
    <m/>
    <m/>
    <m/>
    <m/>
    <m/>
    <m/>
    <m/>
    <m/>
    <m/>
    <n v="22.15163222"/>
    <n v="22.15163222"/>
    <n v="0"/>
    <m/>
    <m/>
    <m/>
    <m/>
    <m/>
    <m/>
    <m/>
    <m/>
    <m/>
    <m/>
    <m/>
    <m/>
    <m/>
    <m/>
    <m/>
    <m/>
    <n v="13.701041585455457"/>
    <m/>
    <m/>
    <m/>
  </r>
  <r>
    <s v="Rodeo Guazu"/>
    <s v="Chavez-1"/>
    <s v="Chavez_Str1"/>
    <n v="714"/>
    <m/>
    <m/>
    <m/>
    <n v="2018"/>
    <x v="155"/>
    <n v="20"/>
    <m/>
    <m/>
    <m/>
    <m/>
    <m/>
    <m/>
    <m/>
    <m/>
    <m/>
    <m/>
    <n v="15.55966499"/>
    <n v="15.55966499"/>
    <n v="0"/>
    <m/>
    <m/>
    <m/>
    <m/>
    <m/>
    <m/>
    <m/>
    <m/>
    <m/>
    <m/>
    <m/>
    <m/>
    <m/>
    <m/>
    <m/>
    <m/>
    <n v="9.6238333575829529"/>
    <m/>
    <m/>
    <m/>
  </r>
  <r>
    <s v="Rodeo Guazu"/>
    <s v="Chavez-2"/>
    <s v="Chavez_Str1"/>
    <n v="714"/>
    <m/>
    <m/>
    <m/>
    <n v="2018"/>
    <x v="156"/>
    <n v="20"/>
    <m/>
    <m/>
    <m/>
    <m/>
    <m/>
    <m/>
    <m/>
    <m/>
    <m/>
    <m/>
    <n v="5.1818845199999997"/>
    <n v="5.1818845199999997"/>
    <n v="0"/>
    <m/>
    <m/>
    <m/>
    <m/>
    <m/>
    <m/>
    <m/>
    <m/>
    <m/>
    <m/>
    <m/>
    <m/>
    <m/>
    <m/>
    <m/>
    <m/>
    <n v="3.2050557085110309"/>
    <m/>
    <m/>
    <m/>
  </r>
  <r>
    <s v="Rodeo Guazu"/>
    <s v="Chavez-4"/>
    <s v="Chavez_Str1"/>
    <n v="714"/>
    <m/>
    <m/>
    <m/>
    <n v="2018"/>
    <x v="157"/>
    <n v="20"/>
    <m/>
    <m/>
    <m/>
    <m/>
    <m/>
    <m/>
    <m/>
    <m/>
    <m/>
    <m/>
    <n v="15.97657203"/>
    <n v="15.97657203"/>
    <n v="0"/>
    <m/>
    <m/>
    <m/>
    <m/>
    <m/>
    <m/>
    <m/>
    <m/>
    <m/>
    <m/>
    <m/>
    <m/>
    <m/>
    <m/>
    <m/>
    <m/>
    <n v="9.8816951997975391"/>
    <m/>
    <m/>
    <m/>
  </r>
  <r>
    <s v="Rodeo Guazu"/>
    <s v="F_7_2_1"/>
    <s v="F_7_2_Str1"/>
    <n v="1000"/>
    <m/>
    <m/>
    <m/>
    <n v="2019"/>
    <x v="158"/>
    <n v="20"/>
    <m/>
    <m/>
    <m/>
    <m/>
    <m/>
    <m/>
    <m/>
    <m/>
    <m/>
    <m/>
    <n v="47.598213100000002"/>
    <n v="47.598213100000002"/>
    <n v="0"/>
    <m/>
    <m/>
    <m/>
    <m/>
    <m/>
    <m/>
    <m/>
    <m/>
    <m/>
    <m/>
    <m/>
    <m/>
    <m/>
    <m/>
    <m/>
    <m/>
    <n v="29.440047153169587"/>
    <m/>
    <m/>
    <m/>
  </r>
  <r>
    <s v="Rodeo Guazu"/>
    <s v="F_7_4"/>
    <s v="F_7_Str1"/>
    <n v="1000"/>
    <m/>
    <m/>
    <m/>
    <n v="2019"/>
    <x v="159"/>
    <n v="20"/>
    <m/>
    <m/>
    <m/>
    <m/>
    <m/>
    <m/>
    <m/>
    <m/>
    <m/>
    <m/>
    <n v="44.904360539999999"/>
    <n v="44.904360539999999"/>
    <n v="0"/>
    <m/>
    <m/>
    <m/>
    <m/>
    <m/>
    <m/>
    <m/>
    <m/>
    <m/>
    <m/>
    <m/>
    <m/>
    <m/>
    <m/>
    <m/>
    <m/>
    <n v="27.77386808414721"/>
    <m/>
    <m/>
    <m/>
  </r>
  <r>
    <s v="Rodeo Guazu"/>
    <s v="F_7_5"/>
    <s v="F_7_Str1"/>
    <n v="1000"/>
    <m/>
    <m/>
    <m/>
    <n v="2019"/>
    <x v="160"/>
    <n v="20"/>
    <m/>
    <m/>
    <m/>
    <m/>
    <m/>
    <m/>
    <m/>
    <m/>
    <m/>
    <m/>
    <n v="43.589498499999998"/>
    <n v="43.589498499999998"/>
    <n v="0"/>
    <m/>
    <m/>
    <m/>
    <m/>
    <m/>
    <m/>
    <m/>
    <m/>
    <m/>
    <m/>
    <m/>
    <m/>
    <m/>
    <m/>
    <m/>
    <m/>
    <n v="26.960610654163712"/>
    <m/>
    <m/>
    <m/>
  </r>
  <r>
    <s v="Rodeo Guazu"/>
    <s v="F_7_6"/>
    <s v="F_7_Str1"/>
    <n v="1000"/>
    <m/>
    <m/>
    <m/>
    <n v="2019"/>
    <x v="161"/>
    <n v="20"/>
    <m/>
    <m/>
    <m/>
    <m/>
    <m/>
    <m/>
    <m/>
    <m/>
    <m/>
    <m/>
    <n v="39.71196466"/>
    <n v="39.71196466"/>
    <n v="0"/>
    <m/>
    <m/>
    <m/>
    <m/>
    <m/>
    <m/>
    <m/>
    <m/>
    <m/>
    <m/>
    <m/>
    <m/>
    <m/>
    <m/>
    <m/>
    <m/>
    <n v="24.562310977497688"/>
    <m/>
    <m/>
    <m/>
  </r>
  <r>
    <s v="Rodeo Guazu"/>
    <s v="F-1-2"/>
    <s v="F_1_Str1"/>
    <n v="1000"/>
    <m/>
    <m/>
    <m/>
    <n v="2019"/>
    <x v="162"/>
    <n v="20"/>
    <m/>
    <m/>
    <m/>
    <m/>
    <m/>
    <m/>
    <m/>
    <m/>
    <m/>
    <m/>
    <n v="40.395867350000003"/>
    <n v="40.395867350000003"/>
    <n v="0"/>
    <m/>
    <m/>
    <m/>
    <m/>
    <m/>
    <m/>
    <m/>
    <m/>
    <m/>
    <m/>
    <m/>
    <m/>
    <m/>
    <m/>
    <m/>
    <m/>
    <n v="24.985312727573461"/>
    <m/>
    <m/>
    <m/>
  </r>
  <r>
    <s v="Rodeo Guazu"/>
    <s v="F-1-5"/>
    <s v="F_1_Str1"/>
    <n v="1000"/>
    <m/>
    <m/>
    <m/>
    <n v="2019"/>
    <x v="163"/>
    <n v="20"/>
    <m/>
    <m/>
    <m/>
    <m/>
    <m/>
    <m/>
    <m/>
    <m/>
    <m/>
    <m/>
    <n v="35.344969499999998"/>
    <n v="35.344969499999998"/>
    <n v="0"/>
    <m/>
    <m/>
    <m/>
    <m/>
    <m/>
    <m/>
    <m/>
    <m/>
    <m/>
    <m/>
    <m/>
    <m/>
    <m/>
    <m/>
    <m/>
    <m/>
    <n v="21.861273794484962"/>
    <m/>
    <m/>
    <m/>
  </r>
  <r>
    <s v="Rodeo Guazu"/>
    <s v="F-5-1"/>
    <s v="F_5_Str1"/>
    <n v="1000"/>
    <m/>
    <m/>
    <m/>
    <n v="2019"/>
    <x v="164"/>
    <n v="20"/>
    <m/>
    <m/>
    <m/>
    <m/>
    <m/>
    <m/>
    <m/>
    <m/>
    <m/>
    <m/>
    <n v="17.8783973"/>
    <n v="17.8783973"/>
    <n v="0"/>
    <m/>
    <m/>
    <m/>
    <m/>
    <m/>
    <m/>
    <m/>
    <m/>
    <m/>
    <m/>
    <m/>
    <m/>
    <m/>
    <m/>
    <m/>
    <m/>
    <n v="11.057996198918229"/>
    <m/>
    <m/>
    <m/>
  </r>
  <r>
    <s v="Rodeo Guazu"/>
    <s v="F-5-3"/>
    <s v="F_5_Str1"/>
    <n v="1000"/>
    <m/>
    <m/>
    <m/>
    <n v="2019"/>
    <x v="165"/>
    <n v="20"/>
    <m/>
    <m/>
    <m/>
    <m/>
    <m/>
    <m/>
    <m/>
    <m/>
    <m/>
    <m/>
    <n v="14.407520330000001"/>
    <n v="14.407520330000001"/>
    <n v="0"/>
    <m/>
    <m/>
    <m/>
    <m/>
    <m/>
    <m/>
    <m/>
    <m/>
    <m/>
    <m/>
    <m/>
    <m/>
    <m/>
    <m/>
    <m/>
    <m/>
    <n v="8.9112185153742569"/>
    <m/>
    <m/>
    <m/>
  </r>
  <r>
    <s v="Rodeo Guazu"/>
    <s v="F-5-5"/>
    <s v="F_5_Str1"/>
    <n v="1000"/>
    <m/>
    <m/>
    <m/>
    <n v="2019"/>
    <x v="166"/>
    <n v="20"/>
    <m/>
    <m/>
    <m/>
    <m/>
    <m/>
    <m/>
    <m/>
    <m/>
    <m/>
    <m/>
    <n v="9.9486506739999996"/>
    <n v="9.9486506739999996"/>
    <n v="0"/>
    <m/>
    <m/>
    <m/>
    <m/>
    <m/>
    <m/>
    <m/>
    <m/>
    <m/>
    <m/>
    <m/>
    <m/>
    <m/>
    <m/>
    <m/>
    <m/>
    <n v="6.1533558904330459"/>
    <m/>
    <m/>
    <m/>
  </r>
  <r>
    <s v="Rodeo Guazu"/>
    <s v="F-6-5"/>
    <s v="F_6_Str1"/>
    <n v="1000"/>
    <m/>
    <m/>
    <m/>
    <n v="2019"/>
    <x v="167"/>
    <n v="20"/>
    <m/>
    <m/>
    <m/>
    <m/>
    <m/>
    <m/>
    <m/>
    <m/>
    <m/>
    <m/>
    <n v="50.318362800000003"/>
    <n v="50.318362800000003"/>
    <n v="0"/>
    <m/>
    <m/>
    <m/>
    <m/>
    <m/>
    <m/>
    <m/>
    <m/>
    <m/>
    <m/>
    <m/>
    <m/>
    <m/>
    <m/>
    <m/>
    <m/>
    <n v="31.122491308445664"/>
    <m/>
    <m/>
    <m/>
  </r>
  <r>
    <s v="Rodeo Guazu"/>
    <s v="Mbokaja-2"/>
    <s v="Mbokaja_Str1"/>
    <n v="714"/>
    <m/>
    <m/>
    <m/>
    <n v="2018"/>
    <x v="168"/>
    <n v="20"/>
    <m/>
    <m/>
    <m/>
    <m/>
    <m/>
    <m/>
    <m/>
    <m/>
    <m/>
    <m/>
    <n v="46.968506669999996"/>
    <n v="46.968506669999996"/>
    <n v="0"/>
    <m/>
    <m/>
    <m/>
    <m/>
    <m/>
    <m/>
    <m/>
    <m/>
    <m/>
    <m/>
    <m/>
    <m/>
    <m/>
    <m/>
    <m/>
    <m/>
    <n v="29.050566418821298"/>
    <m/>
    <m/>
    <m/>
  </r>
  <r>
    <s v="Rodeo Guazu"/>
    <s v="Tajamar Guazu-4"/>
    <s v="Tajamar_Guazu_1_Str1"/>
    <n v="714"/>
    <m/>
    <m/>
    <m/>
    <n v="2018"/>
    <x v="169"/>
    <n v="20"/>
    <m/>
    <m/>
    <m/>
    <m/>
    <m/>
    <m/>
    <m/>
    <m/>
    <m/>
    <m/>
    <n v="45.535054199999998"/>
    <n v="45.535054199999998"/>
    <n v="0"/>
    <m/>
    <m/>
    <m/>
    <m/>
    <m/>
    <m/>
    <m/>
    <m/>
    <m/>
    <m/>
    <m/>
    <m/>
    <m/>
    <m/>
    <m/>
    <m/>
    <n v="28.163959431706747"/>
    <m/>
    <m/>
    <m/>
  </r>
  <r>
    <s v="Rodeo Guazu"/>
    <s v="Torito-4"/>
    <s v="Torito_1_Str1"/>
    <n v="714"/>
    <m/>
    <m/>
    <m/>
    <n v="2019"/>
    <x v="170"/>
    <n v="20"/>
    <m/>
    <m/>
    <m/>
    <m/>
    <m/>
    <m/>
    <m/>
    <m/>
    <m/>
    <m/>
    <n v="59.833188739999997"/>
    <n v="59.833188739999997"/>
    <n v="0"/>
    <m/>
    <m/>
    <m/>
    <m/>
    <m/>
    <m/>
    <m/>
    <m/>
    <m/>
    <m/>
    <m/>
    <m/>
    <m/>
    <m/>
    <m/>
    <m/>
    <n v="37.00752156660468"/>
    <m/>
    <m/>
    <m/>
  </r>
  <r>
    <s v="Rodeo Guazu"/>
    <s v="Aguaray_4_2a_P1"/>
    <s v="Aguaray_4_2a"/>
    <n v="1000"/>
    <m/>
    <m/>
    <m/>
    <n v="2018"/>
    <x v="171"/>
    <n v="20"/>
    <m/>
    <m/>
    <m/>
    <m/>
    <m/>
    <m/>
    <m/>
    <m/>
    <m/>
    <m/>
    <n v="58.761314519999999"/>
    <n v="58.761314519999999"/>
    <n v="0"/>
    <m/>
    <m/>
    <m/>
    <m/>
    <m/>
    <m/>
    <m/>
    <m/>
    <m/>
    <m/>
    <m/>
    <m/>
    <m/>
    <m/>
    <m/>
    <m/>
    <n v="36.344554923029847"/>
    <m/>
    <m/>
    <m/>
  </r>
  <r>
    <s v="Rodeo Guazu"/>
    <s v="Aguaray_4_2a_P2"/>
    <s v="Aguaray_4_2a"/>
    <n v="1000"/>
    <m/>
    <m/>
    <m/>
    <n v="2018"/>
    <x v="172"/>
    <n v="20"/>
    <m/>
    <m/>
    <m/>
    <m/>
    <m/>
    <m/>
    <m/>
    <m/>
    <m/>
    <m/>
    <n v="72.857585729999997"/>
    <n v="72.857585729999997"/>
    <n v="0"/>
    <m/>
    <m/>
    <m/>
    <m/>
    <m/>
    <m/>
    <m/>
    <m/>
    <m/>
    <m/>
    <m/>
    <m/>
    <m/>
    <m/>
    <m/>
    <m/>
    <n v="45.063262245810975"/>
    <m/>
    <m/>
    <m/>
  </r>
  <r>
    <s v="Rodeo Guazu"/>
    <s v="Aguaray_4_2a_P3"/>
    <s v="Aguaray_4_2a"/>
    <n v="1000"/>
    <m/>
    <m/>
    <m/>
    <n v="2018"/>
    <x v="173"/>
    <n v="20"/>
    <m/>
    <m/>
    <m/>
    <m/>
    <m/>
    <m/>
    <m/>
    <m/>
    <m/>
    <m/>
    <n v="71.662304890000001"/>
    <n v="71.662304890000001"/>
    <n v="0"/>
    <m/>
    <m/>
    <m/>
    <m/>
    <m/>
    <m/>
    <m/>
    <m/>
    <m/>
    <m/>
    <m/>
    <m/>
    <m/>
    <m/>
    <m/>
    <m/>
    <n v="44.323967175700872"/>
    <m/>
    <m/>
    <m/>
  </r>
  <r>
    <s v="Rodeo Guazu"/>
    <s v="Aguaray_4_2a_P4"/>
    <s v="Aguaray_4_2a"/>
    <n v="1000"/>
    <m/>
    <m/>
    <m/>
    <n v="2018"/>
    <x v="174"/>
    <n v="20"/>
    <m/>
    <m/>
    <m/>
    <m/>
    <m/>
    <m/>
    <m/>
    <m/>
    <m/>
    <m/>
    <n v="55.605140689999999"/>
    <n v="55.605140689999999"/>
    <n v="0"/>
    <m/>
    <m/>
    <m/>
    <m/>
    <m/>
    <m/>
    <m/>
    <m/>
    <m/>
    <m/>
    <m/>
    <m/>
    <m/>
    <m/>
    <m/>
    <m/>
    <n v="34.392424783530977"/>
    <m/>
    <m/>
    <m/>
  </r>
  <r>
    <s v="Rodeo Guazu"/>
    <s v="Aguaray_4_2a_P5"/>
    <s v="Aguaray_4_2a"/>
    <n v="1000"/>
    <m/>
    <m/>
    <m/>
    <n v="2018"/>
    <x v="175"/>
    <n v="20"/>
    <m/>
    <m/>
    <m/>
    <m/>
    <m/>
    <m/>
    <m/>
    <m/>
    <m/>
    <m/>
    <n v="29.1425354"/>
    <n v="29.1425354"/>
    <n v="0"/>
    <m/>
    <m/>
    <m/>
    <m/>
    <m/>
    <m/>
    <m/>
    <m/>
    <m/>
    <m/>
    <m/>
    <m/>
    <m/>
    <m/>
    <m/>
    <m/>
    <n v="18.024996327833026"/>
    <m/>
    <m/>
    <m/>
  </r>
  <r>
    <s v="Rodeo Guazu"/>
    <s v="Aguaray_4_2b_P1"/>
    <s v="Aguaray_4_2b"/>
    <n v="1000"/>
    <m/>
    <m/>
    <m/>
    <n v="2018"/>
    <x v="176"/>
    <n v="20"/>
    <m/>
    <m/>
    <m/>
    <m/>
    <m/>
    <m/>
    <m/>
    <m/>
    <m/>
    <m/>
    <n v="28.021544630000001"/>
    <n v="28.021544630000001"/>
    <n v="0"/>
    <m/>
    <m/>
    <m/>
    <m/>
    <m/>
    <m/>
    <m/>
    <m/>
    <m/>
    <m/>
    <m/>
    <m/>
    <m/>
    <m/>
    <m/>
    <m/>
    <n v="17.331650528112913"/>
    <m/>
    <m/>
    <m/>
  </r>
  <r>
    <s v="Rodeo Guazu"/>
    <s v="Aguaray_4_2b_P2"/>
    <s v="Aguaray_4_2b"/>
    <n v="1000"/>
    <m/>
    <m/>
    <m/>
    <n v="2018"/>
    <x v="177"/>
    <n v="20"/>
    <m/>
    <m/>
    <m/>
    <m/>
    <m/>
    <m/>
    <m/>
    <m/>
    <m/>
    <m/>
    <n v="49.024754430000002"/>
    <n v="49.024754430000002"/>
    <n v="0"/>
    <m/>
    <m/>
    <m/>
    <m/>
    <m/>
    <m/>
    <m/>
    <m/>
    <m/>
    <m/>
    <m/>
    <m/>
    <m/>
    <m/>
    <m/>
    <m/>
    <n v="30.322379519994197"/>
    <m/>
    <m/>
    <m/>
  </r>
  <r>
    <s v="Rodeo Guazu"/>
    <s v="Aguaray_4_2b_P3"/>
    <s v="Aguaray_4_2b"/>
    <n v="1000"/>
    <m/>
    <m/>
    <m/>
    <n v="2018"/>
    <x v="178"/>
    <n v="20"/>
    <m/>
    <m/>
    <m/>
    <m/>
    <m/>
    <m/>
    <m/>
    <m/>
    <m/>
    <m/>
    <n v="49.615066310000003"/>
    <n v="49.615066310000003"/>
    <n v="0"/>
    <m/>
    <m/>
    <m/>
    <m/>
    <m/>
    <m/>
    <m/>
    <m/>
    <m/>
    <m/>
    <m/>
    <m/>
    <m/>
    <m/>
    <m/>
    <m/>
    <n v="30.687494268015612"/>
    <m/>
    <m/>
    <m/>
  </r>
  <r>
    <s v="Rodeo Guazu"/>
    <s v="Aguaray_4_2b_P4"/>
    <s v="Aguaray_4_2b"/>
    <n v="1000"/>
    <m/>
    <m/>
    <m/>
    <n v="2018"/>
    <x v="179"/>
    <n v="20"/>
    <m/>
    <m/>
    <m/>
    <m/>
    <m/>
    <m/>
    <m/>
    <m/>
    <m/>
    <m/>
    <n v="68.880429849999999"/>
    <n v="68.880429849999999"/>
    <n v="0"/>
    <m/>
    <m/>
    <m/>
    <m/>
    <m/>
    <m/>
    <m/>
    <m/>
    <m/>
    <m/>
    <m/>
    <m/>
    <m/>
    <m/>
    <m/>
    <m/>
    <n v="42.603345181346519"/>
    <m/>
    <m/>
    <m/>
  </r>
  <r>
    <s v="Rodeo Guazu"/>
    <s v="Aguaray_4_2b_P5"/>
    <s v="Aguaray_4_2b"/>
    <n v="1000"/>
    <m/>
    <m/>
    <m/>
    <n v="2018"/>
    <x v="180"/>
    <n v="20"/>
    <m/>
    <m/>
    <m/>
    <m/>
    <m/>
    <m/>
    <m/>
    <m/>
    <m/>
    <m/>
    <n v="89.565933139999999"/>
    <n v="89.565933139999999"/>
    <n v="0"/>
    <m/>
    <m/>
    <m/>
    <m/>
    <m/>
    <m/>
    <m/>
    <m/>
    <m/>
    <m/>
    <m/>
    <m/>
    <m/>
    <m/>
    <m/>
    <m/>
    <n v="55.397569009985254"/>
    <m/>
    <m/>
    <m/>
  </r>
  <r>
    <s v="Rodeo Guazu"/>
    <s v="Aguaray_4_2c_P1"/>
    <s v="Aguaray_4_2c"/>
    <n v="1000"/>
    <m/>
    <m/>
    <m/>
    <n v="2018"/>
    <x v="181"/>
    <n v="20"/>
    <m/>
    <m/>
    <m/>
    <m/>
    <m/>
    <m/>
    <m/>
    <m/>
    <m/>
    <m/>
    <n v="92.504554589999998"/>
    <n v="92.504554589999998"/>
    <n v="0"/>
    <m/>
    <m/>
    <m/>
    <m/>
    <m/>
    <m/>
    <m/>
    <m/>
    <m/>
    <m/>
    <m/>
    <m/>
    <m/>
    <m/>
    <m/>
    <m/>
    <n v="57.215140477879615"/>
    <m/>
    <m/>
    <m/>
  </r>
  <r>
    <s v="Rodeo Guazu"/>
    <s v="Aguaray_4_2c_P2"/>
    <s v="Aguaray_4_2c"/>
    <n v="1000"/>
    <m/>
    <m/>
    <m/>
    <n v="2018"/>
    <x v="182"/>
    <n v="20"/>
    <m/>
    <m/>
    <m/>
    <m/>
    <m/>
    <m/>
    <m/>
    <m/>
    <m/>
    <m/>
    <n v="75.824402149999997"/>
    <n v="75.824402149999997"/>
    <n v="0"/>
    <m/>
    <m/>
    <m/>
    <m/>
    <m/>
    <m/>
    <m/>
    <m/>
    <m/>
    <m/>
    <m/>
    <m/>
    <m/>
    <m/>
    <m/>
    <m/>
    <n v="46.898272629837301"/>
    <m/>
    <m/>
    <m/>
  </r>
  <r>
    <s v="Rodeo Guazu"/>
    <s v="Aguaray_4_2c_P3"/>
    <s v="Aguaray_4_2c"/>
    <n v="1000"/>
    <m/>
    <m/>
    <m/>
    <n v="2018"/>
    <x v="183"/>
    <n v="20"/>
    <m/>
    <m/>
    <m/>
    <m/>
    <m/>
    <m/>
    <m/>
    <m/>
    <m/>
    <m/>
    <n v="49.205088920000001"/>
    <n v="49.205088920000001"/>
    <n v="0"/>
    <m/>
    <m/>
    <m/>
    <m/>
    <m/>
    <m/>
    <m/>
    <m/>
    <m/>
    <m/>
    <m/>
    <m/>
    <m/>
    <m/>
    <m/>
    <m/>
    <n v="30.433918494740769"/>
    <m/>
    <m/>
    <m/>
  </r>
  <r>
    <s v="Rodeo Guazu"/>
    <s v="Aguaray_4_2c_P4"/>
    <s v="Aguaray_4_2c"/>
    <n v="1000"/>
    <m/>
    <m/>
    <m/>
    <n v="2018"/>
    <x v="184"/>
    <n v="20"/>
    <m/>
    <m/>
    <m/>
    <m/>
    <m/>
    <m/>
    <m/>
    <m/>
    <m/>
    <m/>
    <n v="78.390559420000002"/>
    <n v="78.390559420000002"/>
    <n v="0"/>
    <m/>
    <m/>
    <m/>
    <m/>
    <m/>
    <m/>
    <m/>
    <m/>
    <m/>
    <m/>
    <m/>
    <m/>
    <m/>
    <m/>
    <m/>
    <m/>
    <n v="48.485470680161782"/>
    <m/>
    <m/>
    <m/>
  </r>
  <r>
    <s v="Rodeo Guazu"/>
    <s v="F_3_2_P1"/>
    <s v="F_3_2"/>
    <n v="1000"/>
    <m/>
    <m/>
    <m/>
    <n v="2020"/>
    <x v="185"/>
    <n v="20"/>
    <m/>
    <m/>
    <m/>
    <m/>
    <m/>
    <m/>
    <m/>
    <m/>
    <m/>
    <m/>
    <n v="76.908452069999996"/>
    <n v="76.908452069999996"/>
    <n v="0"/>
    <m/>
    <m/>
    <m/>
    <m/>
    <m/>
    <m/>
    <m/>
    <m/>
    <m/>
    <m/>
    <m/>
    <m/>
    <m/>
    <m/>
    <m/>
    <m/>
    <n v="47.568770085154377"/>
    <m/>
    <m/>
    <m/>
  </r>
  <r>
    <s v="Rodeo Guazu"/>
    <s v="F_3_2_P2"/>
    <s v="F_3_2"/>
    <n v="1000"/>
    <m/>
    <m/>
    <m/>
    <n v="2020"/>
    <x v="186"/>
    <n v="20"/>
    <m/>
    <m/>
    <m/>
    <m/>
    <m/>
    <m/>
    <m/>
    <m/>
    <m/>
    <m/>
    <n v="41.266845230000001"/>
    <n v="41.266845230000001"/>
    <n v="0"/>
    <m/>
    <m/>
    <m/>
    <m/>
    <m/>
    <m/>
    <m/>
    <m/>
    <m/>
    <m/>
    <m/>
    <m/>
    <m/>
    <m/>
    <m/>
    <m/>
    <n v="25.524022653567879"/>
    <m/>
    <m/>
    <m/>
  </r>
  <r>
    <s v="Rodeo Guazu"/>
    <s v="F_3_2_P3"/>
    <s v="F_3_2"/>
    <n v="1000"/>
    <m/>
    <m/>
    <m/>
    <n v="2020"/>
    <x v="187"/>
    <n v="20"/>
    <m/>
    <m/>
    <m/>
    <m/>
    <m/>
    <m/>
    <m/>
    <m/>
    <m/>
    <m/>
    <n v="75.333140569999998"/>
    <n v="75.333140569999998"/>
    <n v="0"/>
    <m/>
    <m/>
    <m/>
    <m/>
    <m/>
    <m/>
    <m/>
    <m/>
    <m/>
    <m/>
    <m/>
    <m/>
    <m/>
    <m/>
    <m/>
    <m/>
    <n v="46.594421641789594"/>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8">
  <r>
    <n v="20"/>
    <n v="46.34392180094504"/>
    <x v="0"/>
    <x v="0"/>
    <n v="0.25400403991966924"/>
    <n v="58.115465164106311"/>
    <n v="100.15231829947653"/>
  </r>
  <r>
    <n v="20"/>
    <n v="36.614006448058738"/>
    <x v="0"/>
    <x v="0"/>
    <n v="0.25849677633640422"/>
    <n v="46.078609083642235"/>
    <n v="79.408802987476776"/>
  </r>
  <r>
    <n v="20"/>
    <n v="5.2206252825478625"/>
    <x v="0"/>
    <x v="0"/>
    <n v="0.29880780101779791"/>
    <n v="6.7805888431639092"/>
    <n v="11.685214773052468"/>
  </r>
  <r>
    <n v="20"/>
    <n v="39.238642906714752"/>
    <x v="0"/>
    <x v="0"/>
    <n v="0.25716873412836599"/>
    <n v="49.329595031949573"/>
    <n v="85.01133543839309"/>
  </r>
  <r>
    <n v="20"/>
    <n v="3.4034655027810472"/>
    <x v="0"/>
    <x v="0"/>
    <n v="0.30847185028606894"/>
    <n v="4.4533388038087232"/>
    <n v="7.6745872052303659"/>
  </r>
  <r>
    <n v="20"/>
    <n v="41.867596514518631"/>
    <x v="0"/>
    <x v="0"/>
    <n v="0.25593092226685399"/>
    <n v="52.582809103575904"/>
    <n v="90.617707688495798"/>
  </r>
  <r>
    <n v="20"/>
    <n v="54.984918008314054"/>
    <x v="0"/>
    <x v="0"/>
    <n v="0.25079355097694028"/>
    <n v="68.77478084579505"/>
    <n v="118.52187232425345"/>
  </r>
  <r>
    <n v="20"/>
    <n v="43.281420814024493"/>
    <x v="0"/>
    <x v="0"/>
    <n v="0.25529931812797441"/>
    <n v="54.331138035454863"/>
    <n v="93.630661214433871"/>
  </r>
  <r>
    <n v="20"/>
    <n v="21.314243947273123"/>
    <x v="0"/>
    <x v="0"/>
    <n v="0.26911471429558531"/>
    <n v="27.050220617569941"/>
    <n v="46.61654686427886"/>
  </r>
  <r>
    <n v="20"/>
    <n v="40.870266715830269"/>
    <x v="0"/>
    <x v="0"/>
    <n v="0.25639040668281754"/>
    <n v="51.349011020337215"/>
    <n v="88.491462325047792"/>
  </r>
  <r>
    <n v="20"/>
    <n v="40.908032700401385"/>
    <x v="0"/>
    <x v="0"/>
    <n v="0.25637278884742831"/>
    <n v="51.395739130065081"/>
    <n v="88.571990434145476"/>
  </r>
  <r>
    <n v="20"/>
    <n v="40.457113977545539"/>
    <x v="0"/>
    <x v="0"/>
    <n v="0.25658429268098837"/>
    <n v="50.837773951388193"/>
    <n v="87.610430442892309"/>
  </r>
  <r>
    <n v="20"/>
    <n v="3.2050557085110309"/>
    <x v="1"/>
    <x v="1"/>
    <n v="0.30985343838092633"/>
    <n v="4.1981532399955901"/>
    <n v="7.2348174169257327"/>
  </r>
  <r>
    <n v="20"/>
    <n v="29.52601941264135"/>
    <x v="2"/>
    <x v="2"/>
    <n v="0.26266804548154166"/>
    <n v="37.281561222609916"/>
    <n v="64.248557173631085"/>
  </r>
  <r>
    <n v="20"/>
    <n v="12.837986790394455"/>
    <x v="2"/>
    <x v="3"/>
    <n v="0.27945913853246918"/>
    <n v="16.425679519329307"/>
    <n v="28.306921038310836"/>
  </r>
  <r>
    <n v="20"/>
    <n v="15.952556508742619"/>
    <x v="2"/>
    <x v="3"/>
    <n v="0.27497924387821726"/>
    <n v="20.339178435441198"/>
    <n v="35.05118417041033"/>
  </r>
  <r>
    <n v="20"/>
    <n v="34.482429089226535"/>
    <x v="2"/>
    <x v="3"/>
    <n v="0.25965291762217524"/>
    <n v="43.435892408943971"/>
    <n v="74.854521251413431"/>
  </r>
  <r>
    <n v="20"/>
    <n v="14.001399925064495"/>
    <x v="2"/>
    <x v="3"/>
    <n v="0.27766128579708849"/>
    <n v="17.889046631217159"/>
    <n v="30.828790361130903"/>
  </r>
  <r>
    <n v="20"/>
    <n v="32.247353697205988"/>
    <x v="2"/>
    <x v="3"/>
    <n v="0.26095073684164566"/>
    <n v="40.662324405685055"/>
    <n v="70.074739059130565"/>
  </r>
  <r>
    <n v="20"/>
    <n v="29.455682050319751"/>
    <x v="2"/>
    <x v="3"/>
    <n v="0.26271465962345658"/>
    <n v="37.194121534146269"/>
    <n v="64.097869443845397"/>
  </r>
  <r>
    <n v="20"/>
    <n v="38.230161566462442"/>
    <x v="2"/>
    <x v="3"/>
    <n v="0.25766739738124655"/>
    <n v="48.080827798757383"/>
    <n v="82.859293239858545"/>
  </r>
  <r>
    <n v="20"/>
    <n v="33.884067887751662"/>
    <x v="2"/>
    <x v="3"/>
    <n v="0.25999130188893343"/>
    <n v="42.693630811181222"/>
    <n v="73.575357097935637"/>
  </r>
  <r>
    <n v="20"/>
    <n v="24.063324909817783"/>
    <x v="2"/>
    <x v="3"/>
    <n v="0.26669669137318375"/>
    <n v="30.4809340467041"/>
    <n v="52.528809673820057"/>
  </r>
  <r>
    <n v="20"/>
    <n v="29.530546076410101"/>
    <x v="2"/>
    <x v="3"/>
    <n v="0.2626650496475183"/>
    <n v="37.287188427688683"/>
    <n v="64.258254723716817"/>
  </r>
  <r>
    <n v="20"/>
    <n v="43.158547335796257"/>
    <x v="2"/>
    <x v="3"/>
    <n v="0.25535332417172307"/>
    <n v="54.179225864414498"/>
    <n v="93.368865906340972"/>
  </r>
  <r>
    <n v="20"/>
    <n v="26.472739233830559"/>
    <x v="2"/>
    <x v="3"/>
    <n v="0.2648099201406614"/>
    <n v="33.482983196245783"/>
    <n v="57.702341041530225"/>
  </r>
  <r>
    <n v="20"/>
    <n v="16.691446558898786"/>
    <x v="0"/>
    <x v="3"/>
    <n v="0.27405449853351627"/>
    <n v="21.265812575396779"/>
    <n v="36.648083671600446"/>
  </r>
  <r>
    <n v="20"/>
    <n v="9.8816951997975391"/>
    <x v="1"/>
    <x v="1"/>
    <n v="0.28495417667071904"/>
    <n v="12.697525519566843"/>
    <n v="21.882068978720191"/>
  </r>
  <r>
    <n v="20"/>
    <n v="9.6238333575829529"/>
    <x v="1"/>
    <x v="1"/>
    <n v="0.28551530199442315"/>
    <n v="12.371585045017254"/>
    <n v="21.320364894246399"/>
  </r>
  <r>
    <n v="20"/>
    <n v="38.005747055794949"/>
    <x v="1"/>
    <x v="1"/>
    <n v="0.25778028599220976"/>
    <n v="47.802879401185358"/>
    <n v="82.380295501376096"/>
  </r>
  <r>
    <n v="20"/>
    <n v="47.008276999269171"/>
    <x v="1"/>
    <x v="1"/>
    <n v="0.25373519815353568"/>
    <n v="58.935931478535025"/>
    <n v="101.56625524800869"/>
  </r>
  <r>
    <n v="20"/>
    <n v="28.981732849948706"/>
    <x v="2"/>
    <x v="1"/>
    <n v="0.26303190817707534"/>
    <n v="36.604853343748943"/>
    <n v="63.082363929060669"/>
  </r>
  <r>
    <n v="20"/>
    <n v="25.196581602001075"/>
    <x v="2"/>
    <x v="1"/>
    <n v="0.2657851242836532"/>
    <n v="31.893458174612142"/>
    <n v="54.96305958758159"/>
  </r>
  <r>
    <n v="20"/>
    <n v="27.258386800600942"/>
    <x v="2"/>
    <x v="1"/>
    <n v="0.26423435092049907"/>
    <n v="34.460988943997627"/>
    <n v="59.38777094682257"/>
  </r>
  <r>
    <n v="20"/>
    <n v="16.484674919457781"/>
    <x v="1"/>
    <x v="1"/>
    <n v="0.2743087785609486"/>
    <n v="21.006565961588549"/>
    <n v="36.201315340470927"/>
  </r>
  <r>
    <n v="20"/>
    <n v="33.861752075654927"/>
    <x v="1"/>
    <x v="1"/>
    <n v="0.2600040457961692"/>
    <n v="42.665944613072035"/>
    <n v="73.527644549860796"/>
  </r>
  <r>
    <n v="20"/>
    <n v="24.084687144018591"/>
    <x v="1"/>
    <x v="1"/>
    <n v="0.26667908481106828"/>
    <n v="30.507569469546372"/>
    <n v="52.574711385851579"/>
  </r>
  <r>
    <n v="20"/>
    <n v="28.163959431706747"/>
    <x v="1"/>
    <x v="1"/>
    <n v="0.26359263716506304"/>
    <n v="35.587771771320178"/>
    <n v="61.329593352575102"/>
  </r>
  <r>
    <n v="20"/>
    <n v="45.299583413226863"/>
    <x v="1"/>
    <x v="1"/>
    <n v="0.25443513213941343"/>
    <n v="56.82538890483162"/>
    <n v="97.929086879326476"/>
  </r>
  <r>
    <n v="20"/>
    <n v="26.569211946255631"/>
    <x v="1"/>
    <x v="1"/>
    <n v="0.26473826227123071"/>
    <n v="33.603098946823373"/>
    <n v="57.909340518358938"/>
  </r>
  <r>
    <n v="20"/>
    <n v="55.055182411006797"/>
    <x v="1"/>
    <x v="1"/>
    <n v="0.25076972322316116"/>
    <n v="68.861355266215625"/>
    <n v="118.67106890877825"/>
  </r>
  <r>
    <n v="20"/>
    <n v="30.49453901501608"/>
    <x v="2"/>
    <x v="1"/>
    <n v="0.2620380536455747"/>
    <n v="38.485268665329933"/>
    <n v="66.322946333251906"/>
  </r>
  <r>
    <n v="20"/>
    <n v="35.636692897172942"/>
    <x v="2"/>
    <x v="1"/>
    <n v="0.25901762743680878"/>
    <n v="44.867224541092853"/>
    <n v="77.321183625816673"/>
  </r>
  <r>
    <n v="20"/>
    <n v="28.990390738277021"/>
    <x v="2"/>
    <x v="1"/>
    <n v="0.26302606297789227"/>
    <n v="36.615619078356779"/>
    <n v="63.100916878368174"/>
  </r>
  <r>
    <n v="20"/>
    <n v="22.526334730722684"/>
    <x v="1"/>
    <x v="1"/>
    <n v="0.2680095758675608"/>
    <n v="28.56360814775438"/>
    <n v="49.224618041296708"/>
  </r>
  <r>
    <n v="20"/>
    <n v="39.130029442376276"/>
    <x v="2"/>
    <x v="1"/>
    <n v="0.25722177459490853"/>
    <n v="49.195125055495325"/>
    <n v="84.77959884563694"/>
  </r>
  <r>
    <n v="20"/>
    <n v="43.879605121180496"/>
    <x v="2"/>
    <x v="1"/>
    <n v="0.25503873256636117"/>
    <n v="55.070603996798781"/>
    <n v="94.90500755448322"/>
  </r>
  <r>
    <n v="20"/>
    <n v="41.940906938420468"/>
    <x v="2"/>
    <x v="1"/>
    <n v="0.25589761222449414"/>
    <n v="52.67348487849199"/>
    <n v="90.773972273934518"/>
  </r>
  <r>
    <n v="20"/>
    <n v="40.816761565422716"/>
    <x v="2"/>
    <x v="1"/>
    <n v="0.25641539680739056"/>
    <n v="51.282807678613231"/>
    <n v="88.377371899476799"/>
  </r>
  <r>
    <n v="20"/>
    <n v="41.14026307536129"/>
    <x v="2"/>
    <x v="1"/>
    <n v="0.25626483601904226"/>
    <n v="51.683065846149013"/>
    <n v="89.067150141530121"/>
  </r>
  <r>
    <n v="20"/>
    <n v="48.048630506076066"/>
    <x v="2"/>
    <x v="1"/>
    <n v="0.25332229838174164"/>
    <n v="60.220420019970319"/>
    <n v="103.77985716774884"/>
  </r>
  <r>
    <n v="20"/>
    <n v="37.243632365853664"/>
    <x v="2"/>
    <x v="1"/>
    <n v="0.25816907340034717"/>
    <n v="46.858786423809285"/>
    <n v="80.753308603697988"/>
  </r>
  <r>
    <n v="20"/>
    <n v="38.724774243734288"/>
    <x v="2"/>
    <x v="1"/>
    <n v="0.25742108316207896"/>
    <n v="48.693347574763344"/>
    <n v="83.914868987175481"/>
  </r>
  <r>
    <n v="20"/>
    <n v="56.592239327504011"/>
    <x v="2"/>
    <x v="1"/>
    <n v="0.25025650515679682"/>
    <n v="70.754815360602194"/>
    <n v="121.9341318047711"/>
  </r>
  <r>
    <n v="20"/>
    <n v="59.999315751749762"/>
    <x v="0"/>
    <x v="0"/>
    <n v="0.249170373155231"/>
    <n v="74.949367646671789"/>
    <n v="129.16274357776436"/>
  </r>
  <r>
    <n v="20"/>
    <n v="55.206952194734228"/>
    <x v="0"/>
    <x v="0"/>
    <n v="0.25071836703857181"/>
    <n v="69.048349098174484"/>
    <n v="118.99332161252069"/>
  </r>
  <r>
    <n v="20"/>
    <n v="40.958728354622487"/>
    <x v="1"/>
    <x v="1"/>
    <n v="0.25634916677323194"/>
    <n v="51.458464240421108"/>
    <n v="88.680086707659029"/>
  </r>
  <r>
    <n v="20"/>
    <n v="37.775120692612262"/>
    <x v="1"/>
    <x v="1"/>
    <n v="0.2578970480360534"/>
    <n v="47.517212808442601"/>
    <n v="81.887996739882738"/>
  </r>
  <r>
    <n v="20"/>
    <n v="58.298491973672299"/>
    <x v="0"/>
    <x v="0"/>
    <n v="0.24970404778345848"/>
    <n v="72.85586139916974"/>
    <n v="125.55493447790251"/>
  </r>
  <r>
    <n v="20"/>
    <n v="37.073398699488969"/>
    <x v="1"/>
    <x v="1"/>
    <n v="0.25825708481961157"/>
    <n v="46.64786657197417"/>
    <n v="80.389823392368811"/>
  </r>
  <r>
    <n v="20"/>
    <n v="38.203185065317392"/>
    <x v="2"/>
    <x v="1"/>
    <n v="0.25768092983555996"/>
    <n v="48.047417315628358"/>
    <n v="82.801715840599527"/>
  </r>
  <r>
    <n v="20"/>
    <n v="37.494172663542265"/>
    <x v="2"/>
    <x v="1"/>
    <n v="0.25804032622432899"/>
    <n v="47.169181209154026"/>
    <n v="81.288222283775426"/>
  </r>
  <r>
    <n v="20"/>
    <n v="35.450518945908811"/>
    <x v="1"/>
    <x v="1"/>
    <n v="0.25911858649850278"/>
    <n v="44.636407305811098"/>
    <n v="76.92340859034779"/>
  </r>
  <r>
    <n v="20"/>
    <n v="67.476660177931279"/>
    <x v="2"/>
    <x v="1"/>
    <n v="0.24700256367353618"/>
    <n v="84.143568230008313"/>
    <n v="145.00741591638098"/>
  </r>
  <r>
    <n v="20"/>
    <n v="72.277244799454479"/>
    <x v="2"/>
    <x v="1"/>
    <n v="0.24574278109427347"/>
    <n v="90.038855946304025"/>
    <n v="155.16696174746392"/>
  </r>
  <r>
    <n v="20"/>
    <n v="18.712403377050979"/>
    <x v="0"/>
    <x v="3"/>
    <n v="0.27173404085444242"/>
    <n v="23.797200360795355"/>
    <n v="41.010508621770654"/>
  </r>
  <r>
    <n v="20"/>
    <n v="42.288381631497948"/>
    <x v="2"/>
    <x v="1"/>
    <n v="0.25574057652769966"/>
    <n v="53.103236730360621"/>
    <n v="91.514577965321465"/>
  </r>
  <r>
    <n v="20"/>
    <n v="42.071783783626977"/>
    <x v="0"/>
    <x v="3"/>
    <n v="0.25583830097069538"/>
    <n v="52.835357465636548"/>
    <n v="91.05293269911364"/>
  </r>
  <r>
    <n v="20"/>
    <n v="57.377003573111615"/>
    <x v="1"/>
    <x v="1"/>
    <n v="0.25000021953517348"/>
    <n v="71.721267062659962"/>
    <n v="123.59965023798399"/>
  </r>
  <r>
    <n v="20"/>
    <n v="68.641145521022978"/>
    <x v="1"/>
    <x v="1"/>
    <n v="0.24668832641817573"/>
    <n v="85.574114833030606"/>
    <n v="147.47272456225608"/>
  </r>
  <r>
    <n v="20"/>
    <n v="45.337670034213723"/>
    <x v="1"/>
    <x v="1"/>
    <n v="0.25441922353199858"/>
    <n v="56.872444841068344"/>
    <n v="98.010179942774442"/>
  </r>
  <r>
    <n v="20"/>
    <n v="73.214012354030899"/>
    <x v="1"/>
    <x v="1"/>
    <n v="0.24550745146177011"/>
    <n v="91.188597938359578"/>
    <n v="157.14835044710631"/>
  </r>
  <r>
    <n v="20"/>
    <n v="29.050566418821298"/>
    <x v="1"/>
    <x v="1"/>
    <n v="0.2629854883246962"/>
    <n v="36.690443814584036"/>
    <n v="63.229864840466483"/>
  </r>
  <r>
    <n v="20"/>
    <n v="36.165188611199483"/>
    <x v="1"/>
    <x v="1"/>
    <n v="0.25873409161870764"/>
    <n v="45.522355834737418"/>
    <n v="78.45019322186414"/>
  </r>
  <r>
    <n v="20"/>
    <n v="41.375691229537566"/>
    <x v="1"/>
    <x v="1"/>
    <n v="0.25615606294246834"/>
    <n v="51.974325396419125"/>
    <n v="89.569087433162281"/>
  </r>
  <r>
    <n v="20"/>
    <n v="40.796965353123426"/>
    <x v="1"/>
    <x v="1"/>
    <n v="0.25642465175082624"/>
    <n v="51.258312986288622"/>
    <n v="88.335159379704052"/>
  </r>
  <r>
    <n v="20"/>
    <n v="23.096765123312895"/>
    <x v="2"/>
    <x v="1"/>
    <n v="0.2675113918518307"/>
    <n v="29.275412908725151"/>
    <n v="50.451294912703005"/>
  </r>
  <r>
    <n v="20"/>
    <n v="25.056391858492034"/>
    <x v="2"/>
    <x v="1"/>
    <n v="0.26589547606481823"/>
    <n v="31.71877310017241"/>
    <n v="54.662018975963782"/>
  </r>
  <r>
    <n v="20"/>
    <n v="32.938552111227096"/>
    <x v="2"/>
    <x v="1"/>
    <n v="0.2605393179958192"/>
    <n v="41.520340014055954"/>
    <n v="71.553385957556415"/>
  </r>
  <r>
    <n v="20"/>
    <n v="9.4340721974706305"/>
    <x v="2"/>
    <x v="1"/>
    <n v="0.28593865301237703"/>
    <n v="12.1316380940369"/>
    <n v="20.906856315390254"/>
  </r>
  <r>
    <n v="20"/>
    <n v="16.27848580043096"/>
    <x v="2"/>
    <x v="1"/>
    <n v="0.274565777711125"/>
    <n v="20.748000914185791"/>
    <n v="35.755721575446842"/>
  </r>
  <r>
    <n v="20"/>
    <n v="10.409032138518265"/>
    <x v="2"/>
    <x v="1"/>
    <n v="0.28385409056356797"/>
    <n v="13.363678489844318"/>
    <n v="23.030072597498371"/>
  </r>
  <r>
    <n v="20"/>
    <n v="18.990021599417521"/>
    <x v="2"/>
    <x v="1"/>
    <n v="0.27143646642684638"/>
    <n v="24.144605959732903"/>
    <n v="41.609204270606362"/>
  </r>
  <r>
    <n v="20"/>
    <n v="6.476124344129099"/>
    <x v="2"/>
    <x v="1"/>
    <n v="0.29405504702594348"/>
    <n v="8.3804613926878382"/>
    <n v="14.44232846673204"/>
  </r>
  <r>
    <n v="20"/>
    <n v="12.07665956997965"/>
    <x v="2"/>
    <x v="1"/>
    <n v="0.28073311423632297"/>
    <n v="15.46697782063193"/>
    <n v="26.654758444222356"/>
  </r>
  <r>
    <n v="20"/>
    <n v="37.00752156660468"/>
    <x v="2"/>
    <x v="1"/>
    <n v="0.258291260120313"/>
    <n v="46.566240945972666"/>
    <n v="80.249155230226222"/>
  </r>
  <r>
    <n v="20"/>
    <n v="13.638025081111962"/>
    <x v="2"/>
    <x v="1"/>
    <n v="0.2782050292387489"/>
    <n v="17.43219224756151"/>
    <n v="30.041477973297667"/>
  </r>
  <r>
    <n v="20"/>
    <n v="8.0742249727265119"/>
    <x v="2"/>
    <x v="1"/>
    <n v="0.28926919312570099"/>
    <n v="10.409849515702495"/>
    <n v="17.939640665393966"/>
  </r>
  <r>
    <n v="20"/>
    <n v="10.442769874526837"/>
    <x v="2"/>
    <x v="1"/>
    <n v="0.28378575944469991"/>
    <n v="13.40627925407567"/>
    <n v="23.103487914523736"/>
  </r>
  <r>
    <n v="20"/>
    <n v="15.507949950399892"/>
    <x v="2"/>
    <x v="1"/>
    <n v="0.27555813735790047"/>
    <n v="19.781291752971629"/>
    <n v="34.089759454287773"/>
  </r>
  <r>
    <n v="20"/>
    <n v="45.564456938023845"/>
    <x v="0"/>
    <x v="2"/>
    <n v="0.25432479199208324"/>
    <n v="57.152627971018994"/>
    <n v="98.493028870056051"/>
  </r>
  <r>
    <n v="20"/>
    <n v="50.137969241471268"/>
    <x v="2"/>
    <x v="1"/>
    <n v="0.25252133794944609"/>
    <n v="62.798876316395763"/>
    <n v="108.22339685192202"/>
  </r>
  <r>
    <n v="20"/>
    <n v="59.260367561972473"/>
    <x v="2"/>
    <x v="1"/>
    <n v="0.249400213070922"/>
    <n v="74.039915858589566"/>
    <n v="127.59545499630268"/>
  </r>
  <r>
    <n v="20"/>
    <n v="45.764547452899023"/>
    <x v="2"/>
    <x v="1"/>
    <n v="0.25424189489666754"/>
    <n v="57.399812716412534"/>
    <n v="98.919010581284255"/>
  </r>
  <r>
    <n v="20"/>
    <n v="47.547637320311864"/>
    <x v="2"/>
    <x v="1"/>
    <n v="0.25351992277819491"/>
    <n v="59.601910662042954"/>
    <n v="102.71395937425402"/>
  </r>
  <r>
    <n v="20"/>
    <n v="37.648767536133697"/>
    <x v="0"/>
    <x v="2"/>
    <n v="0.25796134360115336"/>
    <n v="47.360694194682232"/>
    <n v="81.618262995502377"/>
  </r>
  <r>
    <n v="20"/>
    <n v="35.273221466448263"/>
    <x v="0"/>
    <x v="2"/>
    <n v="0.25921526296117509"/>
    <n v="44.41657884436141"/>
    <n v="76.54457087511615"/>
  </r>
  <r>
    <n v="20"/>
    <n v="32.726175012447101"/>
    <x v="0"/>
    <x v="2"/>
    <n v="0.2606647353879184"/>
    <n v="41.25673476232533"/>
    <n v="71.099106240407309"/>
  </r>
  <r>
    <n v="20"/>
    <n v="34.55631194561829"/>
    <x v="0"/>
    <x v="2"/>
    <n v="0.25961157361760345"/>
    <n v="43.527530468241039"/>
    <n v="75.012444173602049"/>
  </r>
  <r>
    <n v="20"/>
    <n v="26.654000584810433"/>
    <x v="0"/>
    <x v="2"/>
    <n v="0.26467551351588664"/>
    <n v="33.708661876847877"/>
    <n v="58.091260634434505"/>
  </r>
  <r>
    <n v="20"/>
    <n v="46.573432462862996"/>
    <x v="0"/>
    <x v="2"/>
    <n v="0.25391069930423232"/>
    <n v="58.398925268506979"/>
    <n v="100.64081454606035"/>
  </r>
  <r>
    <n v="20"/>
    <n v="42.943138460129411"/>
    <x v="0"/>
    <x v="2"/>
    <n v="0.25544840175451611"/>
    <n v="53.912894546092367"/>
    <n v="92.909888267765837"/>
  </r>
  <r>
    <n v="20"/>
    <n v="37.818228458840281"/>
    <x v="0"/>
    <x v="4"/>
    <n v="0.2578751652378462"/>
    <n v="47.570610371666334"/>
    <n v="81.980018540504972"/>
  </r>
  <r>
    <n v="20"/>
    <n v="31.861178938309042"/>
    <x v="0"/>
    <x v="4"/>
    <n v="0.26118474414561849"/>
    <n v="40.182832807489056"/>
    <n v="69.248415204906138"/>
  </r>
  <r>
    <n v="20"/>
    <n v="30.325736151545939"/>
    <x v="0"/>
    <x v="4"/>
    <n v="0.26214629407883278"/>
    <n v="38.275515498886193"/>
    <n v="65.961471709747201"/>
  </r>
  <r>
    <n v="20"/>
    <n v="52.512878073106677"/>
    <x v="2"/>
    <x v="2"/>
    <n v="0.25165334649172444"/>
    <n v="65.727919574115859"/>
    <n v="113.27111473272632"/>
  </r>
  <r>
    <n v="20"/>
    <n v="39.140567166838863"/>
    <x v="0"/>
    <x v="4"/>
    <n v="0.25721662166175974"/>
    <n v="49.208171623418352"/>
    <n v="84.802082431024289"/>
  </r>
  <r>
    <n v="20"/>
    <n v="40.973715113462347"/>
    <x v="0"/>
    <x v="4"/>
    <n v="0.25634218958004834"/>
    <n v="51.477006960876409"/>
    <n v="88.71204199591034"/>
  </r>
  <r>
    <n v="20"/>
    <n v="15.819123707626568"/>
    <x v="0"/>
    <x v="4"/>
    <n v="0.27515113898980298"/>
    <n v="20.171773613600614"/>
    <n v="34.762689860771722"/>
  </r>
  <r>
    <n v="20"/>
    <n v="31.022491416079042"/>
    <x v="0"/>
    <x v="4"/>
    <n v="0.26170362760746124"/>
    <n v="39.141189957088258"/>
    <n v="67.453317359382098"/>
  </r>
  <r>
    <n v="20"/>
    <n v="27.995690888041455"/>
    <x v="0"/>
    <x v="4"/>
    <n v="0.2637101845208939"/>
    <n v="35.378439697916775"/>
    <n v="60.968844412743238"/>
  </r>
  <r>
    <n v="20"/>
    <n v="23.733036942112463"/>
    <x v="0"/>
    <x v="4"/>
    <n v="0.26697106899652528"/>
    <n v="30.069071185082251"/>
    <n v="51.819032675625074"/>
  </r>
  <r>
    <n v="20"/>
    <n v="29.373285208509568"/>
    <x v="0"/>
    <x v="4"/>
    <n v="0.26276941819632338"/>
    <n v="37.091686273264301"/>
    <n v="63.921339344258804"/>
  </r>
  <r>
    <n v="20"/>
    <n v="24.644609222373003"/>
    <x v="0"/>
    <x v="4"/>
    <n v="0.26622349162889908"/>
    <n v="31.20558313938291"/>
    <n v="53.777621610203205"/>
  </r>
  <r>
    <n v="20"/>
    <n v="24.75379978896401"/>
    <x v="0"/>
    <x v="4"/>
    <n v="0.26613594271722224"/>
    <n v="31.341675631633326"/>
    <n v="54.012154338514762"/>
  </r>
  <r>
    <n v="20"/>
    <n v="45.366649801668828"/>
    <x v="2"/>
    <x v="2"/>
    <n v="0.25440712843179697"/>
    <n v="56.908248904282345"/>
    <n v="98.071882278379903"/>
  </r>
  <r>
    <n v="20"/>
    <n v="52.2881214954893"/>
    <x v="0"/>
    <x v="2"/>
    <n v="0.25173366628646565"/>
    <n v="65.450802022780977"/>
    <n v="112.7935488192592"/>
  </r>
  <r>
    <n v="20"/>
    <n v="62.62345809385522"/>
    <x v="0"/>
    <x v="2"/>
    <n v="0.24837807160665068"/>
    <n v="78.177751852546876"/>
    <n v="134.72632569255578"/>
  </r>
  <r>
    <n v="20"/>
    <n v="37.21846495548558"/>
    <x v="2"/>
    <x v="2"/>
    <n v="0.25818205778434711"/>
    <n v="46.827604825267457"/>
    <n v="80.699572315544245"/>
  </r>
  <r>
    <n v="20"/>
    <n v="64.227451164990967"/>
    <x v="2"/>
    <x v="2"/>
    <n v="0.24791115458571614"/>
    <n v="80.150152739401577"/>
    <n v="138.12542988756871"/>
  </r>
  <r>
    <n v="20"/>
    <n v="56.746439329916932"/>
    <x v="2"/>
    <x v="2"/>
    <n v="0.25020584682898905"/>
    <n v="70.944730236988647"/>
    <n v="122.26141844174376"/>
  </r>
  <r>
    <n v="20"/>
    <n v="31.267093192114775"/>
    <x v="2"/>
    <x v="2"/>
    <n v="0.26155075411029899"/>
    <n v="39.445024995349392"/>
    <n v="67.976926408652119"/>
  </r>
  <r>
    <n v="20"/>
    <n v="28.038943627204432"/>
    <x v="2"/>
    <x v="2"/>
    <n v="0.2636798971168024"/>
    <n v="35.432249398089517"/>
    <n v="61.061576462707599"/>
  </r>
  <r>
    <n v="20"/>
    <n v="66.05341190780895"/>
    <x v="2"/>
    <x v="2"/>
    <n v="0.24739463661908195"/>
    <n v="82.394671744191896"/>
    <n v="141.99348430582401"/>
  </r>
  <r>
    <n v="20"/>
    <n v="26.960610654163712"/>
    <x v="2"/>
    <x v="2"/>
    <n v="0.26445038012586081"/>
    <n v="34.090354390082638"/>
    <n v="58.749044065575738"/>
  </r>
  <r>
    <n v="20"/>
    <n v="27.77386808414721"/>
    <x v="2"/>
    <x v="2"/>
    <n v="0.26386630850673271"/>
    <n v="35.102456128464098"/>
    <n v="60.493232728053123"/>
  </r>
  <r>
    <n v="20"/>
    <n v="29.440047153169587"/>
    <x v="2"/>
    <x v="2"/>
    <n v="0.26272503746539627"/>
    <n v="37.174684644469096"/>
    <n v="64.064373203968401"/>
  </r>
  <r>
    <n v="20"/>
    <n v="60.829498807454918"/>
    <x v="2"/>
    <x v="2"/>
    <n v="0.24891575607728603"/>
    <n v="75.970919494914938"/>
    <n v="130.92321792957006"/>
  </r>
  <r>
    <n v="20"/>
    <n v="51.843610682742941"/>
    <x v="2"/>
    <x v="2"/>
    <n v="0.25189361621283896"/>
    <n v="64.902685255149621"/>
    <n v="111.84896092304116"/>
  </r>
  <r>
    <n v="20"/>
    <n v="24.562310977497688"/>
    <x v="2"/>
    <x v="2"/>
    <n v="0.26628975417854722"/>
    <n v="31.103002729752578"/>
    <n v="53.600841370940273"/>
  </r>
  <r>
    <n v="20"/>
    <n v="40.248394620321676"/>
    <x v="2"/>
    <x v="2"/>
    <n v="0.25668305177163775"/>
    <n v="50.579475380375015"/>
    <n v="87.165295905512934"/>
  </r>
  <r>
    <n v="20"/>
    <n v="23.677411756589049"/>
    <x v="2"/>
    <x v="2"/>
    <n v="0.26701768152358862"/>
    <n v="29.99969934831282"/>
    <n v="51.699481876925752"/>
  </r>
  <r>
    <n v="20"/>
    <n v="19.867986086772476"/>
    <x v="2"/>
    <x v="2"/>
    <n v="0.27052527108525265"/>
    <n v="25.242778408814626"/>
    <n v="43.501721457857201"/>
  </r>
  <r>
    <n v="20"/>
    <n v="48.590755255897975"/>
    <x v="2"/>
    <x v="2"/>
    <n v="0.25311092770832633"/>
    <n v="60.889606396766546"/>
    <n v="104.93308835709433"/>
  </r>
  <r>
    <n v="20"/>
    <n v="31.122491308445664"/>
    <x v="2"/>
    <x v="2"/>
    <n v="0.26164097278309134"/>
    <n v="39.265410209820693"/>
    <n v="67.667390261590995"/>
  </r>
  <r>
    <n v="20"/>
    <n v="70.351776195000539"/>
    <x v="2"/>
    <x v="2"/>
    <n v="0.24623694944242094"/>
    <n v="87.6749829531134"/>
    <n v="151.09322062253207"/>
  </r>
  <r>
    <n v="20"/>
    <n v="65.356113063991259"/>
    <x v="2"/>
    <x v="2"/>
    <n v="0.24759005294998773"/>
    <n v="81.537636558110236"/>
    <n v="140.51652700180995"/>
  </r>
  <r>
    <n v="20"/>
    <n v="64.871355123332307"/>
    <x v="2"/>
    <x v="2"/>
    <n v="0.24772722977494405"/>
    <n v="80.941756219782036"/>
    <n v="139.48962655209104"/>
  </r>
  <r>
    <n v="20"/>
    <n v="64.731640628401649"/>
    <x v="2"/>
    <x v="2"/>
    <n v="0.24776697071201312"/>
    <n v="80.770003136119399"/>
    <n v="139.19363873791241"/>
  </r>
  <r>
    <n v="20"/>
    <n v="43.699675954982993"/>
    <x v="2"/>
    <x v="2"/>
    <n v="0.25511671131474661"/>
    <n v="54.848193570138363"/>
    <n v="94.521720252538444"/>
  </r>
  <r>
    <n v="20"/>
    <n v="24.985312727573461"/>
    <x v="2"/>
    <x v="2"/>
    <n v="0.26595168043453304"/>
    <n v="31.630198633653947"/>
    <n v="54.509375645330294"/>
  </r>
  <r>
    <n v="20"/>
    <n v="44.220515932915418"/>
    <x v="2"/>
    <x v="2"/>
    <n v="0.25489192430910107"/>
    <n v="55.491968332997487"/>
    <n v="95.63115876053233"/>
  </r>
  <r>
    <n v="20"/>
    <n v="32.221778421730576"/>
    <x v="2"/>
    <x v="2"/>
    <n v="0.26096614117102301"/>
    <n v="40.630571598117342"/>
    <n v="70.020018387422212"/>
  </r>
  <r>
    <n v="20"/>
    <n v="21.861273794484962"/>
    <x v="2"/>
    <x v="2"/>
    <n v="0.26860780793219374"/>
    <n v="27.73338262702708"/>
    <n v="47.793862727243329"/>
  </r>
  <r>
    <n v="20"/>
    <n v="26.928612537281982"/>
    <x v="2"/>
    <x v="2"/>
    <n v="0.26447374636735704"/>
    <n v="34.050523579491923"/>
    <n v="58.680402301991073"/>
  </r>
  <r>
    <n v="20"/>
    <n v="27.962474786164723"/>
    <x v="2"/>
    <x v="2"/>
    <n v="0.26373347799460245"/>
    <n v="35.337115514856322"/>
    <n v="60.897629070602392"/>
  </r>
  <r>
    <n v="20"/>
    <n v="6.1533558904330459"/>
    <x v="2"/>
    <x v="2"/>
    <n v="0.29517566599972017"/>
    <n v="7.9696768135249219"/>
    <n v="13.73440970864128"/>
  </r>
  <r>
    <n v="20"/>
    <n v="42.280315509170514"/>
    <x v="2"/>
    <x v="2"/>
    <n v="0.25574420614485038"/>
    <n v="53.093261234617138"/>
    <n v="91.49738686099019"/>
  </r>
  <r>
    <n v="20"/>
    <n v="32.251462222389669"/>
    <x v="2"/>
    <x v="2"/>
    <n v="0.26094826344588207"/>
    <n v="40.667425282912717"/>
    <n v="70.083529570886242"/>
  </r>
  <r>
    <n v="20"/>
    <n v="39.016265823646187"/>
    <x v="2"/>
    <x v="2"/>
    <n v="0.25727749997143501"/>
    <n v="49.054273152974822"/>
    <n v="84.536864066959936"/>
  </r>
  <r>
    <n v="20"/>
    <n v="36.968173181944763"/>
    <x v="2"/>
    <x v="2"/>
    <n v="0.25831170420756971"/>
    <n v="46.517484998013494"/>
    <n v="80.165132479909914"/>
  </r>
  <r>
    <n v="20"/>
    <n v="17.482546218628151"/>
    <x v="2"/>
    <x v="2"/>
    <n v="0.27311194715586751"/>
    <n v="22.257238457640135"/>
    <n v="38.356640941999828"/>
  </r>
  <r>
    <n v="20"/>
    <n v="43.057144213782408"/>
    <x v="1"/>
    <x v="2"/>
    <n v="0.25539801801085577"/>
    <n v="54.05385350719002"/>
    <n v="93.152807544057453"/>
  </r>
  <r>
    <n v="20"/>
    <n v="80.180792169112209"/>
    <x v="1"/>
    <x v="2"/>
    <n v="0.24385274776350929"/>
    <n v="99.733098657405094"/>
    <n v="171.8733733529281"/>
  </r>
  <r>
    <n v="20"/>
    <n v="69.343721016864606"/>
    <x v="1"/>
    <x v="2"/>
    <n v="0.24650149396657814"/>
    <n v="86.437051844723342"/>
    <n v="148.95985267907321"/>
  </r>
  <r>
    <n v="20"/>
    <n v="15.614866910110949"/>
    <x v="2"/>
    <x v="2"/>
    <n v="0.27541731403513503"/>
    <n v="19.915471613509816"/>
    <n v="34.320996080615245"/>
  </r>
  <r>
    <n v="20"/>
    <n v="37.340192294600079"/>
    <x v="2"/>
    <x v="2"/>
    <n v="0.25811934347070137"/>
    <n v="46.978418214751997"/>
    <n v="80.959474056755937"/>
  </r>
  <r>
    <n v="20"/>
    <n v="11.057996198918229"/>
    <x v="2"/>
    <x v="2"/>
    <n v="0.28257970035623697"/>
    <n v="14.182761451348949"/>
    <n v="24.441625567824687"/>
  </r>
  <r>
    <n v="20"/>
    <n v="8.9112185153742569"/>
    <x v="2"/>
    <x v="2"/>
    <n v="0.28715419643866291"/>
    <n v="11.470112307445886"/>
    <n v="19.76682687649841"/>
  </r>
  <r>
    <n v="20"/>
    <n v="17.705099243750283"/>
    <x v="2"/>
    <x v="2"/>
    <n v="0.27285503280361489"/>
    <n v="22.536024678695021"/>
    <n v="38.837082529617753"/>
  </r>
  <r>
    <n v="20"/>
    <n v="13.701041585455457"/>
    <x v="1"/>
    <x v="2"/>
    <n v="0.278109625625034"/>
    <n v="17.511433131459494"/>
    <n v="30.17803642988186"/>
  </r>
  <r>
    <n v="20"/>
    <n v="16.423410534787354"/>
    <x v="1"/>
    <x v="2"/>
    <n v="0.27438477771426661"/>
    <n v="20.929744383685129"/>
    <n v="36.068926154550702"/>
  </r>
  <r>
    <n v="20"/>
    <n v="7.6186169299201802"/>
    <x v="1"/>
    <x v="2"/>
    <n v="0.29052191789026294"/>
    <n v="9.831992132071818"/>
    <n v="16.943799774270431"/>
  </r>
  <r>
    <n v="20"/>
    <n v="5.9067739946470343"/>
    <x v="1"/>
    <x v="2"/>
    <n v="0.29607519281776579"/>
    <n v="7.6556232440431202"/>
    <n v="13.193190723900976"/>
  </r>
  <r>
    <n v="20"/>
    <n v="12.614629675688649"/>
    <x v="1"/>
    <x v="2"/>
    <n v="0.27982429864972025"/>
    <n v="16.144509577414173"/>
    <n v="27.82237150507709"/>
  </r>
  <r>
    <n v="20"/>
    <n v="10.00765505711707"/>
    <x v="1"/>
    <x v="2"/>
    <n v="0.28468577160258129"/>
    <n v="12.856692058984917"/>
    <n v="22.156365981650673"/>
  </r>
  <r>
    <n v="20"/>
    <n v="65.235880772932688"/>
    <x v="1"/>
    <x v="2"/>
    <n v="0.24762397409983822"/>
    <n v="81.38984882382951"/>
    <n v="140.26183947306617"/>
  </r>
  <r>
    <n v="20"/>
    <n v="29.202681096989611"/>
    <x v="0"/>
    <x v="0"/>
    <n v="0.26288332328386627"/>
    <n v="36.879578952565183"/>
    <n v="63.555807728253988"/>
  </r>
  <r>
    <n v="20"/>
    <n v="55.692445246209701"/>
    <x v="1"/>
    <x v="2"/>
    <n v="0.25055509784699587"/>
    <n v="69.646471314212235"/>
    <n v="120.02408556482574"/>
  </r>
  <r>
    <n v="20"/>
    <n v="61.358343627986358"/>
    <x v="1"/>
    <x v="2"/>
    <n v="0.24875549854604528"/>
    <n v="76.62156898712567"/>
    <n v="132.04450388781322"/>
  </r>
  <r>
    <n v="20"/>
    <n v="42.600609145783331"/>
    <x v="0"/>
    <x v="0"/>
    <n v="0.25560064824905315"/>
    <n v="53.489352459250092"/>
    <n v="92.179984071440984"/>
  </r>
  <r>
    <n v="20"/>
    <n v="36.344554923029847"/>
    <x v="1"/>
    <x v="2"/>
    <n v="0.25863887296067289"/>
    <n v="45.744669646579567"/>
    <n v="78.833314024272113"/>
  </r>
  <r>
    <n v="20"/>
    <n v="45.063262245810975"/>
    <x v="1"/>
    <x v="2"/>
    <n v="0.25453416475037494"/>
    <n v="56.533402062475574"/>
    <n v="97.425896220999562"/>
  </r>
  <r>
    <n v="20"/>
    <n v="44.323967175700872"/>
    <x v="1"/>
    <x v="2"/>
    <n v="0.25484761493050823"/>
    <n v="55.61982449468637"/>
    <n v="95.851497545842832"/>
  </r>
  <r>
    <n v="20"/>
    <n v="34.392424783530977"/>
    <x v="1"/>
    <x v="2"/>
    <n v="0.25970341178844081"/>
    <n v="43.324254839491296"/>
    <n v="74.662132506723324"/>
  </r>
  <r>
    <n v="20"/>
    <n v="18.024996327833026"/>
    <x v="1"/>
    <x v="2"/>
    <n v="0.27249175961781896"/>
    <n v="22.936659294308971"/>
    <n v="39.527509517192456"/>
  </r>
  <r>
    <n v="20"/>
    <n v="17.331650528112913"/>
    <x v="1"/>
    <x v="2"/>
    <n v="0.27328814754511987"/>
    <n v="22.068185194840289"/>
    <n v="38.03083915244143"/>
  </r>
  <r>
    <n v="20"/>
    <n v="30.322379519994197"/>
    <x v="1"/>
    <x v="2"/>
    <n v="0.26214845299015077"/>
    <n v="38.271344402140905"/>
    <n v="65.954283519689483"/>
  </r>
  <r>
    <n v="20"/>
    <n v="30.687494268015612"/>
    <x v="1"/>
    <x v="2"/>
    <n v="0.26191511185436495"/>
    <n v="38.725012761753106"/>
    <n v="66.736105326087852"/>
  </r>
  <r>
    <n v="20"/>
    <n v="42.603345181346519"/>
    <x v="1"/>
    <x v="2"/>
    <n v="0.25559942693928145"/>
    <n v="53.492735795395085"/>
    <n v="92.185814687397524"/>
  </r>
  <r>
    <n v="20"/>
    <n v="55.397569009985254"/>
    <x v="1"/>
    <x v="2"/>
    <n v="0.25065408018711571"/>
    <n v="69.283195714785379"/>
    <n v="119.3980406151468"/>
  </r>
  <r>
    <n v="20"/>
    <n v="57.215140477879615"/>
    <x v="1"/>
    <x v="2"/>
    <n v="0.25005277068792597"/>
    <n v="71.521944879672319"/>
    <n v="123.25615167596861"/>
  </r>
  <r>
    <n v="20"/>
    <n v="46.898272629837301"/>
    <x v="1"/>
    <x v="2"/>
    <n v="0.25377943006929615"/>
    <n v="58.800089529071883"/>
    <n v="101.33215428843387"/>
  </r>
  <r>
    <n v="20"/>
    <n v="30.433918494740769"/>
    <x v="1"/>
    <x v="2"/>
    <n v="0.26207685072768422"/>
    <n v="38.409944009145455"/>
    <n v="66.193136842427322"/>
  </r>
  <r>
    <n v="20"/>
    <n v="48.485470680161782"/>
    <x v="1"/>
    <x v="2"/>
    <n v="0.25315177854058091"/>
    <n v="60.75965381622192"/>
    <n v="104.70913674328909"/>
  </r>
  <r>
    <n v="20"/>
    <n v="47.568770085154377"/>
    <x v="0"/>
    <x v="2"/>
    <n v="0.25351154152934946"/>
    <n v="59.628002318097067"/>
    <n v="102.75892399485393"/>
  </r>
  <r>
    <n v="20"/>
    <n v="25.524022653567879"/>
    <x v="0"/>
    <x v="2"/>
    <n v="0.26552992481823151"/>
    <n v="32.301414469828593"/>
    <n v="55.666104269671273"/>
  </r>
  <r>
    <n v="20"/>
    <n v="46.594421641789594"/>
    <x v="0"/>
    <x v="2"/>
    <n v="0.25390218780590723"/>
    <n v="58.424847236190892"/>
    <n v="100.6854867370356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C969B35-D316-4254-97B3-993993F9DA3E}" name="PivotTable1" cacheId="66"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1:B2" firstHeaderRow="0" firstDataRow="1" firstDataCol="0"/>
  <pivotFields count="43">
    <pivotField showAll="0"/>
    <pivotField showAll="0"/>
    <pivotField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2">
    <i>
      <x/>
    </i>
    <i i="1">
      <x v="1"/>
    </i>
  </colItems>
  <dataFields count="2">
    <dataField name="Average of Vol_ha_22" fld="20" subtotal="average" baseField="7" baseItem="0"/>
    <dataField name="Average of Vol_2020" fld="21" subtotal="average" baseField="7" baseItem="0" numFmtId="43"/>
  </dataFields>
  <formats count="1">
    <format dxfId="41">
      <pivotArea outline="0" collapsedLevelsAreSubtotals="1" fieldPosition="0">
        <references count="1">
          <reference field="4294967294" count="1" selected="0">
            <x v="1"/>
          </reference>
        </references>
      </pivotArea>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EBEF86C-56A3-487A-A7E8-3F465906C8FA}" name="PivotTable1" cacheId="67" applyNumberFormats="0" applyBorderFormats="0" applyFontFormats="0" applyPatternFormats="0" applyAlignmentFormats="0" applyWidthHeightFormats="1" dataCaption="Values" updatedVersion="8" minRefreshableVersion="3" useAutoFormatting="1" itemPrintTitles="1" createdVersion="4" indent="0" compact="0" compactData="0" gridDropZones="1" multipleFieldFilters="0">
  <location ref="J21:O32" firstHeaderRow="1" firstDataRow="2" firstDataCol="2"/>
  <pivotFields count="7">
    <pivotField compact="0" numFmtId="167" outline="0" showAll="0" defaultSubtotal="0"/>
    <pivotField compact="0" numFmtId="167" outline="0" showAll="0" defaultSubtotal="0"/>
    <pivotField axis="axisRow" compact="0" outline="0" showAll="0" defaultSubtotal="0">
      <items count="3">
        <item x="1"/>
        <item x="2"/>
        <item x="0"/>
      </items>
    </pivotField>
    <pivotField axis="axisRow" compact="0" outline="0" showAll="0">
      <items count="6">
        <item x="0"/>
        <item x="3"/>
        <item x="1"/>
        <item x="4"/>
        <item x="2"/>
        <item t="default"/>
      </items>
    </pivotField>
    <pivotField compact="0" outline="0" showAll="0"/>
    <pivotField dataField="1" compact="0" outline="0" showAll="0"/>
    <pivotField compact="0" outline="0" showAll="0"/>
  </pivotFields>
  <rowFields count="2">
    <field x="2"/>
    <field x="3"/>
  </rowFields>
  <rowItems count="10">
    <i>
      <x/>
      <x v="2"/>
    </i>
    <i r="1">
      <x v="4"/>
    </i>
    <i>
      <x v="1"/>
      <x v="1"/>
    </i>
    <i r="1">
      <x v="2"/>
    </i>
    <i r="1">
      <x v="4"/>
    </i>
    <i>
      <x v="2"/>
      <x/>
    </i>
    <i r="1">
      <x v="1"/>
    </i>
    <i r="1">
      <x v="3"/>
    </i>
    <i r="1">
      <x v="4"/>
    </i>
    <i t="grand">
      <x/>
    </i>
  </rowItems>
  <colFields count="1">
    <field x="-2"/>
  </colFields>
  <colItems count="4">
    <i>
      <x/>
    </i>
    <i i="1">
      <x v="1"/>
    </i>
    <i i="2">
      <x v="2"/>
    </i>
    <i i="3">
      <x v="3"/>
    </i>
  </colItems>
  <dataFields count="4">
    <dataField name="Average of bTREE,i" fld="5" subtotal="average" baseField="2" baseItem="0" numFmtId="2"/>
    <dataField name="Var of bTREE,i" fld="5" subtotal="var" baseField="2" baseItem="0" numFmtId="2"/>
    <dataField name="Count of bTREE,i2" fld="5" subtotal="count" baseField="0" baseItem="0"/>
    <dataField name="StdDev of bTREE,i" fld="5" subtotal="stdDev" baseField="2" baseItem="0" numFmtId="2"/>
  </dataFields>
  <formats count="2">
    <format>
      <pivotArea outline="0" collapsedLevelsAreSubtotals="1" fieldPosition="0">
        <references count="1">
          <reference field="4294967294" count="1" selected="0">
            <x v="3"/>
          </reference>
        </references>
      </pivotArea>
    </format>
    <format dxfId="0">
      <pivotArea outline="0" collapsedLevelsAreSubtotals="1" fieldPosition="0">
        <references count="1">
          <reference field="4294967294" count="2" selected="0">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2" cacheId="66" applyNumberFormats="0" applyBorderFormats="0" applyFontFormats="0" applyPatternFormats="0" applyAlignmentFormats="0" applyWidthHeightFormats="1" dataCaption="Values" updatedVersion="8" minRefreshableVersion="3" useAutoFormatting="1" rowGrandTotals="0" itemPrintTitles="1" createdVersion="4" indent="0" outline="1" outlineData="1" multipleFieldFilters="0" rowHeaderCaption="">
  <location ref="A13:E201" firstHeaderRow="0" firstDataRow="1" firstDataCol="1"/>
  <pivotFields count="43">
    <pivotField showAll="0" defaultSubtotal="0"/>
    <pivotField showAll="0"/>
    <pivotField showAll="0"/>
    <pivotField dataField="1" numFmtId="1" showAll="0"/>
    <pivotField showAll="0"/>
    <pivotField showAll="0" defaultSubtotal="0"/>
    <pivotField showAll="0"/>
    <pivotField dataField="1" showAll="0"/>
    <pivotField axis="axisRow" showAll="0" defaultSubtotal="0">
      <items count="1330">
        <item m="1" x="1305"/>
        <item m="1" x="1289"/>
        <item m="1" x="1277"/>
        <item m="1" x="1263"/>
        <item m="1" x="1247"/>
        <item m="1" x="1226"/>
        <item m="1" x="713"/>
        <item m="1" x="757"/>
        <item m="1" x="795"/>
        <item m="1" x="835"/>
        <item m="1" x="899"/>
        <item m="1" x="945"/>
        <item m="1" x="489"/>
        <item m="1" x="545"/>
        <item m="1" x="590"/>
        <item m="1" x="641"/>
        <item m="1" x="692"/>
        <item m="1" x="738"/>
        <item m="1" x="702"/>
        <item m="1" x="727"/>
        <item m="1" x="773"/>
        <item m="1" x="811"/>
        <item m="1" x="867"/>
        <item m="1" x="1067"/>
        <item m="1" x="1090"/>
        <item m="1" x="1117"/>
        <item m="1" x="1148"/>
        <item m="1" x="1177"/>
        <item m="1" x="1205"/>
        <item m="1" x="712"/>
        <item m="1" x="703"/>
        <item m="1" x="695"/>
        <item m="1" x="685"/>
        <item m="1" x="674"/>
        <item m="1" x="664"/>
        <item m="1" x="647"/>
        <item m="1" x="625"/>
        <item m="1" x="614"/>
        <item m="1" x="352"/>
        <item m="1" x="364"/>
        <item m="1" x="373"/>
        <item m="1" x="379"/>
        <item m="1" x="385"/>
        <item m="1" x="1220"/>
        <item m="1" x="638"/>
        <item m="1" x="1202"/>
        <item m="1" x="620"/>
        <item m="1" x="1257"/>
        <item m="1" x="672"/>
        <item m="1" x="1239"/>
        <item m="1" x="660"/>
        <item m="1" x="1218"/>
        <item m="1" x="635"/>
        <item m="1" x="1284"/>
        <item m="1" x="691"/>
        <item m="1" x="1311"/>
        <item m="1" x="708"/>
        <item m="1" x="1299"/>
        <item m="1" x="197"/>
        <item m="1" x="734"/>
        <item m="1" x="1322"/>
        <item m="1" x="715"/>
        <item m="1" x="1310"/>
        <item m="1" x="706"/>
        <item m="1" x="1304"/>
        <item m="1" x="190"/>
        <item m="1" x="237"/>
        <item m="1" x="276"/>
        <item m="1" x="324"/>
        <item m="1" x="380"/>
        <item m="1" x="522"/>
        <item m="1" x="544"/>
        <item m="1" x="569"/>
        <item m="1" x="589"/>
        <item m="1" x="609"/>
        <item m="1" x="640"/>
        <item m="1" x="718"/>
        <item m="1" x="735"/>
        <item m="1" x="761"/>
        <item m="1" x="780"/>
        <item m="1" x="800"/>
        <item m="1" x="719"/>
        <item m="1" x="739"/>
        <item m="1" x="762"/>
        <item m="1" x="781"/>
        <item m="1" x="801"/>
        <item m="1" x="817"/>
        <item m="1" x="721"/>
        <item m="1" x="741"/>
        <item m="1" x="763"/>
        <item m="1" x="782"/>
        <item m="1" x="802"/>
        <item m="1" x="819"/>
        <item m="1" x="723"/>
        <item m="1" x="744"/>
        <item m="1" x="764"/>
        <item m="1" x="785"/>
        <item m="1" x="805"/>
        <item m="1" x="751"/>
        <item m="1" x="771"/>
        <item m="1" x="790"/>
        <item m="1" x="809"/>
        <item m="1" x="828"/>
        <item m="1" x="857"/>
        <item m="1" x="711"/>
        <item m="1" x="750"/>
        <item m="1" x="791"/>
        <item m="1" x="834"/>
        <item m="1" x="896"/>
        <item m="1" x="943"/>
        <item m="1" x="1077"/>
        <item m="1" x="1100"/>
        <item m="1" x="1130"/>
        <item m="1" x="1159"/>
        <item m="1" x="1188"/>
        <item m="1" x="841"/>
        <item m="1" x="875"/>
        <item m="1" x="908"/>
        <item m="1" x="929"/>
        <item m="1" x="953"/>
        <item m="1" x="976"/>
        <item m="1" x="1009"/>
        <item m="1" x="1036"/>
        <item m="1" x="1057"/>
        <item m="1" x="1235"/>
        <item m="1" x="654"/>
        <item m="1" x="1214"/>
        <item m="1" x="631"/>
        <item m="1" x="1196"/>
        <item m="1" x="616"/>
        <item m="1" x="1324"/>
        <item m="1" x="1270"/>
        <item m="1" x="678"/>
        <item m="1" x="1249"/>
        <item m="1" x="666"/>
        <item m="1" x="1231"/>
        <item m="1" x="650"/>
        <item m="1" x="1213"/>
        <item m="1" x="629"/>
        <item m="1" x="195"/>
        <item m="1" x="1294"/>
        <item m="1" x="696"/>
        <item m="1" x="1279"/>
        <item m="1" x="686"/>
        <item m="1" x="224"/>
        <item m="1" x="244"/>
        <item m="1" x="264"/>
        <item m="1" x="843"/>
        <item m="1" x="877"/>
        <item m="1" x="910"/>
        <item m="1" x="931"/>
        <item m="1" x="954"/>
        <item m="1" x="979"/>
        <item m="1" x="1012"/>
        <item m="1" x="1325"/>
        <item m="1" x="198"/>
        <item m="1" x="226"/>
        <item m="1" x="247"/>
        <item m="1" x="267"/>
        <item m="1" x="845"/>
        <item m="1" x="880"/>
        <item m="1" x="912"/>
        <item m="1" x="932"/>
        <item m="1" x="959"/>
        <item m="1" x="1327"/>
        <item m="1" x="201"/>
        <item m="1" x="229"/>
        <item m="1" x="249"/>
        <item m="1" x="269"/>
        <item m="1" x="289"/>
        <item m="1" x="848"/>
        <item m="1" x="882"/>
        <item m="1" x="913"/>
        <item m="1" x="933"/>
        <item m="1" x="960"/>
        <item m="1" x="1329"/>
        <item m="1" x="203"/>
        <item m="1" x="231"/>
        <item m="1" x="252"/>
        <item m="1" x="271"/>
        <item m="1" x="292"/>
        <item m="1" x="852"/>
        <item m="1" x="885"/>
        <item m="1" x="914"/>
        <item m="1" x="937"/>
        <item m="1" x="962"/>
        <item m="1" x="987"/>
        <item m="1" x="1018"/>
        <item m="1" x="854"/>
        <item m="1" x="887"/>
        <item m="1" x="916"/>
        <item m="1" x="938"/>
        <item m="1" x="963"/>
        <item m="1" x="989"/>
        <item m="1" x="856"/>
        <item m="1" x="500"/>
        <item m="1" x="1034"/>
        <item m="1" x="475"/>
        <item m="1" x="1001"/>
        <item m="1" x="889"/>
        <item m="1" x="917"/>
        <item m="1" x="939"/>
        <item m="1" x="992"/>
        <item m="1" x="1022"/>
        <item m="1" x="1046"/>
        <item m="1" x="1068"/>
        <item m="1" x="710"/>
        <item m="1" x="1301"/>
        <item m="1" x="860"/>
        <item m="1" x="890"/>
        <item m="1" x="918"/>
        <item m="1" x="940"/>
        <item m="1" x="965"/>
        <item m="1" x="993"/>
        <item m="1" x="863"/>
        <item m="1" x="892"/>
        <item m="1" x="920"/>
        <item m="1" x="941"/>
        <item m="1" x="967"/>
        <item m="1" x="994"/>
        <item m="1" x="1024"/>
        <item m="1" x="1050"/>
        <item m="1" x="1313"/>
        <item m="1" x="211"/>
        <item m="1" x="257"/>
        <item m="1" x="301"/>
        <item m="1" x="344"/>
        <item m="1" x="531"/>
        <item m="1" x="555"/>
        <item m="1" x="581"/>
        <item m="1" x="599"/>
        <item m="1" x="622"/>
        <item m="1" x="311"/>
        <item m="1" x="330"/>
        <item m="1" x="356"/>
        <item m="1" x="387"/>
        <item m="1" x="423"/>
        <item m="1" x="453"/>
        <item m="1" x="482"/>
        <item m="1" x="502"/>
        <item m="1" x="313"/>
        <item m="1" x="332"/>
        <item m="1" x="359"/>
        <item m="1" x="389"/>
        <item m="1" x="425"/>
        <item m="1" x="457"/>
        <item m="1" x="483"/>
        <item m="1" x="315"/>
        <item m="1" x="334"/>
        <item m="1" x="363"/>
        <item m="1" x="393"/>
        <item m="1" x="428"/>
        <item m="1" x="462"/>
        <item m="1" x="485"/>
        <item m="1" x="316"/>
        <item m="1" x="335"/>
        <item m="1" x="365"/>
        <item m="1" x="396"/>
        <item m="1" x="429"/>
        <item m="1" x="466"/>
        <item m="1" x="487"/>
        <item m="1" x="508"/>
        <item m="1" x="518"/>
        <item m="1" x="317"/>
        <item m="1" x="336"/>
        <item m="1" x="367"/>
        <item m="1" x="398"/>
        <item m="1" x="430"/>
        <item m="1" x="467"/>
        <item m="1" x="488"/>
        <item m="1" x="318"/>
        <item m="1" x="337"/>
        <item m="1" x="369"/>
        <item m="1" x="399"/>
        <item m="1" x="431"/>
        <item m="1" x="468"/>
        <item m="1" x="320"/>
        <item m="1" x="339"/>
        <item m="1" x="371"/>
        <item m="1" x="725"/>
        <item m="1" x="770"/>
        <item m="1" x="810"/>
        <item m="1" x="864"/>
        <item m="1" x="921"/>
        <item m="1" x="970"/>
        <item m="1" x="1029"/>
        <item m="1" x="1089"/>
        <item m="1" x="1116"/>
        <item m="1" x="1146"/>
        <item m="1" x="1175"/>
        <item m="1" x="1203"/>
        <item m="1" x="1240"/>
        <item m="1" x="1275"/>
        <item m="1" x="1300"/>
        <item m="1" x="196"/>
        <item m="1" x="225"/>
        <item m="1" x="245"/>
        <item m="1" x="265"/>
        <item m="1" x="282"/>
        <item m="1" x="199"/>
        <item m="1" x="227"/>
        <item m="1" x="248"/>
        <item m="1" x="268"/>
        <item m="1" x="286"/>
        <item m="1" x="308"/>
        <item m="1" x="202"/>
        <item m="1" x="230"/>
        <item m="1" x="250"/>
        <item m="1" x="270"/>
        <item m="1" x="290"/>
        <item m="1" x="204"/>
        <item m="1" x="232"/>
        <item m="1" x="253"/>
        <item m="1" x="272"/>
        <item m="1" x="293"/>
        <item m="1" x="189"/>
        <item m="1" x="236"/>
        <item m="1" x="274"/>
        <item m="1" x="321"/>
        <item m="1" x="375"/>
        <item m="1" x="541"/>
        <item m="1" x="568"/>
        <item m="1" x="588"/>
        <item m="1" x="608"/>
        <item m="1" x="637"/>
        <item m="1" x="671"/>
        <item m="1" x="838"/>
        <item m="1" x="846"/>
        <item m="1" x="858"/>
        <item m="1" x="868"/>
        <item m="1" x="275"/>
        <item m="1" x="277"/>
        <item m="1" x="279"/>
        <item m="1" x="284"/>
        <item m="1" x="291"/>
        <item m="1" x="294"/>
        <item m="1" x="748"/>
        <item m="1" x="789"/>
        <item m="1" x="831"/>
        <item m="1" x="893"/>
        <item m="1" x="942"/>
        <item m="1" x="998"/>
        <item m="1" x="1052"/>
        <item m="1" x="1098"/>
        <item m="1" x="1129"/>
        <item m="1" x="1158"/>
        <item m="1" x="1186"/>
        <item m="1" x="1219"/>
        <item m="1" x="1255"/>
        <item m="1" x="209"/>
        <item m="1" x="256"/>
        <item m="1" x="298"/>
        <item m="1" x="341"/>
        <item m="1" x="405"/>
        <item m="1" x="472"/>
        <item m="1" x="554"/>
        <item m="1" x="580"/>
        <item m="1" x="598"/>
        <item m="1" x="619"/>
        <item m="1" x="659"/>
        <item m="1" x="372"/>
        <item m="1" x="401"/>
        <item m="1" x="435"/>
        <item m="1" x="471"/>
        <item m="1" x="491"/>
        <item m="1" x="512"/>
        <item m="1" x="904"/>
        <item m="1" x="1143"/>
        <item m="1" x="1147"/>
        <item m="1" x="459"/>
        <item m="1" x="506"/>
        <item m="1" x="526"/>
        <item m="1" x="550"/>
        <item m="1" x="577"/>
        <item m="1" x="1149"/>
        <item m="1" x="1151"/>
        <item m="1" x="1153"/>
        <item m="1" x="1154"/>
        <item m="1" x="326"/>
        <item m="1" x="870"/>
        <item m="1" x="304"/>
        <item m="1" x="836"/>
        <item m="1" x="278"/>
        <item m="1" x="951"/>
        <item m="1" x="384"/>
        <item m="1" x="926"/>
        <item m="1" x="349"/>
        <item m="1" x="902"/>
        <item m="1" x="1010"/>
        <item m="1" x="451"/>
        <item m="1" x="975"/>
        <item m="1" x="418"/>
        <item m="1" x="950"/>
        <item m="1" x="382"/>
        <item m="1" x="925"/>
        <item m="1" x="348"/>
        <item m="1" x="900"/>
        <item m="1" x="1060"/>
        <item m="1" x="505"/>
        <item m="1" x="1038"/>
        <item m="1" x="346"/>
        <item m="1" x="897"/>
        <item m="1" x="322"/>
        <item m="1" x="865"/>
        <item m="1" x="299"/>
        <item m="1" x="410"/>
        <item m="1" x="944"/>
        <item m="1" x="378"/>
        <item m="1" x="922"/>
        <item m="1" x="342"/>
        <item m="1" x="894"/>
        <item m="1" x="474"/>
        <item m="1" x="1000"/>
        <item m="1" x="444"/>
        <item m="1" x="971"/>
        <item m="1" x="406"/>
        <item m="1" x="582"/>
        <item m="1" x="571"/>
        <item m="1" x="556"/>
        <item m="1" x="543"/>
        <item m="1" x="529"/>
        <item m="1" x="520"/>
        <item m="1" x="973"/>
        <item m="1" x="1032"/>
        <item m="1" x="1071"/>
        <item m="1" x="1093"/>
        <item m="1" x="1123"/>
        <item m="1" x="1152"/>
        <item m="1" x="949"/>
        <item m="1" x="1083"/>
        <item m="1" x="1192"/>
        <item m="1" x="956"/>
        <item m="1" x="964"/>
        <item m="1" x="974"/>
        <item m="1" x="982"/>
        <item m="1" x="996"/>
        <item m="1" x="1005"/>
        <item m="1" x="766"/>
        <item m="1" x="957"/>
        <item m="1" x="205"/>
        <item m="1" x="391"/>
        <item m="1" x="551"/>
        <item m="1" x="645"/>
        <item m="1" x="742"/>
        <item m="1" x="775"/>
        <item m="1" x="968"/>
        <item m="1" x="1121"/>
        <item m="1" x="1237"/>
        <item m="1" x="215"/>
        <item m="1" x="403"/>
        <item m="1" x="559"/>
        <item m="1" x="787"/>
        <item m="1" x="983"/>
        <item m="1" x="1126"/>
        <item m="1" x="1244"/>
        <item m="1" x="794"/>
        <item m="1" x="997"/>
        <item m="1" x="1134"/>
        <item m="1" x="1254"/>
        <item m="1" x="240"/>
        <item m="1" x="1015"/>
        <item m="1" x="1141"/>
        <item m="1" x="1260"/>
        <item m="1" x="255"/>
        <item m="1" x="985"/>
        <item m="1" x="999"/>
        <item m="1" x="1017"/>
        <item m="1" x="1028"/>
        <item m="1" x="1042"/>
        <item m="1" x="1053"/>
        <item m="1" x="1064"/>
        <item m="1" x="1074"/>
        <item m="1" x="1079"/>
        <item m="1" x="1087"/>
        <item m="1" x="1092"/>
        <item m="1" x="1097"/>
        <item m="1" x="1104"/>
        <item m="1" x="1135"/>
        <item m="1" x="1142"/>
        <item m="1" x="1150"/>
        <item m="1" x="1156"/>
        <item m="1" x="1162"/>
        <item m="1" x="1171"/>
        <item m="1" x="1182"/>
        <item m="1" x="1189"/>
        <item m="1" x="1193"/>
        <item m="1" x="1207"/>
        <item m="1" x="1211"/>
        <item m="1" x="1222"/>
        <item m="1" x="1229"/>
        <item m="1" x="1246"/>
        <item m="1" x="1256"/>
        <item m="1" x="1261"/>
        <item m="1" x="1274"/>
        <item m="1" x="1276"/>
        <item m="1" x="1283"/>
        <item m="1" x="767"/>
        <item m="1" x="958"/>
        <item m="1" x="1225"/>
        <item m="1" x="206"/>
        <item m="1" x="392"/>
        <item m="1" x="552"/>
        <item m="1" x="646"/>
        <item m="1" x="776"/>
        <item m="1" x="969"/>
        <item m="1" x="1122"/>
        <item m="1" x="1238"/>
        <item m="1" x="216"/>
        <item m="1" x="404"/>
        <item m="1" x="560"/>
        <item m="1" x="788"/>
        <item m="1" x="447"/>
        <item m="1" x="984"/>
        <item m="1" x="1127"/>
        <item m="1" x="1245"/>
        <item m="1" x="235"/>
        <item m="1" x="427"/>
        <item m="1" x="565"/>
        <item m="1" x="663"/>
        <item m="1" x="765"/>
        <item m="1" x="988"/>
        <item m="1" x="1003"/>
        <item m="1" x="1020"/>
        <item m="1" x="1033"/>
        <item m="1" x="1045"/>
        <item m="1" x="1075"/>
        <item m="1" x="1081"/>
        <item m="1" x="1088"/>
        <item m="1" x="1094"/>
        <item m="1" x="1099"/>
        <item m="1" x="1107"/>
        <item m="1" x="627"/>
        <item m="1" x="924"/>
        <item m="1" x="1212"/>
        <item m="1" x="381"/>
        <item m="1" x="649"/>
        <item m="1" x="701"/>
        <item m="1" x="1073"/>
        <item m="1" x="1303"/>
        <item m="1" x="525"/>
        <item m="1" x="1178"/>
        <item m="1" x="314"/>
        <item m="1" x="610"/>
        <item m="1" x="515"/>
        <item m="1" x="521"/>
        <item m="1" x="532"/>
        <item m="1" x="602"/>
        <item m="1" x="605"/>
        <item m="1" x="612"/>
        <item m="1" x="617"/>
        <item m="1" x="623"/>
        <item m="1" x="630"/>
        <item m="1" x="644"/>
        <item m="1" x="651"/>
        <item m="1" x="823"/>
        <item m="1" x="783"/>
        <item m="1" x="737"/>
        <item m="1" x="1191"/>
        <item m="1" x="1262"/>
        <item m="1" x="1314"/>
        <item m="1" x="258"/>
        <item m="1" x="345"/>
        <item m="1" x="473"/>
        <item m="1" x="535"/>
        <item m="1" x="585"/>
        <item m="1" x="1155"/>
        <item m="1" x="1157"/>
        <item m="1" x="1161"/>
        <item m="1" x="1165"/>
        <item m="1" x="1167"/>
        <item m="1" x="806"/>
        <item m="1" x="808"/>
        <item m="1" x="813"/>
        <item m="1" x="815"/>
        <item m="1" x="219"/>
        <item m="1" x="303"/>
        <item m="1" x="409"/>
        <item m="1" x="574"/>
        <item m="1" x="613"/>
        <item m="1" x="700"/>
        <item m="1" x="866"/>
        <item m="1" x="1072"/>
        <item m="1" x="1181"/>
        <item m="1" x="323"/>
        <item m="1" x="524"/>
        <item m="1" x="615"/>
        <item m="1" x="350"/>
        <item m="1" x="383"/>
        <item m="1" x="450"/>
        <item m="1" x="481"/>
        <item m="1" x="503"/>
        <item m="1" x="517"/>
        <item m="1" x="527"/>
        <item m="1" x="534"/>
        <item m="1" x="549"/>
        <item m="1" x="563"/>
        <item m="1" x="575"/>
        <item m="1" x="774"/>
        <item m="1" x="966"/>
        <item m="1" x="1118"/>
        <item m="1" x="1233"/>
        <item m="1" x="212"/>
        <item m="1" x="402"/>
        <item m="1" x="558"/>
        <item m="1" x="652"/>
        <item m="1" x="752"/>
        <item m="1" x="784"/>
        <item m="1" x="977"/>
        <item m="1" x="1125"/>
        <item m="1" x="1243"/>
        <item m="1" x="228"/>
        <item m="1" x="792"/>
        <item m="1" x="995"/>
        <item m="1" x="1131"/>
        <item m="1" x="1250"/>
        <item m="1" x="238"/>
        <item m="1" x="443"/>
        <item m="1" x="570"/>
        <item m="1" x="667"/>
        <item m="1" x="804"/>
        <item m="1" x="1011"/>
        <item m="1" x="1259"/>
        <item m="1" x="251"/>
        <item m="1" x="454"/>
        <item m="1" x="1170"/>
        <item m="1" x="1227"/>
        <item m="1" x="1285"/>
        <item m="1" x="207"/>
        <item m="1" x="295"/>
        <item m="1" x="394"/>
        <item m="1" x="507"/>
        <item m="1" x="1173"/>
        <item m="1" x="1230"/>
        <item m="1" x="1290"/>
        <item m="1" x="210"/>
        <item m="1" x="296"/>
        <item m="1" x="1179"/>
        <item m="1" x="1241"/>
        <item m="1" x="1295"/>
        <item m="1" x="217"/>
        <item m="1" x="302"/>
        <item m="1" x="407"/>
        <item m="1" x="513"/>
        <item m="1" x="1086"/>
        <item m="1" x="1058"/>
        <item m="1" x="1006"/>
        <item m="1" x="947"/>
        <item m="1" x="1197"/>
        <item m="1" x="1172"/>
        <item m="1" x="1140"/>
        <item m="1" x="1319"/>
        <item m="1" x="1292"/>
        <item m="1" x="1266"/>
        <item m="1" x="353"/>
        <item m="1" x="305"/>
        <item m="1" x="260"/>
        <item m="1" x="214"/>
        <item m="1" x="539"/>
        <item m="1" x="516"/>
        <item m="1" x="478"/>
        <item m="1" x="412"/>
        <item m="1" x="717"/>
        <item m="1" x="548"/>
        <item m="1" x="553"/>
        <item m="1" x="561"/>
        <item m="1" x="566"/>
        <item m="1" x="572"/>
        <item m="1" x="698"/>
        <item m="1" x="592"/>
        <item m="1" x="597"/>
        <item m="1" x="601"/>
        <item m="1" x="603"/>
        <item m="1" x="611"/>
        <item m="1" x="680"/>
        <item m="1" x="639"/>
        <item m="1" x="648"/>
        <item m="1" x="661"/>
        <item m="1" x="665"/>
        <item m="1" x="673"/>
        <item m="1" x="655"/>
        <item m="1" x="731"/>
        <item m="1" x="747"/>
        <item m="1" x="756"/>
        <item m="1" x="768"/>
        <item m="1" x="911"/>
        <item m="1" x="839"/>
        <item m="1" x="799"/>
        <item m="1" x="759"/>
        <item m="1" x="1204"/>
        <item m="1" x="1174"/>
        <item m="1" x="1144"/>
        <item m="1" x="1111"/>
        <item m="1" x="1323"/>
        <item m="1" x="1298"/>
        <item m="1" x="1271"/>
        <item m="1" x="1232"/>
        <item m="1" x="361"/>
        <item m="1" x="310"/>
        <item m="1" x="263"/>
        <item m="1" x="220"/>
        <item m="1" x="542"/>
        <item m="1" x="519"/>
        <item m="1" x="484"/>
        <item m="1" x="421"/>
        <item m="1" x="786"/>
        <item m="1" x="740"/>
        <item m="1" x="709"/>
        <item m="1" x="990"/>
        <item m="1" x="934"/>
        <item m="1" x="878"/>
        <item m="1" x="1133"/>
        <item m="1" x="1101"/>
        <item m="1" x="1076"/>
        <item m="1" x="1258"/>
        <item m="1" x="1221"/>
        <item m="1" x="1187"/>
        <item m="1" x="254"/>
        <item m="1" x="200"/>
        <item m="1" x="1312"/>
        <item m="1" x="469"/>
        <item m="1" x="397"/>
        <item m="1" x="333"/>
        <item m="1" x="583"/>
        <item m="1" x="557"/>
        <item m="1" x="530"/>
        <item m="1" x="682"/>
        <item m="1" x="662"/>
        <item m="1" x="621"/>
        <item m="1" x="343"/>
        <item m="1" x="362"/>
        <item m="1" x="377"/>
        <item m="1" x="395"/>
        <item m="1" x="408"/>
        <item m="1" x="374"/>
        <item m="1" x="319"/>
        <item m="1" x="273"/>
        <item m="1" x="233"/>
        <item m="1" x="1326"/>
        <item m="1" x="1103"/>
        <item m="1" x="1078"/>
        <item m="1" x="1049"/>
        <item m="1" x="681"/>
        <item m="1" x="716"/>
        <item m="1" x="797"/>
        <item m="1" x="901"/>
        <item m="1" x="523"/>
        <item m="1" x="495"/>
        <item m="1" x="438"/>
        <item m="1" x="368"/>
        <item m="1" x="683"/>
        <item m="1" x="722"/>
        <item m="1" x="803"/>
        <item m="1" x="909"/>
        <item m="1" x="923"/>
        <item m="1" x="1095"/>
        <item m="1" x="1210"/>
        <item m="1" x="895"/>
        <item m="1" x="1080"/>
        <item m="1" x="1190"/>
        <item m="1" x="861"/>
        <item m="1" x="1070"/>
        <item m="1" x="1180"/>
        <item m="1" x="1102"/>
        <item m="1" x="1106"/>
        <item m="1" x="1109"/>
        <item m="1" x="1114"/>
        <item m="1" x="1120"/>
        <item m="1" x="1132"/>
        <item m="1" x="1137"/>
        <item m="1" x="1139"/>
        <item m="1" x="1160"/>
        <item m="1" x="1164"/>
        <item m="1" x="1169"/>
        <item m="1" x="591"/>
        <item m="1" x="596"/>
        <item m="1" x="600"/>
        <item m="1" x="494"/>
        <item m="1" x="981"/>
        <item m="1" x="1059"/>
        <item m="1" x="1039"/>
        <item m="1" x="1025"/>
        <item m="1" x="496"/>
        <item m="1" x="1041"/>
        <item m="1" x="1043"/>
        <item m="1" x="986"/>
        <item m="1" x="1016"/>
        <item m="1" x="1062"/>
        <item m="1" x="1195"/>
        <item m="1" x="222"/>
        <item m="1" x="1183"/>
        <item m="1" x="604"/>
        <item m="1" x="1037"/>
        <item m="1" x="1069"/>
        <item m="1" x="504"/>
        <item m="1" x="1007"/>
        <item m="1" x="699"/>
        <item m="1" x="499"/>
        <item m="1" x="1066"/>
        <item m="1" x="1044"/>
        <item m="1" x="1019"/>
        <item m="1" x="1023"/>
        <item m="1" x="479"/>
        <item m="1" x="1048"/>
        <item m="1" x="1267"/>
        <item m="1" x="1209"/>
        <item m="1" x="1248"/>
        <item m="1" x="239"/>
        <item m="1" x="445"/>
        <item m="1" x="676"/>
        <item m="1" x="793"/>
        <item m="1" x="1002"/>
        <item m="1" x="1228"/>
        <item m="1" x="213"/>
        <item m="1" x="411"/>
        <item m="1" x="1302"/>
        <item m="1" x="376"/>
        <item m="1" x="547"/>
        <item m="1" x="242"/>
        <item m="1" x="218"/>
        <item m="1" x="192"/>
        <item m="1" x="1318"/>
        <item m="1" x="1306"/>
        <item m="1" x="355"/>
        <item m="1" x="328"/>
        <item m="1" x="306"/>
        <item m="1" x="280"/>
        <item m="1" x="261"/>
        <item m="1" x="370"/>
        <item m="1" x="546"/>
        <item m="1" x="593"/>
        <item m="1" x="636"/>
        <item m="1" x="687"/>
        <item m="1" x="729"/>
        <item m="1" x="812"/>
        <item m="1" x="1004"/>
        <item m="1" x="416"/>
        <item m="1" x="436"/>
        <item m="1" x="464"/>
        <item m="1" x="434"/>
        <item m="1" x="442"/>
        <item m="1" x="448"/>
        <item m="1" x="449"/>
        <item m="1" x="460"/>
        <item m="1" x="1317"/>
        <item m="1" x="340"/>
        <item m="1" x="533"/>
        <item m="1" x="1328"/>
        <item m="1" x="358"/>
        <item m="1" x="537"/>
        <item m="1" x="624"/>
        <item m="1" x="720"/>
        <item m="1" x="906"/>
        <item m="1" x="1084"/>
        <item m="1" x="728"/>
        <item m="1" x="1096"/>
        <item m="1" x="191"/>
        <item m="1" x="413"/>
        <item m="1" x="432"/>
        <item m="1" x="446"/>
        <item m="1" x="470"/>
        <item m="1" x="477"/>
        <item m="1" x="492"/>
        <item m="1" x="501"/>
        <item m="1" x="562"/>
        <item m="1" x="567"/>
        <item m="1" x="573"/>
        <item m="1" x="579"/>
        <item m="1" x="584"/>
        <item m="1" x="587"/>
        <item m="1" x="594"/>
        <item m="1" x="626"/>
        <item m="1" x="1194"/>
        <item m="1" x="1265"/>
        <item m="1" x="1316"/>
        <item m="1" x="259"/>
        <item m="1" x="347"/>
        <item m="1" x="476"/>
        <item m="1" x="536"/>
        <item m="1" x="586"/>
        <item m="1" x="1119"/>
        <item m="1" x="1091"/>
        <item m="1" x="1065"/>
        <item m="1" x="1014"/>
        <item m="1" x="1242"/>
        <item m="1" x="1206"/>
        <item m="1" x="1176"/>
        <item m="1" x="1145"/>
        <item m="1" x="1112"/>
        <item m="1" x="595"/>
        <item m="1" x="694"/>
        <item m="1" x="833"/>
        <item m="1" x="1054"/>
        <item m="1" x="1168"/>
        <item m="1" x="1288"/>
        <item m="1" x="300"/>
        <item m="1" x="514"/>
        <item m="1" x="724"/>
        <item m="1" x="726"/>
        <item m="1" x="730"/>
        <item m="1" x="736"/>
        <item m="1" x="746"/>
        <item m="1" x="749"/>
        <item m="1" x="755"/>
        <item m="1" x="528"/>
        <item m="1" x="1291"/>
        <item m="1" x="1278"/>
        <item m="1" x="1264"/>
        <item m="1" x="493"/>
        <item m="1" x="1013"/>
        <item m="1" x="1021"/>
        <item m="1" x="1026"/>
        <item m="1" x="1035"/>
        <item m="1" x="1040"/>
        <item m="1" x="1047"/>
        <item m="1" x="414"/>
        <item m="1" x="419"/>
        <item m="1" x="433"/>
        <item m="1" x="657"/>
        <item m="1" x="753"/>
        <item m="1" x="578"/>
        <item m="1" x="743"/>
        <item m="1" x="437"/>
        <item m="1" x="440"/>
        <item m="1" x="658"/>
        <item m="1" x="754"/>
        <item m="1" x="452"/>
        <item m="1" x="455"/>
        <item m="1" x="456"/>
        <item m="1" x="1056"/>
        <item m="1" x="1115"/>
        <item m="1" x="1124"/>
        <item m="1" x="1208"/>
        <item m="1" x="366"/>
        <item m="1" x="642"/>
        <item m="1" x="936"/>
        <item m="1" x="684"/>
        <item m="1" x="538"/>
        <item m="1" x="422"/>
        <item m="1" x="564"/>
        <item m="1" x="772"/>
        <item m="1" x="576"/>
        <item m="1" x="818"/>
        <item m="1" x="840"/>
        <item m="1" x="874"/>
        <item m="1" x="907"/>
        <item m="1" x="1215"/>
        <item m="1" x="632"/>
        <item m="1" x="1198"/>
        <item m="1" x="1251"/>
        <item m="1" x="668"/>
        <item m="1" x="1234"/>
        <item m="1" x="653"/>
        <item m="1" x="1280"/>
        <item m="1" x="688"/>
        <item m="1" x="1268"/>
        <item m="1" x="1307"/>
        <item m="1" x="704"/>
        <item m="1" x="1293"/>
        <item m="1" x="193"/>
        <item m="1" x="732"/>
        <item m="1" x="1320"/>
        <item m="1" x="243"/>
        <item m="1" x="778"/>
        <item m="1" x="221"/>
        <item m="1" x="758"/>
        <item m="1" x="283"/>
        <item m="1" x="814"/>
        <item m="1" x="262"/>
        <item m="1" x="796"/>
        <item m="1" x="241"/>
        <item m="1" x="777"/>
        <item m="1" x="329"/>
        <item m="1" x="872"/>
        <item m="1" x="307"/>
        <item m="1" x="837"/>
        <item m="1" x="281"/>
        <item m="1" x="388"/>
        <item m="1" x="928"/>
        <item m="1" x="354"/>
        <item m="1" x="905"/>
        <item m="1" x="327"/>
        <item m="1" x="871"/>
        <item m="1" x="458"/>
        <item m="1" x="978"/>
        <item m="1" x="424"/>
        <item m="1" x="952"/>
        <item m="1" x="386"/>
        <item m="1" x="927"/>
        <item m="1" x="351"/>
        <item m="1" x="903"/>
        <item m="1" x="820"/>
        <item m="1" x="842"/>
        <item m="1" x="876"/>
        <item m="1" x="1217"/>
        <item m="1" x="634"/>
        <item m="1" x="1200"/>
        <item m="1" x="618"/>
        <item m="1" x="1184"/>
        <item m="1" x="606"/>
        <item m="1" x="1253"/>
        <item m="1" x="670"/>
        <item m="1" x="1236"/>
        <item m="1" x="656"/>
        <item m="1" x="1216"/>
        <item m="1" x="633"/>
        <item m="1" x="1199"/>
        <item m="1" x="1282"/>
        <item m="1" x="690"/>
        <item m="1" x="1272"/>
        <item m="1" x="679"/>
        <item m="1" x="1252"/>
        <item m="1" x="669"/>
        <item m="1" x="1309"/>
        <item m="1" x="705"/>
        <item m="1" x="1296"/>
        <item m="1" x="697"/>
        <item m="1" x="1281"/>
        <item m="1" x="689"/>
        <item m="1" x="1269"/>
        <item m="1" x="677"/>
        <item m="1" x="194"/>
        <item m="1" x="733"/>
        <item m="1" x="1321"/>
        <item m="1" x="714"/>
        <item m="1" x="1308"/>
        <item m="1" x="246"/>
        <item m="1" x="779"/>
        <item m="1" x="223"/>
        <item m="1" x="760"/>
        <item m="1" x="287"/>
        <item m="1" x="816"/>
        <item m="1" x="266"/>
        <item m="1" x="798"/>
        <item m="1" x="331"/>
        <item m="1" x="873"/>
        <item m="1" x="390"/>
        <item m="1" x="930"/>
        <item m="1" x="357"/>
        <item m="1" x="463"/>
        <item m="1" x="980"/>
        <item m="1" x="426"/>
        <item m="1" x="821"/>
        <item m="1" x="844"/>
        <item m="1" x="879"/>
        <item m="1" x="1185"/>
        <item m="1" x="1273"/>
        <item m="1" x="824"/>
        <item m="1" x="847"/>
        <item m="1" x="881"/>
        <item m="1" x="825"/>
        <item m="1" x="851"/>
        <item m="1" x="884"/>
        <item m="1" x="826"/>
        <item m="1" x="853"/>
        <item m="1" x="886"/>
        <item m="1" x="915"/>
        <item m="1" x="827"/>
        <item m="1" x="855"/>
        <item m="1" x="888"/>
        <item m="1" x="830"/>
        <item m="1" x="859"/>
        <item m="1" x="832"/>
        <item m="1" x="862"/>
        <item m="1" x="891"/>
        <item m="1" x="919"/>
        <item m="1" x="1136"/>
        <item m="1" x="829"/>
        <item m="1" x="1051"/>
        <item m="1" x="1166"/>
        <item m="1" x="1286"/>
        <item m="1" x="297"/>
        <item m="1" x="498"/>
        <item m="1" x="497"/>
        <item m="1" x="1027"/>
        <item m="1" x="1063"/>
        <item m="1" x="1030"/>
        <item m="1" x="1031"/>
        <item m="1" x="480"/>
        <item m="1" x="1008"/>
        <item m="1" x="1110"/>
        <item m="1" x="1113"/>
        <item m="1" x="325"/>
        <item m="1" x="400"/>
        <item m="1" x="490"/>
        <item m="1" x="510"/>
        <item m="1" x="511"/>
        <item m="1" x="822"/>
        <item m="1" x="486"/>
        <item m="1" x="509"/>
        <item m="1" x="312"/>
        <item m="1" x="285"/>
        <item m="1" x="1315"/>
        <item m="1" x="849"/>
        <item m="1" x="420"/>
        <item m="1" x="439"/>
        <item m="1" x="946"/>
        <item m="1" x="461"/>
        <item m="1" x="807"/>
        <item m="1" x="1108"/>
        <item m="1" x="417"/>
        <item m="1" x="1128"/>
        <item m="1" x="955"/>
        <item m="1" x="707"/>
        <item m="1" x="961"/>
        <item m="1" x="1061"/>
        <item m="1" x="415"/>
        <item m="1" x="972"/>
        <item m="1" x="948"/>
        <item m="1" x="850"/>
        <item m="1" x="1055"/>
        <item m="1" x="1287"/>
        <item m="1" x="869"/>
        <item m="1" x="1105"/>
        <item m="1" x="540"/>
        <item m="1" x="441"/>
        <item m="1" x="883"/>
        <item m="1" x="1138"/>
        <item m="1" x="465"/>
        <item m="1" x="769"/>
        <item m="1" x="1085"/>
        <item m="1" x="234"/>
        <item m="1" x="1163"/>
        <item m="1" x="1223"/>
        <item m="1" x="628"/>
        <item m="1" x="693"/>
        <item m="1" x="745"/>
        <item m="1" x="643"/>
        <item m="1" x="309"/>
        <item m="1" x="1297"/>
        <item m="1" x="607"/>
        <item m="1" x="1201"/>
        <item m="1" x="288"/>
        <item m="1" x="898"/>
        <item m="1" x="675"/>
        <item m="1" x="991"/>
        <item m="1" x="935"/>
        <item m="1" x="188"/>
        <item x="106"/>
        <item x="112"/>
        <item x="116"/>
        <item x="114"/>
        <item x="117"/>
        <item x="105"/>
        <item x="104"/>
        <item x="108"/>
        <item m="1" x="1224"/>
        <item x="109"/>
        <item x="110"/>
        <item x="115"/>
        <item x="113"/>
        <item x="156"/>
        <item x="45"/>
        <item x="132"/>
        <item x="131"/>
        <item x="123"/>
        <item x="130"/>
        <item x="128"/>
        <item x="127"/>
        <item x="129"/>
        <item x="121"/>
        <item x="122"/>
        <item x="126"/>
        <item x="124"/>
        <item x="125"/>
        <item x="118"/>
        <item x="157"/>
        <item x="155"/>
        <item x="20"/>
        <item x="21"/>
        <item x="4"/>
        <item x="3"/>
        <item x="5"/>
        <item x="0"/>
        <item x="2"/>
        <item x="1"/>
        <item x="169"/>
        <item x="135"/>
        <item x="133"/>
        <item x="134"/>
        <item x="138"/>
        <item x="136"/>
        <item x="137"/>
        <item x="99"/>
        <item x="86"/>
        <item x="85"/>
        <item x="89"/>
        <item x="87"/>
        <item x="90"/>
        <item x="88"/>
        <item x="91"/>
        <item x="84"/>
        <item x="83"/>
        <item x="80"/>
        <item x="81"/>
        <item x="100"/>
        <item x="97"/>
        <item x="82"/>
        <item x="98"/>
        <item x="93"/>
        <item x="92"/>
        <item x="19"/>
        <item x="15"/>
        <item x="17"/>
        <item x="119"/>
        <item x="18"/>
        <item x="120"/>
        <item x="14"/>
        <item x="16"/>
        <item x="12"/>
        <item x="13"/>
        <item x="168"/>
        <item x="96"/>
        <item x="94"/>
        <item m="1" x="208"/>
        <item x="95"/>
        <item x="103"/>
        <item x="101"/>
        <item x="102"/>
        <item x="147"/>
        <item x="139"/>
        <item x="141"/>
        <item x="140"/>
        <item x="146"/>
        <item x="144"/>
        <item x="170"/>
        <item x="143"/>
        <item x="142"/>
        <item x="145"/>
        <item x="148"/>
        <item x="46"/>
        <item x="23"/>
        <item x="25"/>
        <item x="22"/>
        <item x="24"/>
        <item x="47"/>
        <item x="50"/>
        <item x="51"/>
        <item x="49"/>
        <item x="52"/>
        <item x="48"/>
        <item x="42"/>
        <item x="79"/>
        <item x="77"/>
        <item x="78"/>
        <item x="38"/>
        <item m="1" x="1082"/>
        <item x="59"/>
        <item x="58"/>
        <item x="60"/>
        <item x="61"/>
        <item x="65"/>
        <item x="66"/>
        <item x="62"/>
        <item x="64"/>
        <item x="63"/>
        <item x="37"/>
        <item x="43"/>
        <item x="44"/>
        <item x="35"/>
        <item x="39"/>
        <item x="36"/>
        <item x="41"/>
        <item x="40"/>
        <item x="33"/>
        <item x="160"/>
        <item x="159"/>
        <item x="158"/>
        <item x="34"/>
        <item x="32"/>
        <item x="161"/>
        <item x="74"/>
        <item x="71"/>
        <item x="70"/>
        <item x="28"/>
        <item x="167"/>
        <item x="31"/>
        <item x="27"/>
        <item x="26"/>
        <item x="30"/>
        <item x="29"/>
        <item x="162"/>
        <item x="72"/>
        <item x="76"/>
        <item x="163"/>
        <item x="57"/>
        <item x="67"/>
        <item x="166"/>
        <item x="73"/>
        <item x="68"/>
        <item x="75"/>
        <item x="54"/>
        <item x="56"/>
        <item x="8"/>
        <item x="6"/>
        <item x="7"/>
        <item x="55"/>
        <item x="53"/>
        <item x="164"/>
        <item x="165"/>
        <item x="69"/>
        <item x="154"/>
        <item x="149"/>
        <item x="150"/>
        <item x="153"/>
        <item x="151"/>
        <item x="152"/>
        <item x="9"/>
        <item x="111"/>
        <item x="10"/>
        <item x="11"/>
        <item m="1" x="338"/>
        <item m="1" x="360"/>
        <item x="107"/>
        <item x="171"/>
        <item x="172"/>
        <item x="173"/>
        <item x="174"/>
        <item x="175"/>
        <item x="176"/>
        <item x="177"/>
        <item x="178"/>
        <item x="179"/>
        <item x="180"/>
        <item x="181"/>
        <item x="182"/>
        <item x="183"/>
        <item x="184"/>
        <item x="185"/>
        <item x="186"/>
        <item x="187"/>
      </items>
    </pivotField>
    <pivotField dataField="1" showAll="0" defaultSubtotal="0"/>
    <pivotField numFmtId="167" showAll="0" defaultSubtotal="0"/>
    <pivotField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numFmtId="164" showAll="0"/>
    <pivotField showAll="0"/>
    <pivotField numFmtId="164" showAl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pivotField showAll="0"/>
  </pivotFields>
  <rowFields count="1">
    <field x="8"/>
  </rowFields>
  <rowItems count="188">
    <i>
      <x v="1137"/>
    </i>
    <i>
      <x v="1138"/>
    </i>
    <i>
      <x v="1139"/>
    </i>
    <i>
      <x v="1140"/>
    </i>
    <i>
      <x v="1141"/>
    </i>
    <i>
      <x v="1142"/>
    </i>
    <i>
      <x v="1143"/>
    </i>
    <i>
      <x v="1144"/>
    </i>
    <i>
      <x v="1146"/>
    </i>
    <i>
      <x v="1147"/>
    </i>
    <i>
      <x v="1148"/>
    </i>
    <i>
      <x v="1149"/>
    </i>
    <i>
      <x v="1150"/>
    </i>
    <i>
      <x v="1151"/>
    </i>
    <i>
      <x v="1152"/>
    </i>
    <i>
      <x v="1153"/>
    </i>
    <i>
      <x v="1154"/>
    </i>
    <i>
      <x v="1155"/>
    </i>
    <i>
      <x v="1156"/>
    </i>
    <i>
      <x v="1157"/>
    </i>
    <i>
      <x v="1158"/>
    </i>
    <i>
      <x v="1159"/>
    </i>
    <i>
      <x v="1160"/>
    </i>
    <i>
      <x v="1161"/>
    </i>
    <i>
      <x v="1162"/>
    </i>
    <i>
      <x v="1163"/>
    </i>
    <i>
      <x v="1164"/>
    </i>
    <i>
      <x v="1165"/>
    </i>
    <i>
      <x v="1166"/>
    </i>
    <i>
      <x v="1167"/>
    </i>
    <i>
      <x v="1168"/>
    </i>
    <i>
      <x v="1169"/>
    </i>
    <i>
      <x v="1170"/>
    </i>
    <i>
      <x v="1171"/>
    </i>
    <i>
      <x v="1172"/>
    </i>
    <i>
      <x v="1173"/>
    </i>
    <i>
      <x v="1174"/>
    </i>
    <i>
      <x v="1175"/>
    </i>
    <i>
      <x v="1176"/>
    </i>
    <i>
      <x v="1177"/>
    </i>
    <i>
      <x v="1178"/>
    </i>
    <i>
      <x v="1179"/>
    </i>
    <i>
      <x v="1180"/>
    </i>
    <i>
      <x v="1181"/>
    </i>
    <i>
      <x v="1182"/>
    </i>
    <i>
      <x v="1183"/>
    </i>
    <i>
      <x v="1184"/>
    </i>
    <i>
      <x v="1185"/>
    </i>
    <i>
      <x v="1186"/>
    </i>
    <i>
      <x v="1187"/>
    </i>
    <i>
      <x v="1188"/>
    </i>
    <i>
      <x v="1189"/>
    </i>
    <i>
      <x v="1190"/>
    </i>
    <i>
      <x v="1191"/>
    </i>
    <i>
      <x v="1192"/>
    </i>
    <i>
      <x v="1193"/>
    </i>
    <i>
      <x v="1194"/>
    </i>
    <i>
      <x v="1195"/>
    </i>
    <i>
      <x v="1196"/>
    </i>
    <i>
      <x v="1197"/>
    </i>
    <i>
      <x v="1198"/>
    </i>
    <i>
      <x v="1199"/>
    </i>
    <i>
      <x v="1200"/>
    </i>
    <i>
      <x v="1201"/>
    </i>
    <i>
      <x v="1202"/>
    </i>
    <i>
      <x v="1203"/>
    </i>
    <i>
      <x v="1204"/>
    </i>
    <i>
      <x v="1205"/>
    </i>
    <i>
      <x v="1206"/>
    </i>
    <i>
      <x v="1207"/>
    </i>
    <i>
      <x v="1208"/>
    </i>
    <i>
      <x v="1209"/>
    </i>
    <i>
      <x v="1210"/>
    </i>
    <i>
      <x v="1211"/>
    </i>
    <i>
      <x v="1212"/>
    </i>
    <i>
      <x v="1214"/>
    </i>
    <i>
      <x v="1215"/>
    </i>
    <i>
      <x v="1216"/>
    </i>
    <i>
      <x v="1217"/>
    </i>
    <i>
      <x v="1218"/>
    </i>
    <i>
      <x v="1219"/>
    </i>
    <i>
      <x v="1220"/>
    </i>
    <i>
      <x v="1221"/>
    </i>
    <i>
      <x v="1222"/>
    </i>
    <i>
      <x v="1223"/>
    </i>
    <i>
      <x v="1224"/>
    </i>
    <i>
      <x v="1225"/>
    </i>
    <i>
      <x v="1226"/>
    </i>
    <i>
      <x v="1227"/>
    </i>
    <i>
      <x v="1228"/>
    </i>
    <i>
      <x v="1229"/>
    </i>
    <i>
      <x v="1230"/>
    </i>
    <i>
      <x v="1231"/>
    </i>
    <i>
      <x v="1232"/>
    </i>
    <i>
      <x v="1233"/>
    </i>
    <i>
      <x v="1234"/>
    </i>
    <i>
      <x v="1235"/>
    </i>
    <i>
      <x v="1236"/>
    </i>
    <i>
      <x v="1237"/>
    </i>
    <i>
      <x v="1238"/>
    </i>
    <i>
      <x v="1239"/>
    </i>
    <i>
      <x v="1240"/>
    </i>
    <i>
      <x v="1241"/>
    </i>
    <i>
      <x v="1242"/>
    </i>
    <i>
      <x v="1243"/>
    </i>
    <i>
      <x v="1244"/>
    </i>
    <i>
      <x v="1246"/>
    </i>
    <i>
      <x v="1247"/>
    </i>
    <i>
      <x v="1248"/>
    </i>
    <i>
      <x v="1249"/>
    </i>
    <i>
      <x v="1250"/>
    </i>
    <i>
      <x v="1251"/>
    </i>
    <i>
      <x v="1252"/>
    </i>
    <i>
      <x v="1253"/>
    </i>
    <i>
      <x v="1254"/>
    </i>
    <i>
      <x v="1255"/>
    </i>
    <i>
      <x v="1256"/>
    </i>
    <i>
      <x v="1257"/>
    </i>
    <i>
      <x v="1258"/>
    </i>
    <i>
      <x v="1259"/>
    </i>
    <i>
      <x v="1260"/>
    </i>
    <i>
      <x v="1261"/>
    </i>
    <i>
      <x v="1262"/>
    </i>
    <i>
      <x v="1263"/>
    </i>
    <i>
      <x v="1264"/>
    </i>
    <i>
      <x v="1265"/>
    </i>
    <i>
      <x v="1266"/>
    </i>
    <i>
      <x v="1267"/>
    </i>
    <i>
      <x v="1268"/>
    </i>
    <i>
      <x v="1269"/>
    </i>
    <i>
      <x v="1270"/>
    </i>
    <i>
      <x v="1271"/>
    </i>
    <i>
      <x v="1272"/>
    </i>
    <i>
      <x v="1273"/>
    </i>
    <i>
      <x v="1274"/>
    </i>
    <i>
      <x v="1275"/>
    </i>
    <i>
      <x v="1276"/>
    </i>
    <i>
      <x v="1277"/>
    </i>
    <i>
      <x v="1278"/>
    </i>
    <i>
      <x v="1279"/>
    </i>
    <i>
      <x v="1280"/>
    </i>
    <i>
      <x v="1281"/>
    </i>
    <i>
      <x v="1282"/>
    </i>
    <i>
      <x v="1283"/>
    </i>
    <i>
      <x v="1284"/>
    </i>
    <i>
      <x v="1285"/>
    </i>
    <i>
      <x v="1286"/>
    </i>
    <i>
      <x v="1287"/>
    </i>
    <i>
      <x v="1288"/>
    </i>
    <i>
      <x v="1289"/>
    </i>
    <i>
      <x v="1290"/>
    </i>
    <i>
      <x v="1291"/>
    </i>
    <i>
      <x v="1292"/>
    </i>
    <i>
      <x v="1293"/>
    </i>
    <i>
      <x v="1294"/>
    </i>
    <i>
      <x v="1295"/>
    </i>
    <i>
      <x v="1296"/>
    </i>
    <i>
      <x v="1297"/>
    </i>
    <i>
      <x v="1298"/>
    </i>
    <i>
      <x v="1299"/>
    </i>
    <i>
      <x v="1300"/>
    </i>
    <i>
      <x v="1301"/>
    </i>
    <i>
      <x v="1302"/>
    </i>
    <i>
      <x v="1303"/>
    </i>
    <i>
      <x v="1304"/>
    </i>
    <i>
      <x v="1305"/>
    </i>
    <i>
      <x v="1306"/>
    </i>
    <i>
      <x v="1307"/>
    </i>
    <i>
      <x v="1308"/>
    </i>
    <i>
      <x v="1309"/>
    </i>
    <i>
      <x v="1312"/>
    </i>
    <i>
      <x v="1313"/>
    </i>
    <i>
      <x v="1314"/>
    </i>
    <i>
      <x v="1315"/>
    </i>
    <i>
      <x v="1316"/>
    </i>
    <i>
      <x v="1317"/>
    </i>
    <i>
      <x v="1318"/>
    </i>
    <i>
      <x v="1319"/>
    </i>
    <i>
      <x v="1320"/>
    </i>
    <i>
      <x v="1321"/>
    </i>
    <i>
      <x v="1322"/>
    </i>
    <i>
      <x v="1323"/>
    </i>
    <i>
      <x v="1324"/>
    </i>
    <i>
      <x v="1325"/>
    </i>
    <i>
      <x v="1326"/>
    </i>
    <i>
      <x v="1327"/>
    </i>
    <i>
      <x v="1328"/>
    </i>
    <i>
      <x v="1329"/>
    </i>
  </rowItems>
  <colFields count="1">
    <field x="-2"/>
  </colFields>
  <colItems count="4">
    <i>
      <x/>
    </i>
    <i i="1">
      <x v="1"/>
    </i>
    <i i="2">
      <x v="2"/>
    </i>
    <i i="3">
      <x v="3"/>
    </i>
  </colItems>
  <dataFields count="4">
    <dataField name="Summe von trees_measured" fld="9" baseField="0" baseItem="0"/>
    <dataField name="Summe von AGB t/ha" fld="39" baseField="8" baseItem="0"/>
    <dataField name="Average of Year" fld="7" subtotal="average" baseField="8" baseItem="1138"/>
    <dataField name="Average of Densidad_plantac" fld="3" subtotal="average" baseField="8" baseItem="1138"/>
  </dataFields>
  <formats count="4">
    <format>
      <pivotArea dataOnly="0" labelOnly="1" outline="0" axis="axisValues" fieldPosition="0"/>
    </format>
    <format>
      <pivotArea outline="0" collapsedLevelsAreSubtotals="1" fieldPosition="0"/>
    </format>
    <format>
      <pivotArea dataOnly="0" labelOnly="1" outline="0" axis="axisValues" fieldPosition="0"/>
    </format>
    <format>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E13397D-AF48-4F7A-84A0-E67047A8187A}" name="PivotTable1" cacheId="65" applyNumberFormats="0" applyBorderFormats="0" applyFontFormats="0" applyPatternFormats="0" applyAlignmentFormats="0" applyWidthHeightFormats="1" dataCaption="Values" updatedVersion="8" minRefreshableVersion="3" useAutoFormatting="1" itemPrintTitles="1" createdVersion="8" indent="0" compact="0" compactData="0" gridDropZones="1" multipleFieldFilters="0">
  <location ref="D50:G62" firstHeaderRow="1" firstDataRow="2" firstDataCol="2"/>
  <pivotFields count="35">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dataField="1" compact="0" outline="0" showAll="0"/>
    <pivotField compact="0" numFmtId="14"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items count="7">
        <item m="1" x="5"/>
        <item x="4"/>
        <item x="1"/>
        <item x="0"/>
        <item x="2"/>
        <item x="3"/>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defaultSubtotal="0">
      <items count="3">
        <item x="0"/>
        <item x="1"/>
        <item x="2"/>
      </items>
    </pivotField>
  </pivotFields>
  <rowFields count="2">
    <field x="34"/>
    <field x="21"/>
  </rowFields>
  <rowItems count="11">
    <i>
      <x/>
      <x v="2"/>
    </i>
    <i r="1">
      <x v="3"/>
    </i>
    <i>
      <x v="1"/>
      <x v="1"/>
    </i>
    <i r="1">
      <x v="2"/>
    </i>
    <i r="1">
      <x v="3"/>
    </i>
    <i>
      <x v="2"/>
      <x v="1"/>
    </i>
    <i r="1">
      <x v="2"/>
    </i>
    <i r="1">
      <x v="3"/>
    </i>
    <i r="1">
      <x v="4"/>
    </i>
    <i r="1">
      <x v="5"/>
    </i>
    <i t="grand">
      <x/>
    </i>
  </rowItems>
  <colFields count="1">
    <field x="-2"/>
  </colFields>
  <colItems count="2">
    <i>
      <x/>
    </i>
    <i i="1">
      <x v="1"/>
    </i>
  </colItems>
  <dataFields count="2">
    <dataField name="Sum of area" fld="2" baseField="0" baseItem="0"/>
    <dataField name="Sum of Area_3" fld="7" baseField="0" baseItem="0"/>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2" displayName="Tabelle2" ref="A2:AQ190">
  <autoFilter ref="A2:AQ190" xr:uid="{00000000-0009-0000-0100-000001000000}"/>
  <sortState xmlns:xlrd2="http://schemas.microsoft.com/office/spreadsheetml/2017/richdata2" ref="A3:AQ178">
    <sortCondition ref="B2:B178"/>
  </sortState>
  <tableColumns count="43">
    <tableColumn id="1" xr3:uid="{00000000-0010-0000-0000-000001000000}" name="Plantation_id_(Estancia)" dataDxfId="80" dataCellStyle="Standard 2"/>
    <tableColumn id="2" xr3:uid="{00000000-0010-0000-0000-000002000000}" name="parcela_id" dataDxfId="79" dataCellStyle="Standard 2"/>
    <tableColumn id="3" xr3:uid="{00000000-0010-0000-0000-000003000000}" name="blq_strat"/>
    <tableColumn id="4" xr3:uid="{00000000-0010-0000-0000-000004000000}" name="Densidad_plantac" dataDxfId="78"/>
    <tableColumn id="5" xr3:uid="{00000000-0010-0000-0000-000005000000}" name="na1" dataDxfId="77"/>
    <tableColumn id="6" xr3:uid="{00000000-0010-0000-0000-000006000000}" name="Land cover type" dataDxfId="76"/>
    <tableColumn id="7" xr3:uid="{00000000-0010-0000-0000-000007000000}" name="Column1" dataDxfId="75"/>
    <tableColumn id="8" xr3:uid="{00000000-0010-0000-0000-000008000000}" name="Year" dataDxfId="74"/>
    <tableColumn id="9" xr3:uid="{00000000-0010-0000-0000-000009000000}" name="plot_id" dataDxfId="73" dataCellStyle="Standard 2"/>
    <tableColumn id="10" xr3:uid="{00000000-0010-0000-0000-00000A000000}" name="trees_measured" dataDxfId="72"/>
    <tableColumn id="11" xr3:uid="{00000000-0010-0000-0000-00000B000000}" name="area_plot_m2" dataDxfId="71"/>
    <tableColumn id="12" xr3:uid="{00000000-0010-0000-0000-00000C000000}" name="EXPFAC_HA" dataDxfId="70"/>
    <tableColumn id="13" xr3:uid="{00000000-0010-0000-0000-00000D000000}" name="species"/>
    <tableColumn id="14" xr3:uid="{00000000-0010-0000-0000-00000E000000}" name="spacing" dataDxfId="69"/>
    <tableColumn id="15" xr3:uid="{00000000-0010-0000-0000-00000F000000}" name="X" dataDxfId="68"/>
    <tableColumn id="16" xr3:uid="{00000000-0010-0000-0000-000010000000}" name="Y" dataDxfId="67"/>
    <tableColumn id="17" xr3:uid="{00000000-0010-0000-0000-000011000000}" name="Site Index" dataDxfId="66"/>
    <tableColumn id="18" xr3:uid="{00000000-0010-0000-0000-000012000000}" name="Layers" dataDxfId="65"/>
    <tableColumn id="19" xr3:uid="{00000000-0010-0000-0000-000013000000}" name="G_ha (m2)_vivo_19" dataDxfId="64"/>
    <tableColumn id="20" xr3:uid="{00000000-0010-0000-0000-000014000000}" name="G_ha (m2)_activo_192" dataDxfId="63"/>
    <tableColumn id="21" xr3:uid="{00000000-0010-0000-0000-000015000000}" name="Vol_ha_22" dataDxfId="62"/>
    <tableColumn id="22" xr3:uid="{00000000-0010-0000-0000-000016000000}" name="Vol_2020" dataDxfId="61"/>
    <tableColumn id="23" xr3:uid="{00000000-0010-0000-0000-000017000000}" name="Diferencia" dataDxfId="60">
      <calculatedColumnFormula>+Tabelle2[[#This Row],[Vol_ha_22]]-Tabelle2[[#This Row],[Vol_2020]]</calculatedColumnFormula>
    </tableColumn>
    <tableColumn id="24" xr3:uid="{00000000-0010-0000-0000-000018000000}" name="BA_weighted_meanH_19" dataDxfId="59"/>
    <tableColumn id="25" xr3:uid="{00000000-0010-0000-0000-000019000000}" name="min_height_19" dataDxfId="58"/>
    <tableColumn id="26" xr3:uid="{00000000-0010-0000-0000-00001A000000}" name="max_height_19" dataDxfId="57"/>
    <tableColumn id="27" xr3:uid="{00000000-0010-0000-0000-00001B000000}" name="mean_DBH_19" dataDxfId="56"/>
    <tableColumn id="28" xr3:uid="{00000000-0010-0000-0000-00001C000000}" name="Des_St_DBH_19" dataDxfId="55"/>
    <tableColumn id="29" xr3:uid="{00000000-0010-0000-0000-00001D000000}" name="BA_weighted_meanDBH_19" dataDxfId="54"/>
    <tableColumn id="30" xr3:uid="{00000000-0010-0000-0000-00001E000000}" name="min_DBH" dataDxfId="53"/>
    <tableColumn id="31" xr3:uid="{00000000-0010-0000-0000-00001F000000}" name="Max_DBH" dataDxfId="52"/>
    <tableColumn id="32" xr3:uid="{00000000-0010-0000-0000-000020000000}" name="Density_19_vivos" dataDxfId="51"/>
    <tableColumn id="33" xr3:uid="{00000000-0010-0000-0000-000021000000}" name="density_activos_19" dataDxfId="50"/>
    <tableColumn id="34" xr3:uid="{00000000-0010-0000-0000-000022000000}" name="Fungi_damage_19_average" dataDxfId="49"/>
    <tableColumn id="35" xr3:uid="{00000000-0010-0000-0000-000023000000}" name="Fungi_damage_%" dataDxfId="48"/>
    <tableColumn id="36" xr3:uid="{00000000-0010-0000-0000-000024000000}" name="wasp_damage_19" dataDxfId="47"/>
    <tableColumn id="37" xr3:uid="{00000000-0010-0000-0000-000025000000}" name="ant_damage_19" dataDxfId="46"/>
    <tableColumn id="38" xr3:uid="{00000000-0010-0000-0000-000026000000}" name="share_saw_19" dataDxfId="45"/>
    <tableColumn id="39" xr3:uid="{00000000-0010-0000-0000-000027000000}" name="share_pulp_19" dataDxfId="44"/>
    <tableColumn id="40" xr3:uid="{00000000-0010-0000-0000-000028000000}" name="AGB t/ha" dataDxfId="43">
      <calculatedColumnFormula>IFERROR(Tabelle2[[#This Row],[Vol_ha_22]]*0.537836177777778*Carbon_Calculations!$R$9,0)</calculatedColumnFormula>
    </tableColumn>
    <tableColumn id="41" xr3:uid="{00000000-0010-0000-0000-000029000000}" name="Strata" dataDxfId="42"/>
    <tableColumn id="42" xr3:uid="{05D2BB4D-232E-451F-A22A-41894712C8D9}" name="Spacing&quot;"/>
    <tableColumn id="43" xr3:uid="{0911D28F-25C6-4901-8B5E-252552EA32B1}" name="Column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765CE5-1FF5-43FB-89D7-7DDE38347CDC}" name="Tabelle23" displayName="Tabelle23" ref="A2:AS140" totalsRowShown="0" headerRowDxfId="40">
  <autoFilter ref="A2:AS140" xr:uid="{CD765CE5-1FF5-43FB-89D7-7DDE38347CDC}"/>
  <sortState xmlns:xlrd2="http://schemas.microsoft.com/office/spreadsheetml/2017/richdata2" ref="A3:AS140">
    <sortCondition ref="I2:I140"/>
  </sortState>
  <tableColumns count="45">
    <tableColumn id="5" xr3:uid="{3D90BAE1-C9D1-4A99-8040-B38E5A97C2B1}" name="Plantation_id_(Estancia)"/>
    <tableColumn id="6" xr3:uid="{ABB886A6-5D8C-4CBD-A4AC-ABD7AF73D3A7}" name="Stand_id_(bloque)"/>
    <tableColumn id="2" xr3:uid="{563E1B0E-64A3-4F53-B227-7DE620E66794}" name="Stand_id_GIS"/>
    <tableColumn id="68" xr3:uid="{34521A3B-4A43-4496-A9B2-0E5DA7537941}" name="Applies"/>
    <tableColumn id="69" xr3:uid="{5EC43948-92CE-4137-A7E9-962CAC51A0A1}" name="Error_Carga"/>
    <tableColumn id="16" xr3:uid="{CA644B12-19D5-4D3A-ABDA-8078F37004A7}" name="Land cover type" dataDxfId="39"/>
    <tableColumn id="3" xr3:uid="{11880EB9-9208-4962-8C91-F03E5C4A8C60}" name="Plantation year" dataDxfId="38"/>
    <tableColumn id="12" xr3:uid="{B43B9EA8-8EC3-4846-8E24-3F61C52D8AD5}" name="Year of planting " dataDxfId="37"/>
    <tableColumn id="7" xr3:uid="{054A2D71-D471-4E30-B12E-3D74F44561BC}" name="plot_id"/>
    <tableColumn id="32" xr3:uid="{837FD7D3-638D-4AF3-8BA3-CDFDA05B779D}" name="trees_measured" dataDxfId="36"/>
    <tableColumn id="1" xr3:uid="{B5459480-12F1-4F7A-8FDD-E89B58B69F44}" name="area_plot_m2" dataDxfId="35"/>
    <tableColumn id="21" xr3:uid="{86A6B1AB-6A26-406E-A0FE-7E341D4903C4}" name="EXPFAC_HA" dataDxfId="34">
      <calculatedColumnFormula>10000/K3</calculatedColumnFormula>
    </tableColumn>
    <tableColumn id="8" xr3:uid="{1FD5D0B4-E499-4A3C-9B41-58EF3130BE0A}" name="species"/>
    <tableColumn id="13" xr3:uid="{01A357D8-96D0-480F-9BE5-BBE897C3CE0F}" name="spacing" dataDxfId="33"/>
    <tableColumn id="30" xr3:uid="{891B9DDD-1D42-445D-B839-0E63618248A3}" name="X" dataDxfId="32"/>
    <tableColumn id="31" xr3:uid="{A1AE4C9C-939B-41AD-90BB-E13304DABD63}" name="Y" dataDxfId="31"/>
    <tableColumn id="17" xr3:uid="{01E74F8D-2748-4D41-8F69-2D5C7F8FD5E6}" name="Site Index" dataDxfId="30"/>
    <tableColumn id="18" xr3:uid="{3FCFD5EC-F5C9-4839-AB28-10353A361043}" name="Layers" dataDxfId="29"/>
    <tableColumn id="4" xr3:uid="{4D8F6068-AFAC-498C-9EEC-DE54C63A14ED}" name="G_ha (m2)_vivo_19" dataDxfId="28"/>
    <tableColumn id="9" xr3:uid="{0E340A04-F1EE-4018-BC28-4B14D8ACBA92}" name="G_ha (m2)_activo_192" dataDxfId="27"/>
    <tableColumn id="10" xr3:uid="{33381FEA-4B4A-4D8E-960D-6D63BE7478F3}" name="Vol_ha_19" dataDxfId="26"/>
    <tableColumn id="38" xr3:uid="{F66C5E2C-574C-4A14-AF10-46BE673BD76B}" name="Vol_ha_192" dataDxfId="25"/>
    <tableColumn id="37" xr3:uid="{C6C604C0-8064-4798-AEF1-D821DA23473F}" name="Vol_ha_20" dataDxfId="24"/>
    <tableColumn id="11" xr3:uid="{9A43B45C-12B5-4BA8-A08F-ABC954422092}" name="mean_Height_19" dataDxfId="23"/>
    <tableColumn id="71" xr3:uid="{D6884B47-3639-4317-A314-F83B05196861}" name="Des_St_Height_19" dataDxfId="22"/>
    <tableColumn id="27" xr3:uid="{3CF21364-8618-4639-B81F-A5C59EBEB73A}" name="BA_weighted_meanH_19" dataDxfId="21"/>
    <tableColumn id="15" xr3:uid="{B6F46DB0-AAC0-416C-B73B-6261AC2A3886}" name="min_height_19" dataDxfId="20"/>
    <tableColumn id="70" xr3:uid="{F61544C2-2E46-4EF3-A0AB-CBD38524B793}" name="max_height_19" dataDxfId="19"/>
    <tableColumn id="22" xr3:uid="{3513092C-0284-4936-A5C2-79E60D2419EB}" name="mean_DBH_19" dataDxfId="18"/>
    <tableColumn id="72" xr3:uid="{6E8ECE13-EED0-4E86-8CC2-BA309F0087C0}" name="Des_St_DBH_19" dataDxfId="17"/>
    <tableColumn id="28" xr3:uid="{9ED002CD-001C-480B-BF61-DBF45AFE0E39}" name="BA_weighted_meanDBH_19" dataDxfId="16"/>
    <tableColumn id="73" xr3:uid="{05A49E73-2CB0-4E81-B799-312E6CBAFE35}" name="min_DBH" dataDxfId="15"/>
    <tableColumn id="74" xr3:uid="{08D92892-6CAD-49DC-8378-4C4FA2FB08C3}" name="Max_DBH" dataDxfId="14"/>
    <tableColumn id="29" xr3:uid="{53F0B643-9F4D-4D43-9627-ED0BE4DEE312}" name="Density_19_vivos" dataDxfId="13"/>
    <tableColumn id="23" xr3:uid="{BD9F99B3-249F-4085-AD13-5987EDFF2C49}" name="density_activos_19" dataDxfId="12"/>
    <tableColumn id="24" xr3:uid="{BD18B902-690D-4AAD-AC9A-377CF65597A4}" name="Fungi_damage_19_average" dataDxfId="11"/>
    <tableColumn id="14" xr3:uid="{3D5DB599-FBE9-4D45-8FED-92F4CEED1CED}" name="Fungi_damage_%" dataDxfId="10"/>
    <tableColumn id="25" xr3:uid="{A4CACDA4-507B-44A8-A0E7-262A07611311}" name="wasp_damage_19" dataDxfId="9"/>
    <tableColumn id="26" xr3:uid="{49C1EEEE-72C1-496D-A5CD-1B4B0467633B}" name="ant_damage_19" dataDxfId="8"/>
    <tableColumn id="19" xr3:uid="{23D94A9D-ACD3-489F-B1E0-6B18E38A368D}" name="share_saw_19" dataDxfId="7"/>
    <tableColumn id="20" xr3:uid="{1120C5DE-1904-493B-861D-E158398A7749}" name="share_pulp_19" dataDxfId="6"/>
    <tableColumn id="33" xr3:uid="{5A8E6BBC-484F-4EBB-8008-67795C0930FF}" name="AGB t/ha" dataDxfId="5">
      <calculatedColumnFormula>IFERROR(Tabelle23[[#This Row],[Vol_ha_19]]*0.537836177777778*1.15,0)</calculatedColumnFormula>
    </tableColumn>
    <tableColumn id="34" xr3:uid="{28C35AAF-2268-4401-8AFE-C8E72FE42BDD}" name="Strata" dataDxfId="4">
      <calculatedColumnFormula>IF(Tabelle23[[#This Row],[Year of planting ]]=2015,1,IF(Tabelle23[[#This Row],[Year of planting ]]=2016,2,IF(Tabelle23[[#This Row],[Year of planting ]]=2017,3,IF(Tabelle23[[#This Row],[Year of planting ]]=2018,4,5))))</calculatedColumnFormula>
    </tableColumn>
    <tableColumn id="35" xr3:uid="{1D79769D-46C5-40C5-9951-BC2FFE31A941}" name="Spacing2" dataDxfId="3">
      <calculatedColumnFormula>INDEX([2]Tabelle2!$A$2:$AU$139,MATCH(Tabelle23[[#This Row],[plot_id]],[2]Tabelle2!$M$2:$M$139,0),20)</calculatedColumnFormula>
    </tableColumn>
    <tableColumn id="36" xr3:uid="{7B413F19-2159-40E9-ACB5-9AF617321023}" name="area (ha)" dataDxfId="2">
      <calculatedColumnFormula>INDEX([2]Tabelle2!$A$2:$AU$139, MATCH(Tabelle23[[#This Row],[plot_id]],[2]Tabelle2!$M$2:$M$139,0), 19)</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3.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4CDD4-DA1C-4856-A6D7-B1F9786A2BF2}">
  <dimension ref="B2:M96"/>
  <sheetViews>
    <sheetView topLeftCell="A43" workbookViewId="0">
      <selection activeCell="J57" sqref="J57"/>
    </sheetView>
  </sheetViews>
  <sheetFormatPr defaultColWidth="10.77734375" defaultRowHeight="14.4" x14ac:dyDescent="0.3"/>
  <cols>
    <col min="4" max="5" width="11.21875" bestFit="1" customWidth="1"/>
    <col min="6" max="6" width="11" bestFit="1" customWidth="1"/>
    <col min="7" max="7" width="12.77734375" customWidth="1"/>
    <col min="8" max="8" width="11.21875" bestFit="1" customWidth="1"/>
    <col min="9" max="9" width="10.77734375" customWidth="1"/>
  </cols>
  <sheetData>
    <row r="2" spans="2:7" ht="15" thickBot="1" x14ac:dyDescent="0.35">
      <c r="B2" s="39" t="s">
        <v>86</v>
      </c>
    </row>
    <row r="3" spans="2:7" ht="31.2" x14ac:dyDescent="0.3">
      <c r="B3" s="237" t="s">
        <v>79</v>
      </c>
      <c r="C3" s="237" t="s">
        <v>87</v>
      </c>
      <c r="D3" s="41" t="s">
        <v>88</v>
      </c>
      <c r="E3" s="41" t="s">
        <v>89</v>
      </c>
      <c r="F3" s="41" t="s">
        <v>90</v>
      </c>
      <c r="G3" s="41" t="s">
        <v>91</v>
      </c>
    </row>
    <row r="4" spans="2:7" ht="55.2" x14ac:dyDescent="0.3">
      <c r="B4" s="238"/>
      <c r="C4" s="238"/>
      <c r="D4" s="43" t="s">
        <v>92</v>
      </c>
      <c r="E4" s="43" t="s">
        <v>93</v>
      </c>
      <c r="F4" s="43" t="s">
        <v>94</v>
      </c>
      <c r="G4" s="43" t="s">
        <v>95</v>
      </c>
    </row>
    <row r="5" spans="2:7" ht="16.2" thickBot="1" x14ac:dyDescent="0.35">
      <c r="B5" s="239"/>
      <c r="C5" s="239"/>
      <c r="D5" s="45"/>
      <c r="E5" s="46" t="s">
        <v>96</v>
      </c>
      <c r="F5" s="81"/>
      <c r="G5" s="46" t="s">
        <v>97</v>
      </c>
    </row>
    <row r="6" spans="2:7" ht="15" thickBot="1" x14ac:dyDescent="0.35">
      <c r="B6" s="47">
        <v>2015</v>
      </c>
      <c r="C6" s="48">
        <v>866.5</v>
      </c>
      <c r="D6" s="48">
        <v>270.88214999999997</v>
      </c>
      <c r="E6" s="48">
        <v>5.417643</v>
      </c>
      <c r="F6" s="82">
        <v>104.47237079999998</v>
      </c>
      <c r="G6" s="48">
        <v>380.77216379999993</v>
      </c>
    </row>
    <row r="7" spans="2:7" ht="15" thickBot="1" x14ac:dyDescent="0.35">
      <c r="B7" s="47">
        <v>2016</v>
      </c>
      <c r="C7" s="48">
        <v>172.5</v>
      </c>
      <c r="D7" s="48">
        <v>3.1019999999999999</v>
      </c>
      <c r="E7" s="48">
        <v>6.2039999999999998E-2</v>
      </c>
      <c r="F7" s="82">
        <v>1.2047039999999998</v>
      </c>
      <c r="G7" s="48">
        <v>4.3687439999999995</v>
      </c>
    </row>
    <row r="8" spans="2:7" ht="15" thickBot="1" x14ac:dyDescent="0.35">
      <c r="B8" s="47">
        <v>2017</v>
      </c>
      <c r="C8" s="48">
        <v>456.5</v>
      </c>
      <c r="D8" s="48">
        <v>141.60629999999998</v>
      </c>
      <c r="E8" s="48">
        <v>2.8321259999999997</v>
      </c>
      <c r="F8" s="82">
        <v>54.994737599999986</v>
      </c>
      <c r="G8" s="48">
        <v>199.43316359999994</v>
      </c>
    </row>
    <row r="9" spans="2:7" ht="15" thickBot="1" x14ac:dyDescent="0.35">
      <c r="B9" s="47">
        <v>2018</v>
      </c>
      <c r="C9" s="48">
        <v>0</v>
      </c>
      <c r="D9" s="48"/>
      <c r="E9" s="48"/>
      <c r="F9" s="82"/>
      <c r="G9" s="48">
        <v>0</v>
      </c>
    </row>
    <row r="10" spans="2:7" ht="15" thickBot="1" x14ac:dyDescent="0.35">
      <c r="B10" s="47">
        <v>2019</v>
      </c>
      <c r="C10" s="48">
        <v>22</v>
      </c>
      <c r="D10" s="48">
        <v>6.8243999999999998</v>
      </c>
      <c r="E10" s="48">
        <v>6.8243999999999999E-2</v>
      </c>
      <c r="F10" s="82">
        <v>2.6503487999999997</v>
      </c>
      <c r="G10" s="48">
        <v>9.5429928000000004</v>
      </c>
    </row>
    <row r="11" spans="2:7" ht="15" thickBot="1" x14ac:dyDescent="0.35">
      <c r="B11" s="47">
        <v>2020</v>
      </c>
      <c r="C11" s="48">
        <v>0</v>
      </c>
      <c r="D11" s="48">
        <v>0</v>
      </c>
      <c r="E11" s="48">
        <v>0</v>
      </c>
      <c r="F11" s="48">
        <v>0</v>
      </c>
      <c r="G11" s="48">
        <v>0</v>
      </c>
    </row>
    <row r="13" spans="2:7" ht="16.2" thickBot="1" x14ac:dyDescent="0.35">
      <c r="B13" s="39" t="s">
        <v>98</v>
      </c>
    </row>
    <row r="14" spans="2:7" ht="15.6" x14ac:dyDescent="0.3">
      <c r="B14" s="248" t="s">
        <v>99</v>
      </c>
      <c r="C14" s="248" t="s">
        <v>44</v>
      </c>
      <c r="D14" s="248" t="s">
        <v>100</v>
      </c>
      <c r="E14" s="49" t="s">
        <v>101</v>
      </c>
      <c r="F14" s="49" t="s">
        <v>102</v>
      </c>
      <c r="G14" s="50" t="s">
        <v>103</v>
      </c>
    </row>
    <row r="15" spans="2:7" ht="23.55" customHeight="1" thickBot="1" x14ac:dyDescent="0.35">
      <c r="B15" s="249"/>
      <c r="C15" s="249"/>
      <c r="D15" s="249"/>
      <c r="E15" s="51" t="s">
        <v>104</v>
      </c>
      <c r="F15" s="51" t="s">
        <v>105</v>
      </c>
      <c r="G15" s="52" t="s">
        <v>106</v>
      </c>
    </row>
    <row r="16" spans="2:7" ht="15" thickBot="1" x14ac:dyDescent="0.35">
      <c r="B16" s="53">
        <v>2015</v>
      </c>
      <c r="C16" s="54">
        <v>866.5</v>
      </c>
      <c r="D16" s="55">
        <v>0.57100494233937393</v>
      </c>
      <c r="E16" s="250">
        <v>69.201646603192216</v>
      </c>
      <c r="F16" s="242">
        <v>105013.49872034419</v>
      </c>
      <c r="G16" s="245">
        <v>180973.26279472644</v>
      </c>
    </row>
    <row r="17" spans="2:7" ht="15" thickBot="1" x14ac:dyDescent="0.35">
      <c r="B17" s="53">
        <v>2016</v>
      </c>
      <c r="C17" s="54">
        <v>172.5</v>
      </c>
      <c r="D17" s="55">
        <v>0.11367380560131796</v>
      </c>
      <c r="E17" s="251"/>
      <c r="F17" s="243"/>
      <c r="G17" s="246"/>
    </row>
    <row r="18" spans="2:7" ht="15" thickBot="1" x14ac:dyDescent="0.35">
      <c r="B18" s="53">
        <v>2017</v>
      </c>
      <c r="C18" s="54">
        <v>456.5</v>
      </c>
      <c r="D18" s="55">
        <v>0.30082372322899503</v>
      </c>
      <c r="E18" s="251"/>
      <c r="F18" s="243"/>
      <c r="G18" s="246"/>
    </row>
    <row r="19" spans="2:7" ht="15" thickBot="1" x14ac:dyDescent="0.35">
      <c r="B19" s="53">
        <v>2018</v>
      </c>
      <c r="C19" s="54">
        <v>0</v>
      </c>
      <c r="D19" s="55">
        <v>0</v>
      </c>
      <c r="E19" s="251"/>
      <c r="F19" s="243"/>
      <c r="G19" s="246"/>
    </row>
    <row r="20" spans="2:7" ht="15" thickBot="1" x14ac:dyDescent="0.35">
      <c r="B20" s="53">
        <v>2019</v>
      </c>
      <c r="C20" s="54">
        <v>22</v>
      </c>
      <c r="D20" s="55">
        <v>1.4497528830313015E-2</v>
      </c>
      <c r="E20" s="251"/>
      <c r="F20" s="243"/>
      <c r="G20" s="246"/>
    </row>
    <row r="21" spans="2:7" ht="15" thickBot="1" x14ac:dyDescent="0.35">
      <c r="B21" s="53" t="s">
        <v>107</v>
      </c>
      <c r="C21" s="54">
        <v>1517.5</v>
      </c>
      <c r="D21" s="55">
        <v>0.99999999999999989</v>
      </c>
      <c r="E21" s="252"/>
      <c r="F21" s="244"/>
      <c r="G21" s="247"/>
    </row>
    <row r="23" spans="2:7" ht="15" thickBot="1" x14ac:dyDescent="0.35">
      <c r="B23" s="39" t="s">
        <v>108</v>
      </c>
    </row>
    <row r="24" spans="2:7" ht="15.6" x14ac:dyDescent="0.3">
      <c r="B24" s="248" t="s">
        <v>99</v>
      </c>
      <c r="C24" s="49" t="s">
        <v>109</v>
      </c>
      <c r="D24" s="248" t="s">
        <v>110</v>
      </c>
      <c r="E24" s="248" t="s">
        <v>111</v>
      </c>
      <c r="F24" s="49" t="s">
        <v>112</v>
      </c>
      <c r="G24" s="248" t="s">
        <v>113</v>
      </c>
    </row>
    <row r="25" spans="2:7" ht="27.6" customHeight="1" thickBot="1" x14ac:dyDescent="0.35">
      <c r="B25" s="249"/>
      <c r="C25" s="51" t="s">
        <v>104</v>
      </c>
      <c r="D25" s="249"/>
      <c r="E25" s="249"/>
      <c r="F25" s="51" t="s">
        <v>106</v>
      </c>
      <c r="G25" s="249"/>
    </row>
    <row r="26" spans="2:7" ht="15" thickBot="1" x14ac:dyDescent="0.35">
      <c r="B26" s="53">
        <v>2015</v>
      </c>
      <c r="C26" s="56">
        <v>30.114099651723556</v>
      </c>
      <c r="D26" s="57">
        <v>216</v>
      </c>
      <c r="E26" s="225">
        <v>3.1440229732967326E-2</v>
      </c>
      <c r="F26" s="228">
        <v>5689.8409577908678</v>
      </c>
      <c r="G26" s="231">
        <v>0</v>
      </c>
    </row>
    <row r="27" spans="2:7" ht="15" thickBot="1" x14ac:dyDescent="0.35">
      <c r="B27" s="53">
        <v>2016</v>
      </c>
      <c r="C27" s="56">
        <v>28.111116122835195</v>
      </c>
      <c r="D27" s="57">
        <v>38</v>
      </c>
      <c r="E27" s="226"/>
      <c r="F27" s="229"/>
      <c r="G27" s="232"/>
    </row>
    <row r="28" spans="2:7" ht="15" thickBot="1" x14ac:dyDescent="0.35">
      <c r="B28" s="53">
        <v>2017</v>
      </c>
      <c r="C28" s="56">
        <v>11.255792675842068</v>
      </c>
      <c r="D28" s="57">
        <v>111</v>
      </c>
      <c r="E28" s="226"/>
      <c r="F28" s="229"/>
      <c r="G28" s="232"/>
    </row>
    <row r="29" spans="2:7" ht="15" thickBot="1" x14ac:dyDescent="0.35">
      <c r="B29" s="53">
        <v>2018</v>
      </c>
      <c r="C29" s="56">
        <v>0.94767592861481498</v>
      </c>
      <c r="D29" s="57">
        <v>6</v>
      </c>
      <c r="E29" s="226"/>
      <c r="F29" s="229"/>
      <c r="G29" s="232"/>
    </row>
    <row r="30" spans="2:7" ht="15" thickBot="1" x14ac:dyDescent="0.35">
      <c r="B30" s="53">
        <v>2019</v>
      </c>
      <c r="C30" s="56">
        <v>33.863949385112306</v>
      </c>
      <c r="D30" s="57">
        <v>371</v>
      </c>
      <c r="E30" s="226"/>
      <c r="F30" s="229"/>
      <c r="G30" s="232"/>
    </row>
    <row r="31" spans="2:7" ht="15" thickBot="1" x14ac:dyDescent="0.35">
      <c r="B31" s="53" t="s">
        <v>72</v>
      </c>
      <c r="C31" s="56">
        <v>0</v>
      </c>
      <c r="D31" s="57">
        <v>0</v>
      </c>
      <c r="E31" s="227"/>
      <c r="F31" s="230"/>
      <c r="G31" s="233"/>
    </row>
    <row r="32" spans="2:7" x14ac:dyDescent="0.3">
      <c r="B32" s="58"/>
    </row>
    <row r="33" spans="2:10" ht="15" thickBot="1" x14ac:dyDescent="0.35">
      <c r="B33" s="39" t="s">
        <v>114</v>
      </c>
    </row>
    <row r="34" spans="2:10" ht="38.25" customHeight="1" x14ac:dyDescent="0.3">
      <c r="B34" s="234" t="s">
        <v>79</v>
      </c>
      <c r="C34" s="237" t="s">
        <v>115</v>
      </c>
      <c r="D34" s="41" t="s">
        <v>116</v>
      </c>
      <c r="E34" s="40" t="s">
        <v>117</v>
      </c>
    </row>
    <row r="35" spans="2:10" x14ac:dyDescent="0.3">
      <c r="B35" s="235"/>
      <c r="C35" s="238"/>
      <c r="D35" s="43" t="s">
        <v>118</v>
      </c>
      <c r="E35" s="42"/>
    </row>
    <row r="36" spans="2:10" ht="15" thickBot="1" x14ac:dyDescent="0.35">
      <c r="B36" s="236"/>
      <c r="C36" s="239"/>
      <c r="D36" s="46" t="s">
        <v>119</v>
      </c>
      <c r="E36" s="44"/>
    </row>
    <row r="37" spans="2:10" ht="15" thickBot="1" x14ac:dyDescent="0.35">
      <c r="B37" s="53">
        <v>2015</v>
      </c>
      <c r="C37" s="59">
        <v>866.5</v>
      </c>
      <c r="D37" s="59">
        <v>866.5</v>
      </c>
      <c r="E37" s="60">
        <v>1297.3430555555556</v>
      </c>
    </row>
    <row r="38" spans="2:10" ht="15" thickBot="1" x14ac:dyDescent="0.35">
      <c r="B38" s="53">
        <v>2016</v>
      </c>
      <c r="C38" s="59">
        <v>172.5</v>
      </c>
      <c r="D38" s="59">
        <v>1039</v>
      </c>
      <c r="E38" s="60">
        <v>2482.2874999999999</v>
      </c>
    </row>
    <row r="39" spans="2:10" ht="15" thickBot="1" x14ac:dyDescent="0.35">
      <c r="B39" s="53">
        <v>2017</v>
      </c>
      <c r="C39" s="59">
        <v>456.5</v>
      </c>
      <c r="D39" s="59">
        <v>1495.5</v>
      </c>
      <c r="E39" s="60">
        <v>3350.2486111111107</v>
      </c>
    </row>
    <row r="40" spans="2:10" ht="15" thickBot="1" x14ac:dyDescent="0.35">
      <c r="B40" s="53">
        <v>2018</v>
      </c>
      <c r="C40" s="59">
        <v>0</v>
      </c>
      <c r="D40" s="59">
        <v>1495.5</v>
      </c>
      <c r="E40" s="60">
        <v>3838.45</v>
      </c>
    </row>
    <row r="41" spans="2:10" ht="15" thickBot="1" x14ac:dyDescent="0.35">
      <c r="B41" s="53">
        <v>2019</v>
      </c>
      <c r="C41" s="59">
        <v>22</v>
      </c>
      <c r="D41" s="59">
        <v>1517.5</v>
      </c>
      <c r="E41" s="60">
        <v>3871.3888888888887</v>
      </c>
    </row>
    <row r="42" spans="2:10" ht="15" thickBot="1" x14ac:dyDescent="0.35">
      <c r="B42" s="53">
        <v>2020</v>
      </c>
      <c r="C42" s="59">
        <v>0</v>
      </c>
      <c r="D42" s="59">
        <v>1517.5</v>
      </c>
      <c r="E42" s="59">
        <v>3894.9166666666665</v>
      </c>
    </row>
    <row r="43" spans="2:10" ht="15" thickBot="1" x14ac:dyDescent="0.35">
      <c r="B43" s="61" t="s">
        <v>72</v>
      </c>
      <c r="C43" s="62">
        <v>1517.5</v>
      </c>
      <c r="D43" s="62">
        <v>1517.5</v>
      </c>
      <c r="E43" s="60">
        <v>18734.634722222221</v>
      </c>
    </row>
    <row r="45" spans="2:10" ht="15" thickBot="1" x14ac:dyDescent="0.35">
      <c r="B45" s="39" t="s">
        <v>120</v>
      </c>
    </row>
    <row r="46" spans="2:10" ht="58.35" customHeight="1" x14ac:dyDescent="0.3">
      <c r="B46" s="221" t="s">
        <v>121</v>
      </c>
      <c r="C46" s="221" t="s">
        <v>122</v>
      </c>
      <c r="D46" s="63" t="s">
        <v>123</v>
      </c>
      <c r="E46" s="64" t="s">
        <v>124</v>
      </c>
      <c r="F46" s="240" t="s">
        <v>125</v>
      </c>
      <c r="G46" s="64" t="s">
        <v>126</v>
      </c>
      <c r="H46" s="64" t="s">
        <v>127</v>
      </c>
      <c r="I46" s="63" t="s">
        <v>128</v>
      </c>
    </row>
    <row r="47" spans="2:10" ht="16.2" thickBot="1" x14ac:dyDescent="0.35">
      <c r="B47" s="222"/>
      <c r="C47" s="222"/>
      <c r="D47" s="65" t="s">
        <v>96</v>
      </c>
      <c r="E47" s="66" t="s">
        <v>129</v>
      </c>
      <c r="F47" s="241"/>
      <c r="G47" s="66" t="s">
        <v>129</v>
      </c>
      <c r="H47" s="66" t="s">
        <v>129</v>
      </c>
      <c r="I47" s="66" t="s">
        <v>129</v>
      </c>
    </row>
    <row r="48" spans="2:10" ht="15" thickBot="1" x14ac:dyDescent="0.35">
      <c r="B48" s="53">
        <v>2015</v>
      </c>
      <c r="C48" s="60">
        <v>866.5</v>
      </c>
      <c r="D48" s="60">
        <v>270.88214999999997</v>
      </c>
      <c r="E48" s="60">
        <v>5.417643</v>
      </c>
      <c r="F48" s="67">
        <v>104.47237079999998</v>
      </c>
      <c r="G48" s="59">
        <v>103336.62748707115</v>
      </c>
      <c r="H48" s="68">
        <v>0</v>
      </c>
      <c r="I48" s="59">
        <v>102955.85532327116</v>
      </c>
      <c r="J48" s="7"/>
    </row>
    <row r="49" spans="2:9" ht="15" thickBot="1" x14ac:dyDescent="0.35">
      <c r="B49" s="53">
        <v>2016</v>
      </c>
      <c r="C49" s="60">
        <v>172.5</v>
      </c>
      <c r="D49" s="60">
        <v>3.1019999999999999</v>
      </c>
      <c r="E49" s="60">
        <v>6.2039999999999998E-2</v>
      </c>
      <c r="F49" s="67">
        <v>1.2047039999999998</v>
      </c>
      <c r="G49" s="59">
        <v>20571.91949396396</v>
      </c>
      <c r="H49" s="68">
        <v>0</v>
      </c>
      <c r="I49" s="59">
        <v>20567.550749963961</v>
      </c>
    </row>
    <row r="50" spans="2:9" ht="15" thickBot="1" x14ac:dyDescent="0.35">
      <c r="B50" s="53">
        <v>2017</v>
      </c>
      <c r="C50" s="60">
        <v>456.5</v>
      </c>
      <c r="D50" s="60">
        <v>141.60629999999998</v>
      </c>
      <c r="E50" s="60">
        <v>2.8321259999999997</v>
      </c>
      <c r="F50" s="67">
        <v>54.994737599999986</v>
      </c>
      <c r="G50" s="59">
        <v>54441.050718808976</v>
      </c>
      <c r="H50" s="68">
        <v>0</v>
      </c>
      <c r="I50" s="59">
        <v>54241.617555208977</v>
      </c>
    </row>
    <row r="51" spans="2:9" ht="15" thickBot="1" x14ac:dyDescent="0.35">
      <c r="B51" s="53">
        <v>2018</v>
      </c>
      <c r="C51" s="60">
        <v>0</v>
      </c>
      <c r="D51" s="60">
        <v>0</v>
      </c>
      <c r="E51" s="60">
        <v>0</v>
      </c>
      <c r="F51" s="67">
        <v>0</v>
      </c>
      <c r="G51" s="67">
        <v>0</v>
      </c>
      <c r="H51" s="67">
        <v>0</v>
      </c>
      <c r="I51" s="67">
        <v>0</v>
      </c>
    </row>
    <row r="52" spans="2:9" ht="15" thickBot="1" x14ac:dyDescent="0.35">
      <c r="B52" s="53">
        <v>2019</v>
      </c>
      <c r="C52" s="60">
        <v>22</v>
      </c>
      <c r="D52" s="60">
        <v>6.8243999999999998</v>
      </c>
      <c r="E52" s="60">
        <v>6.8243999999999999E-2</v>
      </c>
      <c r="F52" s="67">
        <v>2.6503487999999997</v>
      </c>
      <c r="G52" s="59">
        <v>2623.6650948823603</v>
      </c>
      <c r="H52" s="68">
        <v>0</v>
      </c>
      <c r="I52" s="59">
        <v>2614.1221020823605</v>
      </c>
    </row>
    <row r="53" spans="2:9" ht="15" thickBot="1" x14ac:dyDescent="0.35">
      <c r="B53" s="53">
        <v>2020</v>
      </c>
      <c r="C53" s="60">
        <v>0</v>
      </c>
      <c r="D53" s="60">
        <v>0</v>
      </c>
      <c r="E53" s="60">
        <v>0</v>
      </c>
      <c r="F53" s="60">
        <v>0</v>
      </c>
      <c r="G53" s="60">
        <v>0</v>
      </c>
      <c r="H53" s="60">
        <v>0</v>
      </c>
      <c r="I53" s="60">
        <v>0</v>
      </c>
    </row>
    <row r="54" spans="2:9" ht="15" thickBot="1" x14ac:dyDescent="0.35">
      <c r="B54" s="69" t="s">
        <v>72</v>
      </c>
      <c r="C54" s="60">
        <v>1517.5</v>
      </c>
      <c r="D54" s="60">
        <v>422.41484999999994</v>
      </c>
      <c r="E54" s="60">
        <v>8.3800530000000002</v>
      </c>
      <c r="F54" s="67">
        <v>163.32216119999995</v>
      </c>
      <c r="G54" s="59">
        <v>180973.26279472644</v>
      </c>
      <c r="H54" s="68">
        <v>0</v>
      </c>
      <c r="I54" s="59">
        <v>180379.14573052645</v>
      </c>
    </row>
    <row r="56" spans="2:9" ht="15" thickBot="1" x14ac:dyDescent="0.35">
      <c r="B56" s="39" t="s">
        <v>130</v>
      </c>
    </row>
    <row r="57" spans="2:9" ht="95.4" thickBot="1" x14ac:dyDescent="0.35">
      <c r="B57" s="70" t="s">
        <v>79</v>
      </c>
      <c r="C57" s="71" t="s">
        <v>131</v>
      </c>
      <c r="D57" s="71" t="s">
        <v>132</v>
      </c>
      <c r="E57" s="71" t="s">
        <v>133</v>
      </c>
      <c r="F57" s="71" t="s">
        <v>134</v>
      </c>
      <c r="G57" s="71" t="s">
        <v>135</v>
      </c>
    </row>
    <row r="58" spans="2:9" ht="15" thickBot="1" x14ac:dyDescent="0.35">
      <c r="B58" s="69">
        <v>2015</v>
      </c>
      <c r="C58" s="67">
        <v>8</v>
      </c>
      <c r="D58" s="78">
        <v>12112.453567443665</v>
      </c>
      <c r="E58" s="78">
        <v>12112.453567443665</v>
      </c>
      <c r="F58" s="78">
        <v>1297.3430555555556</v>
      </c>
      <c r="G58" s="78">
        <v>13409.79662299922</v>
      </c>
    </row>
    <row r="59" spans="2:9" ht="15" thickBot="1" x14ac:dyDescent="0.35">
      <c r="B59" s="69">
        <v>2016</v>
      </c>
      <c r="C59" s="67">
        <v>20</v>
      </c>
      <c r="D59" s="78">
        <v>36330.413550951504</v>
      </c>
      <c r="E59" s="78">
        <v>24217.959983507841</v>
      </c>
      <c r="F59" s="78">
        <v>2482.2874999999999</v>
      </c>
      <c r="G59" s="78">
        <v>26700.247483507839</v>
      </c>
    </row>
    <row r="60" spans="2:9" ht="15" thickBot="1" x14ac:dyDescent="0.35">
      <c r="B60" s="69">
        <v>2017</v>
      </c>
      <c r="C60" s="67">
        <v>32</v>
      </c>
      <c r="D60" s="78">
        <v>83654.128766326627</v>
      </c>
      <c r="E60" s="78">
        <v>47323.715215375123</v>
      </c>
      <c r="F60" s="78">
        <v>3350.2486111111107</v>
      </c>
      <c r="G60" s="78">
        <v>50673.963826486237</v>
      </c>
    </row>
    <row r="61" spans="2:9" ht="15" thickBot="1" x14ac:dyDescent="0.35">
      <c r="B61" s="69">
        <v>2018</v>
      </c>
      <c r="C61" s="67">
        <v>44</v>
      </c>
      <c r="D61" s="78">
        <v>115024.42705369911</v>
      </c>
      <c r="E61" s="78">
        <v>31370.298287372483</v>
      </c>
      <c r="F61" s="78">
        <v>3838.45</v>
      </c>
      <c r="G61" s="78">
        <v>35208.74828737248</v>
      </c>
    </row>
    <row r="62" spans="2:9" ht="15" thickBot="1" x14ac:dyDescent="0.35">
      <c r="B62" s="69">
        <v>2019</v>
      </c>
      <c r="C62" s="67">
        <v>56</v>
      </c>
      <c r="D62" s="78">
        <v>148547.53177808059</v>
      </c>
      <c r="E62" s="78">
        <v>33523.104724381483</v>
      </c>
      <c r="F62" s="78">
        <v>3871.3888888888887</v>
      </c>
      <c r="G62" s="78">
        <v>37394.493613270373</v>
      </c>
      <c r="H62" s="7"/>
    </row>
    <row r="63" spans="2:9" ht="15" thickBot="1" x14ac:dyDescent="0.35">
      <c r="B63" s="69">
        <v>2020</v>
      </c>
      <c r="C63" s="67">
        <v>68</v>
      </c>
      <c r="D63" s="78">
        <v>180379.14573052642</v>
      </c>
      <c r="E63" s="78">
        <v>31831.613952445827</v>
      </c>
      <c r="F63" s="78">
        <v>3894.9166666666665</v>
      </c>
      <c r="G63" s="78">
        <v>35726.530619112491</v>
      </c>
      <c r="H63" s="7"/>
    </row>
    <row r="64" spans="2:9" ht="15" thickBot="1" x14ac:dyDescent="0.35">
      <c r="B64" s="69" t="s">
        <v>72</v>
      </c>
      <c r="C64" s="67">
        <v>68</v>
      </c>
      <c r="D64" s="79">
        <v>180379.14573052642</v>
      </c>
      <c r="E64" s="78">
        <v>180379.14573052642</v>
      </c>
      <c r="F64" s="78">
        <v>18734.634722222221</v>
      </c>
      <c r="G64" s="78">
        <v>199113.78045274864</v>
      </c>
    </row>
    <row r="67" spans="2:13" ht="15" thickBot="1" x14ac:dyDescent="0.35">
      <c r="B67" s="39" t="s">
        <v>136</v>
      </c>
    </row>
    <row r="68" spans="2:13" ht="15.6" x14ac:dyDescent="0.3">
      <c r="B68" s="219" t="s">
        <v>71</v>
      </c>
      <c r="C68" s="64" t="s">
        <v>137</v>
      </c>
    </row>
    <row r="69" spans="2:13" ht="16.2" thickBot="1" x14ac:dyDescent="0.35">
      <c r="B69" s="220"/>
      <c r="C69" s="66" t="s">
        <v>138</v>
      </c>
    </row>
    <row r="70" spans="2:13" ht="15" thickBot="1" x14ac:dyDescent="0.35">
      <c r="B70" s="72">
        <v>2010</v>
      </c>
      <c r="C70" s="73">
        <v>0</v>
      </c>
    </row>
    <row r="71" spans="2:13" ht="15" thickBot="1" x14ac:dyDescent="0.35">
      <c r="B71" s="72">
        <v>2011</v>
      </c>
      <c r="C71" s="73">
        <v>0</v>
      </c>
    </row>
    <row r="72" spans="2:13" ht="15" thickBot="1" x14ac:dyDescent="0.35">
      <c r="B72" s="72">
        <v>2012</v>
      </c>
      <c r="C72" s="73">
        <v>0</v>
      </c>
    </row>
    <row r="73" spans="2:13" ht="15" thickBot="1" x14ac:dyDescent="0.35">
      <c r="B73" s="72">
        <v>2013</v>
      </c>
      <c r="C73" s="73">
        <v>0</v>
      </c>
    </row>
    <row r="74" spans="2:13" ht="15" thickBot="1" x14ac:dyDescent="0.35">
      <c r="B74" s="72">
        <v>2014</v>
      </c>
      <c r="C74" s="73">
        <v>0</v>
      </c>
    </row>
    <row r="75" spans="2:13" ht="15" thickBot="1" x14ac:dyDescent="0.35">
      <c r="B75" s="72">
        <v>2015</v>
      </c>
      <c r="C75" s="73">
        <v>0</v>
      </c>
    </row>
    <row r="76" spans="2:13" ht="15" thickBot="1" x14ac:dyDescent="0.35">
      <c r="B76" s="72" t="s">
        <v>72</v>
      </c>
      <c r="C76" s="73">
        <v>0</v>
      </c>
    </row>
    <row r="79" spans="2:13" ht="15" thickBot="1" x14ac:dyDescent="0.35">
      <c r="B79" s="39" t="s">
        <v>139</v>
      </c>
    </row>
    <row r="80" spans="2:13" x14ac:dyDescent="0.3">
      <c r="B80" s="221" t="s">
        <v>79</v>
      </c>
      <c r="C80" s="74" t="s">
        <v>140</v>
      </c>
      <c r="D80" s="223" t="s">
        <v>141</v>
      </c>
      <c r="E80" s="74" t="s">
        <v>140</v>
      </c>
      <c r="F80" s="74" t="s">
        <v>140</v>
      </c>
      <c r="L80">
        <v>2015</v>
      </c>
      <c r="M80">
        <v>866.5</v>
      </c>
    </row>
    <row r="81" spans="2:13" ht="16.2" thickBot="1" x14ac:dyDescent="0.35">
      <c r="B81" s="222"/>
      <c r="C81" s="75" t="s">
        <v>141</v>
      </c>
      <c r="D81" s="224"/>
      <c r="E81" s="75" t="s">
        <v>141</v>
      </c>
      <c r="F81" s="75" t="s">
        <v>141</v>
      </c>
      <c r="L81">
        <v>2016</v>
      </c>
      <c r="M81">
        <v>172.5</v>
      </c>
    </row>
    <row r="82" spans="2:13" ht="15" thickBot="1" x14ac:dyDescent="0.35">
      <c r="B82" s="69">
        <v>2015</v>
      </c>
      <c r="C82" s="59">
        <v>380.77216379999993</v>
      </c>
      <c r="D82" s="59">
        <v>13409.79662299922</v>
      </c>
      <c r="E82" s="68">
        <v>0</v>
      </c>
      <c r="F82" s="59">
        <v>13029.02445919922</v>
      </c>
      <c r="G82" s="76">
        <v>2605.804891839844</v>
      </c>
      <c r="H82" s="76">
        <v>10423.219567359376</v>
      </c>
      <c r="L82">
        <v>2017</v>
      </c>
      <c r="M82">
        <v>456.5</v>
      </c>
    </row>
    <row r="83" spans="2:13" ht="15" thickBot="1" x14ac:dyDescent="0.35">
      <c r="B83" s="69">
        <v>2016</v>
      </c>
      <c r="C83" s="59">
        <v>4.3687439999999995</v>
      </c>
      <c r="D83" s="59">
        <v>26700.247483507839</v>
      </c>
      <c r="E83" s="68">
        <v>0</v>
      </c>
      <c r="F83" s="59">
        <v>26695.87873950784</v>
      </c>
      <c r="G83" s="76">
        <v>5339.1757479015687</v>
      </c>
      <c r="H83" s="76">
        <v>21356.702991606271</v>
      </c>
      <c r="L83">
        <v>2019</v>
      </c>
      <c r="M83">
        <v>22</v>
      </c>
    </row>
    <row r="84" spans="2:13" ht="15" thickBot="1" x14ac:dyDescent="0.35">
      <c r="B84" s="69">
        <v>2017</v>
      </c>
      <c r="C84" s="59">
        <v>199.43316359999994</v>
      </c>
      <c r="D84" s="59">
        <v>50673.963826486237</v>
      </c>
      <c r="E84" s="68">
        <v>0</v>
      </c>
      <c r="F84" s="59">
        <v>50474.530662886238</v>
      </c>
      <c r="G84" s="76">
        <v>10094.906132577249</v>
      </c>
      <c r="H84" s="76">
        <v>40379.624530308989</v>
      </c>
      <c r="M84">
        <v>1517.5</v>
      </c>
    </row>
    <row r="85" spans="2:13" ht="15" thickBot="1" x14ac:dyDescent="0.35">
      <c r="B85" s="69">
        <v>2018</v>
      </c>
      <c r="C85" s="59">
        <v>0</v>
      </c>
      <c r="D85" s="59">
        <v>35208.74828737248</v>
      </c>
      <c r="E85" s="68">
        <v>0</v>
      </c>
      <c r="F85" s="59">
        <v>35208.74828737248</v>
      </c>
      <c r="G85" s="76">
        <v>7041.7496574744964</v>
      </c>
      <c r="H85" s="76">
        <v>28166.998629897986</v>
      </c>
      <c r="M85">
        <v>118.86599389161543</v>
      </c>
    </row>
    <row r="86" spans="2:13" ht="15" thickBot="1" x14ac:dyDescent="0.35">
      <c r="B86" s="69">
        <v>2019</v>
      </c>
      <c r="C86" s="59">
        <v>9.5429928000000004</v>
      </c>
      <c r="D86" s="59">
        <v>37394.493613270373</v>
      </c>
      <c r="E86" s="68">
        <v>0</v>
      </c>
      <c r="F86" s="59">
        <v>37384.950620470372</v>
      </c>
      <c r="G86" s="76">
        <v>7476.9901240940744</v>
      </c>
      <c r="H86" s="76">
        <v>29907.960496376298</v>
      </c>
    </row>
    <row r="87" spans="2:13" ht="15" thickBot="1" x14ac:dyDescent="0.35">
      <c r="B87" s="69">
        <v>2020</v>
      </c>
      <c r="C87" s="59">
        <v>0</v>
      </c>
      <c r="D87" s="59">
        <v>35726.530619112491</v>
      </c>
      <c r="E87" s="68">
        <v>0</v>
      </c>
      <c r="F87" s="59">
        <v>35726.530619112491</v>
      </c>
      <c r="G87" s="76">
        <v>7145.3061238224982</v>
      </c>
      <c r="H87" s="76">
        <v>28581.224495289993</v>
      </c>
      <c r="J87">
        <v>39703.93267770973</v>
      </c>
    </row>
    <row r="88" spans="2:13" ht="15" thickBot="1" x14ac:dyDescent="0.35">
      <c r="B88" s="77" t="s">
        <v>85</v>
      </c>
      <c r="C88" s="59">
        <v>594.11706419999985</v>
      </c>
      <c r="D88" s="59">
        <v>199113.78045274864</v>
      </c>
      <c r="E88" s="68">
        <v>0</v>
      </c>
      <c r="F88" s="59">
        <v>198519.66338854865</v>
      </c>
      <c r="G88" s="76">
        <v>39703.93267770973</v>
      </c>
      <c r="H88" s="76">
        <v>158815.73071083892</v>
      </c>
      <c r="J88" s="6">
        <v>158815.73071083892</v>
      </c>
    </row>
    <row r="90" spans="2:13" ht="15" thickBot="1" x14ac:dyDescent="0.35"/>
    <row r="91" spans="2:13" ht="42" thickBot="1" x14ac:dyDescent="0.35">
      <c r="B91" s="85" t="s">
        <v>146</v>
      </c>
      <c r="C91" s="86" t="s">
        <v>147</v>
      </c>
      <c r="D91" s="86" t="s">
        <v>148</v>
      </c>
      <c r="E91" s="86" t="s">
        <v>149</v>
      </c>
      <c r="F91" s="86" t="s">
        <v>150</v>
      </c>
      <c r="J91" s="84" t="s">
        <v>144</v>
      </c>
      <c r="K91" s="83" t="s">
        <v>145</v>
      </c>
    </row>
    <row r="92" spans="2:13" ht="15" thickBot="1" x14ac:dyDescent="0.35">
      <c r="B92" s="88">
        <v>2015</v>
      </c>
      <c r="C92" s="91">
        <v>714</v>
      </c>
      <c r="D92" s="92">
        <v>127.48812807840436</v>
      </c>
      <c r="E92" s="92">
        <v>190.2</v>
      </c>
      <c r="F92" s="92">
        <v>62.71187192159563</v>
      </c>
      <c r="J92" s="84">
        <v>1000</v>
      </c>
      <c r="K92" s="83">
        <v>213</v>
      </c>
    </row>
    <row r="93" spans="2:13" ht="15" thickBot="1" x14ac:dyDescent="0.35">
      <c r="B93" s="90">
        <v>2016</v>
      </c>
      <c r="C93" s="87">
        <v>1000</v>
      </c>
      <c r="D93" s="92">
        <v>202.89603983519984</v>
      </c>
      <c r="E93" s="92">
        <v>213</v>
      </c>
      <c r="F93" s="92">
        <v>10.103960164800156</v>
      </c>
      <c r="J93" s="84">
        <v>714</v>
      </c>
      <c r="K93" s="83">
        <v>190.2</v>
      </c>
    </row>
    <row r="94" spans="2:13" ht="15" thickBot="1" x14ac:dyDescent="0.35">
      <c r="B94" s="88">
        <v>2017</v>
      </c>
      <c r="C94" s="91">
        <v>714</v>
      </c>
      <c r="D94" s="92">
        <v>76.989250264672833</v>
      </c>
      <c r="E94" s="92">
        <v>190.2</v>
      </c>
      <c r="F94" s="92">
        <v>113.21074973532716</v>
      </c>
      <c r="J94" s="84">
        <v>500</v>
      </c>
      <c r="K94" s="83">
        <v>180.5</v>
      </c>
    </row>
    <row r="95" spans="2:13" ht="15" thickBot="1" x14ac:dyDescent="0.35">
      <c r="B95" s="89">
        <v>2017</v>
      </c>
      <c r="C95" s="91">
        <v>1000</v>
      </c>
      <c r="D95" s="92">
        <v>79.167967931795758</v>
      </c>
      <c r="E95" s="92">
        <v>190.2</v>
      </c>
      <c r="F95" s="92">
        <v>111.03203206820423</v>
      </c>
    </row>
    <row r="96" spans="2:13" ht="15" thickBot="1" x14ac:dyDescent="0.35">
      <c r="B96" s="90">
        <v>2019</v>
      </c>
      <c r="C96" s="87">
        <v>500</v>
      </c>
      <c r="D96" s="92">
        <v>3.7215146783142643</v>
      </c>
      <c r="E96" s="92">
        <v>180.5</v>
      </c>
      <c r="F96" s="92">
        <v>176.77848532168574</v>
      </c>
    </row>
  </sheetData>
  <mergeCells count="23">
    <mergeCell ref="B3:B5"/>
    <mergeCell ref="C3:C5"/>
    <mergeCell ref="B14:B15"/>
    <mergeCell ref="C14:C15"/>
    <mergeCell ref="D14:D15"/>
    <mergeCell ref="F16:F21"/>
    <mergeCell ref="G16:G21"/>
    <mergeCell ref="B24:B25"/>
    <mergeCell ref="D24:D25"/>
    <mergeCell ref="E24:E25"/>
    <mergeCell ref="G24:G25"/>
    <mergeCell ref="E16:E21"/>
    <mergeCell ref="G26:G31"/>
    <mergeCell ref="B34:B36"/>
    <mergeCell ref="C34:C36"/>
    <mergeCell ref="B46:B47"/>
    <mergeCell ref="C46:C47"/>
    <mergeCell ref="F46:F47"/>
    <mergeCell ref="B68:B69"/>
    <mergeCell ref="B80:B81"/>
    <mergeCell ref="D80:D81"/>
    <mergeCell ref="E26:E31"/>
    <mergeCell ref="F26:F31"/>
  </mergeCells>
  <pageMargins left="0.7" right="0.7" top="0.78740157500000008" bottom="0.78740157500000008"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44ACE-2B51-4BFF-BF34-D341D9201EAA}">
  <dimension ref="B1:AD45"/>
  <sheetViews>
    <sheetView workbookViewId="0">
      <selection activeCell="N40" sqref="N40"/>
    </sheetView>
  </sheetViews>
  <sheetFormatPr defaultRowHeight="14.4" x14ac:dyDescent="0.3"/>
  <sheetData>
    <row r="1" spans="2:7" ht="15" thickBot="1" x14ac:dyDescent="0.35"/>
    <row r="2" spans="2:7" ht="18.600000000000001" thickBot="1" x14ac:dyDescent="0.4">
      <c r="B2" s="202" t="s">
        <v>677</v>
      </c>
      <c r="C2" s="202" t="s">
        <v>694</v>
      </c>
      <c r="D2" s="202" t="s">
        <v>695</v>
      </c>
      <c r="E2" s="202" t="s">
        <v>697</v>
      </c>
      <c r="F2" s="202" t="s">
        <v>699</v>
      </c>
      <c r="G2" s="211" t="s">
        <v>700</v>
      </c>
    </row>
    <row r="3" spans="2:7" x14ac:dyDescent="0.3">
      <c r="B3" s="203" t="s">
        <v>678</v>
      </c>
      <c r="C3" s="205">
        <v>0</v>
      </c>
      <c r="D3" s="203" t="s">
        <v>696</v>
      </c>
      <c r="E3" s="203" t="s">
        <v>698</v>
      </c>
      <c r="F3" s="203"/>
      <c r="G3" s="212"/>
    </row>
    <row r="4" spans="2:7" x14ac:dyDescent="0.3">
      <c r="B4" s="203" t="s">
        <v>679</v>
      </c>
      <c r="C4" s="205">
        <v>0</v>
      </c>
      <c r="D4" s="203" t="s">
        <v>696</v>
      </c>
      <c r="E4" s="203"/>
      <c r="F4" s="203"/>
      <c r="G4" s="212"/>
    </row>
    <row r="5" spans="2:7" x14ac:dyDescent="0.3">
      <c r="B5" s="203" t="s">
        <v>680</v>
      </c>
      <c r="C5" s="205">
        <v>0</v>
      </c>
      <c r="D5" s="203" t="s">
        <v>696</v>
      </c>
      <c r="E5" s="203"/>
      <c r="F5" s="203"/>
      <c r="G5" s="212"/>
    </row>
    <row r="6" spans="2:7" x14ac:dyDescent="0.3">
      <c r="B6" s="204" t="s">
        <v>681</v>
      </c>
      <c r="C6" s="206">
        <v>0</v>
      </c>
      <c r="D6" s="204" t="s">
        <v>696</v>
      </c>
      <c r="E6" s="204"/>
      <c r="F6" s="204"/>
      <c r="G6" s="213">
        <v>0</v>
      </c>
    </row>
    <row r="7" spans="2:7" x14ac:dyDescent="0.3">
      <c r="B7" s="203" t="s">
        <v>682</v>
      </c>
      <c r="C7" s="207">
        <v>6.4031907059665674</v>
      </c>
      <c r="D7" s="203" t="s">
        <v>696</v>
      </c>
      <c r="E7" s="203"/>
      <c r="F7" s="203"/>
      <c r="G7" s="212"/>
    </row>
    <row r="8" spans="2:7" x14ac:dyDescent="0.3">
      <c r="B8" s="203" t="s">
        <v>683</v>
      </c>
      <c r="C8" s="203">
        <v>0</v>
      </c>
      <c r="D8" s="203" t="s">
        <v>696</v>
      </c>
      <c r="E8" s="203"/>
      <c r="F8" s="203"/>
      <c r="G8" s="212"/>
    </row>
    <row r="9" spans="2:7" x14ac:dyDescent="0.3">
      <c r="B9" s="203" t="s">
        <v>684</v>
      </c>
      <c r="C9" s="205">
        <v>3.7223999999999993E-2</v>
      </c>
      <c r="D9" s="203" t="s">
        <v>696</v>
      </c>
      <c r="E9" s="203"/>
      <c r="F9" s="203"/>
      <c r="G9" s="212"/>
    </row>
    <row r="10" spans="2:7" x14ac:dyDescent="0.3">
      <c r="B10" s="204" t="s">
        <v>685</v>
      </c>
      <c r="C10" s="206">
        <v>3.7223999999999993E-2</v>
      </c>
      <c r="D10" s="204" t="s">
        <v>696</v>
      </c>
      <c r="E10" s="204"/>
      <c r="F10" s="204"/>
      <c r="G10" s="213">
        <v>6.4776387059665677</v>
      </c>
    </row>
    <row r="11" spans="2:7" x14ac:dyDescent="0.3">
      <c r="B11" s="203" t="s">
        <v>686</v>
      </c>
      <c r="C11" s="205">
        <v>0</v>
      </c>
      <c r="D11" s="203" t="s">
        <v>696</v>
      </c>
      <c r="E11" s="203"/>
      <c r="F11" s="203"/>
      <c r="G11" s="212"/>
    </row>
    <row r="12" spans="2:7" x14ac:dyDescent="0.3">
      <c r="B12" s="203" t="s">
        <v>687</v>
      </c>
      <c r="C12" s="207">
        <v>0.34226926304944238</v>
      </c>
      <c r="D12" s="203" t="s">
        <v>696</v>
      </c>
      <c r="E12" s="203"/>
      <c r="F12" s="203"/>
      <c r="G12" s="212"/>
    </row>
    <row r="13" spans="2:7" x14ac:dyDescent="0.3">
      <c r="B13" s="203" t="s">
        <v>688</v>
      </c>
      <c r="C13" s="208">
        <v>0</v>
      </c>
      <c r="D13" s="203" t="s">
        <v>696</v>
      </c>
      <c r="E13" s="203"/>
      <c r="F13" s="203"/>
      <c r="G13" s="212"/>
    </row>
    <row r="14" spans="2:7" x14ac:dyDescent="0.3">
      <c r="B14" s="204" t="s">
        <v>689</v>
      </c>
      <c r="C14" s="209">
        <v>0</v>
      </c>
      <c r="D14" s="204" t="s">
        <v>696</v>
      </c>
      <c r="E14" s="204"/>
      <c r="F14" s="204"/>
      <c r="G14" s="213">
        <v>0.34226926304944238</v>
      </c>
    </row>
    <row r="15" spans="2:7" x14ac:dyDescent="0.3">
      <c r="B15" s="203" t="s">
        <v>690</v>
      </c>
      <c r="C15" s="208">
        <v>0</v>
      </c>
      <c r="D15" s="203" t="s">
        <v>696</v>
      </c>
      <c r="E15" s="203"/>
      <c r="F15" s="203"/>
      <c r="G15" s="212"/>
    </row>
    <row r="16" spans="2:7" x14ac:dyDescent="0.3">
      <c r="B16" s="203" t="s">
        <v>691</v>
      </c>
      <c r="C16" s="210">
        <v>0.69325736943017391</v>
      </c>
      <c r="D16" s="203" t="s">
        <v>696</v>
      </c>
      <c r="E16" s="203"/>
      <c r="F16" s="203"/>
      <c r="G16" s="212"/>
    </row>
    <row r="17" spans="2:30" x14ac:dyDescent="0.3">
      <c r="B17" s="203" t="s">
        <v>692</v>
      </c>
      <c r="C17" s="205">
        <v>0</v>
      </c>
      <c r="D17" s="203" t="s">
        <v>696</v>
      </c>
      <c r="E17" s="203"/>
      <c r="F17" s="203"/>
      <c r="G17" s="212"/>
    </row>
    <row r="18" spans="2:30" ht="15" thickBot="1" x14ac:dyDescent="0.35">
      <c r="B18" s="204" t="s">
        <v>693</v>
      </c>
      <c r="C18" s="206">
        <v>0</v>
      </c>
      <c r="D18" s="204" t="s">
        <v>696</v>
      </c>
      <c r="E18" s="204"/>
      <c r="F18" s="204"/>
      <c r="G18" s="214">
        <v>0.69325736943017391</v>
      </c>
    </row>
    <row r="21" spans="2:30" x14ac:dyDescent="0.3">
      <c r="B21" t="s">
        <v>672</v>
      </c>
    </row>
    <row r="22" spans="2:30" x14ac:dyDescent="0.3">
      <c r="B22" s="188" t="s">
        <v>639</v>
      </c>
      <c r="C22" s="253" t="s">
        <v>640</v>
      </c>
      <c r="D22" s="253"/>
      <c r="E22" s="253"/>
      <c r="F22" s="253"/>
      <c r="G22" s="253"/>
      <c r="H22" s="253" t="s">
        <v>641</v>
      </c>
      <c r="I22" s="253"/>
      <c r="J22" s="253"/>
      <c r="K22" s="253"/>
      <c r="L22" s="253"/>
      <c r="M22" s="253" t="s">
        <v>642</v>
      </c>
      <c r="N22" s="253"/>
      <c r="O22" s="253"/>
      <c r="P22" s="253"/>
      <c r="Q22" s="253"/>
      <c r="R22" s="253" t="s">
        <v>643</v>
      </c>
      <c r="S22" s="253"/>
      <c r="T22" s="253"/>
      <c r="U22" s="253"/>
      <c r="V22" s="253"/>
      <c r="W22" s="253" t="s">
        <v>644</v>
      </c>
      <c r="X22" s="253"/>
      <c r="Y22" s="253"/>
      <c r="Z22" s="253"/>
      <c r="AA22" s="253"/>
    </row>
    <row r="23" spans="2:30" x14ac:dyDescent="0.3">
      <c r="B23" s="188"/>
      <c r="C23" s="188">
        <v>1000</v>
      </c>
      <c r="D23" s="188">
        <v>800</v>
      </c>
      <c r="E23" s="188">
        <v>714</v>
      </c>
      <c r="F23" s="188">
        <v>500</v>
      </c>
      <c r="G23" s="188">
        <v>476</v>
      </c>
      <c r="H23" s="188">
        <v>1000</v>
      </c>
      <c r="I23" s="188">
        <v>800</v>
      </c>
      <c r="J23" s="188">
        <v>714</v>
      </c>
      <c r="K23" s="188">
        <v>500</v>
      </c>
      <c r="L23" s="188">
        <v>476</v>
      </c>
      <c r="M23" s="188">
        <v>1000</v>
      </c>
      <c r="N23" s="188">
        <v>800</v>
      </c>
      <c r="O23" s="188">
        <v>714</v>
      </c>
      <c r="P23" s="188">
        <v>500</v>
      </c>
      <c r="Q23" s="188">
        <v>476</v>
      </c>
      <c r="R23" s="188">
        <v>1000</v>
      </c>
      <c r="S23" s="188">
        <v>800</v>
      </c>
      <c r="T23" s="188">
        <v>714</v>
      </c>
      <c r="U23" s="188">
        <v>500</v>
      </c>
      <c r="V23" s="188">
        <v>476</v>
      </c>
      <c r="W23" s="188">
        <v>1000</v>
      </c>
      <c r="X23" s="188">
        <v>800</v>
      </c>
      <c r="Y23" s="188">
        <v>714</v>
      </c>
      <c r="Z23" s="188">
        <v>500</v>
      </c>
      <c r="AA23" s="188">
        <v>476</v>
      </c>
      <c r="AB23" s="188" t="s">
        <v>645</v>
      </c>
      <c r="AC23" s="188" t="s">
        <v>72</v>
      </c>
    </row>
    <row r="24" spans="2:30" x14ac:dyDescent="0.3">
      <c r="B24" s="188">
        <v>2018</v>
      </c>
      <c r="C24" s="189">
        <v>0</v>
      </c>
      <c r="D24" s="189">
        <v>0</v>
      </c>
      <c r="E24" s="189">
        <v>2</v>
      </c>
      <c r="F24" s="189">
        <v>0</v>
      </c>
      <c r="G24" s="189">
        <v>0</v>
      </c>
      <c r="H24" s="189">
        <v>0</v>
      </c>
      <c r="I24" s="189">
        <v>0</v>
      </c>
      <c r="J24" s="189">
        <v>27.5</v>
      </c>
      <c r="K24" s="189">
        <v>0</v>
      </c>
      <c r="L24" s="189">
        <v>0</v>
      </c>
      <c r="M24" s="189">
        <v>0</v>
      </c>
      <c r="N24" s="189">
        <v>0</v>
      </c>
      <c r="O24" s="189">
        <v>0</v>
      </c>
      <c r="P24" s="189">
        <v>0</v>
      </c>
      <c r="Q24" s="189">
        <v>0</v>
      </c>
      <c r="R24" s="189">
        <v>186</v>
      </c>
      <c r="S24" s="189">
        <v>0</v>
      </c>
      <c r="T24" s="189">
        <v>0</v>
      </c>
      <c r="U24" s="189">
        <v>0</v>
      </c>
      <c r="V24" s="189">
        <v>0</v>
      </c>
      <c r="W24" s="189">
        <v>0</v>
      </c>
      <c r="X24" s="189">
        <v>0</v>
      </c>
      <c r="Y24" s="189">
        <v>129.5</v>
      </c>
      <c r="Z24" s="189">
        <v>0</v>
      </c>
      <c r="AA24" s="189">
        <v>0</v>
      </c>
      <c r="AB24" s="189">
        <v>0</v>
      </c>
      <c r="AC24" s="201">
        <v>345</v>
      </c>
      <c r="AD24">
        <v>0.5</v>
      </c>
    </row>
    <row r="25" spans="2:30" x14ac:dyDescent="0.3">
      <c r="B25" s="188">
        <v>2019</v>
      </c>
      <c r="C25" s="189">
        <v>1</v>
      </c>
      <c r="D25" s="189">
        <v>0</v>
      </c>
      <c r="E25" s="189">
        <v>0</v>
      </c>
      <c r="F25" s="189">
        <v>0</v>
      </c>
      <c r="G25" s="189">
        <v>0</v>
      </c>
      <c r="H25" s="189">
        <v>0</v>
      </c>
      <c r="I25" s="189">
        <v>0</v>
      </c>
      <c r="J25" s="189">
        <v>70</v>
      </c>
      <c r="K25" s="189">
        <v>0</v>
      </c>
      <c r="L25" s="189">
        <v>0</v>
      </c>
      <c r="M25" s="189">
        <v>0</v>
      </c>
      <c r="N25" s="189">
        <v>0</v>
      </c>
      <c r="O25" s="189">
        <v>19</v>
      </c>
      <c r="P25" s="189">
        <v>41</v>
      </c>
      <c r="Q25" s="189">
        <v>0</v>
      </c>
      <c r="R25" s="189">
        <v>352</v>
      </c>
      <c r="S25" s="189">
        <v>0</v>
      </c>
      <c r="T25" s="189">
        <v>0</v>
      </c>
      <c r="U25" s="189">
        <v>0</v>
      </c>
      <c r="V25" s="189">
        <v>0</v>
      </c>
      <c r="W25" s="189">
        <v>0</v>
      </c>
      <c r="X25" s="189">
        <v>0</v>
      </c>
      <c r="Y25" s="189">
        <v>163</v>
      </c>
      <c r="Z25" s="189">
        <v>0</v>
      </c>
      <c r="AA25" s="189">
        <v>0</v>
      </c>
      <c r="AB25" s="189">
        <v>0</v>
      </c>
      <c r="AC25" s="201">
        <v>646</v>
      </c>
      <c r="AD25">
        <v>0.5</v>
      </c>
    </row>
    <row r="26" spans="2:30" x14ac:dyDescent="0.3">
      <c r="B26" s="188">
        <v>2020</v>
      </c>
      <c r="C26" s="216">
        <v>0</v>
      </c>
      <c r="D26" s="216">
        <v>0</v>
      </c>
      <c r="E26" s="216">
        <v>0</v>
      </c>
      <c r="F26" s="216">
        <v>0</v>
      </c>
      <c r="G26" s="216">
        <v>3</v>
      </c>
      <c r="H26" s="216">
        <v>0</v>
      </c>
      <c r="I26" s="216">
        <v>0</v>
      </c>
      <c r="J26" s="216">
        <v>0</v>
      </c>
      <c r="K26" s="216">
        <v>0</v>
      </c>
      <c r="L26" s="216">
        <v>0.5</v>
      </c>
      <c r="M26" s="216">
        <v>0</v>
      </c>
      <c r="N26" s="216">
        <v>0</v>
      </c>
      <c r="O26" s="216">
        <v>0</v>
      </c>
      <c r="P26" s="216">
        <v>9.5</v>
      </c>
      <c r="Q26" s="216">
        <v>97.5</v>
      </c>
      <c r="R26" s="216">
        <v>87.5</v>
      </c>
      <c r="S26" s="216">
        <v>108</v>
      </c>
      <c r="T26" s="216">
        <v>0</v>
      </c>
      <c r="U26" s="216">
        <v>0</v>
      </c>
      <c r="V26" s="216">
        <v>0</v>
      </c>
      <c r="W26" s="216">
        <v>0</v>
      </c>
      <c r="X26" s="216">
        <v>0</v>
      </c>
      <c r="Y26" s="216">
        <v>0</v>
      </c>
      <c r="Z26" s="216">
        <v>0</v>
      </c>
      <c r="AA26" s="216">
        <v>3</v>
      </c>
      <c r="AB26" s="216">
        <v>0</v>
      </c>
      <c r="AC26" s="215">
        <v>309</v>
      </c>
      <c r="AD26">
        <v>4.5</v>
      </c>
    </row>
    <row r="27" spans="2:30" x14ac:dyDescent="0.3">
      <c r="B27" t="s">
        <v>710</v>
      </c>
      <c r="C27" s="5">
        <f>+C$26*$C15</f>
        <v>0</v>
      </c>
      <c r="D27" s="5">
        <f t="shared" ref="D27:G27" si="0">+D$26*$C15</f>
        <v>0</v>
      </c>
      <c r="E27" s="5">
        <f t="shared" si="0"/>
        <v>0</v>
      </c>
      <c r="F27" s="5">
        <f t="shared" si="0"/>
        <v>0</v>
      </c>
      <c r="G27" s="5">
        <f t="shared" si="0"/>
        <v>0</v>
      </c>
      <c r="H27" s="5">
        <f>+H$26*$C11</f>
        <v>0</v>
      </c>
      <c r="I27" s="5">
        <f t="shared" ref="I27:L27" si="1">+I$26*$C11</f>
        <v>0</v>
      </c>
      <c r="J27" s="5">
        <f t="shared" si="1"/>
        <v>0</v>
      </c>
      <c r="K27" s="5">
        <f t="shared" si="1"/>
        <v>0</v>
      </c>
      <c r="L27" s="5">
        <f t="shared" si="1"/>
        <v>0</v>
      </c>
      <c r="M27" s="5">
        <f>+M$26*$C7</f>
        <v>0</v>
      </c>
      <c r="N27" s="5">
        <f t="shared" ref="N27:Q27" si="2">+N$26*$C7</f>
        <v>0</v>
      </c>
      <c r="O27" s="5">
        <f t="shared" si="2"/>
        <v>0</v>
      </c>
      <c r="P27" s="5">
        <f t="shared" si="2"/>
        <v>60.830311706682387</v>
      </c>
      <c r="Q27" s="5">
        <f t="shared" si="2"/>
        <v>624.31109383174032</v>
      </c>
      <c r="R27" s="5">
        <f>+R$26*$C3</f>
        <v>0</v>
      </c>
      <c r="S27" s="5">
        <f t="shared" ref="S27:V27" si="3">+S$26*$C3</f>
        <v>0</v>
      </c>
      <c r="T27" s="5">
        <f t="shared" si="3"/>
        <v>0</v>
      </c>
      <c r="U27" s="5">
        <f t="shared" si="3"/>
        <v>0</v>
      </c>
      <c r="V27" s="5">
        <f t="shared" si="3"/>
        <v>0</v>
      </c>
      <c r="W27" s="5">
        <f>+W$26*$C7</f>
        <v>0</v>
      </c>
      <c r="X27" s="5">
        <f t="shared" ref="X27:AA27" si="4">+X$26*$C7</f>
        <v>0</v>
      </c>
      <c r="Y27" s="5">
        <f t="shared" si="4"/>
        <v>0</v>
      </c>
      <c r="Z27" s="5">
        <f t="shared" si="4"/>
        <v>0</v>
      </c>
      <c r="AA27" s="5">
        <f t="shared" si="4"/>
        <v>19.209572117899704</v>
      </c>
      <c r="AB27" s="5"/>
      <c r="AC27" s="190">
        <v>1300</v>
      </c>
      <c r="AD27" s="190" t="s">
        <v>107</v>
      </c>
    </row>
    <row r="28" spans="2:30" x14ac:dyDescent="0.3">
      <c r="B28" t="s">
        <v>711</v>
      </c>
      <c r="C28" s="5">
        <f t="shared" ref="C28:G28" si="5">+C$26*$C16</f>
        <v>0</v>
      </c>
      <c r="D28" s="5">
        <f t="shared" si="5"/>
        <v>0</v>
      </c>
      <c r="E28" s="5">
        <f t="shared" si="5"/>
        <v>0</v>
      </c>
      <c r="F28" s="5">
        <f t="shared" si="5"/>
        <v>0</v>
      </c>
      <c r="G28" s="5">
        <f t="shared" si="5"/>
        <v>2.0797721082905216</v>
      </c>
      <c r="H28" s="5">
        <f t="shared" ref="H28:L28" si="6">+H$26*$C12</f>
        <v>0</v>
      </c>
      <c r="I28" s="5">
        <f t="shared" si="6"/>
        <v>0</v>
      </c>
      <c r="J28" s="5">
        <f t="shared" si="6"/>
        <v>0</v>
      </c>
      <c r="K28" s="5">
        <f t="shared" si="6"/>
        <v>0</v>
      </c>
      <c r="L28" s="5">
        <f t="shared" si="6"/>
        <v>0.17113463152472119</v>
      </c>
      <c r="M28" s="5">
        <f t="shared" ref="M28:Q28" si="7">+M$26*$C8</f>
        <v>0</v>
      </c>
      <c r="N28" s="5">
        <f t="shared" si="7"/>
        <v>0</v>
      </c>
      <c r="O28" s="5">
        <f t="shared" si="7"/>
        <v>0</v>
      </c>
      <c r="P28" s="5">
        <f t="shared" si="7"/>
        <v>0</v>
      </c>
      <c r="Q28" s="5">
        <f t="shared" si="7"/>
        <v>0</v>
      </c>
      <c r="R28" s="5">
        <f t="shared" ref="R28:V28" si="8">+R$26*$C4</f>
        <v>0</v>
      </c>
      <c r="S28" s="5">
        <f t="shared" si="8"/>
        <v>0</v>
      </c>
      <c r="T28" s="5">
        <f t="shared" si="8"/>
        <v>0</v>
      </c>
      <c r="U28" s="5">
        <f t="shared" si="8"/>
        <v>0</v>
      </c>
      <c r="V28" s="5">
        <f t="shared" si="8"/>
        <v>0</v>
      </c>
      <c r="W28" s="5">
        <f t="shared" ref="W28:AA28" si="9">+W$26*$C8</f>
        <v>0</v>
      </c>
      <c r="X28" s="5">
        <f t="shared" si="9"/>
        <v>0</v>
      </c>
      <c r="Y28" s="5">
        <f t="shared" si="9"/>
        <v>0</v>
      </c>
      <c r="Z28" s="5">
        <f t="shared" si="9"/>
        <v>0</v>
      </c>
      <c r="AA28" s="5">
        <f t="shared" si="9"/>
        <v>0</v>
      </c>
      <c r="AB28" s="5"/>
      <c r="AC28" s="190"/>
      <c r="AD28" s="190"/>
    </row>
    <row r="29" spans="2:30" x14ac:dyDescent="0.3">
      <c r="B29" t="s">
        <v>167</v>
      </c>
      <c r="C29" s="5">
        <f t="shared" ref="C29:G29" si="10">+C$26*$C17</f>
        <v>0</v>
      </c>
      <c r="D29" s="5">
        <f t="shared" si="10"/>
        <v>0</v>
      </c>
      <c r="E29" s="5">
        <f t="shared" si="10"/>
        <v>0</v>
      </c>
      <c r="F29" s="5">
        <f t="shared" si="10"/>
        <v>0</v>
      </c>
      <c r="G29" s="5">
        <f t="shared" si="10"/>
        <v>0</v>
      </c>
      <c r="H29" s="5">
        <f t="shared" ref="H29:L29" si="11">+H$26*$C13</f>
        <v>0</v>
      </c>
      <c r="I29" s="5">
        <f t="shared" si="11"/>
        <v>0</v>
      </c>
      <c r="J29" s="5">
        <f t="shared" si="11"/>
        <v>0</v>
      </c>
      <c r="K29" s="5">
        <f t="shared" si="11"/>
        <v>0</v>
      </c>
      <c r="L29" s="5">
        <f t="shared" si="11"/>
        <v>0</v>
      </c>
      <c r="M29" s="5">
        <f t="shared" ref="M29:Q29" si="12">+M$26*$C9</f>
        <v>0</v>
      </c>
      <c r="N29" s="5">
        <f t="shared" si="12"/>
        <v>0</v>
      </c>
      <c r="O29" s="5">
        <f t="shared" si="12"/>
        <v>0</v>
      </c>
      <c r="P29" s="5">
        <f t="shared" si="12"/>
        <v>0.35362799999999994</v>
      </c>
      <c r="Q29" s="5">
        <f t="shared" si="12"/>
        <v>3.6293399999999991</v>
      </c>
      <c r="R29" s="5">
        <f t="shared" ref="R29:V29" si="13">+R$26*$C5</f>
        <v>0</v>
      </c>
      <c r="S29" s="5">
        <f t="shared" si="13"/>
        <v>0</v>
      </c>
      <c r="T29" s="5">
        <f t="shared" si="13"/>
        <v>0</v>
      </c>
      <c r="U29" s="5">
        <f t="shared" si="13"/>
        <v>0</v>
      </c>
      <c r="V29" s="5">
        <f t="shared" si="13"/>
        <v>0</v>
      </c>
      <c r="W29" s="5">
        <f t="shared" ref="W29:AA29" si="14">+W$26*$C9</f>
        <v>0</v>
      </c>
      <c r="X29" s="5">
        <f t="shared" si="14"/>
        <v>0</v>
      </c>
      <c r="Y29" s="5">
        <f t="shared" si="14"/>
        <v>0</v>
      </c>
      <c r="Z29" s="5">
        <f t="shared" si="14"/>
        <v>0</v>
      </c>
      <c r="AA29" s="5">
        <f t="shared" si="14"/>
        <v>0.11167199999999998</v>
      </c>
      <c r="AC29" s="190"/>
      <c r="AD29" s="190"/>
    </row>
    <row r="30" spans="2:30" x14ac:dyDescent="0.3">
      <c r="B30" t="s">
        <v>712</v>
      </c>
      <c r="C30" s="5">
        <f t="shared" ref="C30:G30" si="15">+C$26*$C18</f>
        <v>0</v>
      </c>
      <c r="D30" s="5">
        <f t="shared" si="15"/>
        <v>0</v>
      </c>
      <c r="E30" s="5">
        <f t="shared" si="15"/>
        <v>0</v>
      </c>
      <c r="F30" s="5">
        <f t="shared" si="15"/>
        <v>0</v>
      </c>
      <c r="G30" s="5">
        <f t="shared" si="15"/>
        <v>0</v>
      </c>
      <c r="H30" s="5">
        <f t="shared" ref="H30:L30" si="16">+H$26*$C14</f>
        <v>0</v>
      </c>
      <c r="I30" s="5">
        <f t="shared" si="16"/>
        <v>0</v>
      </c>
      <c r="J30" s="5">
        <f t="shared" si="16"/>
        <v>0</v>
      </c>
      <c r="K30" s="5">
        <f t="shared" si="16"/>
        <v>0</v>
      </c>
      <c r="L30" s="5">
        <f t="shared" si="16"/>
        <v>0</v>
      </c>
      <c r="M30" s="5">
        <f t="shared" ref="M30:Q30" si="17">+M$26*$C10</f>
        <v>0</v>
      </c>
      <c r="N30" s="5">
        <f t="shared" si="17"/>
        <v>0</v>
      </c>
      <c r="O30" s="5">
        <f t="shared" si="17"/>
        <v>0</v>
      </c>
      <c r="P30" s="5">
        <f t="shared" si="17"/>
        <v>0.35362799999999994</v>
      </c>
      <c r="Q30" s="5">
        <f t="shared" si="17"/>
        <v>3.6293399999999991</v>
      </c>
      <c r="R30" s="5">
        <f t="shared" ref="R30:V30" si="18">+R$26*$C6</f>
        <v>0</v>
      </c>
      <c r="S30" s="5">
        <f t="shared" si="18"/>
        <v>0</v>
      </c>
      <c r="T30" s="5">
        <f t="shared" si="18"/>
        <v>0</v>
      </c>
      <c r="U30" s="5">
        <f t="shared" si="18"/>
        <v>0</v>
      </c>
      <c r="V30" s="5">
        <f t="shared" si="18"/>
        <v>0</v>
      </c>
      <c r="W30" s="5">
        <f t="shared" ref="W30:AA30" si="19">+W$26*$C10</f>
        <v>0</v>
      </c>
      <c r="X30" s="5">
        <f t="shared" si="19"/>
        <v>0</v>
      </c>
      <c r="Y30" s="5">
        <f t="shared" si="19"/>
        <v>0</v>
      </c>
      <c r="Z30" s="5">
        <f t="shared" si="19"/>
        <v>0</v>
      </c>
      <c r="AA30" s="5">
        <f t="shared" si="19"/>
        <v>0.11167199999999998</v>
      </c>
      <c r="AC30" s="190"/>
      <c r="AD30" s="190"/>
    </row>
    <row r="31" spans="2:30" x14ac:dyDescent="0.3">
      <c r="AC31" s="190"/>
      <c r="AD31" s="190"/>
    </row>
    <row r="32" spans="2:30" x14ac:dyDescent="0.3">
      <c r="AC32" s="190"/>
      <c r="AD32" s="190"/>
    </row>
    <row r="33" spans="2:9" ht="15" thickBot="1" x14ac:dyDescent="0.35">
      <c r="B33" t="s">
        <v>701</v>
      </c>
    </row>
    <row r="34" spans="2:9" ht="39.6" customHeight="1" x14ac:dyDescent="0.3">
      <c r="B34" s="237" t="s">
        <v>158</v>
      </c>
      <c r="C34" s="237" t="s">
        <v>87</v>
      </c>
      <c r="D34" s="237" t="s">
        <v>87</v>
      </c>
      <c r="E34" s="237" t="s">
        <v>87</v>
      </c>
      <c r="F34" s="41" t="s">
        <v>702</v>
      </c>
      <c r="G34" s="41" t="s">
        <v>703</v>
      </c>
      <c r="H34" s="41" t="s">
        <v>704</v>
      </c>
      <c r="I34" s="41" t="s">
        <v>705</v>
      </c>
    </row>
    <row r="35" spans="2:9" ht="66" x14ac:dyDescent="0.3">
      <c r="B35" s="238"/>
      <c r="C35" s="238"/>
      <c r="D35" s="238"/>
      <c r="E35" s="238"/>
      <c r="F35" s="43" t="s">
        <v>706</v>
      </c>
      <c r="G35" s="43" t="s">
        <v>93</v>
      </c>
      <c r="H35" s="43" t="s">
        <v>707</v>
      </c>
      <c r="I35" s="43" t="s">
        <v>95</v>
      </c>
    </row>
    <row r="36" spans="2:9" ht="15" thickBot="1" x14ac:dyDescent="0.35">
      <c r="B36" s="239"/>
      <c r="C36" s="239"/>
      <c r="D36" s="239"/>
      <c r="E36" s="239"/>
      <c r="F36" s="45"/>
      <c r="G36" s="46" t="s">
        <v>708</v>
      </c>
      <c r="H36" s="81"/>
      <c r="I36" s="46" t="s">
        <v>709</v>
      </c>
    </row>
    <row r="37" spans="2:9" ht="27" thickBot="1" x14ac:dyDescent="0.35">
      <c r="B37" s="47" t="s">
        <v>159</v>
      </c>
      <c r="C37" s="48">
        <v>159</v>
      </c>
      <c r="D37" s="48">
        <v>161</v>
      </c>
      <c r="E37" s="48">
        <v>-2</v>
      </c>
      <c r="F37" s="124"/>
      <c r="G37" s="124"/>
      <c r="H37" s="125"/>
      <c r="I37" s="48">
        <f>+F37+G37+H37</f>
        <v>0</v>
      </c>
    </row>
    <row r="38" spans="2:9" ht="27" thickBot="1" x14ac:dyDescent="0.35">
      <c r="B38" s="47" t="s">
        <v>630</v>
      </c>
      <c r="C38" s="48">
        <v>186</v>
      </c>
      <c r="D38" s="48">
        <v>184.5</v>
      </c>
      <c r="E38" s="48">
        <v>1.5</v>
      </c>
      <c r="F38" s="107"/>
      <c r="G38" s="107"/>
      <c r="H38" s="108"/>
      <c r="I38" s="48">
        <f t="shared" ref="I38:I45" si="20">+F38+G38+H38</f>
        <v>0</v>
      </c>
    </row>
    <row r="39" spans="2:9" ht="27" thickBot="1" x14ac:dyDescent="0.35">
      <c r="B39" s="47" t="s">
        <v>631</v>
      </c>
      <c r="C39" s="48">
        <v>41</v>
      </c>
      <c r="D39" s="48">
        <v>41</v>
      </c>
      <c r="E39" s="48">
        <v>0</v>
      </c>
      <c r="F39" s="107"/>
      <c r="G39" s="107"/>
      <c r="H39" s="108"/>
      <c r="I39" s="48">
        <f t="shared" si="20"/>
        <v>0</v>
      </c>
    </row>
    <row r="40" spans="2:9" ht="27" thickBot="1" x14ac:dyDescent="0.35">
      <c r="B40" s="47" t="s">
        <v>632</v>
      </c>
      <c r="C40" s="48">
        <v>252</v>
      </c>
      <c r="D40" s="48">
        <v>252</v>
      </c>
      <c r="E40" s="48">
        <v>0</v>
      </c>
      <c r="F40" s="107"/>
      <c r="G40" s="107"/>
      <c r="H40" s="108"/>
      <c r="I40" s="48">
        <f t="shared" si="20"/>
        <v>0</v>
      </c>
    </row>
    <row r="41" spans="2:9" ht="27" thickBot="1" x14ac:dyDescent="0.35">
      <c r="B41" s="47" t="s">
        <v>633</v>
      </c>
      <c r="C41" s="48">
        <v>353</v>
      </c>
      <c r="D41" s="48">
        <v>354</v>
      </c>
      <c r="E41" s="48">
        <v>-1</v>
      </c>
      <c r="F41" s="107"/>
      <c r="G41" s="107"/>
      <c r="H41" s="108"/>
      <c r="I41" s="48">
        <f t="shared" si="20"/>
        <v>0</v>
      </c>
    </row>
    <row r="42" spans="2:9" ht="27" thickBot="1" x14ac:dyDescent="0.35">
      <c r="B42" s="47" t="s">
        <v>673</v>
      </c>
      <c r="C42" s="217">
        <v>104</v>
      </c>
      <c r="D42" s="48"/>
      <c r="E42" s="48">
        <v>104</v>
      </c>
      <c r="F42" s="107">
        <f>+G27+L27+Q27+V27+AA27</f>
        <v>643.52066594964003</v>
      </c>
      <c r="G42" s="107">
        <f>+G29+G30+L29+L30+Q29+Q30+V29+V30+AA29+AA30</f>
        <v>7.4820239999999973</v>
      </c>
      <c r="H42" s="108">
        <f>+G28+L28+Q28+V28+AA28</f>
        <v>2.2509067398152429</v>
      </c>
      <c r="I42" s="48">
        <f t="shared" si="20"/>
        <v>653.25359668945532</v>
      </c>
    </row>
    <row r="43" spans="2:9" ht="27" thickBot="1" x14ac:dyDescent="0.35">
      <c r="B43" s="47" t="s">
        <v>674</v>
      </c>
      <c r="C43" s="217">
        <v>9.5</v>
      </c>
      <c r="D43" s="48"/>
      <c r="E43" s="48">
        <v>9.5</v>
      </c>
      <c r="F43" s="107">
        <f>+P27</f>
        <v>60.830311706682387</v>
      </c>
      <c r="G43" s="107">
        <f>+P29+P30</f>
        <v>0.70725599999999988</v>
      </c>
      <c r="H43" s="108">
        <f>+P28</f>
        <v>0</v>
      </c>
      <c r="I43" s="48">
        <f t="shared" si="20"/>
        <v>61.537567706682388</v>
      </c>
    </row>
    <row r="44" spans="2:9" ht="27" thickBot="1" x14ac:dyDescent="0.35">
      <c r="B44" s="47" t="s">
        <v>675</v>
      </c>
      <c r="C44" s="217">
        <v>108</v>
      </c>
      <c r="D44" s="48"/>
      <c r="E44" s="48">
        <v>108</v>
      </c>
      <c r="F44" s="107">
        <v>0</v>
      </c>
      <c r="G44" s="107">
        <v>0</v>
      </c>
      <c r="H44" s="108">
        <v>0</v>
      </c>
      <c r="I44" s="48">
        <f t="shared" si="20"/>
        <v>0</v>
      </c>
    </row>
    <row r="45" spans="2:9" ht="27" thickBot="1" x14ac:dyDescent="0.35">
      <c r="B45" s="47" t="s">
        <v>676</v>
      </c>
      <c r="C45" s="217">
        <v>87.5</v>
      </c>
      <c r="D45" s="48"/>
      <c r="E45" s="48">
        <v>87.5</v>
      </c>
      <c r="F45" s="107">
        <v>0</v>
      </c>
      <c r="G45" s="107">
        <v>0</v>
      </c>
      <c r="H45" s="108">
        <v>0</v>
      </c>
      <c r="I45" s="48">
        <f t="shared" si="20"/>
        <v>0</v>
      </c>
    </row>
  </sheetData>
  <mergeCells count="9">
    <mergeCell ref="H22:L22"/>
    <mergeCell ref="M22:Q22"/>
    <mergeCell ref="R22:V22"/>
    <mergeCell ref="W22:AA22"/>
    <mergeCell ref="B34:B36"/>
    <mergeCell ref="C34:C36"/>
    <mergeCell ref="D34:D36"/>
    <mergeCell ref="E34:E36"/>
    <mergeCell ref="C22:G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90"/>
  <sheetViews>
    <sheetView topLeftCell="A2" zoomScale="80" zoomScaleNormal="80" workbookViewId="0">
      <selection activeCell="AN7" sqref="AN7"/>
    </sheetView>
  </sheetViews>
  <sheetFormatPr defaultColWidth="10.77734375" defaultRowHeight="14.4" x14ac:dyDescent="0.3"/>
  <cols>
    <col min="1" max="1" width="25" bestFit="1" customWidth="1"/>
    <col min="2" max="4" width="20" customWidth="1"/>
    <col min="5" max="5" width="20" hidden="1" customWidth="1"/>
    <col min="6" max="6" width="22.5546875" style="95" hidden="1" customWidth="1"/>
    <col min="7" max="7" width="20" hidden="1" customWidth="1"/>
    <col min="8" max="8" width="20" customWidth="1"/>
    <col min="9" max="10" width="19" customWidth="1"/>
    <col min="11" max="12" width="10.77734375" hidden="1" customWidth="1"/>
    <col min="13" max="13" width="11.77734375" hidden="1" customWidth="1"/>
    <col min="14" max="14" width="11.21875" hidden="1" customWidth="1"/>
    <col min="15" max="15" width="10.77734375" hidden="1" customWidth="1"/>
    <col min="16" max="18" width="14" hidden="1" customWidth="1"/>
    <col min="19" max="20" width="15.44140625" hidden="1" customWidth="1"/>
    <col min="21" max="21" width="12.44140625" bestFit="1" customWidth="1"/>
    <col min="22" max="22" width="18.21875" bestFit="1" customWidth="1"/>
    <col min="23" max="23" width="19.21875" bestFit="1" customWidth="1"/>
    <col min="24" max="24" width="25.77734375" hidden="1" customWidth="1"/>
    <col min="25" max="25" width="16.44140625" hidden="1" customWidth="1"/>
    <col min="26" max="26" width="16.77734375" hidden="1" customWidth="1"/>
    <col min="27" max="27" width="16" hidden="1" customWidth="1"/>
    <col min="28" max="28" width="17" hidden="1" customWidth="1"/>
    <col min="29" max="29" width="28.21875" hidden="1" customWidth="1"/>
    <col min="30" max="30" width="0" hidden="1" customWidth="1"/>
    <col min="31" max="31" width="11.77734375" hidden="1" customWidth="1"/>
    <col min="32" max="32" width="26.5546875" hidden="1" customWidth="1"/>
    <col min="33" max="33" width="12.77734375" hidden="1" customWidth="1"/>
    <col min="34" max="34" width="27.44140625" hidden="1" customWidth="1"/>
    <col min="35" max="35" width="18.77734375" hidden="1" customWidth="1"/>
    <col min="36" max="36" width="19" hidden="1" customWidth="1"/>
    <col min="37" max="37" width="17.21875" hidden="1" customWidth="1"/>
    <col min="38" max="38" width="15.5546875" hidden="1" customWidth="1"/>
    <col min="39" max="39" width="16.21875" hidden="1" customWidth="1"/>
    <col min="41" max="41" width="10.77734375" customWidth="1"/>
  </cols>
  <sheetData>
    <row r="1" spans="1:43" x14ac:dyDescent="0.3">
      <c r="A1" s="1" t="s">
        <v>0</v>
      </c>
      <c r="S1" s="2">
        <v>2022</v>
      </c>
      <c r="T1" s="2">
        <v>2022</v>
      </c>
      <c r="U1" s="2">
        <v>2022</v>
      </c>
      <c r="V1" s="2">
        <v>2022</v>
      </c>
      <c r="W1" s="2">
        <v>2022</v>
      </c>
      <c r="X1" s="2">
        <v>2022</v>
      </c>
      <c r="Y1" s="2">
        <v>2022</v>
      </c>
      <c r="Z1" s="2">
        <v>2022</v>
      </c>
      <c r="AA1" s="2">
        <v>2022</v>
      </c>
      <c r="AB1" s="2">
        <v>2022</v>
      </c>
      <c r="AC1" s="2">
        <v>2022</v>
      </c>
      <c r="AD1" s="2">
        <v>2022</v>
      </c>
      <c r="AE1" s="2">
        <v>2022</v>
      </c>
      <c r="AF1" s="2">
        <v>2022</v>
      </c>
      <c r="AG1" s="2">
        <v>2022</v>
      </c>
      <c r="AH1" s="2">
        <v>2022</v>
      </c>
      <c r="AI1" s="2">
        <v>2022</v>
      </c>
      <c r="AJ1" s="2">
        <v>2022</v>
      </c>
      <c r="AK1" s="2">
        <v>2022</v>
      </c>
      <c r="AL1" s="2">
        <v>2022</v>
      </c>
      <c r="AM1" s="2">
        <v>2022</v>
      </c>
    </row>
    <row r="2" spans="1:43" x14ac:dyDescent="0.3">
      <c r="A2" s="3" t="s">
        <v>1</v>
      </c>
      <c r="B2" s="3" t="s">
        <v>646</v>
      </c>
      <c r="C2" s="3" t="s">
        <v>664</v>
      </c>
      <c r="D2" s="3" t="s">
        <v>669</v>
      </c>
      <c r="E2" s="3" t="s">
        <v>152</v>
      </c>
      <c r="F2" s="96" t="s">
        <v>3</v>
      </c>
      <c r="G2" s="3" t="s">
        <v>151</v>
      </c>
      <c r="H2" s="3" t="s">
        <v>79</v>
      </c>
      <c r="I2" s="3" t="s">
        <v>5</v>
      </c>
      <c r="J2" s="3" t="s">
        <v>6</v>
      </c>
      <c r="K2" s="3" t="s">
        <v>7</v>
      </c>
      <c r="L2" s="3" t="s">
        <v>8</v>
      </c>
      <c r="M2" s="3" t="s">
        <v>9</v>
      </c>
      <c r="N2" s="3" t="s">
        <v>10</v>
      </c>
      <c r="O2" s="3" t="s">
        <v>11</v>
      </c>
      <c r="P2" s="3" t="s">
        <v>12</v>
      </c>
      <c r="Q2" s="3" t="s">
        <v>13</v>
      </c>
      <c r="R2" s="3" t="s">
        <v>14</v>
      </c>
      <c r="S2" s="3" t="s">
        <v>15</v>
      </c>
      <c r="T2" s="3" t="s">
        <v>16</v>
      </c>
      <c r="U2" s="3" t="s">
        <v>175</v>
      </c>
      <c r="V2" s="3" t="s">
        <v>608</v>
      </c>
      <c r="W2" s="3" t="s">
        <v>638</v>
      </c>
      <c r="X2" s="3" t="s">
        <v>19</v>
      </c>
      <c r="Y2" s="3" t="s">
        <v>20</v>
      </c>
      <c r="Z2" s="3" t="s">
        <v>21</v>
      </c>
      <c r="AA2" s="3" t="s">
        <v>22</v>
      </c>
      <c r="AB2" s="3" t="s">
        <v>23</v>
      </c>
      <c r="AC2" s="3" t="s">
        <v>24</v>
      </c>
      <c r="AD2" s="3" t="s">
        <v>25</v>
      </c>
      <c r="AE2" s="3" t="s">
        <v>26</v>
      </c>
      <c r="AF2" s="3" t="s">
        <v>27</v>
      </c>
      <c r="AG2" s="3" t="s">
        <v>28</v>
      </c>
      <c r="AH2" s="3" t="s">
        <v>29</v>
      </c>
      <c r="AI2" s="3" t="s">
        <v>30</v>
      </c>
      <c r="AJ2" s="3" t="s">
        <v>31</v>
      </c>
      <c r="AK2" s="3" t="s">
        <v>32</v>
      </c>
      <c r="AL2" s="3" t="s">
        <v>33</v>
      </c>
      <c r="AM2" s="3" t="s">
        <v>34</v>
      </c>
      <c r="AN2" s="3" t="s">
        <v>35</v>
      </c>
      <c r="AO2" s="3" t="s">
        <v>36</v>
      </c>
      <c r="AP2" t="s">
        <v>142</v>
      </c>
      <c r="AQ2" t="s">
        <v>174</v>
      </c>
    </row>
    <row r="3" spans="1:43" x14ac:dyDescent="0.3">
      <c r="A3" s="130" t="s">
        <v>180</v>
      </c>
      <c r="B3" s="130" t="s">
        <v>309</v>
      </c>
      <c r="C3" t="s">
        <v>208</v>
      </c>
      <c r="D3" s="6">
        <v>714</v>
      </c>
      <c r="E3" s="5"/>
      <c r="G3" s="4"/>
      <c r="H3" s="131">
        <v>2018</v>
      </c>
      <c r="I3" s="130" t="s">
        <v>309</v>
      </c>
      <c r="J3">
        <v>20</v>
      </c>
      <c r="K3" s="80"/>
      <c r="L3" s="80"/>
      <c r="O3" s="5"/>
      <c r="P3" s="5"/>
      <c r="Q3" s="80"/>
      <c r="R3" s="80"/>
      <c r="S3" s="94"/>
      <c r="T3" s="133"/>
      <c r="U3" s="5">
        <v>26.652167559999999</v>
      </c>
      <c r="V3">
        <v>26.652167559999999</v>
      </c>
      <c r="W3" s="80">
        <f>+Tabelle2[[#This Row],[Vol_ha_22]]-Tabelle2[[#This Row],[Vol_2020]]</f>
        <v>0</v>
      </c>
      <c r="X3" s="80"/>
      <c r="Y3" s="80"/>
      <c r="Z3" s="80"/>
      <c r="AA3" s="5"/>
      <c r="AB3" s="80"/>
      <c r="AC3" s="80"/>
      <c r="AD3" s="80"/>
      <c r="AE3" s="80"/>
      <c r="AF3" s="134"/>
      <c r="AG3" s="6"/>
      <c r="AH3" s="5"/>
      <c r="AI3" s="134"/>
      <c r="AJ3" s="5"/>
      <c r="AK3" s="5"/>
      <c r="AL3" s="80"/>
      <c r="AM3" s="80"/>
      <c r="AN3">
        <f>IFERROR(Tabelle2[[#This Row],[Vol_ha_22]]*0.537836177777778*Carbon_Calculations!$R$9,0)</f>
        <v>16.484674919457781</v>
      </c>
    </row>
    <row r="4" spans="1:43" x14ac:dyDescent="0.3">
      <c r="A4" s="130" t="s">
        <v>180</v>
      </c>
      <c r="B4" s="130" t="s">
        <v>311</v>
      </c>
      <c r="C4" t="s">
        <v>208</v>
      </c>
      <c r="D4" s="6">
        <v>714</v>
      </c>
      <c r="E4" s="5"/>
      <c r="G4" s="4"/>
      <c r="H4" s="131">
        <v>2018</v>
      </c>
      <c r="I4" s="130" t="s">
        <v>311</v>
      </c>
      <c r="J4">
        <v>20</v>
      </c>
      <c r="K4" s="80"/>
      <c r="L4" s="80"/>
      <c r="O4" s="5"/>
      <c r="P4" s="5"/>
      <c r="Q4" s="80"/>
      <c r="R4" s="80"/>
      <c r="S4" s="94"/>
      <c r="T4" s="133"/>
      <c r="U4" s="5">
        <v>38.939749829999997</v>
      </c>
      <c r="V4">
        <v>38.939749829999997</v>
      </c>
      <c r="W4" s="80">
        <f>+Tabelle2[[#This Row],[Vol_ha_22]]-Tabelle2[[#This Row],[Vol_2020]]</f>
        <v>0</v>
      </c>
      <c r="X4" s="80"/>
      <c r="Y4" s="80"/>
      <c r="Z4" s="80"/>
      <c r="AA4" s="5"/>
      <c r="AB4" s="80"/>
      <c r="AC4" s="80"/>
      <c r="AD4" s="80"/>
      <c r="AE4" s="80"/>
      <c r="AF4" s="134"/>
      <c r="AG4" s="6"/>
      <c r="AH4" s="5"/>
      <c r="AI4" s="134"/>
      <c r="AJ4" s="5"/>
      <c r="AK4" s="5"/>
      <c r="AL4" s="80"/>
      <c r="AM4" s="80"/>
      <c r="AN4">
        <f>IFERROR(Tabelle2[[#This Row],[Vol_ha_22]]*0.537836177777778*Carbon_Calculations!$R$9,0)</f>
        <v>24.084687144018591</v>
      </c>
    </row>
    <row r="5" spans="1:43" x14ac:dyDescent="0.3">
      <c r="A5" s="130" t="s">
        <v>180</v>
      </c>
      <c r="B5" s="130" t="s">
        <v>310</v>
      </c>
      <c r="C5" t="s">
        <v>208</v>
      </c>
      <c r="D5" s="6">
        <v>714</v>
      </c>
      <c r="E5" s="5"/>
      <c r="G5" s="4"/>
      <c r="H5" s="131">
        <v>2018</v>
      </c>
      <c r="I5" s="130" t="s">
        <v>310</v>
      </c>
      <c r="J5">
        <v>20</v>
      </c>
      <c r="K5" s="80"/>
      <c r="L5" s="80"/>
      <c r="O5" s="5"/>
      <c r="P5" s="5"/>
      <c r="Q5" s="80"/>
      <c r="R5" s="80"/>
      <c r="S5" s="94"/>
      <c r="T5" s="133"/>
      <c r="U5" s="5">
        <v>54.747157260000002</v>
      </c>
      <c r="V5">
        <v>54.747157260000002</v>
      </c>
      <c r="W5" s="80">
        <f>+Tabelle2[[#This Row],[Vol_ha_22]]-Tabelle2[[#This Row],[Vol_2020]]</f>
        <v>0</v>
      </c>
      <c r="X5" s="80"/>
      <c r="Y5" s="80"/>
      <c r="Z5" s="80"/>
      <c r="AA5" s="5"/>
      <c r="AB5" s="80"/>
      <c r="AC5" s="80"/>
      <c r="AD5" s="80"/>
      <c r="AE5" s="80"/>
      <c r="AF5" s="134"/>
      <c r="AG5" s="6"/>
      <c r="AH5" s="5"/>
      <c r="AI5" s="134"/>
      <c r="AJ5" s="5"/>
      <c r="AK5" s="5"/>
      <c r="AL5" s="80"/>
      <c r="AM5" s="80"/>
      <c r="AN5">
        <f>IFERROR(Tabelle2[[#This Row],[Vol_ha_22]]*0.537836177777778*Carbon_Calculations!$R$9,0)</f>
        <v>33.861752075654927</v>
      </c>
    </row>
    <row r="6" spans="1:43" x14ac:dyDescent="0.3">
      <c r="A6" s="130" t="s">
        <v>180</v>
      </c>
      <c r="B6" s="130" t="s">
        <v>307</v>
      </c>
      <c r="C6" t="s">
        <v>206</v>
      </c>
      <c r="D6" s="6">
        <v>714</v>
      </c>
      <c r="E6" s="5"/>
      <c r="G6" s="4"/>
      <c r="H6" s="131">
        <v>2019</v>
      </c>
      <c r="I6" s="130" t="s">
        <v>307</v>
      </c>
      <c r="J6">
        <v>20</v>
      </c>
      <c r="K6" s="80"/>
      <c r="L6" s="80"/>
      <c r="O6" s="5"/>
      <c r="P6" s="5"/>
      <c r="Q6" s="80"/>
      <c r="R6" s="80"/>
      <c r="S6" s="94"/>
      <c r="T6" s="133"/>
      <c r="U6" s="5">
        <v>40.737443599999999</v>
      </c>
      <c r="V6">
        <v>40.737443599999999</v>
      </c>
      <c r="W6" s="80">
        <f>+Tabelle2[[#This Row],[Vol_ha_22]]-Tabelle2[[#This Row],[Vol_2020]]</f>
        <v>0</v>
      </c>
      <c r="X6" s="80"/>
      <c r="Y6" s="80"/>
      <c r="Z6" s="80"/>
      <c r="AA6" s="5"/>
      <c r="AB6" s="80"/>
      <c r="AC6" s="80"/>
      <c r="AD6" s="80"/>
      <c r="AE6" s="80"/>
      <c r="AF6" s="134"/>
      <c r="AG6" s="6"/>
      <c r="AH6" s="5"/>
      <c r="AI6" s="134"/>
      <c r="AJ6" s="5"/>
      <c r="AK6" s="5"/>
      <c r="AL6" s="80"/>
      <c r="AM6" s="80"/>
      <c r="AN6">
        <f>IFERROR(Tabelle2[[#This Row],[Vol_ha_22]]*0.537836177777778*Carbon_Calculations!$R$9,0)</f>
        <v>25.196581602001075</v>
      </c>
    </row>
    <row r="7" spans="1:43" x14ac:dyDescent="0.3">
      <c r="A7" s="130" t="s">
        <v>180</v>
      </c>
      <c r="B7" s="130" t="s">
        <v>306</v>
      </c>
      <c r="C7" t="s">
        <v>206</v>
      </c>
      <c r="D7" s="6">
        <v>714</v>
      </c>
      <c r="E7" s="5"/>
      <c r="G7" s="4"/>
      <c r="H7" s="131">
        <v>2019</v>
      </c>
      <c r="I7" s="130" t="s">
        <v>306</v>
      </c>
      <c r="J7">
        <v>20</v>
      </c>
      <c r="K7" s="80"/>
      <c r="L7" s="80"/>
      <c r="O7" s="5"/>
      <c r="P7" s="5"/>
      <c r="Q7" s="80"/>
      <c r="R7" s="80"/>
      <c r="S7" s="94"/>
      <c r="T7" s="133"/>
      <c r="U7" s="5">
        <v>46.85721762</v>
      </c>
      <c r="V7">
        <v>46.85721762</v>
      </c>
      <c r="W7" s="80">
        <f>+Tabelle2[[#This Row],[Vol_ha_22]]-Tabelle2[[#This Row],[Vol_2020]]</f>
        <v>0</v>
      </c>
      <c r="X7" s="80"/>
      <c r="Y7" s="80"/>
      <c r="Z7" s="80"/>
      <c r="AA7" s="5"/>
      <c r="AB7" s="80"/>
      <c r="AC7" s="80"/>
      <c r="AD7" s="80"/>
      <c r="AE7" s="80"/>
      <c r="AF7" s="134"/>
      <c r="AG7" s="6"/>
      <c r="AH7" s="5"/>
      <c r="AI7" s="134"/>
      <c r="AJ7" s="5"/>
      <c r="AK7" s="5"/>
      <c r="AL7" s="80"/>
      <c r="AM7" s="80"/>
      <c r="AN7">
        <f>IFERROR(Tabelle2[[#This Row],[Vol_ha_22]]*0.537836177777778*Carbon_Calculations!$R$9,0)</f>
        <v>28.981732849948706</v>
      </c>
    </row>
    <row r="8" spans="1:43" x14ac:dyDescent="0.3">
      <c r="A8" s="130" t="s">
        <v>180</v>
      </c>
      <c r="B8" s="130" t="s">
        <v>308</v>
      </c>
      <c r="C8" t="s">
        <v>206</v>
      </c>
      <c r="D8" s="6">
        <v>714</v>
      </c>
      <c r="E8" s="5"/>
      <c r="G8" s="4"/>
      <c r="H8" s="131">
        <v>2019</v>
      </c>
      <c r="I8" s="130" t="s">
        <v>308</v>
      </c>
      <c r="J8">
        <v>20</v>
      </c>
      <c r="K8" s="80"/>
      <c r="L8" s="80"/>
      <c r="O8" s="5"/>
      <c r="P8" s="5"/>
      <c r="Q8" s="80"/>
      <c r="R8" s="80"/>
      <c r="S8" s="94"/>
      <c r="T8" s="133"/>
      <c r="U8" s="5">
        <v>44.07093837</v>
      </c>
      <c r="V8">
        <v>44.07093837</v>
      </c>
      <c r="W8" s="80">
        <f>+Tabelle2[[#This Row],[Vol_ha_22]]-Tabelle2[[#This Row],[Vol_2020]]</f>
        <v>0</v>
      </c>
      <c r="X8" s="80"/>
      <c r="Y8" s="80"/>
      <c r="Z8" s="80"/>
      <c r="AA8" s="5"/>
      <c r="AB8" s="80"/>
      <c r="AC8" s="80"/>
      <c r="AD8" s="80"/>
      <c r="AE8" s="80"/>
      <c r="AF8" s="134"/>
      <c r="AG8" s="6"/>
      <c r="AH8" s="5"/>
      <c r="AI8" s="134"/>
      <c r="AJ8" s="5"/>
      <c r="AK8" s="5"/>
      <c r="AL8" s="80"/>
      <c r="AM8" s="80"/>
      <c r="AN8">
        <f>IFERROR(Tabelle2[[#This Row],[Vol_ha_22]]*0.537836177777778*Carbon_Calculations!$R$9,0)</f>
        <v>27.258386800600942</v>
      </c>
    </row>
    <row r="9" spans="1:43" x14ac:dyDescent="0.3">
      <c r="A9" s="130" t="s">
        <v>180</v>
      </c>
      <c r="B9" s="130" t="s">
        <v>424</v>
      </c>
      <c r="C9" t="s">
        <v>266</v>
      </c>
      <c r="D9" s="6">
        <v>1000</v>
      </c>
      <c r="E9" s="5"/>
      <c r="G9" s="4"/>
      <c r="H9" s="131">
        <v>2018</v>
      </c>
      <c r="I9" s="130" t="s">
        <v>424</v>
      </c>
      <c r="J9">
        <v>20</v>
      </c>
      <c r="K9" s="80"/>
      <c r="L9" s="80"/>
      <c r="O9" s="5"/>
      <c r="P9" s="5"/>
      <c r="Q9" s="80"/>
      <c r="R9" s="80"/>
      <c r="S9" s="94"/>
      <c r="T9" s="133"/>
      <c r="U9" s="5">
        <v>129.63506520000001</v>
      </c>
      <c r="V9">
        <v>129.63506520000001</v>
      </c>
      <c r="W9" s="80">
        <f>+Tabelle2[[#This Row],[Vol_ha_22]]-Tabelle2[[#This Row],[Vol_2020]]</f>
        <v>0</v>
      </c>
      <c r="X9" s="80"/>
      <c r="Y9" s="80"/>
      <c r="Z9" s="80"/>
      <c r="AA9" s="5"/>
      <c r="AB9" s="80"/>
      <c r="AC9" s="80"/>
      <c r="AD9" s="80"/>
      <c r="AE9" s="80"/>
      <c r="AF9" s="134"/>
      <c r="AG9" s="6"/>
      <c r="AH9" s="5"/>
      <c r="AI9" s="134"/>
      <c r="AJ9" s="5"/>
      <c r="AK9" s="5"/>
      <c r="AL9" s="80"/>
      <c r="AM9" s="80"/>
      <c r="AN9">
        <f>IFERROR(Tabelle2[[#This Row],[Vol_ha_22]]*0.537836177777778*Carbon_Calculations!$R$9,0)</f>
        <v>80.180792169112209</v>
      </c>
    </row>
    <row r="10" spans="1:43" x14ac:dyDescent="0.3">
      <c r="A10" s="130" t="s">
        <v>180</v>
      </c>
      <c r="B10" s="130" t="s">
        <v>425</v>
      </c>
      <c r="C10" t="s">
        <v>266</v>
      </c>
      <c r="D10" s="6">
        <v>1000</v>
      </c>
      <c r="E10" s="5"/>
      <c r="G10" s="4"/>
      <c r="H10" s="131">
        <v>2018</v>
      </c>
      <c r="I10" s="130" t="s">
        <v>425</v>
      </c>
      <c r="J10">
        <v>20</v>
      </c>
      <c r="K10" s="80"/>
      <c r="L10" s="80"/>
      <c r="O10" s="5"/>
      <c r="P10" s="5"/>
      <c r="Q10" s="80"/>
      <c r="R10" s="80"/>
      <c r="S10" s="94"/>
      <c r="T10" s="133"/>
      <c r="U10" s="5">
        <v>112.11385610000001</v>
      </c>
      <c r="V10">
        <v>112.11385610000001</v>
      </c>
      <c r="W10" s="80">
        <f>+Tabelle2[[#This Row],[Vol_ha_22]]-Tabelle2[[#This Row],[Vol_2020]]</f>
        <v>0</v>
      </c>
      <c r="X10" s="80"/>
      <c r="Y10" s="80"/>
      <c r="Z10" s="80"/>
      <c r="AA10" s="5"/>
      <c r="AB10" s="80"/>
      <c r="AC10" s="80"/>
      <c r="AD10" s="80"/>
      <c r="AE10" s="80"/>
      <c r="AF10" s="134"/>
      <c r="AG10" s="6"/>
      <c r="AH10" s="5"/>
      <c r="AI10" s="134"/>
      <c r="AJ10" s="5"/>
      <c r="AK10" s="5"/>
      <c r="AL10" s="80"/>
      <c r="AM10" s="80"/>
      <c r="AN10">
        <f>IFERROR(Tabelle2[[#This Row],[Vol_ha_22]]*0.537836177777778*Carbon_Calculations!$R$9,0)</f>
        <v>69.343721016864606</v>
      </c>
    </row>
    <row r="11" spans="1:43" x14ac:dyDescent="0.3">
      <c r="A11" s="130" t="s">
        <v>180</v>
      </c>
      <c r="B11" s="130" t="s">
        <v>423</v>
      </c>
      <c r="C11" t="s">
        <v>266</v>
      </c>
      <c r="D11" s="6">
        <v>1000</v>
      </c>
      <c r="E11" s="5"/>
      <c r="G11" s="4"/>
      <c r="H11" s="131">
        <v>2018</v>
      </c>
      <c r="I11" s="130" t="s">
        <v>423</v>
      </c>
      <c r="J11">
        <v>20</v>
      </c>
      <c r="K11" s="80"/>
      <c r="L11" s="80"/>
      <c r="O11" s="5"/>
      <c r="P11" s="5"/>
      <c r="Q11" s="80"/>
      <c r="R11" s="80"/>
      <c r="S11" s="94"/>
      <c r="T11" s="133"/>
      <c r="U11" s="5">
        <v>69.614125110000003</v>
      </c>
      <c r="V11">
        <v>69.614125110000003</v>
      </c>
      <c r="W11" s="80">
        <f>+Tabelle2[[#This Row],[Vol_ha_22]]-Tabelle2[[#This Row],[Vol_2020]]</f>
        <v>0</v>
      </c>
      <c r="X11" s="80"/>
      <c r="Y11" s="80"/>
      <c r="Z11" s="80"/>
      <c r="AA11" s="5"/>
      <c r="AB11" s="80"/>
      <c r="AC11" s="80"/>
      <c r="AD11" s="80"/>
      <c r="AE11" s="80"/>
      <c r="AF11" s="134"/>
      <c r="AG11" s="6"/>
      <c r="AH11" s="5"/>
      <c r="AI11" s="134"/>
      <c r="AJ11" s="5"/>
      <c r="AK11" s="5"/>
      <c r="AL11" s="80"/>
      <c r="AM11" s="80"/>
      <c r="AN11">
        <f>IFERROR(Tabelle2[[#This Row],[Vol_ha_22]]*0.537836177777778*Carbon_Calculations!$R$9,0)</f>
        <v>43.057144213782408</v>
      </c>
    </row>
    <row r="12" spans="1:43" x14ac:dyDescent="0.3">
      <c r="A12" s="130" t="s">
        <v>180</v>
      </c>
      <c r="B12" s="130" t="s">
        <v>437</v>
      </c>
      <c r="C12" t="s">
        <v>269</v>
      </c>
      <c r="D12" s="6">
        <v>1000</v>
      </c>
      <c r="E12" s="5"/>
      <c r="G12" s="4"/>
      <c r="H12" s="131">
        <v>2018</v>
      </c>
      <c r="I12" s="130" t="s">
        <v>437</v>
      </c>
      <c r="J12">
        <v>20</v>
      </c>
      <c r="K12" s="80"/>
      <c r="L12" s="80"/>
      <c r="O12" s="5"/>
      <c r="P12" s="5"/>
      <c r="Q12" s="80"/>
      <c r="R12" s="80"/>
      <c r="S12" s="94"/>
      <c r="T12" s="133"/>
      <c r="U12" s="5">
        <v>105.4723635</v>
      </c>
      <c r="V12">
        <v>105.4723635</v>
      </c>
      <c r="W12" s="80">
        <f>+Tabelle2[[#This Row],[Vol_ha_22]]-Tabelle2[[#This Row],[Vol_2020]]</f>
        <v>0</v>
      </c>
      <c r="X12" s="80"/>
      <c r="Y12" s="80"/>
      <c r="Z12" s="80"/>
      <c r="AA12" s="5"/>
      <c r="AB12" s="80"/>
      <c r="AC12" s="80"/>
      <c r="AD12" s="80"/>
      <c r="AE12" s="80"/>
      <c r="AF12" s="134"/>
      <c r="AG12" s="6"/>
      <c r="AH12" s="5"/>
      <c r="AI12" s="134"/>
      <c r="AJ12" s="5"/>
      <c r="AK12" s="5"/>
      <c r="AL12" s="80"/>
      <c r="AM12" s="80"/>
      <c r="AN12">
        <f>IFERROR(Tabelle2[[#This Row],[Vol_ha_22]]*0.537836177777778*Carbon_Calculations!$R$9,0)</f>
        <v>65.235880772932688</v>
      </c>
    </row>
    <row r="13" spans="1:43" x14ac:dyDescent="0.3">
      <c r="A13" s="130" t="s">
        <v>180</v>
      </c>
      <c r="B13" s="130" t="s">
        <v>439</v>
      </c>
      <c r="C13" t="s">
        <v>269</v>
      </c>
      <c r="D13" s="6">
        <v>1000</v>
      </c>
      <c r="E13" s="5"/>
      <c r="G13" s="4"/>
      <c r="H13" s="131">
        <v>2018</v>
      </c>
      <c r="I13" s="130" t="s">
        <v>439</v>
      </c>
      <c r="J13">
        <v>20</v>
      </c>
      <c r="K13" s="80"/>
      <c r="L13" s="80"/>
      <c r="O13" s="5"/>
      <c r="P13" s="5"/>
      <c r="Q13" s="80"/>
      <c r="R13" s="80"/>
      <c r="S13" s="94"/>
      <c r="T13" s="133"/>
      <c r="U13" s="5">
        <v>90.042684480000005</v>
      </c>
      <c r="V13">
        <v>90.042684480000005</v>
      </c>
      <c r="W13" s="80">
        <f>+Tabelle2[[#This Row],[Vol_ha_22]]-Tabelle2[[#This Row],[Vol_2020]]</f>
        <v>0</v>
      </c>
      <c r="X13" s="80"/>
      <c r="Y13" s="80"/>
      <c r="Z13" s="80"/>
      <c r="AA13" s="5"/>
      <c r="AB13" s="80"/>
      <c r="AC13" s="80"/>
      <c r="AD13" s="80"/>
      <c r="AE13" s="80"/>
      <c r="AF13" s="134"/>
      <c r="AG13" s="6"/>
      <c r="AH13" s="5"/>
      <c r="AI13" s="134"/>
      <c r="AJ13" s="5"/>
      <c r="AK13" s="5"/>
      <c r="AL13" s="80"/>
      <c r="AM13" s="80"/>
      <c r="AN13">
        <f>IFERROR(Tabelle2[[#This Row],[Vol_ha_22]]*0.537836177777778*Carbon_Calculations!$R$9,0)</f>
        <v>55.692445246209701</v>
      </c>
    </row>
    <row r="14" spans="1:43" x14ac:dyDescent="0.3">
      <c r="A14" s="130" t="s">
        <v>180</v>
      </c>
      <c r="B14" s="130" t="s">
        <v>440</v>
      </c>
      <c r="C14" t="s">
        <v>274</v>
      </c>
      <c r="D14" s="6">
        <v>1000</v>
      </c>
      <c r="E14" s="5"/>
      <c r="G14" s="4"/>
      <c r="H14" s="131">
        <v>2018</v>
      </c>
      <c r="I14" s="130" t="s">
        <v>440</v>
      </c>
      <c r="J14">
        <v>20</v>
      </c>
      <c r="K14" s="80"/>
      <c r="L14" s="80"/>
      <c r="O14" s="5"/>
      <c r="P14" s="5"/>
      <c r="Q14" s="80"/>
      <c r="R14" s="80"/>
      <c r="S14" s="94"/>
      <c r="T14" s="133"/>
      <c r="U14" s="5">
        <v>99.203221389999996</v>
      </c>
      <c r="V14">
        <v>99.203221389999996</v>
      </c>
      <c r="W14" s="80">
        <f>+Tabelle2[[#This Row],[Vol_ha_22]]-Tabelle2[[#This Row],[Vol_2020]]</f>
        <v>0</v>
      </c>
      <c r="X14" s="80"/>
      <c r="Y14" s="80"/>
      <c r="Z14" s="80"/>
      <c r="AA14" s="5"/>
      <c r="AB14" s="80"/>
      <c r="AC14" s="80"/>
      <c r="AD14" s="80"/>
      <c r="AE14" s="80"/>
      <c r="AF14" s="134"/>
      <c r="AG14" s="6"/>
      <c r="AH14" s="5"/>
      <c r="AI14" s="134"/>
      <c r="AJ14" s="5"/>
      <c r="AK14" s="5"/>
      <c r="AL14" s="80"/>
      <c r="AM14" s="80"/>
      <c r="AN14">
        <f>IFERROR(Tabelle2[[#This Row],[Vol_ha_22]]*0.537836177777778*Carbon_Calculations!$R$9,0)</f>
        <v>61.358343627986358</v>
      </c>
    </row>
    <row r="15" spans="1:43" x14ac:dyDescent="0.3">
      <c r="A15" s="130" t="s">
        <v>180</v>
      </c>
      <c r="B15" s="130" t="s">
        <v>343</v>
      </c>
      <c r="C15" t="s">
        <v>226</v>
      </c>
      <c r="D15" s="6">
        <v>714</v>
      </c>
      <c r="E15" s="5"/>
      <c r="G15" s="4"/>
      <c r="H15" s="131">
        <v>2018</v>
      </c>
      <c r="I15" s="130" t="s">
        <v>343</v>
      </c>
      <c r="J15">
        <v>20</v>
      </c>
      <c r="K15" s="80"/>
      <c r="L15" s="80"/>
      <c r="O15" s="5"/>
      <c r="P15" s="5"/>
      <c r="Q15" s="80"/>
      <c r="R15" s="80"/>
      <c r="S15" s="94"/>
      <c r="T15" s="133"/>
      <c r="U15" s="5">
        <v>73.301243999999997</v>
      </c>
      <c r="V15">
        <v>73.301243999999997</v>
      </c>
      <c r="W15" s="80">
        <f>+Tabelle2[[#This Row],[Vol_ha_22]]-Tabelle2[[#This Row],[Vol_2020]]</f>
        <v>0</v>
      </c>
      <c r="X15" s="80"/>
      <c r="Y15" s="80"/>
      <c r="Z15" s="80"/>
      <c r="AA15" s="5"/>
      <c r="AB15" s="80"/>
      <c r="AC15" s="80"/>
      <c r="AD15" s="80"/>
      <c r="AE15" s="80"/>
      <c r="AF15" s="134"/>
      <c r="AG15" s="6"/>
      <c r="AH15" s="5"/>
      <c r="AI15" s="134"/>
      <c r="AJ15" s="5"/>
      <c r="AK15" s="5"/>
      <c r="AL15" s="80"/>
      <c r="AM15" s="80"/>
      <c r="AN15">
        <f>IFERROR(Tabelle2[[#This Row],[Vol_ha_22]]*0.537836177777778*Carbon_Calculations!$R$9,0)</f>
        <v>45.337670034213723</v>
      </c>
    </row>
    <row r="16" spans="1:43" x14ac:dyDescent="0.3">
      <c r="A16" s="130" t="s">
        <v>180</v>
      </c>
      <c r="B16" s="130" t="s">
        <v>344</v>
      </c>
      <c r="C16" t="s">
        <v>226</v>
      </c>
      <c r="D16" s="6">
        <v>714</v>
      </c>
      <c r="E16" s="5"/>
      <c r="G16" s="4"/>
      <c r="H16" s="131">
        <v>2018</v>
      </c>
      <c r="I16" s="130" t="s">
        <v>344</v>
      </c>
      <c r="J16">
        <v>20</v>
      </c>
      <c r="K16" s="80"/>
      <c r="L16" s="80"/>
      <c r="O16" s="5"/>
      <c r="P16" s="5"/>
      <c r="Q16" s="80"/>
      <c r="R16" s="80"/>
      <c r="S16" s="94"/>
      <c r="T16" s="133"/>
      <c r="U16" s="5">
        <v>118.3712833</v>
      </c>
      <c r="V16">
        <v>118.3712833</v>
      </c>
      <c r="W16" s="80">
        <f>+Tabelle2[[#This Row],[Vol_ha_22]]-Tabelle2[[#This Row],[Vol_2020]]</f>
        <v>0</v>
      </c>
      <c r="X16" s="80"/>
      <c r="Y16" s="80"/>
      <c r="Z16" s="80"/>
      <c r="AA16" s="5"/>
      <c r="AB16" s="80"/>
      <c r="AC16" s="80"/>
      <c r="AD16" s="80"/>
      <c r="AE16" s="80"/>
      <c r="AF16" s="134"/>
      <c r="AG16" s="6"/>
      <c r="AH16" s="5"/>
      <c r="AI16" s="134"/>
      <c r="AJ16" s="5"/>
      <c r="AK16" s="5"/>
      <c r="AL16" s="80"/>
      <c r="AM16" s="80"/>
      <c r="AN16">
        <f>IFERROR(Tabelle2[[#This Row],[Vol_ha_22]]*0.537836177777778*Carbon_Calculations!$R$9,0)</f>
        <v>73.214012354030899</v>
      </c>
    </row>
    <row r="17" spans="1:40" x14ac:dyDescent="0.3">
      <c r="A17" s="130" t="s">
        <v>180</v>
      </c>
      <c r="B17" s="130" t="s">
        <v>341</v>
      </c>
      <c r="C17" t="s">
        <v>226</v>
      </c>
      <c r="D17" s="6">
        <v>714</v>
      </c>
      <c r="E17" s="5"/>
      <c r="G17" s="4"/>
      <c r="H17" s="131">
        <v>2018</v>
      </c>
      <c r="I17" s="130" t="s">
        <v>341</v>
      </c>
      <c r="J17">
        <v>20</v>
      </c>
      <c r="K17" s="80"/>
      <c r="L17" s="80"/>
      <c r="O17" s="5"/>
      <c r="P17" s="5"/>
      <c r="Q17" s="80"/>
      <c r="R17" s="80"/>
      <c r="S17" s="94"/>
      <c r="T17" s="133"/>
      <c r="U17" s="5">
        <v>92.766252339999994</v>
      </c>
      <c r="V17">
        <v>92.766252339999994</v>
      </c>
      <c r="W17" s="80">
        <f>+Tabelle2[[#This Row],[Vol_ha_22]]-Tabelle2[[#This Row],[Vol_2020]]</f>
        <v>0</v>
      </c>
      <c r="X17" s="80"/>
      <c r="Y17" s="80"/>
      <c r="Z17" s="80"/>
      <c r="AA17" s="5"/>
      <c r="AB17" s="80"/>
      <c r="AC17" s="80"/>
      <c r="AD17" s="80"/>
      <c r="AE17" s="80"/>
      <c r="AF17" s="134"/>
      <c r="AG17" s="6"/>
      <c r="AH17" s="5"/>
      <c r="AI17" s="134"/>
      <c r="AJ17" s="5"/>
      <c r="AK17" s="5"/>
      <c r="AL17" s="80"/>
      <c r="AM17" s="80"/>
      <c r="AN17">
        <f>IFERROR(Tabelle2[[#This Row],[Vol_ha_22]]*0.537836177777778*Carbon_Calculations!$R$9,0)</f>
        <v>57.377003573111615</v>
      </c>
    </row>
    <row r="18" spans="1:40" x14ac:dyDescent="0.3">
      <c r="A18" s="130" t="s">
        <v>180</v>
      </c>
      <c r="B18" s="130" t="s">
        <v>336</v>
      </c>
      <c r="C18" t="s">
        <v>228</v>
      </c>
      <c r="D18" s="6">
        <v>714</v>
      </c>
      <c r="E18" s="5"/>
      <c r="G18" s="4"/>
      <c r="H18" s="131">
        <v>2019</v>
      </c>
      <c r="I18" s="130" t="s">
        <v>336</v>
      </c>
      <c r="J18">
        <v>20</v>
      </c>
      <c r="K18" s="80"/>
      <c r="L18" s="80"/>
      <c r="O18" s="5"/>
      <c r="P18" s="5"/>
      <c r="Q18" s="80"/>
      <c r="R18" s="80"/>
      <c r="S18" s="94"/>
      <c r="T18" s="133"/>
      <c r="U18" s="5">
        <v>109.095221</v>
      </c>
      <c r="V18">
        <v>109.095221</v>
      </c>
      <c r="W18" s="80">
        <f>+Tabelle2[[#This Row],[Vol_ha_22]]-Tabelle2[[#This Row],[Vol_2020]]</f>
        <v>0</v>
      </c>
      <c r="X18" s="80"/>
      <c r="Y18" s="80"/>
      <c r="Z18" s="80"/>
      <c r="AA18" s="5"/>
      <c r="AB18" s="80"/>
      <c r="AC18" s="80"/>
      <c r="AD18" s="80"/>
      <c r="AE18" s="80"/>
      <c r="AF18" s="134"/>
      <c r="AG18" s="6"/>
      <c r="AH18" s="5"/>
      <c r="AI18" s="134"/>
      <c r="AJ18" s="5"/>
      <c r="AK18" s="5"/>
      <c r="AL18" s="80"/>
      <c r="AM18" s="80"/>
      <c r="AN18">
        <f>IFERROR(Tabelle2[[#This Row],[Vol_ha_22]]*0.537836177777778*Carbon_Calculations!$R$9,0)</f>
        <v>67.476660177931279</v>
      </c>
    </row>
    <row r="19" spans="1:40" x14ac:dyDescent="0.3">
      <c r="A19" s="130" t="s">
        <v>180</v>
      </c>
      <c r="B19" s="130" t="s">
        <v>342</v>
      </c>
      <c r="C19" t="s">
        <v>226</v>
      </c>
      <c r="D19" s="6">
        <v>714</v>
      </c>
      <c r="E19" s="5"/>
      <c r="G19" s="4"/>
      <c r="H19" s="131">
        <v>2018</v>
      </c>
      <c r="I19" s="130" t="s">
        <v>342</v>
      </c>
      <c r="J19">
        <v>20</v>
      </c>
      <c r="K19" s="80"/>
      <c r="L19" s="80"/>
      <c r="O19" s="5"/>
      <c r="P19" s="5"/>
      <c r="Q19" s="80"/>
      <c r="R19" s="80"/>
      <c r="S19" s="94"/>
      <c r="T19" s="133"/>
      <c r="U19" s="5">
        <v>110.9779429</v>
      </c>
      <c r="V19">
        <v>110.9779429</v>
      </c>
      <c r="W19" s="80">
        <f>+Tabelle2[[#This Row],[Vol_ha_22]]-Tabelle2[[#This Row],[Vol_2020]]</f>
        <v>0</v>
      </c>
      <c r="X19" s="80"/>
      <c r="Y19" s="80"/>
      <c r="Z19" s="80"/>
      <c r="AA19" s="5"/>
      <c r="AB19" s="80"/>
      <c r="AC19" s="80"/>
      <c r="AD19" s="80"/>
      <c r="AE19" s="80"/>
      <c r="AF19" s="134"/>
      <c r="AG19" s="6"/>
      <c r="AH19" s="5"/>
      <c r="AI19" s="134"/>
      <c r="AJ19" s="5"/>
      <c r="AK19" s="5"/>
      <c r="AL19" s="80"/>
      <c r="AM19" s="80"/>
      <c r="AN19">
        <f>IFERROR(Tabelle2[[#This Row],[Vol_ha_22]]*0.537836177777778*Carbon_Calculations!$R$9,0)</f>
        <v>68.641145521022978</v>
      </c>
    </row>
    <row r="20" spans="1:40" x14ac:dyDescent="0.3">
      <c r="A20" s="130" t="s">
        <v>180</v>
      </c>
      <c r="B20" s="130" t="s">
        <v>337</v>
      </c>
      <c r="C20" t="s">
        <v>228</v>
      </c>
      <c r="D20" s="6">
        <v>714</v>
      </c>
      <c r="E20" s="5"/>
      <c r="G20" s="4"/>
      <c r="H20" s="131">
        <v>2019</v>
      </c>
      <c r="I20" s="130" t="s">
        <v>337</v>
      </c>
      <c r="J20">
        <v>20</v>
      </c>
      <c r="K20" s="80"/>
      <c r="L20" s="80"/>
      <c r="O20" s="5"/>
      <c r="P20" s="5"/>
      <c r="Q20" s="80"/>
      <c r="R20" s="80"/>
      <c r="S20" s="94"/>
      <c r="T20" s="133"/>
      <c r="U20" s="5">
        <v>116.85673199999999</v>
      </c>
      <c r="V20">
        <v>116.85673199999999</v>
      </c>
      <c r="W20" s="80">
        <f>+Tabelle2[[#This Row],[Vol_ha_22]]-Tabelle2[[#This Row],[Vol_2020]]</f>
        <v>0</v>
      </c>
      <c r="X20" s="80"/>
      <c r="Y20" s="80"/>
      <c r="Z20" s="80"/>
      <c r="AA20" s="5"/>
      <c r="AB20" s="80"/>
      <c r="AC20" s="80"/>
      <c r="AD20" s="80"/>
      <c r="AE20" s="80"/>
      <c r="AF20" s="134"/>
      <c r="AG20" s="6"/>
      <c r="AH20" s="5"/>
      <c r="AI20" s="134"/>
      <c r="AJ20" s="5"/>
      <c r="AK20" s="5"/>
      <c r="AL20" s="80"/>
      <c r="AM20" s="80"/>
      <c r="AN20">
        <f>IFERROR(Tabelle2[[#This Row],[Vol_ha_22]]*0.537836177777778*Carbon_Calculations!$R$9,0)</f>
        <v>72.277244799454479</v>
      </c>
    </row>
    <row r="21" spans="1:40" x14ac:dyDescent="0.3">
      <c r="A21" s="130" t="s">
        <v>180</v>
      </c>
      <c r="B21" s="130" t="s">
        <v>339</v>
      </c>
      <c r="C21" t="s">
        <v>228</v>
      </c>
      <c r="D21" s="6">
        <v>714</v>
      </c>
      <c r="E21" s="5"/>
      <c r="G21" s="4"/>
      <c r="H21" s="131">
        <v>2019</v>
      </c>
      <c r="I21" s="130" t="s">
        <v>339</v>
      </c>
      <c r="J21">
        <v>20</v>
      </c>
      <c r="K21" s="80"/>
      <c r="L21" s="80"/>
      <c r="O21" s="5"/>
      <c r="P21" s="5"/>
      <c r="Q21" s="80"/>
      <c r="R21" s="80"/>
      <c r="S21" s="94"/>
      <c r="T21" s="133"/>
      <c r="U21" s="5">
        <v>68.371201651878351</v>
      </c>
      <c r="V21" s="5">
        <v>68.371201651878351</v>
      </c>
      <c r="W21" s="80">
        <f>+Tabelle2[[#This Row],[Vol_ha_22]]-Tabelle2[[#This Row],[Vol_2020]]</f>
        <v>0</v>
      </c>
      <c r="X21" s="80"/>
      <c r="Y21" s="80"/>
      <c r="Z21" s="80"/>
      <c r="AA21" s="5"/>
      <c r="AB21" s="80"/>
      <c r="AC21" s="80"/>
      <c r="AD21" s="80"/>
      <c r="AE21" s="80"/>
      <c r="AF21" s="134"/>
      <c r="AG21" s="6"/>
      <c r="AH21" s="5"/>
      <c r="AI21" s="134"/>
      <c r="AJ21" s="5"/>
      <c r="AK21" s="5"/>
      <c r="AL21" s="80"/>
      <c r="AM21" s="80"/>
      <c r="AN21">
        <f>IFERROR(Tabelle2[[#This Row],[Vol_ha_22]]*0.537836177777778*Carbon_Calculations!$R$9,0)</f>
        <v>42.288381631497948</v>
      </c>
    </row>
    <row r="22" spans="1:40" x14ac:dyDescent="0.3">
      <c r="A22" s="130" t="s">
        <v>180</v>
      </c>
      <c r="B22" s="130" t="s">
        <v>335</v>
      </c>
      <c r="C22" t="s">
        <v>226</v>
      </c>
      <c r="D22" s="6">
        <v>714</v>
      </c>
      <c r="E22" s="5"/>
      <c r="G22" s="4"/>
      <c r="H22" s="131">
        <v>2018</v>
      </c>
      <c r="I22" s="130" t="s">
        <v>335</v>
      </c>
      <c r="J22">
        <v>20</v>
      </c>
      <c r="K22" s="80"/>
      <c r="L22" s="80"/>
      <c r="O22" s="5"/>
      <c r="P22" s="5"/>
      <c r="Q22" s="80"/>
      <c r="R22" s="80"/>
      <c r="S22" s="94"/>
      <c r="T22" s="133"/>
      <c r="U22" s="5">
        <v>57.315850973808224</v>
      </c>
      <c r="V22" s="5">
        <v>57.315850973808224</v>
      </c>
      <c r="W22" s="80">
        <f>+Tabelle2[[#This Row],[Vol_ha_22]]-Tabelle2[[#This Row],[Vol_2020]]</f>
        <v>0</v>
      </c>
      <c r="X22" s="80"/>
      <c r="Y22" s="80"/>
      <c r="Z22" s="80"/>
      <c r="AA22" s="5"/>
      <c r="AB22" s="80"/>
      <c r="AC22" s="80"/>
      <c r="AD22" s="80"/>
      <c r="AE22" s="80"/>
      <c r="AF22" s="134"/>
      <c r="AG22" s="6"/>
      <c r="AH22" s="5"/>
      <c r="AI22" s="134"/>
      <c r="AJ22" s="5"/>
      <c r="AK22" s="5"/>
      <c r="AL22" s="80"/>
      <c r="AM22" s="80"/>
      <c r="AN22">
        <f>IFERROR(Tabelle2[[#This Row],[Vol_ha_22]]*0.537836177777778*Carbon_Calculations!$R$9,0)</f>
        <v>35.450518945908811</v>
      </c>
    </row>
    <row r="23" spans="1:40" x14ac:dyDescent="0.3">
      <c r="A23" s="130" t="s">
        <v>180</v>
      </c>
      <c r="B23" s="130" t="s">
        <v>304</v>
      </c>
      <c r="C23" t="s">
        <v>192</v>
      </c>
      <c r="D23" s="6">
        <v>714</v>
      </c>
      <c r="E23" s="5"/>
      <c r="G23" s="4"/>
      <c r="H23" s="131">
        <v>2018</v>
      </c>
      <c r="I23" s="130" t="s">
        <v>304</v>
      </c>
      <c r="J23">
        <v>20</v>
      </c>
      <c r="K23" s="80"/>
      <c r="L23" s="80"/>
      <c r="O23" s="5"/>
      <c r="P23" s="5"/>
      <c r="Q23" s="80"/>
      <c r="R23" s="80"/>
      <c r="S23" s="94"/>
      <c r="T23" s="133"/>
      <c r="U23" s="5">
        <v>61.447104278556289</v>
      </c>
      <c r="V23" s="5">
        <v>61.447104278556289</v>
      </c>
      <c r="W23" s="80">
        <f>+Tabelle2[[#This Row],[Vol_ha_22]]-Tabelle2[[#This Row],[Vol_2020]]</f>
        <v>0</v>
      </c>
      <c r="X23" s="80"/>
      <c r="Y23" s="80"/>
      <c r="Z23" s="80"/>
      <c r="AA23" s="5"/>
      <c r="AB23" s="80"/>
      <c r="AC23" s="80"/>
      <c r="AD23" s="80"/>
      <c r="AE23" s="80"/>
      <c r="AF23" s="134"/>
      <c r="AG23" s="6"/>
      <c r="AH23" s="5"/>
      <c r="AI23" s="134"/>
      <c r="AJ23" s="5"/>
      <c r="AK23" s="5"/>
      <c r="AL23" s="80"/>
      <c r="AM23" s="80"/>
      <c r="AN23">
        <f>IFERROR(Tabelle2[[#This Row],[Vol_ha_22]]*0.537836177777778*Carbon_Calculations!$R$9,0)</f>
        <v>38.005747055794949</v>
      </c>
    </row>
    <row r="24" spans="1:40" x14ac:dyDescent="0.3">
      <c r="A24" s="130" t="s">
        <v>180</v>
      </c>
      <c r="B24" s="130" t="s">
        <v>305</v>
      </c>
      <c r="C24" t="s">
        <v>192</v>
      </c>
      <c r="D24" s="6">
        <v>714</v>
      </c>
      <c r="E24" s="5"/>
      <c r="G24" s="4"/>
      <c r="H24" s="131">
        <v>2018</v>
      </c>
      <c r="I24" s="130" t="s">
        <v>305</v>
      </c>
      <c r="J24">
        <v>20</v>
      </c>
      <c r="K24" s="80"/>
      <c r="L24" s="80"/>
      <c r="O24" s="5"/>
      <c r="P24" s="5"/>
      <c r="Q24" s="80"/>
      <c r="R24" s="80"/>
      <c r="S24" s="94"/>
      <c r="T24" s="133"/>
      <c r="U24" s="5">
        <v>76.002255513851892</v>
      </c>
      <c r="V24" s="5">
        <v>76.002255513851892</v>
      </c>
      <c r="W24" s="80">
        <f>+Tabelle2[[#This Row],[Vol_ha_22]]-Tabelle2[[#This Row],[Vol_2020]]</f>
        <v>0</v>
      </c>
      <c r="X24" s="80"/>
      <c r="Y24" s="80"/>
      <c r="Z24" s="80"/>
      <c r="AA24" s="5"/>
      <c r="AB24" s="80"/>
      <c r="AC24" s="80"/>
      <c r="AD24" s="80"/>
      <c r="AE24" s="80"/>
      <c r="AF24" s="134"/>
      <c r="AG24" s="6"/>
      <c r="AH24" s="5"/>
      <c r="AI24" s="134"/>
      <c r="AJ24" s="5"/>
      <c r="AK24" s="5"/>
      <c r="AL24" s="80"/>
      <c r="AM24" s="80"/>
      <c r="AN24">
        <f>IFERROR(Tabelle2[[#This Row],[Vol_ha_22]]*0.537836177777778*Carbon_Calculations!$R$9,0)</f>
        <v>47.008276999269171</v>
      </c>
    </row>
    <row r="25" spans="1:40" x14ac:dyDescent="0.3">
      <c r="A25" s="130" t="s">
        <v>180</v>
      </c>
      <c r="B25" s="130" t="s">
        <v>366</v>
      </c>
      <c r="C25" t="s">
        <v>240</v>
      </c>
      <c r="D25" s="6">
        <v>714</v>
      </c>
      <c r="E25" s="5"/>
      <c r="G25" s="4"/>
      <c r="H25" s="131">
        <v>2019</v>
      </c>
      <c r="I25" s="130" t="s">
        <v>366</v>
      </c>
      <c r="J25">
        <v>20</v>
      </c>
      <c r="K25" s="80"/>
      <c r="L25" s="80"/>
      <c r="O25" s="5"/>
      <c r="P25" s="5"/>
      <c r="Q25" s="80"/>
      <c r="R25" s="80"/>
      <c r="S25" s="94"/>
      <c r="T25" s="133"/>
      <c r="U25" s="5">
        <v>73.991412811090825</v>
      </c>
      <c r="V25" s="5">
        <v>73.991412811090825</v>
      </c>
      <c r="W25" s="80">
        <f>+Tabelle2[[#This Row],[Vol_ha_22]]-Tabelle2[[#This Row],[Vol_2020]]</f>
        <v>0</v>
      </c>
      <c r="X25" s="80"/>
      <c r="Y25" s="80"/>
      <c r="Z25" s="80"/>
      <c r="AA25" s="5"/>
      <c r="AB25" s="80"/>
      <c r="AC25" s="80"/>
      <c r="AD25" s="80"/>
      <c r="AE25" s="80"/>
      <c r="AF25" s="134"/>
      <c r="AG25" s="6"/>
      <c r="AH25" s="5"/>
      <c r="AI25" s="134"/>
      <c r="AJ25" s="5"/>
      <c r="AK25" s="5"/>
      <c r="AL25" s="80"/>
      <c r="AM25" s="80"/>
      <c r="AN25">
        <f>IFERROR(Tabelle2[[#This Row],[Vol_ha_22]]*0.537836177777778*Carbon_Calculations!$R$9,0)</f>
        <v>45.764547452899023</v>
      </c>
    </row>
    <row r="26" spans="1:40" x14ac:dyDescent="0.3">
      <c r="A26" s="130" t="s">
        <v>180</v>
      </c>
      <c r="B26" s="130" t="s">
        <v>364</v>
      </c>
      <c r="C26" t="s">
        <v>240</v>
      </c>
      <c r="D26" s="6">
        <v>714</v>
      </c>
      <c r="E26" s="5"/>
      <c r="G26" s="4"/>
      <c r="H26" s="131">
        <v>2019</v>
      </c>
      <c r="I26" s="130" t="s">
        <v>364</v>
      </c>
      <c r="J26">
        <v>20</v>
      </c>
      <c r="K26" s="80"/>
      <c r="L26" s="80"/>
      <c r="O26" s="5"/>
      <c r="P26" s="5"/>
      <c r="Q26" s="80"/>
      <c r="R26" s="80"/>
      <c r="S26" s="94"/>
      <c r="T26" s="133"/>
      <c r="U26" s="5">
        <v>81.062293546627728</v>
      </c>
      <c r="V26" s="5">
        <v>81.062293546627728</v>
      </c>
      <c r="W26" s="80">
        <f>+Tabelle2[[#This Row],[Vol_ha_22]]-Tabelle2[[#This Row],[Vol_2020]]</f>
        <v>0</v>
      </c>
      <c r="X26" s="80"/>
      <c r="Y26" s="80"/>
      <c r="Z26" s="80"/>
      <c r="AA26" s="5"/>
      <c r="AB26" s="80"/>
      <c r="AC26" s="80"/>
      <c r="AD26" s="80"/>
      <c r="AE26" s="80"/>
      <c r="AF26" s="134"/>
      <c r="AG26" s="6"/>
      <c r="AH26" s="5"/>
      <c r="AI26" s="134"/>
      <c r="AJ26" s="5"/>
      <c r="AK26" s="5"/>
      <c r="AL26" s="80"/>
      <c r="AM26" s="80"/>
      <c r="AN26">
        <f>IFERROR(Tabelle2[[#This Row],[Vol_ha_22]]*0.537836177777778*Carbon_Calculations!$R$9,0)</f>
        <v>50.137969241471268</v>
      </c>
    </row>
    <row r="27" spans="1:40" x14ac:dyDescent="0.3">
      <c r="A27" s="130" t="s">
        <v>180</v>
      </c>
      <c r="B27" s="130" t="s">
        <v>367</v>
      </c>
      <c r="C27" t="s">
        <v>240</v>
      </c>
      <c r="D27" s="6">
        <v>714</v>
      </c>
      <c r="E27" s="5"/>
      <c r="G27" s="4"/>
      <c r="H27" s="131">
        <v>2019</v>
      </c>
      <c r="I27" s="130" t="s">
        <v>367</v>
      </c>
      <c r="J27">
        <v>20</v>
      </c>
      <c r="K27" s="80"/>
      <c r="L27" s="80"/>
      <c r="O27" s="5"/>
      <c r="P27" s="5"/>
      <c r="Q27" s="80"/>
      <c r="R27" s="80"/>
      <c r="S27" s="94"/>
      <c r="T27" s="133"/>
      <c r="U27" s="5">
        <v>76.874284942510954</v>
      </c>
      <c r="V27" s="5">
        <v>76.874284942510954</v>
      </c>
      <c r="W27" s="80">
        <f>+Tabelle2[[#This Row],[Vol_ha_22]]-Tabelle2[[#This Row],[Vol_2020]]</f>
        <v>0</v>
      </c>
      <c r="X27" s="80"/>
      <c r="Y27" s="80"/>
      <c r="Z27" s="80"/>
      <c r="AA27" s="5"/>
      <c r="AB27" s="80"/>
      <c r="AC27" s="80"/>
      <c r="AD27" s="80"/>
      <c r="AE27" s="80"/>
      <c r="AF27" s="134"/>
      <c r="AG27" s="6"/>
      <c r="AH27" s="5"/>
      <c r="AI27" s="134"/>
      <c r="AJ27" s="5"/>
      <c r="AK27" s="5"/>
      <c r="AL27" s="80"/>
      <c r="AM27" s="80"/>
      <c r="AN27">
        <f>IFERROR(Tabelle2[[#This Row],[Vol_ha_22]]*0.537836177777778*Carbon_Calculations!$R$9,0)</f>
        <v>47.547637320311864</v>
      </c>
    </row>
    <row r="28" spans="1:40" x14ac:dyDescent="0.3">
      <c r="A28" s="130" t="s">
        <v>180</v>
      </c>
      <c r="B28" s="130" t="s">
        <v>365</v>
      </c>
      <c r="C28" t="s">
        <v>240</v>
      </c>
      <c r="D28" s="6">
        <v>714</v>
      </c>
      <c r="E28" s="5"/>
      <c r="G28" s="4"/>
      <c r="H28" s="131">
        <v>2019</v>
      </c>
      <c r="I28" s="130" t="s">
        <v>365</v>
      </c>
      <c r="J28">
        <v>20</v>
      </c>
      <c r="K28" s="80"/>
      <c r="L28" s="80"/>
      <c r="O28" s="5"/>
      <c r="P28" s="5"/>
      <c r="Q28" s="80"/>
      <c r="R28" s="80"/>
      <c r="S28" s="94"/>
      <c r="T28" s="133"/>
      <c r="U28" s="5">
        <v>95.811246120759407</v>
      </c>
      <c r="V28" s="5">
        <v>95.811246120759407</v>
      </c>
      <c r="W28" s="80">
        <f>+Tabelle2[[#This Row],[Vol_ha_22]]-Tabelle2[[#This Row],[Vol_2020]]</f>
        <v>0</v>
      </c>
      <c r="X28" s="80"/>
      <c r="Y28" s="80"/>
      <c r="Z28" s="80"/>
      <c r="AA28" s="5"/>
      <c r="AB28" s="80"/>
      <c r="AC28" s="80"/>
      <c r="AD28" s="80"/>
      <c r="AE28" s="80"/>
      <c r="AF28" s="134"/>
      <c r="AG28" s="6"/>
      <c r="AH28" s="5"/>
      <c r="AI28" s="134"/>
      <c r="AJ28" s="5"/>
      <c r="AK28" s="5"/>
      <c r="AL28" s="80"/>
      <c r="AM28" s="80"/>
      <c r="AN28">
        <f>IFERROR(Tabelle2[[#This Row],[Vol_ha_22]]*0.537836177777778*Carbon_Calculations!$R$9,0)</f>
        <v>59.260367561972473</v>
      </c>
    </row>
    <row r="29" spans="1:40" x14ac:dyDescent="0.3">
      <c r="A29" s="130" t="s">
        <v>180</v>
      </c>
      <c r="B29" s="130" t="s">
        <v>408</v>
      </c>
      <c r="C29" t="s">
        <v>262</v>
      </c>
      <c r="D29" s="6">
        <v>1000</v>
      </c>
      <c r="E29" s="5"/>
      <c r="G29" s="4"/>
      <c r="H29" s="131">
        <v>2019</v>
      </c>
      <c r="I29" s="130" t="s">
        <v>408</v>
      </c>
      <c r="J29">
        <v>20</v>
      </c>
      <c r="K29" s="80"/>
      <c r="L29" s="80"/>
      <c r="O29" s="5"/>
      <c r="P29" s="5"/>
      <c r="Q29" s="80"/>
      <c r="R29" s="80"/>
      <c r="S29" s="94"/>
      <c r="T29" s="133"/>
      <c r="U29" s="5">
        <v>104.88300406521979</v>
      </c>
      <c r="V29" s="5">
        <v>104.88300406521979</v>
      </c>
      <c r="W29" s="80">
        <f>+Tabelle2[[#This Row],[Vol_ha_22]]-Tabelle2[[#This Row],[Vol_2020]]</f>
        <v>0</v>
      </c>
      <c r="X29" s="80"/>
      <c r="Y29" s="80"/>
      <c r="Z29" s="80"/>
      <c r="AA29" s="5"/>
      <c r="AB29" s="80"/>
      <c r="AC29" s="80"/>
      <c r="AD29" s="80"/>
      <c r="AE29" s="80"/>
      <c r="AF29" s="134"/>
      <c r="AG29" s="6"/>
      <c r="AH29" s="5"/>
      <c r="AI29" s="134"/>
      <c r="AJ29" s="5"/>
      <c r="AK29" s="5"/>
      <c r="AL29" s="80"/>
      <c r="AM29" s="80"/>
      <c r="AN29">
        <f>IFERROR(Tabelle2[[#This Row],[Vol_ha_22]]*0.537836177777778*Carbon_Calculations!$R$9,0)</f>
        <v>64.871355123332307</v>
      </c>
    </row>
    <row r="30" spans="1:40" x14ac:dyDescent="0.3">
      <c r="A30" s="130" t="s">
        <v>180</v>
      </c>
      <c r="B30" s="130" t="s">
        <v>407</v>
      </c>
      <c r="C30" t="s">
        <v>262</v>
      </c>
      <c r="D30" s="6">
        <v>1000</v>
      </c>
      <c r="E30" s="5"/>
      <c r="G30" s="4"/>
      <c r="H30" s="131">
        <v>2019</v>
      </c>
      <c r="I30" s="130" t="s">
        <v>407</v>
      </c>
      <c r="J30">
        <v>20</v>
      </c>
      <c r="K30" s="80"/>
      <c r="L30" s="80"/>
      <c r="O30" s="5"/>
      <c r="P30" s="5"/>
      <c r="Q30" s="80"/>
      <c r="R30" s="80"/>
      <c r="S30" s="94"/>
      <c r="T30" s="133"/>
      <c r="U30" s="5">
        <v>105.6667532094163</v>
      </c>
      <c r="V30" s="5">
        <v>105.6667532094163</v>
      </c>
      <c r="W30" s="80">
        <f>+Tabelle2[[#This Row],[Vol_ha_22]]-Tabelle2[[#This Row],[Vol_2020]]</f>
        <v>0</v>
      </c>
      <c r="X30" s="80"/>
      <c r="Y30" s="80"/>
      <c r="Z30" s="80"/>
      <c r="AA30" s="5"/>
      <c r="AB30" s="80"/>
      <c r="AC30" s="80"/>
      <c r="AD30" s="80"/>
      <c r="AE30" s="80"/>
      <c r="AF30" s="134"/>
      <c r="AG30" s="6"/>
      <c r="AH30" s="5"/>
      <c r="AI30" s="134"/>
      <c r="AJ30" s="5"/>
      <c r="AK30" s="5"/>
      <c r="AL30" s="80"/>
      <c r="AM30" s="80"/>
      <c r="AN30">
        <f>IFERROR(Tabelle2[[#This Row],[Vol_ha_22]]*0.537836177777778*Carbon_Calculations!$R$9,0)</f>
        <v>65.356113063991259</v>
      </c>
    </row>
    <row r="31" spans="1:40" x14ac:dyDescent="0.3">
      <c r="A31" s="130" t="s">
        <v>180</v>
      </c>
      <c r="B31" s="130" t="s">
        <v>404</v>
      </c>
      <c r="C31" t="s">
        <v>262</v>
      </c>
      <c r="D31" s="6">
        <v>1000</v>
      </c>
      <c r="E31" s="5"/>
      <c r="G31" s="4"/>
      <c r="H31" s="131">
        <v>2019</v>
      </c>
      <c r="I31" s="130" t="s">
        <v>404</v>
      </c>
      <c r="J31">
        <v>20</v>
      </c>
      <c r="K31" s="80"/>
      <c r="L31" s="80"/>
      <c r="O31" s="5"/>
      <c r="P31" s="5"/>
      <c r="Q31" s="80"/>
      <c r="R31" s="80"/>
      <c r="S31" s="94"/>
      <c r="T31" s="133"/>
      <c r="U31" s="5">
        <v>78.560781894371786</v>
      </c>
      <c r="V31" s="5">
        <v>78.560781894371786</v>
      </c>
      <c r="W31" s="80">
        <f>+Tabelle2[[#This Row],[Vol_ha_22]]-Tabelle2[[#This Row],[Vol_2020]]</f>
        <v>0</v>
      </c>
      <c r="X31" s="80"/>
      <c r="Y31" s="80"/>
      <c r="Z31" s="80"/>
      <c r="AA31" s="5"/>
      <c r="AB31" s="80"/>
      <c r="AC31" s="80"/>
      <c r="AD31" s="80"/>
      <c r="AE31" s="80"/>
      <c r="AF31" s="134"/>
      <c r="AG31" s="6"/>
      <c r="AH31" s="5"/>
      <c r="AI31" s="134"/>
      <c r="AJ31" s="5"/>
      <c r="AK31" s="5"/>
      <c r="AL31" s="80"/>
      <c r="AM31" s="80"/>
      <c r="AN31">
        <f>IFERROR(Tabelle2[[#This Row],[Vol_ha_22]]*0.537836177777778*Carbon_Calculations!$R$9,0)</f>
        <v>48.590755255897975</v>
      </c>
    </row>
    <row r="32" spans="1:40" x14ac:dyDescent="0.3">
      <c r="A32" s="130" t="s">
        <v>180</v>
      </c>
      <c r="B32" s="130" t="s">
        <v>410</v>
      </c>
      <c r="C32" t="s">
        <v>262</v>
      </c>
      <c r="D32" s="6">
        <v>1000</v>
      </c>
      <c r="E32" s="5"/>
      <c r="G32" s="4"/>
      <c r="H32" s="131">
        <v>2019</v>
      </c>
      <c r="I32" s="130" t="s">
        <v>410</v>
      </c>
      <c r="J32">
        <v>20</v>
      </c>
      <c r="K32" s="80"/>
      <c r="L32" s="80"/>
      <c r="O32" s="5"/>
      <c r="P32" s="5"/>
      <c r="Q32" s="80"/>
      <c r="R32" s="80"/>
      <c r="S32" s="94"/>
      <c r="T32" s="133"/>
      <c r="U32" s="5">
        <v>70.652960495760823</v>
      </c>
      <c r="V32" s="5">
        <v>70.652960495760823</v>
      </c>
      <c r="W32" s="80">
        <f>+Tabelle2[[#This Row],[Vol_ha_22]]-Tabelle2[[#This Row],[Vol_2020]]</f>
        <v>0</v>
      </c>
      <c r="X32" s="80"/>
      <c r="Y32" s="80"/>
      <c r="Z32" s="80"/>
      <c r="AA32" s="5"/>
      <c r="AB32" s="80"/>
      <c r="AC32" s="80"/>
      <c r="AD32" s="80"/>
      <c r="AE32" s="80"/>
      <c r="AF32" s="134"/>
      <c r="AG32" s="6"/>
      <c r="AH32" s="5"/>
      <c r="AI32" s="134"/>
      <c r="AJ32" s="5"/>
      <c r="AK32" s="5"/>
      <c r="AL32" s="80"/>
      <c r="AM32" s="80"/>
      <c r="AN32">
        <f>IFERROR(Tabelle2[[#This Row],[Vol_ha_22]]*0.537836177777778*Carbon_Calculations!$R$9,0)</f>
        <v>43.699675954982993</v>
      </c>
    </row>
    <row r="33" spans="1:40" x14ac:dyDescent="0.3">
      <c r="A33" s="130" t="s">
        <v>180</v>
      </c>
      <c r="B33" s="130" t="s">
        <v>409</v>
      </c>
      <c r="C33" t="s">
        <v>262</v>
      </c>
      <c r="D33" s="6">
        <v>1000</v>
      </c>
      <c r="E33" s="5"/>
      <c r="G33" s="4"/>
      <c r="H33" s="131">
        <v>2019</v>
      </c>
      <c r="I33" s="130" t="s">
        <v>409</v>
      </c>
      <c r="J33">
        <v>20</v>
      </c>
      <c r="K33" s="80"/>
      <c r="L33" s="80"/>
      <c r="O33" s="5"/>
      <c r="P33" s="5"/>
      <c r="Q33" s="80"/>
      <c r="R33" s="80"/>
      <c r="S33" s="94"/>
      <c r="T33" s="133"/>
      <c r="U33" s="5">
        <v>104.65711582977406</v>
      </c>
      <c r="V33" s="5">
        <v>104.65711582977406</v>
      </c>
      <c r="W33" s="80">
        <f>+Tabelle2[[#This Row],[Vol_ha_22]]-Tabelle2[[#This Row],[Vol_2020]]</f>
        <v>0</v>
      </c>
      <c r="X33" s="80"/>
      <c r="Y33" s="80"/>
      <c r="Z33" s="80"/>
      <c r="AA33" s="5"/>
      <c r="AB33" s="80"/>
      <c r="AC33" s="80"/>
      <c r="AD33" s="80"/>
      <c r="AE33" s="80"/>
      <c r="AF33" s="134"/>
      <c r="AG33" s="6"/>
      <c r="AH33" s="5"/>
      <c r="AI33" s="134"/>
      <c r="AJ33" s="5"/>
      <c r="AK33" s="5"/>
      <c r="AL33" s="80"/>
      <c r="AM33" s="80"/>
      <c r="AN33">
        <f>IFERROR(Tabelle2[[#This Row],[Vol_ha_22]]*0.537836177777778*Carbon_Calculations!$R$9,0)</f>
        <v>64.731640628401649</v>
      </c>
    </row>
    <row r="34" spans="1:40" x14ac:dyDescent="0.3">
      <c r="A34" s="130" t="s">
        <v>180</v>
      </c>
      <c r="B34" s="130" t="s">
        <v>406</v>
      </c>
      <c r="C34" t="s">
        <v>262</v>
      </c>
      <c r="D34" s="6">
        <v>1000</v>
      </c>
      <c r="E34" s="5"/>
      <c r="G34" s="4"/>
      <c r="H34" s="131">
        <v>2019</v>
      </c>
      <c r="I34" s="130" t="s">
        <v>406</v>
      </c>
      <c r="J34">
        <v>20</v>
      </c>
      <c r="K34" s="80"/>
      <c r="L34" s="80"/>
      <c r="O34" s="5"/>
      <c r="P34" s="5"/>
      <c r="Q34" s="80"/>
      <c r="R34" s="80"/>
      <c r="S34" s="94"/>
      <c r="T34" s="133"/>
      <c r="U34" s="5">
        <v>113.74366412767864</v>
      </c>
      <c r="V34" s="5">
        <v>113.74366412767864</v>
      </c>
      <c r="W34" s="80">
        <f>+Tabelle2[[#This Row],[Vol_ha_22]]-Tabelle2[[#This Row],[Vol_2020]]</f>
        <v>0</v>
      </c>
      <c r="X34" s="80"/>
      <c r="Y34" s="80"/>
      <c r="Z34" s="80"/>
      <c r="AA34" s="5"/>
      <c r="AB34" s="80"/>
      <c r="AC34" s="80"/>
      <c r="AD34" s="80"/>
      <c r="AE34" s="80"/>
      <c r="AF34" s="134"/>
      <c r="AG34" s="6"/>
      <c r="AH34" s="5"/>
      <c r="AI34" s="134"/>
      <c r="AJ34" s="5"/>
      <c r="AK34" s="5"/>
      <c r="AL34" s="80"/>
      <c r="AM34" s="80"/>
      <c r="AN34">
        <f>IFERROR(Tabelle2[[#This Row],[Vol_ha_22]]*0.537836177777778*Carbon_Calculations!$R$9,0)</f>
        <v>70.351776195000539</v>
      </c>
    </row>
    <row r="35" spans="1:40" x14ac:dyDescent="0.3">
      <c r="A35" s="130" t="s">
        <v>180</v>
      </c>
      <c r="B35" s="130" t="s">
        <v>399</v>
      </c>
      <c r="C35" t="s">
        <v>256</v>
      </c>
      <c r="D35" s="6">
        <v>1000</v>
      </c>
      <c r="E35" s="5"/>
      <c r="G35" s="4"/>
      <c r="H35" s="131">
        <v>2019</v>
      </c>
      <c r="I35" s="130" t="s">
        <v>399</v>
      </c>
      <c r="J35">
        <v>20</v>
      </c>
      <c r="K35" s="80"/>
      <c r="L35" s="80"/>
      <c r="O35" s="5"/>
      <c r="P35" s="5"/>
      <c r="Q35" s="80"/>
      <c r="R35" s="80"/>
      <c r="S35" s="94"/>
      <c r="T35" s="133"/>
      <c r="U35" s="5">
        <v>83.819948260000004</v>
      </c>
      <c r="V35">
        <v>83.819948260000004</v>
      </c>
      <c r="W35" s="80">
        <f>+Tabelle2[[#This Row],[Vol_ha_22]]-Tabelle2[[#This Row],[Vol_2020]]</f>
        <v>0</v>
      </c>
      <c r="X35" s="80"/>
      <c r="Y35" s="80"/>
      <c r="Z35" s="80"/>
      <c r="AA35" s="5"/>
      <c r="AB35" s="80"/>
      <c r="AC35" s="80"/>
      <c r="AD35" s="80"/>
      <c r="AE35" s="80"/>
      <c r="AF35" s="134"/>
      <c r="AG35" s="6"/>
      <c r="AH35" s="5"/>
      <c r="AI35" s="134"/>
      <c r="AJ35" s="5"/>
      <c r="AK35" s="5"/>
      <c r="AL35" s="80"/>
      <c r="AM35" s="80"/>
      <c r="AN35">
        <f>IFERROR(Tabelle2[[#This Row],[Vol_ha_22]]*0.537836177777778*Carbon_Calculations!$R$9,0)</f>
        <v>51.843610682742941</v>
      </c>
    </row>
    <row r="36" spans="1:40" x14ac:dyDescent="0.3">
      <c r="A36" s="130" t="s">
        <v>180</v>
      </c>
      <c r="B36" s="130" t="s">
        <v>257</v>
      </c>
      <c r="C36" t="s">
        <v>256</v>
      </c>
      <c r="D36" s="6">
        <v>1000</v>
      </c>
      <c r="E36" s="5"/>
      <c r="G36" s="4"/>
      <c r="H36" s="131">
        <v>2019</v>
      </c>
      <c r="I36" s="130" t="s">
        <v>257</v>
      </c>
      <c r="J36">
        <v>20</v>
      </c>
      <c r="K36" s="80"/>
      <c r="L36" s="80"/>
      <c r="O36" s="5"/>
      <c r="P36" s="5"/>
      <c r="Q36" s="80"/>
      <c r="R36" s="80"/>
      <c r="S36" s="94"/>
      <c r="T36" s="133"/>
      <c r="U36" s="5">
        <v>106.7941352</v>
      </c>
      <c r="V36">
        <v>106.7941352</v>
      </c>
      <c r="W36" s="80">
        <f>+Tabelle2[[#This Row],[Vol_ha_22]]-Tabelle2[[#This Row],[Vol_2020]]</f>
        <v>0</v>
      </c>
      <c r="X36" s="80"/>
      <c r="Y36" s="80"/>
      <c r="Z36" s="80"/>
      <c r="AA36" s="5"/>
      <c r="AB36" s="80"/>
      <c r="AC36" s="80"/>
      <c r="AD36" s="80"/>
      <c r="AE36" s="80"/>
      <c r="AF36" s="134"/>
      <c r="AG36" s="6"/>
      <c r="AH36" s="5"/>
      <c r="AI36" s="134"/>
      <c r="AJ36" s="5"/>
      <c r="AK36" s="5"/>
      <c r="AL36" s="80"/>
      <c r="AM36" s="80"/>
      <c r="AN36">
        <f>IFERROR(Tabelle2[[#This Row],[Vol_ha_22]]*0.537836177777778*Carbon_Calculations!$R$9,0)</f>
        <v>66.05341190780895</v>
      </c>
    </row>
    <row r="37" spans="1:40" x14ac:dyDescent="0.3">
      <c r="A37" s="130" t="s">
        <v>180</v>
      </c>
      <c r="B37" s="130" t="s">
        <v>398</v>
      </c>
      <c r="C37" t="s">
        <v>256</v>
      </c>
      <c r="D37" s="6">
        <v>1000</v>
      </c>
      <c r="E37" s="5"/>
      <c r="G37" s="4"/>
      <c r="H37" s="131">
        <v>2019</v>
      </c>
      <c r="I37" s="130" t="s">
        <v>398</v>
      </c>
      <c r="J37">
        <v>20</v>
      </c>
      <c r="K37" s="80"/>
      <c r="L37" s="80"/>
      <c r="O37" s="5"/>
      <c r="P37" s="5"/>
      <c r="Q37" s="80"/>
      <c r="R37" s="80"/>
      <c r="S37" s="94"/>
      <c r="T37" s="133"/>
      <c r="U37" s="5">
        <v>98.348193260000002</v>
      </c>
      <c r="V37">
        <v>98.348193260000002</v>
      </c>
      <c r="W37" s="80">
        <f>+Tabelle2[[#This Row],[Vol_ha_22]]-Tabelle2[[#This Row],[Vol_2020]]</f>
        <v>0</v>
      </c>
      <c r="X37" s="80"/>
      <c r="Y37" s="80"/>
      <c r="Z37" s="80"/>
      <c r="AA37" s="5"/>
      <c r="AB37" s="80"/>
      <c r="AC37" s="80"/>
      <c r="AD37" s="80"/>
      <c r="AE37" s="80"/>
      <c r="AF37" s="134"/>
      <c r="AG37" s="6"/>
      <c r="AH37" s="5"/>
      <c r="AI37" s="134"/>
      <c r="AJ37" s="5"/>
      <c r="AK37" s="5"/>
      <c r="AL37" s="80"/>
      <c r="AM37" s="80"/>
      <c r="AN37">
        <f>IFERROR(Tabelle2[[#This Row],[Vol_ha_22]]*0.537836177777778*Carbon_Calculations!$R$9,0)</f>
        <v>60.829498807454918</v>
      </c>
    </row>
    <row r="38" spans="1:40" x14ac:dyDescent="0.3">
      <c r="A38" s="130" t="s">
        <v>180</v>
      </c>
      <c r="B38" s="130" t="s">
        <v>391</v>
      </c>
      <c r="C38" t="s">
        <v>248</v>
      </c>
      <c r="D38" s="6">
        <v>1000</v>
      </c>
      <c r="E38" s="5"/>
      <c r="G38" s="4"/>
      <c r="H38" s="131">
        <v>2019</v>
      </c>
      <c r="I38" s="130" t="s">
        <v>391</v>
      </c>
      <c r="J38">
        <v>20</v>
      </c>
      <c r="K38" s="80"/>
      <c r="L38" s="80"/>
      <c r="O38" s="5"/>
      <c r="P38" s="5"/>
      <c r="Q38" s="80"/>
      <c r="R38" s="80"/>
      <c r="S38" s="94"/>
      <c r="T38" s="133"/>
      <c r="U38" s="5">
        <v>60.174238750000001</v>
      </c>
      <c r="V38">
        <v>60.174238750000001</v>
      </c>
      <c r="W38" s="80">
        <f>+Tabelle2[[#This Row],[Vol_ha_22]]-Tabelle2[[#This Row],[Vol_2020]]</f>
        <v>0</v>
      </c>
      <c r="X38" s="80"/>
      <c r="Y38" s="80"/>
      <c r="Z38" s="80"/>
      <c r="AA38" s="5"/>
      <c r="AB38" s="80"/>
      <c r="AC38" s="80"/>
      <c r="AD38" s="80"/>
      <c r="AE38" s="80"/>
      <c r="AF38" s="134"/>
      <c r="AG38" s="6"/>
      <c r="AH38" s="5"/>
      <c r="AI38" s="134"/>
      <c r="AJ38" s="5"/>
      <c r="AK38" s="5"/>
      <c r="AL38" s="80"/>
      <c r="AM38" s="80"/>
      <c r="AN38">
        <f>IFERROR(Tabelle2[[#This Row],[Vol_ha_22]]*0.537836177777778*Carbon_Calculations!$R$9,0)</f>
        <v>37.21846495548558</v>
      </c>
    </row>
    <row r="39" spans="1:40" x14ac:dyDescent="0.3">
      <c r="A39" s="130" t="s">
        <v>180</v>
      </c>
      <c r="B39" s="130" t="s">
        <v>253</v>
      </c>
      <c r="C39" t="s">
        <v>248</v>
      </c>
      <c r="D39" s="6">
        <v>1000</v>
      </c>
      <c r="E39" s="5"/>
      <c r="G39" s="4"/>
      <c r="H39" s="131">
        <v>2019</v>
      </c>
      <c r="I39" s="130" t="s">
        <v>253</v>
      </c>
      <c r="J39">
        <v>20</v>
      </c>
      <c r="K39" s="80"/>
      <c r="L39" s="80"/>
      <c r="O39" s="5"/>
      <c r="P39" s="5"/>
      <c r="Q39" s="80"/>
      <c r="R39" s="80"/>
      <c r="S39" s="94"/>
      <c r="T39" s="133"/>
      <c r="U39" s="5">
        <v>91.746765819999993</v>
      </c>
      <c r="V39">
        <v>91.746765819999993</v>
      </c>
      <c r="W39" s="80">
        <f>+Tabelle2[[#This Row],[Vol_ha_22]]-Tabelle2[[#This Row],[Vol_2020]]</f>
        <v>0</v>
      </c>
      <c r="X39" s="80"/>
      <c r="Y39" s="80"/>
      <c r="Z39" s="80"/>
      <c r="AA39" s="5"/>
      <c r="AB39" s="80"/>
      <c r="AC39" s="80"/>
      <c r="AD39" s="80"/>
      <c r="AE39" s="80"/>
      <c r="AF39" s="134"/>
      <c r="AG39" s="6"/>
      <c r="AH39" s="5"/>
      <c r="AI39" s="134"/>
      <c r="AJ39" s="5"/>
      <c r="AK39" s="5"/>
      <c r="AL39" s="80"/>
      <c r="AM39" s="80"/>
      <c r="AN39">
        <f>IFERROR(Tabelle2[[#This Row],[Vol_ha_22]]*0.537836177777778*Carbon_Calculations!$R$9,0)</f>
        <v>56.746439329916932</v>
      </c>
    </row>
    <row r="40" spans="1:40" x14ac:dyDescent="0.3">
      <c r="A40" s="130" t="s">
        <v>180</v>
      </c>
      <c r="B40" s="130" t="s">
        <v>388</v>
      </c>
      <c r="C40" t="s">
        <v>254</v>
      </c>
      <c r="D40" s="6">
        <v>1000</v>
      </c>
      <c r="E40" s="5"/>
      <c r="G40" s="4"/>
      <c r="H40" s="131">
        <v>2019</v>
      </c>
      <c r="I40" s="130" t="s">
        <v>388</v>
      </c>
      <c r="J40">
        <v>20</v>
      </c>
      <c r="K40" s="80"/>
      <c r="L40" s="80"/>
      <c r="O40" s="5"/>
      <c r="P40" s="5"/>
      <c r="Q40" s="80"/>
      <c r="R40" s="80"/>
      <c r="S40" s="94"/>
      <c r="T40" s="133"/>
      <c r="U40" s="5">
        <v>73.348098039999996</v>
      </c>
      <c r="V40">
        <v>73.348098039999996</v>
      </c>
      <c r="W40" s="80">
        <f>+Tabelle2[[#This Row],[Vol_ha_22]]-Tabelle2[[#This Row],[Vol_2020]]</f>
        <v>0</v>
      </c>
      <c r="X40" s="80"/>
      <c r="Y40" s="80"/>
      <c r="Z40" s="80"/>
      <c r="AA40" s="5"/>
      <c r="AB40" s="80"/>
      <c r="AC40" s="80"/>
      <c r="AD40" s="80"/>
      <c r="AE40" s="80"/>
      <c r="AF40" s="134"/>
      <c r="AG40" s="6"/>
      <c r="AH40" s="5"/>
      <c r="AI40" s="134"/>
      <c r="AJ40" s="5"/>
      <c r="AK40" s="5"/>
      <c r="AL40" s="80"/>
      <c r="AM40" s="80"/>
      <c r="AN40">
        <f>IFERROR(Tabelle2[[#This Row],[Vol_ha_22]]*0.537836177777778*Carbon_Calculations!$R$9,0)</f>
        <v>45.366649801668828</v>
      </c>
    </row>
    <row r="41" spans="1:40" x14ac:dyDescent="0.3">
      <c r="A41" s="130" t="s">
        <v>180</v>
      </c>
      <c r="B41" s="130" t="s">
        <v>378</v>
      </c>
      <c r="C41" t="s">
        <v>248</v>
      </c>
      <c r="D41" s="6">
        <v>1000</v>
      </c>
      <c r="E41" s="5"/>
      <c r="G41" s="4"/>
      <c r="H41" s="131">
        <v>2019</v>
      </c>
      <c r="I41" s="130" t="s">
        <v>378</v>
      </c>
      <c r="J41">
        <v>20</v>
      </c>
      <c r="K41" s="80"/>
      <c r="L41" s="80"/>
      <c r="O41" s="5"/>
      <c r="P41" s="5"/>
      <c r="Q41" s="80"/>
      <c r="R41" s="80"/>
      <c r="S41" s="94"/>
      <c r="T41" s="133"/>
      <c r="U41" s="5">
        <v>84.902009430000007</v>
      </c>
      <c r="V41">
        <v>84.902009430000007</v>
      </c>
      <c r="W41" s="80">
        <f>+Tabelle2[[#This Row],[Vol_ha_22]]-Tabelle2[[#This Row],[Vol_2020]]</f>
        <v>0</v>
      </c>
      <c r="X41" s="80"/>
      <c r="Y41" s="80"/>
      <c r="Z41" s="80"/>
      <c r="AA41" s="5"/>
      <c r="AB41" s="80"/>
      <c r="AC41" s="80"/>
      <c r="AD41" s="80"/>
      <c r="AE41" s="80"/>
      <c r="AF41" s="134"/>
      <c r="AG41" s="6"/>
      <c r="AH41" s="5"/>
      <c r="AI41" s="134"/>
      <c r="AJ41" s="5"/>
      <c r="AK41" s="5"/>
      <c r="AL41" s="80"/>
      <c r="AM41" s="80"/>
      <c r="AN41">
        <f>IFERROR(Tabelle2[[#This Row],[Vol_ha_22]]*0.537836177777778*Carbon_Calculations!$R$9,0)</f>
        <v>52.512878073106677</v>
      </c>
    </row>
    <row r="42" spans="1:40" x14ac:dyDescent="0.3">
      <c r="A42" s="130" t="s">
        <v>180</v>
      </c>
      <c r="B42" s="130" t="s">
        <v>392</v>
      </c>
      <c r="C42" t="s">
        <v>248</v>
      </c>
      <c r="D42" s="6">
        <v>1000</v>
      </c>
      <c r="E42" s="5"/>
      <c r="G42" s="4"/>
      <c r="H42" s="131">
        <v>2019</v>
      </c>
      <c r="I42" s="130" t="s">
        <v>392</v>
      </c>
      <c r="J42">
        <v>20</v>
      </c>
      <c r="K42" s="80"/>
      <c r="L42" s="80"/>
      <c r="O42" s="5"/>
      <c r="P42" s="5"/>
      <c r="Q42" s="80"/>
      <c r="R42" s="80"/>
      <c r="S42" s="94"/>
      <c r="T42" s="133"/>
      <c r="U42" s="5">
        <v>103.84195010000001</v>
      </c>
      <c r="V42">
        <v>103.84195010000001</v>
      </c>
      <c r="W42" s="80">
        <f>+Tabelle2[[#This Row],[Vol_ha_22]]-Tabelle2[[#This Row],[Vol_2020]]</f>
        <v>0</v>
      </c>
      <c r="X42" s="80"/>
      <c r="Y42" s="80"/>
      <c r="Z42" s="80"/>
      <c r="AA42" s="5"/>
      <c r="AB42" s="80"/>
      <c r="AC42" s="80"/>
      <c r="AD42" s="80"/>
      <c r="AE42" s="80"/>
      <c r="AF42" s="134"/>
      <c r="AG42" s="6"/>
      <c r="AH42" s="5"/>
      <c r="AI42" s="134"/>
      <c r="AJ42" s="5"/>
      <c r="AK42" s="5"/>
      <c r="AL42" s="80"/>
      <c r="AM42" s="80"/>
      <c r="AN42">
        <f>IFERROR(Tabelle2[[#This Row],[Vol_ha_22]]*0.537836177777778*Carbon_Calculations!$R$9,0)</f>
        <v>64.227451164990967</v>
      </c>
    </row>
    <row r="43" spans="1:40" x14ac:dyDescent="0.3">
      <c r="A43" s="130" t="s">
        <v>180</v>
      </c>
      <c r="B43" s="130" t="s">
        <v>394</v>
      </c>
      <c r="C43" t="s">
        <v>248</v>
      </c>
      <c r="D43" s="6">
        <v>1000</v>
      </c>
      <c r="E43" s="5"/>
      <c r="G43" s="4"/>
      <c r="H43" s="131">
        <v>2019</v>
      </c>
      <c r="I43" s="130" t="s">
        <v>394</v>
      </c>
      <c r="J43">
        <v>20</v>
      </c>
      <c r="K43" s="80"/>
      <c r="L43" s="80"/>
      <c r="O43" s="5"/>
      <c r="P43" s="5"/>
      <c r="Q43" s="80"/>
      <c r="R43" s="80"/>
      <c r="S43" s="94"/>
      <c r="T43" s="133"/>
      <c r="U43" s="5">
        <v>45.332930580000003</v>
      </c>
      <c r="V43">
        <v>45.332930580000003</v>
      </c>
      <c r="W43" s="80">
        <f>+Tabelle2[[#This Row],[Vol_ha_22]]-Tabelle2[[#This Row],[Vol_2020]]</f>
        <v>0</v>
      </c>
      <c r="X43" s="80"/>
      <c r="Y43" s="80"/>
      <c r="Z43" s="80"/>
      <c r="AA43" s="5"/>
      <c r="AB43" s="80"/>
      <c r="AC43" s="80"/>
      <c r="AD43" s="80"/>
      <c r="AE43" s="80"/>
      <c r="AF43" s="134"/>
      <c r="AG43" s="6"/>
      <c r="AH43" s="5"/>
      <c r="AI43" s="134"/>
      <c r="AJ43" s="5"/>
      <c r="AK43" s="5"/>
      <c r="AL43" s="80"/>
      <c r="AM43" s="80"/>
      <c r="AN43">
        <f>IFERROR(Tabelle2[[#This Row],[Vol_ha_22]]*0.537836177777778*Carbon_Calculations!$R$9,0)</f>
        <v>28.038943627204432</v>
      </c>
    </row>
    <row r="44" spans="1:40" x14ac:dyDescent="0.3">
      <c r="A44" s="130" t="s">
        <v>180</v>
      </c>
      <c r="B44" s="130" t="s">
        <v>393</v>
      </c>
      <c r="C44" t="s">
        <v>248</v>
      </c>
      <c r="D44" s="6">
        <v>1000</v>
      </c>
      <c r="E44" s="5"/>
      <c r="G44" s="4"/>
      <c r="H44" s="131">
        <v>2019</v>
      </c>
      <c r="I44" s="130" t="s">
        <v>393</v>
      </c>
      <c r="J44">
        <v>20</v>
      </c>
      <c r="K44" s="80"/>
      <c r="L44" s="80"/>
      <c r="O44" s="5"/>
      <c r="P44" s="5"/>
      <c r="Q44" s="80"/>
      <c r="R44" s="80"/>
      <c r="S44" s="94"/>
      <c r="T44" s="133"/>
      <c r="U44" s="5">
        <v>50.552152890000002</v>
      </c>
      <c r="V44">
        <v>50.552152890000002</v>
      </c>
      <c r="W44" s="80">
        <f>+Tabelle2[[#This Row],[Vol_ha_22]]-Tabelle2[[#This Row],[Vol_2020]]</f>
        <v>0</v>
      </c>
      <c r="X44" s="80"/>
      <c r="Y44" s="80"/>
      <c r="Z44" s="80"/>
      <c r="AA44" s="5"/>
      <c r="AB44" s="80"/>
      <c r="AC44" s="80"/>
      <c r="AD44" s="80"/>
      <c r="AE44" s="80"/>
      <c r="AF44" s="134"/>
      <c r="AG44" s="6"/>
      <c r="AH44" s="5"/>
      <c r="AI44" s="134"/>
      <c r="AJ44" s="5"/>
      <c r="AK44" s="5"/>
      <c r="AL44" s="80"/>
      <c r="AM44" s="80"/>
      <c r="AN44">
        <f>IFERROR(Tabelle2[[#This Row],[Vol_ha_22]]*0.537836177777778*Carbon_Calculations!$R$9,0)</f>
        <v>31.267093192114775</v>
      </c>
    </row>
    <row r="45" spans="1:40" x14ac:dyDescent="0.3">
      <c r="A45" s="130" t="s">
        <v>180</v>
      </c>
      <c r="B45" s="130" t="s">
        <v>374</v>
      </c>
      <c r="C45" t="s">
        <v>244</v>
      </c>
      <c r="D45" s="6">
        <v>1000</v>
      </c>
      <c r="E45" s="5"/>
      <c r="G45" s="4"/>
      <c r="H45" s="131">
        <v>2020</v>
      </c>
      <c r="I45" s="130" t="s">
        <v>374</v>
      </c>
      <c r="J45">
        <v>20</v>
      </c>
      <c r="K45" s="80"/>
      <c r="L45" s="80"/>
      <c r="O45" s="5"/>
      <c r="P45" s="5"/>
      <c r="Q45" s="80"/>
      <c r="R45" s="80"/>
      <c r="S45" s="94"/>
      <c r="T45" s="133"/>
      <c r="U45" s="5">
        <v>69.429802370000004</v>
      </c>
      <c r="V45">
        <v>69.429802370000004</v>
      </c>
      <c r="W45" s="80">
        <f>+Tabelle2[[#This Row],[Vol_ha_22]]-Tabelle2[[#This Row],[Vol_2020]]</f>
        <v>0</v>
      </c>
      <c r="X45" s="80"/>
      <c r="Y45" s="80"/>
      <c r="Z45" s="80"/>
      <c r="AA45" s="5"/>
      <c r="AB45" s="80"/>
      <c r="AC45" s="80"/>
      <c r="AD45" s="80"/>
      <c r="AE45" s="80"/>
      <c r="AF45" s="134"/>
      <c r="AG45" s="6"/>
      <c r="AH45" s="5"/>
      <c r="AI45" s="134"/>
      <c r="AJ45" s="5"/>
      <c r="AK45" s="5"/>
      <c r="AL45" s="80"/>
      <c r="AM45" s="80"/>
      <c r="AN45">
        <f>IFERROR(Tabelle2[[#This Row],[Vol_ha_22]]*0.537836177777778*Carbon_Calculations!$R$9,0)</f>
        <v>42.943138460129411</v>
      </c>
    </row>
    <row r="46" spans="1:40" x14ac:dyDescent="0.3">
      <c r="A46" s="130" t="s">
        <v>180</v>
      </c>
      <c r="B46" s="130" t="s">
        <v>389</v>
      </c>
      <c r="C46" t="s">
        <v>244</v>
      </c>
      <c r="D46" s="6">
        <v>1000</v>
      </c>
      <c r="E46" s="5"/>
      <c r="G46" s="4"/>
      <c r="H46" s="131">
        <v>2020</v>
      </c>
      <c r="I46" s="130" t="s">
        <v>389</v>
      </c>
      <c r="J46">
        <v>20</v>
      </c>
      <c r="K46" s="80"/>
      <c r="L46" s="80"/>
      <c r="O46" s="5"/>
      <c r="P46" s="5"/>
      <c r="Q46" s="80"/>
      <c r="R46" s="80"/>
      <c r="S46" s="94"/>
      <c r="T46" s="133"/>
      <c r="U46" s="5">
        <v>84.538626469999997</v>
      </c>
      <c r="V46">
        <v>84.538626469999997</v>
      </c>
      <c r="W46" s="80">
        <f>+Tabelle2[[#This Row],[Vol_ha_22]]-Tabelle2[[#This Row],[Vol_2020]]</f>
        <v>0</v>
      </c>
      <c r="X46" s="80"/>
      <c r="Y46" s="80"/>
      <c r="Z46" s="80"/>
      <c r="AA46" s="5"/>
      <c r="AB46" s="80"/>
      <c r="AC46" s="80"/>
      <c r="AD46" s="80"/>
      <c r="AE46" s="80"/>
      <c r="AF46" s="134"/>
      <c r="AG46" s="6"/>
      <c r="AH46" s="5"/>
      <c r="AI46" s="134"/>
      <c r="AJ46" s="5"/>
      <c r="AK46" s="5"/>
      <c r="AL46" s="80"/>
      <c r="AM46" s="80"/>
      <c r="AN46">
        <f>IFERROR(Tabelle2[[#This Row],[Vol_ha_22]]*0.537836177777778*Carbon_Calculations!$R$9,0)</f>
        <v>52.2881214954893</v>
      </c>
    </row>
    <row r="47" spans="1:40" x14ac:dyDescent="0.3">
      <c r="A47" s="130" t="s">
        <v>180</v>
      </c>
      <c r="B47" s="130" t="s">
        <v>390</v>
      </c>
      <c r="C47" t="s">
        <v>244</v>
      </c>
      <c r="D47" s="6">
        <v>1000</v>
      </c>
      <c r="E47" s="5"/>
      <c r="G47" s="4"/>
      <c r="H47" s="131">
        <v>2020</v>
      </c>
      <c r="I47" s="130" t="s">
        <v>390</v>
      </c>
      <c r="J47">
        <v>20</v>
      </c>
      <c r="K47" s="80"/>
      <c r="L47" s="80"/>
      <c r="O47" s="5"/>
      <c r="P47" s="5"/>
      <c r="Q47" s="80"/>
      <c r="R47" s="80"/>
      <c r="S47" s="94"/>
      <c r="T47" s="133"/>
      <c r="U47" s="5">
        <v>101.2486389</v>
      </c>
      <c r="V47">
        <v>101.2486389</v>
      </c>
      <c r="W47" s="80">
        <f>+Tabelle2[[#This Row],[Vol_ha_22]]-Tabelle2[[#This Row],[Vol_2020]]</f>
        <v>0</v>
      </c>
      <c r="X47" s="80"/>
      <c r="Y47" s="80"/>
      <c r="Z47" s="80"/>
      <c r="AA47" s="5"/>
      <c r="AB47" s="80"/>
      <c r="AC47" s="80"/>
      <c r="AD47" s="80"/>
      <c r="AE47" s="80"/>
      <c r="AF47" s="134"/>
      <c r="AG47" s="6"/>
      <c r="AH47" s="5"/>
      <c r="AI47" s="134"/>
      <c r="AJ47" s="5"/>
      <c r="AK47" s="5"/>
      <c r="AL47" s="80"/>
      <c r="AM47" s="80"/>
      <c r="AN47">
        <f>IFERROR(Tabelle2[[#This Row],[Vol_ha_22]]*0.537836177777778*Carbon_Calculations!$R$9,0)</f>
        <v>62.62345809385522</v>
      </c>
    </row>
    <row r="48" spans="1:40" x14ac:dyDescent="0.3">
      <c r="A48" s="130" t="s">
        <v>180</v>
      </c>
      <c r="B48" s="130" t="s">
        <v>288</v>
      </c>
      <c r="C48" t="s">
        <v>194</v>
      </c>
      <c r="D48" s="6">
        <v>1000</v>
      </c>
      <c r="E48" s="5"/>
      <c r="G48" s="4"/>
      <c r="H48" s="131">
        <v>2019</v>
      </c>
      <c r="I48" s="130" t="s">
        <v>288</v>
      </c>
      <c r="J48">
        <v>20</v>
      </c>
      <c r="K48" s="80"/>
      <c r="L48" s="80"/>
      <c r="O48" s="5"/>
      <c r="P48" s="5"/>
      <c r="Q48" s="80"/>
      <c r="R48" s="80"/>
      <c r="S48" s="94"/>
      <c r="T48" s="133"/>
      <c r="U48" s="5">
        <v>47.737211719999998</v>
      </c>
      <c r="V48">
        <v>47.737211719999998</v>
      </c>
      <c r="W48" s="80">
        <f>+Tabelle2[[#This Row],[Vol_ha_22]]-Tabelle2[[#This Row],[Vol_2020]]</f>
        <v>0</v>
      </c>
      <c r="X48" s="80"/>
      <c r="Y48" s="80"/>
      <c r="Z48" s="80"/>
      <c r="AA48" s="5"/>
      <c r="AB48" s="80"/>
      <c r="AC48" s="80"/>
      <c r="AD48" s="80"/>
      <c r="AE48" s="80"/>
      <c r="AF48" s="134"/>
      <c r="AG48" s="6"/>
      <c r="AH48" s="5"/>
      <c r="AI48" s="134"/>
      <c r="AJ48" s="5"/>
      <c r="AK48" s="5"/>
      <c r="AL48" s="80"/>
      <c r="AM48" s="80"/>
      <c r="AN48">
        <f>IFERROR(Tabelle2[[#This Row],[Vol_ha_22]]*0.537836177777778*Carbon_Calculations!$R$9,0)</f>
        <v>29.52601941264135</v>
      </c>
    </row>
    <row r="49" spans="1:40" x14ac:dyDescent="0.3">
      <c r="A49" s="130" t="s">
        <v>180</v>
      </c>
      <c r="B49" s="130" t="s">
        <v>363</v>
      </c>
      <c r="C49" t="s">
        <v>238</v>
      </c>
      <c r="D49" s="6">
        <v>1000</v>
      </c>
      <c r="E49" s="5"/>
      <c r="G49" s="4"/>
      <c r="H49" s="131">
        <v>2020</v>
      </c>
      <c r="I49" s="130" t="s">
        <v>363</v>
      </c>
      <c r="J49">
        <v>20</v>
      </c>
      <c r="K49" s="80"/>
      <c r="L49" s="80"/>
      <c r="O49" s="5"/>
      <c r="P49" s="5"/>
      <c r="Q49" s="80"/>
      <c r="R49" s="80"/>
      <c r="S49" s="94"/>
      <c r="T49" s="133"/>
      <c r="U49" s="5">
        <v>73.667909559999998</v>
      </c>
      <c r="V49">
        <v>73.667909559999998</v>
      </c>
      <c r="W49" s="80">
        <f>+Tabelle2[[#This Row],[Vol_ha_22]]-Tabelle2[[#This Row],[Vol_2020]]</f>
        <v>0</v>
      </c>
      <c r="X49" s="80"/>
      <c r="Y49" s="80"/>
      <c r="Z49" s="80"/>
      <c r="AA49" s="5"/>
      <c r="AB49" s="80"/>
      <c r="AC49" s="80"/>
      <c r="AD49" s="80"/>
      <c r="AE49" s="80"/>
      <c r="AF49" s="134"/>
      <c r="AG49" s="6"/>
      <c r="AH49" s="5"/>
      <c r="AI49" s="134"/>
      <c r="AJ49" s="5"/>
      <c r="AK49" s="5"/>
      <c r="AL49" s="80"/>
      <c r="AM49" s="80"/>
      <c r="AN49">
        <f>IFERROR(Tabelle2[[#This Row],[Vol_ha_22]]*0.537836177777778*Carbon_Calculations!$R$9,0)</f>
        <v>45.564456938023845</v>
      </c>
    </row>
    <row r="50" spans="1:40" x14ac:dyDescent="0.3">
      <c r="A50" s="130" t="s">
        <v>180</v>
      </c>
      <c r="B50" s="130" t="s">
        <v>368</v>
      </c>
      <c r="C50" t="s">
        <v>238</v>
      </c>
      <c r="D50" s="6">
        <v>1000</v>
      </c>
      <c r="E50" s="5"/>
      <c r="G50" s="4"/>
      <c r="H50" s="131">
        <v>2020</v>
      </c>
      <c r="I50" s="130" t="s">
        <v>368</v>
      </c>
      <c r="J50">
        <v>20</v>
      </c>
      <c r="K50" s="80"/>
      <c r="L50" s="80"/>
      <c r="O50" s="5"/>
      <c r="P50" s="5"/>
      <c r="Q50" s="80"/>
      <c r="R50" s="80"/>
      <c r="S50" s="94"/>
      <c r="T50" s="133"/>
      <c r="U50" s="5">
        <v>60.869945309999999</v>
      </c>
      <c r="V50">
        <v>60.869945309999999</v>
      </c>
      <c r="W50" s="80">
        <f>+Tabelle2[[#This Row],[Vol_ha_22]]-Tabelle2[[#This Row],[Vol_2020]]</f>
        <v>0</v>
      </c>
      <c r="X50" s="80"/>
      <c r="Y50" s="80"/>
      <c r="Z50" s="80"/>
      <c r="AA50" s="5"/>
      <c r="AB50" s="80"/>
      <c r="AC50" s="80"/>
      <c r="AD50" s="80"/>
      <c r="AE50" s="80"/>
      <c r="AF50" s="134"/>
      <c r="AG50" s="6"/>
      <c r="AH50" s="5"/>
      <c r="AI50" s="134"/>
      <c r="AJ50" s="5"/>
      <c r="AK50" s="5"/>
      <c r="AL50" s="80"/>
      <c r="AM50" s="80"/>
      <c r="AN50">
        <f>IFERROR(Tabelle2[[#This Row],[Vol_ha_22]]*0.537836177777778*Carbon_Calculations!$R$9,0)</f>
        <v>37.648767536133697</v>
      </c>
    </row>
    <row r="51" spans="1:40" x14ac:dyDescent="0.3">
      <c r="A51" s="130" t="s">
        <v>180</v>
      </c>
      <c r="B51" s="130" t="s">
        <v>373</v>
      </c>
      <c r="C51" t="s">
        <v>238</v>
      </c>
      <c r="D51" s="6">
        <v>1000</v>
      </c>
      <c r="E51" s="5"/>
      <c r="G51" s="4"/>
      <c r="H51" s="131">
        <v>2020</v>
      </c>
      <c r="I51" s="130" t="s">
        <v>373</v>
      </c>
      <c r="J51">
        <v>20</v>
      </c>
      <c r="K51" s="80"/>
      <c r="L51" s="80"/>
      <c r="O51" s="5"/>
      <c r="P51" s="5"/>
      <c r="Q51" s="80"/>
      <c r="R51" s="80"/>
      <c r="S51" s="94"/>
      <c r="T51" s="133"/>
      <c r="U51" s="5">
        <v>75.29920559</v>
      </c>
      <c r="V51">
        <v>75.29920559</v>
      </c>
      <c r="W51" s="80">
        <f>+Tabelle2[[#This Row],[Vol_ha_22]]-Tabelle2[[#This Row],[Vol_2020]]</f>
        <v>0</v>
      </c>
      <c r="X51" s="80"/>
      <c r="Y51" s="80"/>
      <c r="Z51" s="80"/>
      <c r="AA51" s="5"/>
      <c r="AB51" s="80"/>
      <c r="AC51" s="80"/>
      <c r="AD51" s="80"/>
      <c r="AE51" s="80"/>
      <c r="AF51" s="134"/>
      <c r="AG51" s="6"/>
      <c r="AH51" s="5"/>
      <c r="AI51" s="134"/>
      <c r="AJ51" s="5"/>
      <c r="AK51" s="5"/>
      <c r="AL51" s="80"/>
      <c r="AM51" s="80"/>
      <c r="AN51">
        <f>IFERROR(Tabelle2[[#This Row],[Vol_ha_22]]*0.537836177777778*Carbon_Calculations!$R$9,0)</f>
        <v>46.573432462862996</v>
      </c>
    </row>
    <row r="52" spans="1:40" x14ac:dyDescent="0.3">
      <c r="A52" s="130" t="s">
        <v>180</v>
      </c>
      <c r="B52" s="130" t="s">
        <v>371</v>
      </c>
      <c r="C52" t="s">
        <v>242</v>
      </c>
      <c r="D52" s="6">
        <v>1000</v>
      </c>
      <c r="E52" s="5"/>
      <c r="G52" s="4"/>
      <c r="H52" s="131">
        <v>2020</v>
      </c>
      <c r="I52" s="130" t="s">
        <v>371</v>
      </c>
      <c r="J52">
        <v>20</v>
      </c>
      <c r="K52" s="80"/>
      <c r="L52" s="80"/>
      <c r="O52" s="5"/>
      <c r="P52" s="5"/>
      <c r="Q52" s="80"/>
      <c r="R52" s="80"/>
      <c r="S52" s="94"/>
      <c r="T52" s="133"/>
      <c r="U52" s="5">
        <v>55.870110920000002</v>
      </c>
      <c r="V52">
        <v>55.870110920000002</v>
      </c>
      <c r="W52" s="80">
        <f>+Tabelle2[[#This Row],[Vol_ha_22]]-Tabelle2[[#This Row],[Vol_2020]]</f>
        <v>0</v>
      </c>
      <c r="X52" s="80"/>
      <c r="Y52" s="80"/>
      <c r="Z52" s="80"/>
      <c r="AA52" s="5"/>
      <c r="AB52" s="80"/>
      <c r="AC52" s="80"/>
      <c r="AD52" s="80"/>
      <c r="AE52" s="80"/>
      <c r="AF52" s="134"/>
      <c r="AG52" s="6"/>
      <c r="AH52" s="5"/>
      <c r="AI52" s="134"/>
      <c r="AJ52" s="5"/>
      <c r="AK52" s="5"/>
      <c r="AL52" s="80"/>
      <c r="AM52" s="80"/>
      <c r="AN52">
        <f>IFERROR(Tabelle2[[#This Row],[Vol_ha_22]]*0.537836177777778*Carbon_Calculations!$R$9,0)</f>
        <v>34.55631194561829</v>
      </c>
    </row>
    <row r="53" spans="1:40" x14ac:dyDescent="0.3">
      <c r="A53" s="130" t="s">
        <v>180</v>
      </c>
      <c r="B53" s="130" t="s">
        <v>369</v>
      </c>
      <c r="C53" t="s">
        <v>242</v>
      </c>
      <c r="D53" s="6">
        <v>1000</v>
      </c>
      <c r="E53" s="5"/>
      <c r="G53" s="4"/>
      <c r="H53" s="131">
        <v>2020</v>
      </c>
      <c r="I53" s="130" t="s">
        <v>369</v>
      </c>
      <c r="J53">
        <v>20</v>
      </c>
      <c r="K53" s="80"/>
      <c r="L53" s="80"/>
      <c r="O53" s="5"/>
      <c r="P53" s="5"/>
      <c r="Q53" s="80"/>
      <c r="R53" s="80"/>
      <c r="S53" s="94"/>
      <c r="T53" s="133"/>
      <c r="U53" s="5">
        <v>57.029199149999997</v>
      </c>
      <c r="V53">
        <v>57.029199149999997</v>
      </c>
      <c r="W53" s="80">
        <f>+Tabelle2[[#This Row],[Vol_ha_22]]-Tabelle2[[#This Row],[Vol_2020]]</f>
        <v>0</v>
      </c>
      <c r="X53" s="80"/>
      <c r="Y53" s="80"/>
      <c r="Z53" s="80"/>
      <c r="AA53" s="5"/>
      <c r="AB53" s="80"/>
      <c r="AC53" s="80"/>
      <c r="AD53" s="80"/>
      <c r="AE53" s="80"/>
      <c r="AF53" s="134"/>
      <c r="AG53" s="6"/>
      <c r="AH53" s="5"/>
      <c r="AI53" s="134"/>
      <c r="AJ53" s="5"/>
      <c r="AK53" s="5"/>
      <c r="AL53" s="80"/>
      <c r="AM53" s="80"/>
      <c r="AN53">
        <f>IFERROR(Tabelle2[[#This Row],[Vol_ha_22]]*0.537836177777778*Carbon_Calculations!$R$9,0)</f>
        <v>35.273221466448263</v>
      </c>
    </row>
    <row r="54" spans="1:40" x14ac:dyDescent="0.3">
      <c r="A54" s="130" t="s">
        <v>180</v>
      </c>
      <c r="B54" s="130" t="s">
        <v>370</v>
      </c>
      <c r="C54" t="s">
        <v>242</v>
      </c>
      <c r="D54" s="6">
        <v>1000</v>
      </c>
      <c r="E54" s="5"/>
      <c r="G54" s="4"/>
      <c r="H54" s="131">
        <v>2020</v>
      </c>
      <c r="I54" s="130" t="s">
        <v>370</v>
      </c>
      <c r="J54">
        <v>20</v>
      </c>
      <c r="K54" s="80"/>
      <c r="L54" s="80"/>
      <c r="O54" s="5"/>
      <c r="P54" s="5"/>
      <c r="Q54" s="80"/>
      <c r="R54" s="80"/>
      <c r="S54" s="94"/>
      <c r="T54" s="133"/>
      <c r="U54" s="5">
        <v>52.911173820000002</v>
      </c>
      <c r="V54">
        <v>52.911173820000002</v>
      </c>
      <c r="W54" s="80">
        <f>+Tabelle2[[#This Row],[Vol_ha_22]]-Tabelle2[[#This Row],[Vol_2020]]</f>
        <v>0</v>
      </c>
      <c r="X54" s="80"/>
      <c r="Y54" s="80"/>
      <c r="Z54" s="80"/>
      <c r="AA54" s="5"/>
      <c r="AB54" s="80"/>
      <c r="AC54" s="80"/>
      <c r="AD54" s="80"/>
      <c r="AE54" s="80"/>
      <c r="AF54" s="134"/>
      <c r="AG54" s="6"/>
      <c r="AH54" s="5"/>
      <c r="AI54" s="134"/>
      <c r="AJ54" s="5"/>
      <c r="AK54" s="5"/>
      <c r="AL54" s="80"/>
      <c r="AM54" s="80"/>
      <c r="AN54">
        <f>IFERROR(Tabelle2[[#This Row],[Vol_ha_22]]*0.537836177777778*Carbon_Calculations!$R$9,0)</f>
        <v>32.726175012447101</v>
      </c>
    </row>
    <row r="55" spans="1:40" x14ac:dyDescent="0.3">
      <c r="A55" s="130" t="s">
        <v>180</v>
      </c>
      <c r="B55" s="130" t="s">
        <v>372</v>
      </c>
      <c r="C55" t="s">
        <v>242</v>
      </c>
      <c r="D55" s="6">
        <v>1000</v>
      </c>
      <c r="E55" s="5"/>
      <c r="G55" s="4"/>
      <c r="H55" s="131">
        <v>2020</v>
      </c>
      <c r="I55" s="130" t="s">
        <v>372</v>
      </c>
      <c r="J55">
        <v>20</v>
      </c>
      <c r="K55" s="80"/>
      <c r="L55" s="80"/>
      <c r="O55" s="5"/>
      <c r="P55" s="5"/>
      <c r="Q55" s="80"/>
      <c r="R55" s="80"/>
      <c r="S55" s="94"/>
      <c r="T55" s="133"/>
      <c r="U55" s="5">
        <v>43.093776079999998</v>
      </c>
      <c r="V55">
        <v>43.093776079999998</v>
      </c>
      <c r="W55" s="80">
        <f>+Tabelle2[[#This Row],[Vol_ha_22]]-Tabelle2[[#This Row],[Vol_2020]]</f>
        <v>0</v>
      </c>
      <c r="X55" s="80"/>
      <c r="Y55" s="80"/>
      <c r="Z55" s="80"/>
      <c r="AA55" s="5"/>
      <c r="AB55" s="80"/>
      <c r="AC55" s="80"/>
      <c r="AD55" s="80"/>
      <c r="AE55" s="80"/>
      <c r="AF55" s="134"/>
      <c r="AG55" s="6"/>
      <c r="AH55" s="5"/>
      <c r="AI55" s="134"/>
      <c r="AJ55" s="5"/>
      <c r="AK55" s="5"/>
      <c r="AL55" s="80"/>
      <c r="AM55" s="80"/>
      <c r="AN55">
        <f>IFERROR(Tabelle2[[#This Row],[Vol_ha_22]]*0.537836177777778*Carbon_Calculations!$R$9,0)</f>
        <v>26.654000584810433</v>
      </c>
    </row>
    <row r="56" spans="1:40" x14ac:dyDescent="0.3">
      <c r="A56" s="130" t="s">
        <v>180</v>
      </c>
      <c r="B56" s="130" t="s">
        <v>427</v>
      </c>
      <c r="C56" t="s">
        <v>267</v>
      </c>
      <c r="D56" s="6">
        <v>1000</v>
      </c>
      <c r="E56" s="5"/>
      <c r="G56" s="4"/>
      <c r="H56" s="131">
        <v>2019</v>
      </c>
      <c r="I56" s="130" t="s">
        <v>427</v>
      </c>
      <c r="J56">
        <v>20</v>
      </c>
      <c r="K56" s="80"/>
      <c r="L56" s="80"/>
      <c r="O56" s="5"/>
      <c r="P56" s="5"/>
      <c r="Q56" s="80"/>
      <c r="R56" s="80"/>
      <c r="S56" s="94"/>
      <c r="T56" s="133"/>
      <c r="U56" s="5">
        <v>60.371045629999998</v>
      </c>
      <c r="V56">
        <v>60.371045629999998</v>
      </c>
      <c r="W56" s="80">
        <f>+Tabelle2[[#This Row],[Vol_ha_22]]-Tabelle2[[#This Row],[Vol_2020]]</f>
        <v>0</v>
      </c>
      <c r="X56" s="80"/>
      <c r="Y56" s="80"/>
      <c r="Z56" s="80"/>
      <c r="AA56" s="5"/>
      <c r="AB56" s="80"/>
      <c r="AC56" s="80"/>
      <c r="AD56" s="80"/>
      <c r="AE56" s="80"/>
      <c r="AF56" s="134"/>
      <c r="AG56" s="6"/>
      <c r="AH56" s="5"/>
      <c r="AI56" s="134"/>
      <c r="AJ56" s="5"/>
      <c r="AK56" s="5"/>
      <c r="AL56" s="80"/>
      <c r="AM56" s="80"/>
      <c r="AN56">
        <f>IFERROR(Tabelle2[[#This Row],[Vol_ha_22]]*0.537836177777778*Carbon_Calculations!$R$9,0)</f>
        <v>37.340192294600079</v>
      </c>
    </row>
    <row r="57" spans="1:40" x14ac:dyDescent="0.3">
      <c r="A57" s="130" t="s">
        <v>180</v>
      </c>
      <c r="B57" s="130" t="s">
        <v>421</v>
      </c>
      <c r="C57" t="s">
        <v>194</v>
      </c>
      <c r="D57" s="6">
        <v>1000</v>
      </c>
      <c r="E57" s="5"/>
      <c r="G57" s="4"/>
      <c r="H57" s="131">
        <v>2019</v>
      </c>
      <c r="I57" s="130" t="s">
        <v>421</v>
      </c>
      <c r="J57">
        <v>20</v>
      </c>
      <c r="K57" s="80"/>
      <c r="L57" s="80"/>
      <c r="O57" s="5"/>
      <c r="P57" s="5"/>
      <c r="Q57" s="80"/>
      <c r="R57" s="80"/>
      <c r="S57" s="94"/>
      <c r="T57" s="133"/>
      <c r="U57" s="5">
        <v>59.769570880000003</v>
      </c>
      <c r="V57">
        <v>59.769570880000003</v>
      </c>
      <c r="W57" s="80">
        <f>+Tabelle2[[#This Row],[Vol_ha_22]]-Tabelle2[[#This Row],[Vol_2020]]</f>
        <v>0</v>
      </c>
      <c r="X57" s="80"/>
      <c r="Y57" s="80"/>
      <c r="Z57" s="80"/>
      <c r="AA57" s="5"/>
      <c r="AB57" s="80"/>
      <c r="AC57" s="80"/>
      <c r="AD57" s="80"/>
      <c r="AE57" s="80"/>
      <c r="AF57" s="134"/>
      <c r="AG57" s="6"/>
      <c r="AH57" s="5"/>
      <c r="AI57" s="134"/>
      <c r="AJ57" s="5"/>
      <c r="AK57" s="5"/>
      <c r="AL57" s="80"/>
      <c r="AM57" s="80"/>
      <c r="AN57">
        <f>IFERROR(Tabelle2[[#This Row],[Vol_ha_22]]*0.537836177777778*Carbon_Calculations!$R$9,0)</f>
        <v>36.968173181944763</v>
      </c>
    </row>
    <row r="58" spans="1:40" x14ac:dyDescent="0.3">
      <c r="A58" s="130" t="s">
        <v>180</v>
      </c>
      <c r="B58" s="130" t="s">
        <v>426</v>
      </c>
      <c r="C58" t="s">
        <v>194</v>
      </c>
      <c r="D58" s="6">
        <v>1000</v>
      </c>
      <c r="E58" s="5"/>
      <c r="G58" s="4"/>
      <c r="H58" s="131">
        <v>2019</v>
      </c>
      <c r="I58" s="130" t="s">
        <v>426</v>
      </c>
      <c r="J58">
        <v>20</v>
      </c>
      <c r="K58" s="80"/>
      <c r="L58" s="80"/>
      <c r="O58" s="5"/>
      <c r="P58" s="5"/>
      <c r="Q58" s="80"/>
      <c r="R58" s="80"/>
      <c r="S58" s="94"/>
      <c r="T58" s="133"/>
      <c r="U58" s="5">
        <v>25.245875417546014</v>
      </c>
      <c r="V58" s="5">
        <v>25.245875417546014</v>
      </c>
      <c r="W58" s="80">
        <f>+Tabelle2[[#This Row],[Vol_ha_22]]-Tabelle2[[#This Row],[Vol_2020]]</f>
        <v>0</v>
      </c>
      <c r="X58" s="80"/>
      <c r="Y58" s="80"/>
      <c r="Z58" s="80"/>
      <c r="AA58" s="5"/>
      <c r="AB58" s="80"/>
      <c r="AC58" s="80"/>
      <c r="AD58" s="80"/>
      <c r="AE58" s="80"/>
      <c r="AF58" s="134"/>
      <c r="AG58" s="6"/>
      <c r="AH58" s="5"/>
      <c r="AI58" s="134"/>
      <c r="AJ58" s="5"/>
      <c r="AK58" s="5"/>
      <c r="AL58" s="80"/>
      <c r="AM58" s="80"/>
      <c r="AN58">
        <f>IFERROR(Tabelle2[[#This Row],[Vol_ha_22]]*0.537836177777778*Carbon_Calculations!$R$9,0)</f>
        <v>15.614866910110949</v>
      </c>
    </row>
    <row r="59" spans="1:40" x14ac:dyDescent="0.3">
      <c r="A59" s="130" t="s">
        <v>180</v>
      </c>
      <c r="B59" s="130" t="s">
        <v>422</v>
      </c>
      <c r="C59" t="s">
        <v>194</v>
      </c>
      <c r="D59" s="6">
        <v>1000</v>
      </c>
      <c r="E59" s="5"/>
      <c r="G59" s="4"/>
      <c r="H59" s="131">
        <v>2019</v>
      </c>
      <c r="I59" s="130" t="s">
        <v>422</v>
      </c>
      <c r="J59">
        <v>20</v>
      </c>
      <c r="K59" s="80"/>
      <c r="L59" s="80"/>
      <c r="O59" s="5"/>
      <c r="P59" s="5"/>
      <c r="Q59" s="80"/>
      <c r="R59" s="80"/>
      <c r="S59" s="94"/>
      <c r="T59" s="133"/>
      <c r="U59" s="5">
        <v>28.265510449607824</v>
      </c>
      <c r="V59" s="5">
        <v>28.265510449607824</v>
      </c>
      <c r="W59" s="80">
        <f>+Tabelle2[[#This Row],[Vol_ha_22]]-Tabelle2[[#This Row],[Vol_2020]]</f>
        <v>0</v>
      </c>
      <c r="X59" s="80"/>
      <c r="Y59" s="80"/>
      <c r="Z59" s="80"/>
      <c r="AA59" s="5"/>
      <c r="AB59" s="80"/>
      <c r="AC59" s="80"/>
      <c r="AD59" s="80"/>
      <c r="AE59" s="80"/>
      <c r="AF59" s="134"/>
      <c r="AG59" s="6"/>
      <c r="AH59" s="5"/>
      <c r="AI59" s="134"/>
      <c r="AJ59" s="5"/>
      <c r="AK59" s="5"/>
      <c r="AL59" s="80"/>
      <c r="AM59" s="80"/>
      <c r="AN59">
        <f>IFERROR(Tabelle2[[#This Row],[Vol_ha_22]]*0.537836177777778*Carbon_Calculations!$R$9,0)</f>
        <v>17.482546218628151</v>
      </c>
    </row>
    <row r="60" spans="1:40" x14ac:dyDescent="0.3">
      <c r="A60" s="130" t="s">
        <v>180</v>
      </c>
      <c r="B60" s="130" t="s">
        <v>415</v>
      </c>
      <c r="C60" t="s">
        <v>194</v>
      </c>
      <c r="D60" s="6">
        <v>1000</v>
      </c>
      <c r="E60" s="5"/>
      <c r="G60" s="4"/>
      <c r="H60" s="131">
        <v>2019</v>
      </c>
      <c r="I60" s="130" t="s">
        <v>415</v>
      </c>
      <c r="J60">
        <v>20</v>
      </c>
      <c r="K60" s="80"/>
      <c r="L60" s="80"/>
      <c r="O60" s="5"/>
      <c r="P60" s="5"/>
      <c r="Q60" s="80"/>
      <c r="R60" s="80"/>
      <c r="S60" s="94"/>
      <c r="T60" s="133"/>
      <c r="U60" s="5">
        <v>43.537764439310102</v>
      </c>
      <c r="V60" s="5">
        <v>43.537764439310102</v>
      </c>
      <c r="W60" s="80">
        <f>+Tabelle2[[#This Row],[Vol_ha_22]]-Tabelle2[[#This Row],[Vol_2020]]</f>
        <v>0</v>
      </c>
      <c r="X60" s="80"/>
      <c r="Y60" s="80"/>
      <c r="Z60" s="80"/>
      <c r="AA60" s="5"/>
      <c r="AB60" s="80"/>
      <c r="AC60" s="80"/>
      <c r="AD60" s="80"/>
      <c r="AE60" s="80"/>
      <c r="AF60" s="134"/>
      <c r="AG60" s="6"/>
      <c r="AH60" s="5"/>
      <c r="AI60" s="134"/>
      <c r="AJ60" s="5"/>
      <c r="AK60" s="5"/>
      <c r="AL60" s="80"/>
      <c r="AM60" s="80"/>
      <c r="AN60">
        <f>IFERROR(Tabelle2[[#This Row],[Vol_ha_22]]*0.537836177777778*Carbon_Calculations!$R$9,0)</f>
        <v>26.928612537281982</v>
      </c>
    </row>
    <row r="61" spans="1:40" x14ac:dyDescent="0.3">
      <c r="A61" s="130" t="s">
        <v>180</v>
      </c>
      <c r="B61" s="130" t="s">
        <v>380</v>
      </c>
      <c r="C61" t="s">
        <v>250</v>
      </c>
      <c r="D61" s="6">
        <v>800</v>
      </c>
      <c r="E61" s="5"/>
      <c r="G61" s="4"/>
      <c r="H61" s="131">
        <v>2020</v>
      </c>
      <c r="I61" s="130" t="s">
        <v>380</v>
      </c>
      <c r="J61">
        <v>20</v>
      </c>
      <c r="K61" s="80"/>
      <c r="L61" s="80"/>
      <c r="O61" s="5"/>
      <c r="P61" s="5"/>
      <c r="Q61" s="80"/>
      <c r="R61" s="80"/>
      <c r="S61" s="94"/>
      <c r="T61" s="133"/>
      <c r="U61" s="5">
        <v>66.245669149999998</v>
      </c>
      <c r="V61">
        <v>66.245669149999998</v>
      </c>
      <c r="W61" s="80">
        <f>+Tabelle2[[#This Row],[Vol_ha_22]]-Tabelle2[[#This Row],[Vol_2020]]</f>
        <v>0</v>
      </c>
      <c r="X61" s="80"/>
      <c r="Y61" s="80"/>
      <c r="Z61" s="80"/>
      <c r="AA61" s="5"/>
      <c r="AB61" s="80"/>
      <c r="AC61" s="80"/>
      <c r="AD61" s="80"/>
      <c r="AE61" s="80"/>
      <c r="AF61" s="134"/>
      <c r="AG61" s="6"/>
      <c r="AH61" s="5"/>
      <c r="AI61" s="134"/>
      <c r="AJ61" s="5"/>
      <c r="AK61" s="5"/>
      <c r="AL61" s="80"/>
      <c r="AM61" s="80"/>
      <c r="AN61">
        <f>IFERROR(Tabelle2[[#This Row],[Vol_ha_22]]*0.537836177777778*Carbon_Calculations!$R$9,0)</f>
        <v>40.973715113462347</v>
      </c>
    </row>
    <row r="62" spans="1:40" x14ac:dyDescent="0.3">
      <c r="A62" s="130" t="s">
        <v>180</v>
      </c>
      <c r="B62" s="130" t="s">
        <v>379</v>
      </c>
      <c r="C62" t="s">
        <v>250</v>
      </c>
      <c r="D62" s="6">
        <v>800</v>
      </c>
      <c r="E62" s="5"/>
      <c r="G62" s="4"/>
      <c r="H62" s="131">
        <v>2020</v>
      </c>
      <c r="I62" s="130" t="s">
        <v>379</v>
      </c>
      <c r="J62">
        <v>20</v>
      </c>
      <c r="K62" s="80"/>
      <c r="L62" s="80"/>
      <c r="O62" s="5"/>
      <c r="P62" s="5"/>
      <c r="Q62" s="80"/>
      <c r="R62" s="80"/>
      <c r="S62" s="94"/>
      <c r="T62" s="133"/>
      <c r="U62" s="5">
        <v>63.281863889999997</v>
      </c>
      <c r="V62">
        <v>63.281863889999997</v>
      </c>
      <c r="W62" s="80">
        <f>+Tabelle2[[#This Row],[Vol_ha_22]]-Tabelle2[[#This Row],[Vol_2020]]</f>
        <v>0</v>
      </c>
      <c r="X62" s="80"/>
      <c r="Y62" s="80"/>
      <c r="Z62" s="80"/>
      <c r="AA62" s="5"/>
      <c r="AB62" s="80"/>
      <c r="AC62" s="80"/>
      <c r="AD62" s="80"/>
      <c r="AE62" s="80"/>
      <c r="AF62" s="134"/>
      <c r="AG62" s="6"/>
      <c r="AH62" s="5"/>
      <c r="AI62" s="134"/>
      <c r="AJ62" s="5"/>
      <c r="AK62" s="5"/>
      <c r="AL62" s="80"/>
      <c r="AM62" s="80"/>
      <c r="AN62">
        <f>IFERROR(Tabelle2[[#This Row],[Vol_ha_22]]*0.537836177777778*Carbon_Calculations!$R$9,0)</f>
        <v>39.140567166838863</v>
      </c>
    </row>
    <row r="63" spans="1:40" x14ac:dyDescent="0.3">
      <c r="A63" s="130" t="s">
        <v>180</v>
      </c>
      <c r="B63" s="130" t="s">
        <v>381</v>
      </c>
      <c r="C63" t="s">
        <v>250</v>
      </c>
      <c r="D63" s="6">
        <v>800</v>
      </c>
      <c r="E63" s="5"/>
      <c r="G63" s="4"/>
      <c r="H63" s="131">
        <v>2020</v>
      </c>
      <c r="I63" s="130" t="s">
        <v>381</v>
      </c>
      <c r="J63">
        <v>20</v>
      </c>
      <c r="K63" s="80"/>
      <c r="L63" s="80"/>
      <c r="O63" s="5"/>
      <c r="P63" s="5"/>
      <c r="Q63" s="80"/>
      <c r="R63" s="80"/>
      <c r="S63" s="94"/>
      <c r="T63" s="133"/>
      <c r="U63" s="5">
        <v>25.576114650000001</v>
      </c>
      <c r="V63">
        <v>25.576114650000001</v>
      </c>
      <c r="W63" s="80">
        <f>+Tabelle2[[#This Row],[Vol_ha_22]]-Tabelle2[[#This Row],[Vol_2020]]</f>
        <v>0</v>
      </c>
      <c r="X63" s="80"/>
      <c r="Y63" s="80"/>
      <c r="Z63" s="80"/>
      <c r="AA63" s="5"/>
      <c r="AB63" s="80"/>
      <c r="AC63" s="80"/>
      <c r="AD63" s="80"/>
      <c r="AE63" s="80"/>
      <c r="AF63" s="134"/>
      <c r="AG63" s="6"/>
      <c r="AH63" s="5"/>
      <c r="AI63" s="134"/>
      <c r="AJ63" s="5"/>
      <c r="AK63" s="5"/>
      <c r="AL63" s="80"/>
      <c r="AM63" s="80"/>
      <c r="AN63">
        <f>IFERROR(Tabelle2[[#This Row],[Vol_ha_22]]*0.537836177777778*Carbon_Calculations!$R$9,0)</f>
        <v>15.819123707626568</v>
      </c>
    </row>
    <row r="64" spans="1:40" x14ac:dyDescent="0.3">
      <c r="A64" s="130" t="s">
        <v>180</v>
      </c>
      <c r="B64" s="130" t="s">
        <v>382</v>
      </c>
      <c r="C64" t="s">
        <v>250</v>
      </c>
      <c r="D64" s="6">
        <v>800</v>
      </c>
      <c r="E64" s="5"/>
      <c r="G64" s="4"/>
      <c r="H64" s="131">
        <v>2020</v>
      </c>
      <c r="I64" s="130" t="s">
        <v>382</v>
      </c>
      <c r="J64">
        <v>20</v>
      </c>
      <c r="K64" s="80"/>
      <c r="L64" s="80"/>
      <c r="O64" s="5"/>
      <c r="P64" s="5"/>
      <c r="Q64" s="80"/>
      <c r="R64" s="80"/>
      <c r="S64" s="94"/>
      <c r="T64" s="133"/>
      <c r="U64" s="5">
        <v>50.156684519999999</v>
      </c>
      <c r="V64">
        <v>50.156684519999999</v>
      </c>
      <c r="W64" s="80">
        <f>+Tabelle2[[#This Row],[Vol_ha_22]]-Tabelle2[[#This Row],[Vol_2020]]</f>
        <v>0</v>
      </c>
      <c r="X64" s="80"/>
      <c r="Y64" s="80"/>
      <c r="Z64" s="80"/>
      <c r="AA64" s="5"/>
      <c r="AB64" s="80"/>
      <c r="AC64" s="80"/>
      <c r="AD64" s="80"/>
      <c r="AE64" s="80"/>
      <c r="AF64" s="134"/>
      <c r="AG64" s="6"/>
      <c r="AH64" s="5"/>
      <c r="AI64" s="134"/>
      <c r="AJ64" s="5"/>
      <c r="AK64" s="5"/>
      <c r="AL64" s="80"/>
      <c r="AM64" s="80"/>
      <c r="AN64">
        <f>IFERROR(Tabelle2[[#This Row],[Vol_ha_22]]*0.537836177777778*Carbon_Calculations!$R$9,0)</f>
        <v>31.022491416079042</v>
      </c>
    </row>
    <row r="65" spans="1:40" x14ac:dyDescent="0.3">
      <c r="A65" s="130" t="s">
        <v>180</v>
      </c>
      <c r="B65" s="130" t="s">
        <v>385</v>
      </c>
      <c r="C65" t="s">
        <v>252</v>
      </c>
      <c r="D65" s="6">
        <v>800</v>
      </c>
      <c r="E65" s="5"/>
      <c r="G65" s="4"/>
      <c r="H65" s="131">
        <v>2020</v>
      </c>
      <c r="I65" s="130" t="s">
        <v>385</v>
      </c>
      <c r="J65">
        <v>20</v>
      </c>
      <c r="K65" s="80"/>
      <c r="L65" s="80"/>
      <c r="O65" s="5"/>
      <c r="P65" s="5"/>
      <c r="Q65" s="80"/>
      <c r="R65" s="80"/>
      <c r="S65" s="94"/>
      <c r="T65" s="133"/>
      <c r="U65" s="5">
        <v>47.490273420000001</v>
      </c>
      <c r="V65">
        <v>47.490273420000001</v>
      </c>
      <c r="W65" s="80">
        <f>+Tabelle2[[#This Row],[Vol_ha_22]]-Tabelle2[[#This Row],[Vol_2020]]</f>
        <v>0</v>
      </c>
      <c r="X65" s="80"/>
      <c r="Y65" s="80"/>
      <c r="Z65" s="80"/>
      <c r="AA65" s="5"/>
      <c r="AB65" s="80"/>
      <c r="AC65" s="80"/>
      <c r="AD65" s="80"/>
      <c r="AE65" s="80"/>
      <c r="AF65" s="134"/>
      <c r="AG65" s="6"/>
      <c r="AH65" s="5"/>
      <c r="AI65" s="134"/>
      <c r="AJ65" s="5"/>
      <c r="AK65" s="5"/>
      <c r="AL65" s="80"/>
      <c r="AM65" s="80"/>
      <c r="AN65">
        <f>IFERROR(Tabelle2[[#This Row],[Vol_ha_22]]*0.537836177777778*Carbon_Calculations!$R$9,0)</f>
        <v>29.373285208509568</v>
      </c>
    </row>
    <row r="66" spans="1:40" x14ac:dyDescent="0.3">
      <c r="A66" s="130" t="s">
        <v>180</v>
      </c>
      <c r="B66" s="130" t="s">
        <v>387</v>
      </c>
      <c r="C66" t="s">
        <v>252</v>
      </c>
      <c r="D66" s="6">
        <v>800</v>
      </c>
      <c r="E66" s="5"/>
      <c r="G66" s="4"/>
      <c r="H66" s="131">
        <v>2020</v>
      </c>
      <c r="I66" s="130" t="s">
        <v>387</v>
      </c>
      <c r="J66">
        <v>20</v>
      </c>
      <c r="K66" s="80"/>
      <c r="L66" s="80"/>
      <c r="O66" s="5"/>
      <c r="P66" s="5"/>
      <c r="Q66" s="80"/>
      <c r="R66" s="80"/>
      <c r="S66" s="94"/>
      <c r="T66" s="133"/>
      <c r="U66" s="5">
        <v>40.021560809999997</v>
      </c>
      <c r="V66">
        <v>40.021560809999997</v>
      </c>
      <c r="W66" s="80">
        <f>+Tabelle2[[#This Row],[Vol_ha_22]]-Tabelle2[[#This Row],[Vol_2020]]</f>
        <v>0</v>
      </c>
      <c r="X66" s="80"/>
      <c r="Y66" s="80"/>
      <c r="Z66" s="80"/>
      <c r="AA66" s="5"/>
      <c r="AB66" s="80"/>
      <c r="AC66" s="80"/>
      <c r="AD66" s="80"/>
      <c r="AE66" s="80"/>
      <c r="AF66" s="134"/>
      <c r="AG66" s="6"/>
      <c r="AH66" s="5"/>
      <c r="AI66" s="134"/>
      <c r="AJ66" s="5"/>
      <c r="AK66" s="5"/>
      <c r="AL66" s="80"/>
      <c r="AM66" s="80"/>
      <c r="AN66">
        <f>IFERROR(Tabelle2[[#This Row],[Vol_ha_22]]*0.537836177777778*Carbon_Calculations!$R$9,0)</f>
        <v>24.75379978896401</v>
      </c>
    </row>
    <row r="67" spans="1:40" x14ac:dyDescent="0.3">
      <c r="A67" s="130" t="s">
        <v>180</v>
      </c>
      <c r="B67" s="130" t="s">
        <v>386</v>
      </c>
      <c r="C67" t="s">
        <v>252</v>
      </c>
      <c r="D67" s="6">
        <v>800</v>
      </c>
      <c r="E67" s="5"/>
      <c r="G67" s="4"/>
      <c r="H67" s="131">
        <v>2020</v>
      </c>
      <c r="I67" s="130" t="s">
        <v>386</v>
      </c>
      <c r="J67">
        <v>20</v>
      </c>
      <c r="K67" s="80"/>
      <c r="L67" s="80"/>
      <c r="O67" s="5"/>
      <c r="P67" s="5"/>
      <c r="Q67" s="80"/>
      <c r="R67" s="80"/>
      <c r="S67" s="94"/>
      <c r="T67" s="133"/>
      <c r="U67" s="5">
        <v>39.845023189999999</v>
      </c>
      <c r="V67">
        <v>39.845023189999999</v>
      </c>
      <c r="W67" s="80">
        <f>+Tabelle2[[#This Row],[Vol_ha_22]]-Tabelle2[[#This Row],[Vol_2020]]</f>
        <v>0</v>
      </c>
      <c r="X67" s="80"/>
      <c r="Y67" s="80"/>
      <c r="Z67" s="80"/>
      <c r="AA67" s="5"/>
      <c r="AB67" s="80"/>
      <c r="AC67" s="80"/>
      <c r="AD67" s="80"/>
      <c r="AE67" s="80"/>
      <c r="AF67" s="134"/>
      <c r="AG67" s="6"/>
      <c r="AH67" s="5"/>
      <c r="AI67" s="134"/>
      <c r="AJ67" s="5"/>
      <c r="AK67" s="5"/>
      <c r="AL67" s="80"/>
      <c r="AM67" s="80"/>
      <c r="AN67">
        <f>IFERROR(Tabelle2[[#This Row],[Vol_ha_22]]*0.537836177777778*Carbon_Calculations!$R$9,0)</f>
        <v>24.644609222373003</v>
      </c>
    </row>
    <row r="68" spans="1:40" x14ac:dyDescent="0.3">
      <c r="A68" s="130" t="s">
        <v>180</v>
      </c>
      <c r="B68" s="130" t="s">
        <v>383</v>
      </c>
      <c r="C68" t="s">
        <v>252</v>
      </c>
      <c r="D68" s="6">
        <v>800</v>
      </c>
      <c r="E68" s="5"/>
      <c r="G68" s="4"/>
      <c r="H68" s="131">
        <v>2020</v>
      </c>
      <c r="I68" s="130" t="s">
        <v>383</v>
      </c>
      <c r="J68">
        <v>20</v>
      </c>
      <c r="K68" s="80"/>
      <c r="L68" s="80"/>
      <c r="O68" s="5"/>
      <c r="P68" s="5"/>
      <c r="Q68" s="80"/>
      <c r="R68" s="80"/>
      <c r="S68" s="94"/>
      <c r="T68" s="133"/>
      <c r="U68" s="5">
        <v>45.263000220000002</v>
      </c>
      <c r="V68">
        <v>45.263000220000002</v>
      </c>
      <c r="W68" s="80">
        <f>+Tabelle2[[#This Row],[Vol_ha_22]]-Tabelle2[[#This Row],[Vol_2020]]</f>
        <v>0</v>
      </c>
      <c r="X68" s="80"/>
      <c r="Y68" s="80"/>
      <c r="Z68" s="80"/>
      <c r="AA68" s="5"/>
      <c r="AB68" s="80"/>
      <c r="AC68" s="80"/>
      <c r="AD68" s="80"/>
      <c r="AE68" s="80"/>
      <c r="AF68" s="134"/>
      <c r="AG68" s="6"/>
      <c r="AH68" s="5"/>
      <c r="AI68" s="134"/>
      <c r="AJ68" s="5"/>
      <c r="AK68" s="5"/>
      <c r="AL68" s="80"/>
      <c r="AM68" s="80"/>
      <c r="AN68">
        <f>IFERROR(Tabelle2[[#This Row],[Vol_ha_22]]*0.537836177777778*Carbon_Calculations!$R$9,0)</f>
        <v>27.995690888041455</v>
      </c>
    </row>
    <row r="69" spans="1:40" x14ac:dyDescent="0.3">
      <c r="A69" s="130" t="s">
        <v>180</v>
      </c>
      <c r="B69" s="130" t="s">
        <v>384</v>
      </c>
      <c r="C69" t="s">
        <v>252</v>
      </c>
      <c r="D69" s="6">
        <v>800</v>
      </c>
      <c r="E69" s="5"/>
      <c r="G69" s="4"/>
      <c r="H69" s="131">
        <v>2020</v>
      </c>
      <c r="I69" s="130" t="s">
        <v>384</v>
      </c>
      <c r="J69">
        <v>20</v>
      </c>
      <c r="K69" s="80"/>
      <c r="L69" s="80"/>
      <c r="O69" s="5"/>
      <c r="P69" s="5"/>
      <c r="Q69" s="80"/>
      <c r="R69" s="80"/>
      <c r="S69" s="94"/>
      <c r="T69" s="133"/>
      <c r="U69" s="5">
        <v>38.371207220000002</v>
      </c>
      <c r="V69">
        <v>38.371207220000002</v>
      </c>
      <c r="W69" s="80">
        <f>+Tabelle2[[#This Row],[Vol_ha_22]]-Tabelle2[[#This Row],[Vol_2020]]</f>
        <v>0</v>
      </c>
      <c r="X69" s="80"/>
      <c r="Y69" s="80"/>
      <c r="Z69" s="80"/>
      <c r="AA69" s="5"/>
      <c r="AB69" s="80"/>
      <c r="AC69" s="80"/>
      <c r="AD69" s="80"/>
      <c r="AE69" s="80"/>
      <c r="AF69" s="134"/>
      <c r="AG69" s="6"/>
      <c r="AH69" s="5"/>
      <c r="AI69" s="134"/>
      <c r="AJ69" s="5"/>
      <c r="AK69" s="5"/>
      <c r="AL69" s="80"/>
      <c r="AM69" s="80"/>
      <c r="AN69">
        <f>IFERROR(Tabelle2[[#This Row],[Vol_ha_22]]*0.537836177777778*Carbon_Calculations!$R$9,0)</f>
        <v>23.733036942112463</v>
      </c>
    </row>
    <row r="70" spans="1:40" x14ac:dyDescent="0.3">
      <c r="A70" s="130" t="s">
        <v>180</v>
      </c>
      <c r="B70" s="130" t="s">
        <v>416</v>
      </c>
      <c r="C70" t="s">
        <v>264</v>
      </c>
      <c r="D70" s="6">
        <v>1000</v>
      </c>
      <c r="E70" s="5"/>
      <c r="G70" s="4"/>
      <c r="H70" s="131">
        <v>2019</v>
      </c>
      <c r="I70" s="130" t="s">
        <v>416</v>
      </c>
      <c r="J70">
        <v>20</v>
      </c>
      <c r="K70" s="80"/>
      <c r="L70" s="80"/>
      <c r="O70" s="5"/>
      <c r="P70" s="5"/>
      <c r="Q70" s="80"/>
      <c r="R70" s="80"/>
      <c r="S70" s="94"/>
      <c r="T70" s="133"/>
      <c r="U70" s="5">
        <v>45.209296940000002</v>
      </c>
      <c r="V70">
        <v>45.209296940000002</v>
      </c>
      <c r="W70" s="80">
        <f>+Tabelle2[[#This Row],[Vol_ha_22]]-Tabelle2[[#This Row],[Vol_2020]]</f>
        <v>0</v>
      </c>
      <c r="X70" s="80"/>
      <c r="Y70" s="80"/>
      <c r="Z70" s="80"/>
      <c r="AA70" s="5"/>
      <c r="AB70" s="80"/>
      <c r="AC70" s="80"/>
      <c r="AD70" s="80"/>
      <c r="AE70" s="80"/>
      <c r="AF70" s="134"/>
      <c r="AG70" s="6"/>
      <c r="AH70" s="5"/>
      <c r="AI70" s="134"/>
      <c r="AJ70" s="5"/>
      <c r="AK70" s="5"/>
      <c r="AL70" s="80"/>
      <c r="AM70" s="80"/>
      <c r="AN70">
        <f>IFERROR(Tabelle2[[#This Row],[Vol_ha_22]]*0.537836177777778*Carbon_Calculations!$R$9,0)</f>
        <v>27.962474786164723</v>
      </c>
    </row>
    <row r="71" spans="1:40" x14ac:dyDescent="0.3">
      <c r="A71" s="130" t="s">
        <v>180</v>
      </c>
      <c r="B71" s="130" t="s">
        <v>419</v>
      </c>
      <c r="C71" t="s">
        <v>264</v>
      </c>
      <c r="D71" s="6">
        <v>1000</v>
      </c>
      <c r="E71" s="5"/>
      <c r="G71" s="4"/>
      <c r="H71" s="131">
        <v>2019</v>
      </c>
      <c r="I71" s="130" t="s">
        <v>419</v>
      </c>
      <c r="J71">
        <v>20</v>
      </c>
      <c r="K71" s="80"/>
      <c r="L71" s="80"/>
      <c r="O71" s="5"/>
      <c r="P71" s="5"/>
      <c r="Q71" s="80"/>
      <c r="R71" s="80"/>
      <c r="S71" s="94"/>
      <c r="T71" s="133"/>
      <c r="U71" s="5">
        <v>52.143665519999999</v>
      </c>
      <c r="V71">
        <v>52.143665519999999</v>
      </c>
      <c r="W71" s="80">
        <f>+Tabelle2[[#This Row],[Vol_ha_22]]-Tabelle2[[#This Row],[Vol_2020]]</f>
        <v>0</v>
      </c>
      <c r="X71" s="80"/>
      <c r="Y71" s="80"/>
      <c r="Z71" s="80"/>
      <c r="AA71" s="5"/>
      <c r="AB71" s="80"/>
      <c r="AC71" s="80"/>
      <c r="AD71" s="80"/>
      <c r="AE71" s="80"/>
      <c r="AF71" s="134"/>
      <c r="AG71" s="6"/>
      <c r="AH71" s="5"/>
      <c r="AI71" s="134"/>
      <c r="AJ71" s="5"/>
      <c r="AK71" s="5"/>
      <c r="AL71" s="80"/>
      <c r="AM71" s="80"/>
      <c r="AN71">
        <f>IFERROR(Tabelle2[[#This Row],[Vol_ha_22]]*0.537836177777778*Carbon_Calculations!$R$9,0)</f>
        <v>32.251462222389669</v>
      </c>
    </row>
    <row r="72" spans="1:40" x14ac:dyDescent="0.3">
      <c r="A72" s="130" t="s">
        <v>180</v>
      </c>
      <c r="B72" s="130" t="s">
        <v>430</v>
      </c>
      <c r="C72" t="s">
        <v>264</v>
      </c>
      <c r="D72" s="6">
        <v>1000</v>
      </c>
      <c r="E72" s="5"/>
      <c r="G72" s="4"/>
      <c r="H72" s="131">
        <v>2019</v>
      </c>
      <c r="I72" s="130" t="s">
        <v>430</v>
      </c>
      <c r="J72">
        <v>20</v>
      </c>
      <c r="K72" s="80"/>
      <c r="L72" s="80"/>
      <c r="O72" s="5"/>
      <c r="P72" s="5"/>
      <c r="Q72" s="80"/>
      <c r="R72" s="80"/>
      <c r="S72" s="94"/>
      <c r="T72" s="133"/>
      <c r="U72" s="5">
        <v>28.625330739999999</v>
      </c>
      <c r="V72">
        <v>28.625330739999999</v>
      </c>
      <c r="W72" s="80">
        <f>+Tabelle2[[#This Row],[Vol_ha_22]]-Tabelle2[[#This Row],[Vol_2020]]</f>
        <v>0</v>
      </c>
      <c r="X72" s="80"/>
      <c r="Y72" s="80"/>
      <c r="Z72" s="80"/>
      <c r="AA72" s="5"/>
      <c r="AB72" s="80"/>
      <c r="AC72" s="80"/>
      <c r="AD72" s="80"/>
      <c r="AE72" s="80"/>
      <c r="AF72" s="134"/>
      <c r="AG72" s="6"/>
      <c r="AH72" s="5"/>
      <c r="AI72" s="134"/>
      <c r="AJ72" s="5"/>
      <c r="AK72" s="5"/>
      <c r="AL72" s="80"/>
      <c r="AM72" s="80"/>
      <c r="AN72">
        <f>IFERROR(Tabelle2[[#This Row],[Vol_ha_22]]*0.537836177777778*Carbon_Calculations!$R$9,0)</f>
        <v>17.705099243750283</v>
      </c>
    </row>
    <row r="73" spans="1:40" x14ac:dyDescent="0.3">
      <c r="A73" s="130" t="s">
        <v>180</v>
      </c>
      <c r="B73" s="130" t="s">
        <v>403</v>
      </c>
      <c r="C73" t="s">
        <v>260</v>
      </c>
      <c r="D73" s="6">
        <v>1000</v>
      </c>
      <c r="E73" s="5"/>
      <c r="G73" s="4"/>
      <c r="H73" s="131">
        <v>2019</v>
      </c>
      <c r="I73" s="130" t="s">
        <v>403</v>
      </c>
      <c r="J73">
        <v>20</v>
      </c>
      <c r="K73" s="80"/>
      <c r="L73" s="80"/>
      <c r="O73" s="5"/>
      <c r="P73" s="5"/>
      <c r="Q73" s="80"/>
      <c r="R73" s="80"/>
      <c r="S73" s="94"/>
      <c r="T73" s="133"/>
      <c r="U73" s="5">
        <v>32.122252750000001</v>
      </c>
      <c r="V73">
        <v>32.122252750000001</v>
      </c>
      <c r="W73" s="80">
        <f>+Tabelle2[[#This Row],[Vol_ha_22]]-Tabelle2[[#This Row],[Vol_2020]]</f>
        <v>0</v>
      </c>
      <c r="X73" s="80"/>
      <c r="Y73" s="80"/>
      <c r="Z73" s="80"/>
      <c r="AA73" s="5"/>
      <c r="AB73" s="80"/>
      <c r="AC73" s="80"/>
      <c r="AD73" s="80"/>
      <c r="AE73" s="80"/>
      <c r="AF73" s="134"/>
      <c r="AG73" s="6"/>
      <c r="AH73" s="5"/>
      <c r="AI73" s="134"/>
      <c r="AJ73" s="5"/>
      <c r="AK73" s="5"/>
      <c r="AL73" s="80"/>
      <c r="AM73" s="80"/>
      <c r="AN73">
        <f>IFERROR(Tabelle2[[#This Row],[Vol_ha_22]]*0.537836177777778*Carbon_Calculations!$R$9,0)</f>
        <v>19.867986086772476</v>
      </c>
    </row>
    <row r="74" spans="1:40" x14ac:dyDescent="0.3">
      <c r="A74" s="130" t="s">
        <v>180</v>
      </c>
      <c r="B74" s="130" t="s">
        <v>402</v>
      </c>
      <c r="C74" t="s">
        <v>260</v>
      </c>
      <c r="D74" s="6">
        <v>1000</v>
      </c>
      <c r="E74" s="5"/>
      <c r="G74" s="4"/>
      <c r="H74" s="131">
        <v>2019</v>
      </c>
      <c r="I74" s="130" t="s">
        <v>402</v>
      </c>
      <c r="J74">
        <v>20</v>
      </c>
      <c r="K74" s="80"/>
      <c r="L74" s="80"/>
      <c r="O74" s="5"/>
      <c r="P74" s="5"/>
      <c r="Q74" s="80"/>
      <c r="R74" s="80"/>
      <c r="S74" s="94"/>
      <c r="T74" s="133"/>
      <c r="U74" s="5">
        <v>38.281273280000001</v>
      </c>
      <c r="V74">
        <v>38.281273280000001</v>
      </c>
      <c r="W74" s="80">
        <f>+Tabelle2[[#This Row],[Vol_ha_22]]-Tabelle2[[#This Row],[Vol_2020]]</f>
        <v>0</v>
      </c>
      <c r="X74" s="80"/>
      <c r="Y74" s="80"/>
      <c r="Z74" s="80"/>
      <c r="AA74" s="5"/>
      <c r="AB74" s="80"/>
      <c r="AC74" s="80"/>
      <c r="AD74" s="80"/>
      <c r="AE74" s="80"/>
      <c r="AF74" s="134"/>
      <c r="AG74" s="6"/>
      <c r="AH74" s="5"/>
      <c r="AI74" s="134"/>
      <c r="AJ74" s="5"/>
      <c r="AK74" s="5"/>
      <c r="AL74" s="80"/>
      <c r="AM74" s="80"/>
      <c r="AN74">
        <f>IFERROR(Tabelle2[[#This Row],[Vol_ha_22]]*0.537836177777778*Carbon_Calculations!$R$9,0)</f>
        <v>23.677411756589049</v>
      </c>
    </row>
    <row r="75" spans="1:40" x14ac:dyDescent="0.3">
      <c r="A75" s="130" t="s">
        <v>180</v>
      </c>
      <c r="B75" s="130" t="s">
        <v>412</v>
      </c>
      <c r="C75" t="s">
        <v>260</v>
      </c>
      <c r="D75" s="6">
        <v>1000</v>
      </c>
      <c r="E75" s="5"/>
      <c r="G75" s="4"/>
      <c r="H75" s="131">
        <v>2019</v>
      </c>
      <c r="I75" s="130" t="s">
        <v>412</v>
      </c>
      <c r="J75">
        <v>20</v>
      </c>
      <c r="K75" s="80"/>
      <c r="L75" s="80"/>
      <c r="O75" s="5"/>
      <c r="P75" s="5"/>
      <c r="Q75" s="80"/>
      <c r="R75" s="80"/>
      <c r="S75" s="94"/>
      <c r="T75" s="133"/>
      <c r="U75" s="5">
        <v>71.495046520000002</v>
      </c>
      <c r="V75">
        <v>71.495046520000002</v>
      </c>
      <c r="W75" s="80">
        <f>+Tabelle2[[#This Row],[Vol_ha_22]]-Tabelle2[[#This Row],[Vol_2020]]</f>
        <v>0</v>
      </c>
      <c r="X75" s="80"/>
      <c r="Y75" s="80"/>
      <c r="Z75" s="80"/>
      <c r="AA75" s="5"/>
      <c r="AB75" s="80"/>
      <c r="AC75" s="80"/>
      <c r="AD75" s="80"/>
      <c r="AE75" s="80"/>
      <c r="AF75" s="134"/>
      <c r="AG75" s="6"/>
      <c r="AH75" s="5"/>
      <c r="AI75" s="134"/>
      <c r="AJ75" s="5"/>
      <c r="AK75" s="5"/>
      <c r="AL75" s="80"/>
      <c r="AM75" s="80"/>
      <c r="AN75">
        <f>IFERROR(Tabelle2[[#This Row],[Vol_ha_22]]*0.537836177777778*Carbon_Calculations!$R$9,0)</f>
        <v>44.220515932915418</v>
      </c>
    </row>
    <row r="76" spans="1:40" x14ac:dyDescent="0.3">
      <c r="A76" s="130" t="s">
        <v>180</v>
      </c>
      <c r="B76" s="130" t="s">
        <v>418</v>
      </c>
      <c r="C76" t="s">
        <v>260</v>
      </c>
      <c r="D76" s="6">
        <v>1000</v>
      </c>
      <c r="E76" s="5"/>
      <c r="G76" s="4"/>
      <c r="H76" s="131">
        <v>2019</v>
      </c>
      <c r="I76" s="130" t="s">
        <v>418</v>
      </c>
      <c r="J76">
        <v>20</v>
      </c>
      <c r="K76" s="80"/>
      <c r="L76" s="80"/>
      <c r="O76" s="5"/>
      <c r="P76" s="5"/>
      <c r="Q76" s="80"/>
      <c r="R76" s="80"/>
      <c r="S76" s="94"/>
      <c r="T76" s="133"/>
      <c r="U76" s="5">
        <v>68.358160470000001</v>
      </c>
      <c r="V76">
        <v>68.358160470000001</v>
      </c>
      <c r="W76" s="80">
        <f>+Tabelle2[[#This Row],[Vol_ha_22]]-Tabelle2[[#This Row],[Vol_2020]]</f>
        <v>0</v>
      </c>
      <c r="X76" s="80"/>
      <c r="Y76" s="80"/>
      <c r="Z76" s="80"/>
      <c r="AA76" s="5"/>
      <c r="AB76" s="80"/>
      <c r="AC76" s="80"/>
      <c r="AD76" s="80"/>
      <c r="AE76" s="80"/>
      <c r="AF76" s="134"/>
      <c r="AG76" s="6"/>
      <c r="AH76" s="5"/>
      <c r="AI76" s="134"/>
      <c r="AJ76" s="5"/>
      <c r="AK76" s="5"/>
      <c r="AL76" s="80"/>
      <c r="AM76" s="80"/>
      <c r="AN76">
        <f>IFERROR(Tabelle2[[#This Row],[Vol_ha_22]]*0.537836177777778*Carbon_Calculations!$R$9,0)</f>
        <v>42.280315509170514</v>
      </c>
    </row>
    <row r="77" spans="1:40" x14ac:dyDescent="0.3">
      <c r="A77" s="130" t="s">
        <v>180</v>
      </c>
      <c r="B77" s="130" t="s">
        <v>401</v>
      </c>
      <c r="C77" t="s">
        <v>260</v>
      </c>
      <c r="D77" s="6">
        <v>1000</v>
      </c>
      <c r="E77" s="5"/>
      <c r="G77" s="4"/>
      <c r="H77" s="131">
        <v>2019</v>
      </c>
      <c r="I77" s="130" t="s">
        <v>401</v>
      </c>
      <c r="J77">
        <v>20</v>
      </c>
      <c r="K77" s="80"/>
      <c r="L77" s="80"/>
      <c r="O77" s="5"/>
      <c r="P77" s="5"/>
      <c r="Q77" s="80"/>
      <c r="R77" s="80"/>
      <c r="S77" s="94"/>
      <c r="T77" s="133"/>
      <c r="U77" s="5">
        <v>65.072982190000005</v>
      </c>
      <c r="V77">
        <v>65.072982190000005</v>
      </c>
      <c r="W77" s="80">
        <f>+Tabelle2[[#This Row],[Vol_ha_22]]-Tabelle2[[#This Row],[Vol_2020]]</f>
        <v>0</v>
      </c>
      <c r="X77" s="80"/>
      <c r="Y77" s="80"/>
      <c r="Z77" s="80"/>
      <c r="AA77" s="5"/>
      <c r="AB77" s="80"/>
      <c r="AC77" s="80"/>
      <c r="AD77" s="80"/>
      <c r="AE77" s="80"/>
      <c r="AF77" s="134"/>
      <c r="AG77" s="6"/>
      <c r="AH77" s="5"/>
      <c r="AI77" s="134"/>
      <c r="AJ77" s="5"/>
      <c r="AK77" s="5"/>
      <c r="AL77" s="80"/>
      <c r="AM77" s="80"/>
      <c r="AN77">
        <f>IFERROR(Tabelle2[[#This Row],[Vol_ha_22]]*0.537836177777778*Carbon_Calculations!$R$9,0)</f>
        <v>40.248394620321676</v>
      </c>
    </row>
    <row r="78" spans="1:40" x14ac:dyDescent="0.3">
      <c r="A78" s="130" t="s">
        <v>180</v>
      </c>
      <c r="B78" s="130" t="s">
        <v>420</v>
      </c>
      <c r="C78" t="s">
        <v>260</v>
      </c>
      <c r="D78" s="6">
        <v>1000</v>
      </c>
      <c r="E78" s="5"/>
      <c r="G78" s="4"/>
      <c r="H78" s="131">
        <v>2019</v>
      </c>
      <c r="I78" s="130" t="s">
        <v>420</v>
      </c>
      <c r="J78">
        <v>20</v>
      </c>
      <c r="K78" s="80"/>
      <c r="L78" s="80"/>
      <c r="O78" s="5"/>
      <c r="P78" s="5"/>
      <c r="Q78" s="80"/>
      <c r="R78" s="80"/>
      <c r="S78" s="94"/>
      <c r="T78" s="133"/>
      <c r="U78" s="5">
        <v>63.080895400000003</v>
      </c>
      <c r="V78">
        <v>63.080895400000003</v>
      </c>
      <c r="W78" s="80">
        <f>+Tabelle2[[#This Row],[Vol_ha_22]]-Tabelle2[[#This Row],[Vol_2020]]</f>
        <v>0</v>
      </c>
      <c r="X78" s="80"/>
      <c r="Y78" s="80"/>
      <c r="Z78" s="80"/>
      <c r="AA78" s="5"/>
      <c r="AB78" s="80"/>
      <c r="AC78" s="80"/>
      <c r="AD78" s="80"/>
      <c r="AE78" s="80"/>
      <c r="AF78" s="134"/>
      <c r="AG78" s="6"/>
      <c r="AH78" s="5"/>
      <c r="AI78" s="134"/>
      <c r="AJ78" s="5"/>
      <c r="AK78" s="5"/>
      <c r="AL78" s="80"/>
      <c r="AM78" s="80"/>
      <c r="AN78">
        <f>IFERROR(Tabelle2[[#This Row],[Vol_ha_22]]*0.537836177777778*Carbon_Calculations!$R$9,0)</f>
        <v>39.016265823646187</v>
      </c>
    </row>
    <row r="79" spans="1:40" x14ac:dyDescent="0.3">
      <c r="A79" s="130" t="s">
        <v>180</v>
      </c>
      <c r="B79" s="130" t="s">
        <v>413</v>
      </c>
      <c r="C79" t="s">
        <v>260</v>
      </c>
      <c r="D79" s="6">
        <v>1000</v>
      </c>
      <c r="E79" s="5"/>
      <c r="G79" s="4"/>
      <c r="H79" s="131">
        <v>2019</v>
      </c>
      <c r="I79" s="130" t="s">
        <v>413</v>
      </c>
      <c r="J79">
        <v>20</v>
      </c>
      <c r="K79" s="80"/>
      <c r="L79" s="80"/>
      <c r="O79" s="5"/>
      <c r="P79" s="5"/>
      <c r="Q79" s="80"/>
      <c r="R79" s="80"/>
      <c r="S79" s="94"/>
      <c r="T79" s="133"/>
      <c r="U79" s="5">
        <v>52.095673210000001</v>
      </c>
      <c r="V79">
        <v>52.095673210000001</v>
      </c>
      <c r="W79" s="80">
        <f>+Tabelle2[[#This Row],[Vol_ha_22]]-Tabelle2[[#This Row],[Vol_2020]]</f>
        <v>0</v>
      </c>
      <c r="X79" s="80"/>
      <c r="Y79" s="80"/>
      <c r="Z79" s="80"/>
      <c r="AA79" s="5"/>
      <c r="AB79" s="80"/>
      <c r="AC79" s="80"/>
      <c r="AD79" s="80"/>
      <c r="AE79" s="80"/>
      <c r="AF79" s="134"/>
      <c r="AG79" s="6"/>
      <c r="AH79" s="5"/>
      <c r="AI79" s="134"/>
      <c r="AJ79" s="5"/>
      <c r="AK79" s="5"/>
      <c r="AL79" s="80"/>
      <c r="AM79" s="80"/>
      <c r="AN79">
        <f>IFERROR(Tabelle2[[#This Row],[Vol_ha_22]]*0.537836177777778*Carbon_Calculations!$R$9,0)</f>
        <v>32.221778421730576</v>
      </c>
    </row>
    <row r="80" spans="1:40" x14ac:dyDescent="0.3">
      <c r="A80" s="130" t="s">
        <v>180</v>
      </c>
      <c r="B80" s="130" t="s">
        <v>376</v>
      </c>
      <c r="C80" t="s">
        <v>246</v>
      </c>
      <c r="D80" s="6">
        <v>800</v>
      </c>
      <c r="E80" s="5"/>
      <c r="G80" s="4"/>
      <c r="H80" s="131">
        <v>2020</v>
      </c>
      <c r="I80" s="130" t="s">
        <v>376</v>
      </c>
      <c r="J80">
        <v>20</v>
      </c>
      <c r="K80" s="80"/>
      <c r="L80" s="80"/>
      <c r="O80" s="5"/>
      <c r="P80" s="5"/>
      <c r="Q80" s="80"/>
      <c r="R80" s="80"/>
      <c r="S80" s="94"/>
      <c r="T80" s="133"/>
      <c r="U80" s="5">
        <v>51.512661540000003</v>
      </c>
      <c r="V80">
        <v>51.512661540000003</v>
      </c>
      <c r="W80" s="80">
        <f>+Tabelle2[[#This Row],[Vol_ha_22]]-Tabelle2[[#This Row],[Vol_2020]]</f>
        <v>0</v>
      </c>
      <c r="X80" s="80"/>
      <c r="Y80" s="80"/>
      <c r="Z80" s="80"/>
      <c r="AA80" s="5"/>
      <c r="AB80" s="80"/>
      <c r="AC80" s="80"/>
      <c r="AD80" s="80"/>
      <c r="AE80" s="80"/>
      <c r="AF80" s="134"/>
      <c r="AG80" s="6"/>
      <c r="AH80" s="5"/>
      <c r="AI80" s="134"/>
      <c r="AJ80" s="5"/>
      <c r="AK80" s="5"/>
      <c r="AL80" s="80"/>
      <c r="AM80" s="80"/>
      <c r="AN80">
        <f>IFERROR(Tabelle2[[#This Row],[Vol_ha_22]]*0.537836177777778*Carbon_Calculations!$R$9,0)</f>
        <v>31.861178938309042</v>
      </c>
    </row>
    <row r="81" spans="1:40" x14ac:dyDescent="0.3">
      <c r="A81" s="130" t="s">
        <v>180</v>
      </c>
      <c r="B81" s="130" t="s">
        <v>377</v>
      </c>
      <c r="C81" t="s">
        <v>246</v>
      </c>
      <c r="D81" s="6">
        <v>800</v>
      </c>
      <c r="E81" s="5"/>
      <c r="G81" s="4"/>
      <c r="H81" s="131">
        <v>2020</v>
      </c>
      <c r="I81" s="130" t="s">
        <v>377</v>
      </c>
      <c r="J81">
        <v>20</v>
      </c>
      <c r="K81" s="80"/>
      <c r="L81" s="80"/>
      <c r="O81" s="5"/>
      <c r="P81" s="5"/>
      <c r="Q81" s="80"/>
      <c r="R81" s="80"/>
      <c r="S81" s="94"/>
      <c r="T81" s="133"/>
      <c r="U81" s="5">
        <v>49.030181380000002</v>
      </c>
      <c r="V81">
        <v>49.030181380000002</v>
      </c>
      <c r="W81" s="80">
        <f>+Tabelle2[[#This Row],[Vol_ha_22]]-Tabelle2[[#This Row],[Vol_2020]]</f>
        <v>0</v>
      </c>
      <c r="X81" s="80"/>
      <c r="Y81" s="80"/>
      <c r="Z81" s="80"/>
      <c r="AA81" s="5"/>
      <c r="AB81" s="80"/>
      <c r="AC81" s="80"/>
      <c r="AD81" s="80"/>
      <c r="AE81" s="80"/>
      <c r="AF81" s="134"/>
      <c r="AG81" s="6"/>
      <c r="AH81" s="5"/>
      <c r="AI81" s="134"/>
      <c r="AJ81" s="5"/>
      <c r="AK81" s="5"/>
      <c r="AL81" s="80"/>
      <c r="AM81" s="80"/>
      <c r="AN81">
        <f>IFERROR(Tabelle2[[#This Row],[Vol_ha_22]]*0.537836177777778*Carbon_Calculations!$R$9,0)</f>
        <v>30.325736151545939</v>
      </c>
    </row>
    <row r="82" spans="1:40" x14ac:dyDescent="0.3">
      <c r="A82" s="130" t="s">
        <v>180</v>
      </c>
      <c r="B82" s="130" t="s">
        <v>375</v>
      </c>
      <c r="C82" t="s">
        <v>246</v>
      </c>
      <c r="D82" s="6">
        <v>800</v>
      </c>
      <c r="E82" s="5"/>
      <c r="G82" s="4"/>
      <c r="H82" s="131">
        <v>2020</v>
      </c>
      <c r="I82" s="130" t="s">
        <v>375</v>
      </c>
      <c r="J82">
        <v>20</v>
      </c>
      <c r="K82" s="80"/>
      <c r="L82" s="80"/>
      <c r="O82" s="5"/>
      <c r="P82" s="5"/>
      <c r="Q82" s="80"/>
      <c r="R82" s="80"/>
      <c r="S82" s="94"/>
      <c r="T82" s="133"/>
      <c r="U82" s="5">
        <v>61.14392711</v>
      </c>
      <c r="V82">
        <v>61.14392711</v>
      </c>
      <c r="W82" s="80">
        <f>+Tabelle2[[#This Row],[Vol_ha_22]]-Tabelle2[[#This Row],[Vol_2020]]</f>
        <v>0</v>
      </c>
      <c r="X82" s="80"/>
      <c r="Y82" s="80"/>
      <c r="Z82" s="80"/>
      <c r="AA82" s="5"/>
      <c r="AB82" s="80"/>
      <c r="AC82" s="80"/>
      <c r="AD82" s="80"/>
      <c r="AE82" s="80"/>
      <c r="AF82" s="134"/>
      <c r="AG82" s="6"/>
      <c r="AH82" s="5"/>
      <c r="AI82" s="134"/>
      <c r="AJ82" s="5"/>
      <c r="AK82" s="5"/>
      <c r="AL82" s="80"/>
      <c r="AM82" s="80"/>
      <c r="AN82">
        <f>IFERROR(Tabelle2[[#This Row],[Vol_ha_22]]*0.537836177777778*Carbon_Calculations!$R$9,0)</f>
        <v>37.818228458840281</v>
      </c>
    </row>
    <row r="83" spans="1:40" x14ac:dyDescent="0.3">
      <c r="A83" s="130" t="s">
        <v>180</v>
      </c>
      <c r="B83" s="130" t="s">
        <v>327</v>
      </c>
      <c r="C83" t="s">
        <v>222</v>
      </c>
      <c r="D83" s="6">
        <v>476</v>
      </c>
      <c r="E83" s="5"/>
      <c r="G83" s="4"/>
      <c r="H83" s="131">
        <v>2020</v>
      </c>
      <c r="I83" s="130" t="s">
        <v>327</v>
      </c>
      <c r="J83">
        <v>20</v>
      </c>
      <c r="K83" s="80"/>
      <c r="L83" s="80"/>
      <c r="O83" s="5"/>
      <c r="P83" s="5"/>
      <c r="Q83" s="80"/>
      <c r="R83" s="80"/>
      <c r="S83" s="94"/>
      <c r="T83" s="133"/>
      <c r="U83" s="5">
        <v>97.005966130000004</v>
      </c>
      <c r="V83">
        <v>97.005966130000004</v>
      </c>
      <c r="W83" s="80">
        <f>+Tabelle2[[#This Row],[Vol_ha_22]]-Tabelle2[[#This Row],[Vol_2020]]</f>
        <v>0</v>
      </c>
      <c r="X83" s="80"/>
      <c r="Y83" s="80"/>
      <c r="Z83" s="80"/>
      <c r="AA83" s="5"/>
      <c r="AB83" s="80"/>
      <c r="AC83" s="80"/>
      <c r="AD83" s="80"/>
      <c r="AE83" s="80"/>
      <c r="AF83" s="134"/>
      <c r="AG83" s="6"/>
      <c r="AH83" s="5"/>
      <c r="AI83" s="134"/>
      <c r="AJ83" s="5"/>
      <c r="AK83" s="5"/>
      <c r="AL83" s="80"/>
      <c r="AM83" s="80"/>
      <c r="AN83">
        <f>IFERROR(Tabelle2[[#This Row],[Vol_ha_22]]*0.537836177777778*Carbon_Calculations!$R$9,0)</f>
        <v>59.999315751749762</v>
      </c>
    </row>
    <row r="84" spans="1:40" x14ac:dyDescent="0.3">
      <c r="A84" s="130" t="s">
        <v>180</v>
      </c>
      <c r="B84" s="130" t="s">
        <v>328</v>
      </c>
      <c r="C84" t="s">
        <v>222</v>
      </c>
      <c r="D84" s="6">
        <v>476</v>
      </c>
      <c r="E84" s="5"/>
      <c r="G84" s="4"/>
      <c r="H84" s="131">
        <v>2020</v>
      </c>
      <c r="I84" s="130" t="s">
        <v>328</v>
      </c>
      <c r="J84">
        <v>20</v>
      </c>
      <c r="K84" s="80"/>
      <c r="L84" s="80"/>
      <c r="O84" s="5"/>
      <c r="P84" s="5"/>
      <c r="Q84" s="80"/>
      <c r="R84" s="80"/>
      <c r="S84" s="94"/>
      <c r="T84" s="133"/>
      <c r="U84" s="5">
        <v>89.257746819999994</v>
      </c>
      <c r="V84">
        <v>89.257746819999994</v>
      </c>
      <c r="W84" s="80">
        <f>+Tabelle2[[#This Row],[Vol_ha_22]]-Tabelle2[[#This Row],[Vol_2020]]</f>
        <v>0</v>
      </c>
      <c r="X84" s="80"/>
      <c r="Y84" s="80"/>
      <c r="Z84" s="80"/>
      <c r="AA84" s="5"/>
      <c r="AB84" s="80"/>
      <c r="AC84" s="80"/>
      <c r="AD84" s="80"/>
      <c r="AE84" s="80"/>
      <c r="AF84" s="134"/>
      <c r="AG84" s="6"/>
      <c r="AH84" s="5"/>
      <c r="AI84" s="134"/>
      <c r="AJ84" s="5"/>
      <c r="AK84" s="5"/>
      <c r="AL84" s="80"/>
      <c r="AM84" s="80"/>
      <c r="AN84">
        <f>IFERROR(Tabelle2[[#This Row],[Vol_ha_22]]*0.537836177777778*Carbon_Calculations!$R$9,0)</f>
        <v>55.206952194734228</v>
      </c>
    </row>
    <row r="85" spans="1:40" x14ac:dyDescent="0.3">
      <c r="A85" s="130" t="s">
        <v>180</v>
      </c>
      <c r="B85" s="130" t="s">
        <v>331</v>
      </c>
      <c r="C85" t="s">
        <v>222</v>
      </c>
      <c r="D85" s="6">
        <v>476</v>
      </c>
      <c r="E85" s="5"/>
      <c r="G85" s="4"/>
      <c r="H85" s="131">
        <v>2020</v>
      </c>
      <c r="I85" s="130" t="s">
        <v>331</v>
      </c>
      <c r="J85">
        <v>20</v>
      </c>
      <c r="K85" s="80"/>
      <c r="L85" s="80"/>
      <c r="O85" s="5"/>
      <c r="P85" s="5"/>
      <c r="Q85" s="80"/>
      <c r="R85" s="80"/>
      <c r="S85" s="94"/>
      <c r="T85" s="133"/>
      <c r="U85" s="5">
        <v>94.256100540000006</v>
      </c>
      <c r="V85">
        <v>94.256100540000006</v>
      </c>
      <c r="W85" s="80">
        <f>+Tabelle2[[#This Row],[Vol_ha_22]]-Tabelle2[[#This Row],[Vol_2020]]</f>
        <v>0</v>
      </c>
      <c r="X85" s="80"/>
      <c r="Y85" s="80"/>
      <c r="Z85" s="80"/>
      <c r="AA85" s="5"/>
      <c r="AB85" s="80"/>
      <c r="AC85" s="80"/>
      <c r="AD85" s="80"/>
      <c r="AE85" s="80"/>
      <c r="AF85" s="134"/>
      <c r="AG85" s="6"/>
      <c r="AH85" s="5"/>
      <c r="AI85" s="134"/>
      <c r="AJ85" s="5"/>
      <c r="AK85" s="5"/>
      <c r="AL85" s="80"/>
      <c r="AM85" s="80"/>
      <c r="AN85">
        <f>IFERROR(Tabelle2[[#This Row],[Vol_ha_22]]*0.537836177777778*Carbon_Calculations!$R$9,0)</f>
        <v>58.298491973672299</v>
      </c>
    </row>
    <row r="86" spans="1:40" x14ac:dyDescent="0.3">
      <c r="A86" s="130" t="s">
        <v>180</v>
      </c>
      <c r="B86" s="130" t="s">
        <v>216</v>
      </c>
      <c r="C86" t="s">
        <v>220</v>
      </c>
      <c r="D86" s="6">
        <v>714</v>
      </c>
      <c r="E86" s="5"/>
      <c r="G86" s="4"/>
      <c r="H86" s="131">
        <v>2019</v>
      </c>
      <c r="I86" s="130" t="s">
        <v>216</v>
      </c>
      <c r="J86">
        <v>20</v>
      </c>
      <c r="K86" s="80"/>
      <c r="L86" s="80"/>
      <c r="O86" s="5"/>
      <c r="P86" s="5"/>
      <c r="Q86" s="80"/>
      <c r="R86" s="80"/>
      <c r="S86" s="94"/>
      <c r="T86" s="133"/>
      <c r="U86" s="5">
        <v>91.497457639999993</v>
      </c>
      <c r="V86">
        <v>91.497457639999993</v>
      </c>
      <c r="W86" s="80">
        <f>+Tabelle2[[#This Row],[Vol_ha_22]]-Tabelle2[[#This Row],[Vol_2020]]</f>
        <v>0</v>
      </c>
      <c r="X86" s="80"/>
      <c r="Y86" s="80"/>
      <c r="Z86" s="80"/>
      <c r="AA86" s="5"/>
      <c r="AB86" s="80"/>
      <c r="AC86" s="80"/>
      <c r="AD86" s="80"/>
      <c r="AE86" s="80"/>
      <c r="AF86" s="134"/>
      <c r="AG86" s="6"/>
      <c r="AH86" s="5"/>
      <c r="AI86" s="134"/>
      <c r="AJ86" s="5"/>
      <c r="AK86" s="5"/>
      <c r="AL86" s="80"/>
      <c r="AM86" s="80"/>
      <c r="AN86">
        <f>IFERROR(Tabelle2[[#This Row],[Vol_ha_22]]*0.537836177777778*Carbon_Calculations!$R$9,0)</f>
        <v>56.592239327504011</v>
      </c>
    </row>
    <row r="87" spans="1:40" x14ac:dyDescent="0.3">
      <c r="A87" s="130" t="s">
        <v>180</v>
      </c>
      <c r="B87" s="130" t="s">
        <v>326</v>
      </c>
      <c r="C87" t="s">
        <v>217</v>
      </c>
      <c r="D87" s="6">
        <v>714</v>
      </c>
      <c r="E87" s="5"/>
      <c r="G87" s="4"/>
      <c r="H87" s="131">
        <v>2019</v>
      </c>
      <c r="I87" s="130" t="s">
        <v>326</v>
      </c>
      <c r="J87">
        <v>20</v>
      </c>
      <c r="K87" s="80"/>
      <c r="L87" s="80"/>
      <c r="O87" s="5"/>
      <c r="P87" s="5"/>
      <c r="Q87" s="80"/>
      <c r="R87" s="80"/>
      <c r="S87" s="94"/>
      <c r="T87" s="133"/>
      <c r="U87" s="5">
        <v>62.609616320000001</v>
      </c>
      <c r="V87">
        <v>62.609616320000001</v>
      </c>
      <c r="W87" s="80">
        <f>+Tabelle2[[#This Row],[Vol_ha_22]]-Tabelle2[[#This Row],[Vol_2020]]</f>
        <v>0</v>
      </c>
      <c r="X87" s="80"/>
      <c r="Y87" s="80"/>
      <c r="Z87" s="80"/>
      <c r="AA87" s="5"/>
      <c r="AB87" s="80"/>
      <c r="AC87" s="80"/>
      <c r="AD87" s="80"/>
      <c r="AE87" s="80"/>
      <c r="AF87" s="134"/>
      <c r="AG87" s="6"/>
      <c r="AH87" s="5"/>
      <c r="AI87" s="134"/>
      <c r="AJ87" s="5"/>
      <c r="AK87" s="5"/>
      <c r="AL87" s="80"/>
      <c r="AM87" s="80"/>
      <c r="AN87">
        <f>IFERROR(Tabelle2[[#This Row],[Vol_ha_22]]*0.537836177777778*Carbon_Calculations!$R$9,0)</f>
        <v>38.724774243734288</v>
      </c>
    </row>
    <row r="88" spans="1:40" x14ac:dyDescent="0.3">
      <c r="A88" s="130" t="s">
        <v>180</v>
      </c>
      <c r="B88" s="130" t="s">
        <v>321</v>
      </c>
      <c r="C88" t="s">
        <v>217</v>
      </c>
      <c r="D88" s="6">
        <v>714</v>
      </c>
      <c r="E88" s="5"/>
      <c r="G88" s="4"/>
      <c r="H88" s="131">
        <v>2019</v>
      </c>
      <c r="I88" s="130" t="s">
        <v>321</v>
      </c>
      <c r="J88">
        <v>20</v>
      </c>
      <c r="K88" s="80"/>
      <c r="L88" s="80"/>
      <c r="O88" s="5"/>
      <c r="P88" s="5"/>
      <c r="Q88" s="80"/>
      <c r="R88" s="80"/>
      <c r="S88" s="94"/>
      <c r="T88" s="133"/>
      <c r="U88" s="5">
        <v>70.943867190000006</v>
      </c>
      <c r="V88">
        <v>70.943867190000006</v>
      </c>
      <c r="W88" s="80">
        <f>+Tabelle2[[#This Row],[Vol_ha_22]]-Tabelle2[[#This Row],[Vol_2020]]</f>
        <v>0</v>
      </c>
      <c r="X88" s="80"/>
      <c r="Y88" s="80"/>
      <c r="Z88" s="80"/>
      <c r="AA88" s="5"/>
      <c r="AB88" s="80"/>
      <c r="AC88" s="80"/>
      <c r="AD88" s="80"/>
      <c r="AE88" s="80"/>
      <c r="AF88" s="134"/>
      <c r="AG88" s="6"/>
      <c r="AH88" s="5"/>
      <c r="AI88" s="134"/>
      <c r="AJ88" s="5"/>
      <c r="AK88" s="5"/>
      <c r="AL88" s="80"/>
      <c r="AM88" s="80"/>
      <c r="AN88">
        <f>IFERROR(Tabelle2[[#This Row],[Vol_ha_22]]*0.537836177777778*Carbon_Calculations!$R$9,0)</f>
        <v>43.879605121180496</v>
      </c>
    </row>
    <row r="89" spans="1:40" x14ac:dyDescent="0.3">
      <c r="A89" s="130" t="s">
        <v>180</v>
      </c>
      <c r="B89" s="130" t="s">
        <v>320</v>
      </c>
      <c r="C89" t="s">
        <v>217</v>
      </c>
      <c r="D89" s="6">
        <v>714</v>
      </c>
      <c r="E89" s="5"/>
      <c r="G89" s="4"/>
      <c r="H89" s="131">
        <v>2019</v>
      </c>
      <c r="I89" s="130" t="s">
        <v>320</v>
      </c>
      <c r="J89">
        <v>20</v>
      </c>
      <c r="K89" s="80"/>
      <c r="L89" s="80"/>
      <c r="O89" s="5"/>
      <c r="P89" s="5"/>
      <c r="Q89" s="80"/>
      <c r="R89" s="80"/>
      <c r="S89" s="94"/>
      <c r="T89" s="133"/>
      <c r="U89" s="5">
        <v>63.264826659999997</v>
      </c>
      <c r="V89">
        <v>63.264826659999997</v>
      </c>
      <c r="W89" s="80">
        <f>+Tabelle2[[#This Row],[Vol_ha_22]]-Tabelle2[[#This Row],[Vol_2020]]</f>
        <v>0</v>
      </c>
      <c r="X89" s="80"/>
      <c r="Y89" s="80"/>
      <c r="Z89" s="80"/>
      <c r="AA89" s="5"/>
      <c r="AB89" s="80"/>
      <c r="AC89" s="80"/>
      <c r="AD89" s="80"/>
      <c r="AE89" s="80"/>
      <c r="AF89" s="134"/>
      <c r="AG89" s="6"/>
      <c r="AH89" s="5"/>
      <c r="AI89" s="134"/>
      <c r="AJ89" s="5"/>
      <c r="AK89" s="5"/>
      <c r="AL89" s="80"/>
      <c r="AM89" s="80"/>
      <c r="AN89">
        <f>IFERROR(Tabelle2[[#This Row],[Vol_ha_22]]*0.537836177777778*Carbon_Calculations!$R$9,0)</f>
        <v>39.130029442376276</v>
      </c>
    </row>
    <row r="90" spans="1:40" x14ac:dyDescent="0.3">
      <c r="A90" s="130" t="s">
        <v>180</v>
      </c>
      <c r="B90" s="130" t="s">
        <v>322</v>
      </c>
      <c r="C90" t="s">
        <v>217</v>
      </c>
      <c r="D90" s="6">
        <v>714</v>
      </c>
      <c r="E90" s="5"/>
      <c r="G90" s="4"/>
      <c r="H90" s="131">
        <v>2019</v>
      </c>
      <c r="I90" s="130" t="s">
        <v>322</v>
      </c>
      <c r="J90">
        <v>20</v>
      </c>
      <c r="K90" s="80"/>
      <c r="L90" s="80"/>
      <c r="O90" s="5"/>
      <c r="P90" s="5"/>
      <c r="Q90" s="80"/>
      <c r="R90" s="80"/>
      <c r="S90" s="94"/>
      <c r="T90" s="133"/>
      <c r="U90" s="5">
        <v>65.991909079999999</v>
      </c>
      <c r="V90">
        <v>65.991909079999999</v>
      </c>
      <c r="W90" s="80">
        <f>+Tabelle2[[#This Row],[Vol_ha_22]]-Tabelle2[[#This Row],[Vol_2020]]</f>
        <v>0</v>
      </c>
      <c r="X90" s="80"/>
      <c r="Y90" s="80"/>
      <c r="Z90" s="80"/>
      <c r="AA90" s="5"/>
      <c r="AB90" s="80"/>
      <c r="AC90" s="80"/>
      <c r="AD90" s="80"/>
      <c r="AE90" s="80"/>
      <c r="AF90" s="134"/>
      <c r="AG90" s="6"/>
      <c r="AH90" s="5"/>
      <c r="AI90" s="134"/>
      <c r="AJ90" s="5"/>
      <c r="AK90" s="5"/>
      <c r="AL90" s="80"/>
      <c r="AM90" s="80"/>
      <c r="AN90">
        <f>IFERROR(Tabelle2[[#This Row],[Vol_ha_22]]*0.537836177777778*Carbon_Calculations!$R$9,0)</f>
        <v>40.816761565422716</v>
      </c>
    </row>
    <row r="91" spans="1:40" x14ac:dyDescent="0.3">
      <c r="A91" s="130" t="s">
        <v>180</v>
      </c>
      <c r="B91" s="130" t="s">
        <v>324</v>
      </c>
      <c r="C91" t="s">
        <v>217</v>
      </c>
      <c r="D91" s="6">
        <v>714</v>
      </c>
      <c r="E91" s="5"/>
      <c r="G91" s="4"/>
      <c r="H91" s="131">
        <v>2019</v>
      </c>
      <c r="I91" s="130" t="s">
        <v>324</v>
      </c>
      <c r="J91">
        <v>20</v>
      </c>
      <c r="K91" s="80"/>
      <c r="L91" s="80"/>
      <c r="O91" s="5"/>
      <c r="P91" s="5"/>
      <c r="Q91" s="80"/>
      <c r="R91" s="80"/>
      <c r="S91" s="94"/>
      <c r="T91" s="133"/>
      <c r="U91" s="5">
        <v>77.684282980000006</v>
      </c>
      <c r="V91">
        <v>77.684282980000006</v>
      </c>
      <c r="W91" s="80">
        <f>+Tabelle2[[#This Row],[Vol_ha_22]]-Tabelle2[[#This Row],[Vol_2020]]</f>
        <v>0</v>
      </c>
      <c r="X91" s="80"/>
      <c r="Y91" s="80"/>
      <c r="Z91" s="80"/>
      <c r="AA91" s="5"/>
      <c r="AB91" s="80"/>
      <c r="AC91" s="80"/>
      <c r="AD91" s="80"/>
      <c r="AE91" s="80"/>
      <c r="AF91" s="134"/>
      <c r="AG91" s="6"/>
      <c r="AH91" s="5"/>
      <c r="AI91" s="134"/>
      <c r="AJ91" s="5"/>
      <c r="AK91" s="5"/>
      <c r="AL91" s="80"/>
      <c r="AM91" s="80"/>
      <c r="AN91">
        <f>IFERROR(Tabelle2[[#This Row],[Vol_ha_22]]*0.537836177777778*Carbon_Calculations!$R$9,0)</f>
        <v>48.048630506076066</v>
      </c>
    </row>
    <row r="92" spans="1:40" x14ac:dyDescent="0.3">
      <c r="A92" s="130" t="s">
        <v>180</v>
      </c>
      <c r="B92" s="130" t="s">
        <v>221</v>
      </c>
      <c r="C92" t="s">
        <v>219</v>
      </c>
      <c r="D92" s="6">
        <v>714</v>
      </c>
      <c r="E92" s="5"/>
      <c r="G92" s="4"/>
      <c r="H92" s="131">
        <v>2019</v>
      </c>
      <c r="I92" s="130" t="s">
        <v>221</v>
      </c>
      <c r="J92">
        <v>20</v>
      </c>
      <c r="K92" s="80"/>
      <c r="L92" s="80"/>
      <c r="O92" s="5"/>
      <c r="P92" s="5"/>
      <c r="Q92" s="80"/>
      <c r="R92" s="80"/>
      <c r="S92" s="94"/>
      <c r="T92" s="133"/>
      <c r="U92" s="5">
        <v>67.809409939999995</v>
      </c>
      <c r="V92">
        <v>67.809409939999995</v>
      </c>
      <c r="W92" s="80">
        <f>+Tabelle2[[#This Row],[Vol_ha_22]]-Tabelle2[[#This Row],[Vol_2020]]</f>
        <v>0</v>
      </c>
      <c r="X92" s="80"/>
      <c r="Y92" s="80"/>
      <c r="Z92" s="80"/>
      <c r="AA92" s="5"/>
      <c r="AB92" s="80"/>
      <c r="AC92" s="80"/>
      <c r="AD92" s="80"/>
      <c r="AE92" s="80"/>
      <c r="AF92" s="134"/>
      <c r="AG92" s="6"/>
      <c r="AH92" s="5"/>
      <c r="AI92" s="134"/>
      <c r="AJ92" s="5"/>
      <c r="AK92" s="5"/>
      <c r="AL92" s="80"/>
      <c r="AM92" s="80"/>
      <c r="AN92">
        <f>IFERROR(Tabelle2[[#This Row],[Vol_ha_22]]*0.537836177777778*Carbon_Calculations!$R$9,0)</f>
        <v>41.940906938420468</v>
      </c>
    </row>
    <row r="93" spans="1:40" x14ac:dyDescent="0.3">
      <c r="A93" s="130" t="s">
        <v>180</v>
      </c>
      <c r="B93" s="130" t="s">
        <v>323</v>
      </c>
      <c r="C93" t="s">
        <v>220</v>
      </c>
      <c r="D93" s="6">
        <v>714</v>
      </c>
      <c r="E93" s="5"/>
      <c r="G93" s="4"/>
      <c r="H93" s="131">
        <v>2019</v>
      </c>
      <c r="I93" s="130" t="s">
        <v>323</v>
      </c>
      <c r="J93">
        <v>20</v>
      </c>
      <c r="K93" s="80"/>
      <c r="L93" s="80"/>
      <c r="O93" s="5"/>
      <c r="P93" s="5"/>
      <c r="Q93" s="80"/>
      <c r="R93" s="80"/>
      <c r="S93" s="94"/>
      <c r="T93" s="133"/>
      <c r="U93" s="5">
        <v>66.514941320000005</v>
      </c>
      <c r="V93">
        <v>66.514941320000005</v>
      </c>
      <c r="W93" s="80">
        <f>+Tabelle2[[#This Row],[Vol_ha_22]]-Tabelle2[[#This Row],[Vol_2020]]</f>
        <v>0</v>
      </c>
      <c r="X93" s="80"/>
      <c r="Y93" s="80"/>
      <c r="Z93" s="80"/>
      <c r="AA93" s="5"/>
      <c r="AB93" s="80"/>
      <c r="AC93" s="80"/>
      <c r="AD93" s="80"/>
      <c r="AE93" s="80"/>
      <c r="AF93" s="134"/>
      <c r="AG93" s="6"/>
      <c r="AH93" s="5"/>
      <c r="AI93" s="134"/>
      <c r="AJ93" s="5"/>
      <c r="AK93" s="5"/>
      <c r="AL93" s="80"/>
      <c r="AM93" s="80"/>
      <c r="AN93">
        <f>IFERROR(Tabelle2[[#This Row],[Vol_ha_22]]*0.537836177777778*Carbon_Calculations!$R$9,0)</f>
        <v>41.14026307536129</v>
      </c>
    </row>
    <row r="94" spans="1:40" x14ac:dyDescent="0.3">
      <c r="A94" s="130" t="s">
        <v>180</v>
      </c>
      <c r="B94" s="130" t="s">
        <v>325</v>
      </c>
      <c r="C94" t="s">
        <v>220</v>
      </c>
      <c r="D94" s="6">
        <v>714</v>
      </c>
      <c r="E94" s="5"/>
      <c r="G94" s="4"/>
      <c r="H94" s="131">
        <v>2019</v>
      </c>
      <c r="I94" s="130" t="s">
        <v>325</v>
      </c>
      <c r="J94">
        <v>20</v>
      </c>
      <c r="K94" s="80"/>
      <c r="L94" s="80"/>
      <c r="O94" s="5"/>
      <c r="P94" s="5"/>
      <c r="Q94" s="80"/>
      <c r="R94" s="80"/>
      <c r="S94" s="94"/>
      <c r="T94" s="133"/>
      <c r="U94" s="5">
        <v>60.21492903</v>
      </c>
      <c r="V94">
        <v>60.21492903</v>
      </c>
      <c r="W94" s="80">
        <f>+Tabelle2[[#This Row],[Vol_ha_22]]-Tabelle2[[#This Row],[Vol_2020]]</f>
        <v>0</v>
      </c>
      <c r="X94" s="80"/>
      <c r="Y94" s="80"/>
      <c r="Z94" s="80"/>
      <c r="AA94" s="5"/>
      <c r="AB94" s="80"/>
      <c r="AC94" s="80"/>
      <c r="AD94" s="80"/>
      <c r="AE94" s="80"/>
      <c r="AF94" s="134"/>
      <c r="AG94" s="6"/>
      <c r="AH94" s="5"/>
      <c r="AI94" s="134"/>
      <c r="AJ94" s="5"/>
      <c r="AK94" s="5"/>
      <c r="AL94" s="80"/>
      <c r="AM94" s="80"/>
      <c r="AN94">
        <f>IFERROR(Tabelle2[[#This Row],[Vol_ha_22]]*0.537836177777778*Carbon_Calculations!$R$9,0)</f>
        <v>37.243632365853664</v>
      </c>
    </row>
    <row r="95" spans="1:40" x14ac:dyDescent="0.3">
      <c r="A95" s="130" t="s">
        <v>180</v>
      </c>
      <c r="B95" s="130" t="s">
        <v>334</v>
      </c>
      <c r="C95" t="s">
        <v>224</v>
      </c>
      <c r="D95" s="6">
        <v>714</v>
      </c>
      <c r="E95" s="5"/>
      <c r="G95" s="4"/>
      <c r="H95" s="131">
        <v>2019</v>
      </c>
      <c r="I95" s="130" t="s">
        <v>334</v>
      </c>
      <c r="J95">
        <v>20</v>
      </c>
      <c r="K95" s="80"/>
      <c r="L95" s="80"/>
      <c r="O95" s="5"/>
      <c r="P95" s="5"/>
      <c r="Q95" s="80"/>
      <c r="R95" s="80"/>
      <c r="S95" s="94"/>
      <c r="T95" s="133"/>
      <c r="U95" s="5">
        <v>60.619998709999997</v>
      </c>
      <c r="V95">
        <v>60.619998709999997</v>
      </c>
      <c r="W95" s="80">
        <f>+Tabelle2[[#This Row],[Vol_ha_22]]-Tabelle2[[#This Row],[Vol_2020]]</f>
        <v>0</v>
      </c>
      <c r="X95" s="80"/>
      <c r="Y95" s="80"/>
      <c r="Z95" s="80"/>
      <c r="AA95" s="5"/>
      <c r="AB95" s="80"/>
      <c r="AC95" s="80"/>
      <c r="AD95" s="80"/>
      <c r="AE95" s="80"/>
      <c r="AF95" s="134"/>
      <c r="AG95" s="6"/>
      <c r="AH95" s="5"/>
      <c r="AI95" s="134"/>
      <c r="AJ95" s="5"/>
      <c r="AK95" s="5"/>
      <c r="AL95" s="80"/>
      <c r="AM95" s="80"/>
      <c r="AN95">
        <f>IFERROR(Tabelle2[[#This Row],[Vol_ha_22]]*0.537836177777778*Carbon_Calculations!$R$9,0)</f>
        <v>37.494172663542265</v>
      </c>
    </row>
    <row r="96" spans="1:40" x14ac:dyDescent="0.3">
      <c r="A96" s="130" t="s">
        <v>180</v>
      </c>
      <c r="B96" s="130" t="s">
        <v>333</v>
      </c>
      <c r="C96" t="s">
        <v>224</v>
      </c>
      <c r="D96" s="6">
        <v>714</v>
      </c>
      <c r="E96" s="5"/>
      <c r="G96" s="4"/>
      <c r="H96" s="131">
        <v>2019</v>
      </c>
      <c r="I96" s="130" t="s">
        <v>333</v>
      </c>
      <c r="J96">
        <v>20</v>
      </c>
      <c r="K96" s="80"/>
      <c r="L96" s="80"/>
      <c r="O96" s="5"/>
      <c r="P96" s="5"/>
      <c r="Q96" s="80"/>
      <c r="R96" s="80"/>
      <c r="S96" s="94"/>
      <c r="T96" s="133"/>
      <c r="U96" s="5">
        <v>61.766319000000003</v>
      </c>
      <c r="V96">
        <v>61.766319000000003</v>
      </c>
      <c r="W96" s="80">
        <f>+Tabelle2[[#This Row],[Vol_ha_22]]-Tabelle2[[#This Row],[Vol_2020]]</f>
        <v>0</v>
      </c>
      <c r="X96" s="80"/>
      <c r="Y96" s="80"/>
      <c r="Z96" s="80"/>
      <c r="AA96" s="5"/>
      <c r="AB96" s="80"/>
      <c r="AC96" s="80"/>
      <c r="AD96" s="80"/>
      <c r="AE96" s="80"/>
      <c r="AF96" s="134"/>
      <c r="AG96" s="6"/>
      <c r="AH96" s="5"/>
      <c r="AI96" s="134"/>
      <c r="AJ96" s="5"/>
      <c r="AK96" s="5"/>
      <c r="AL96" s="80"/>
      <c r="AM96" s="80"/>
      <c r="AN96">
        <f>IFERROR(Tabelle2[[#This Row],[Vol_ha_22]]*0.537836177777778*Carbon_Calculations!$R$9,0)</f>
        <v>38.203185065317392</v>
      </c>
    </row>
    <row r="97" spans="1:40" x14ac:dyDescent="0.3">
      <c r="A97" s="130" t="s">
        <v>180</v>
      </c>
      <c r="B97" s="130" t="s">
        <v>347</v>
      </c>
      <c r="C97" t="s">
        <v>230</v>
      </c>
      <c r="D97" s="6">
        <v>714</v>
      </c>
      <c r="E97" s="5"/>
      <c r="G97" s="4"/>
      <c r="H97" s="131">
        <v>2018</v>
      </c>
      <c r="I97" s="130" t="s">
        <v>347</v>
      </c>
      <c r="J97">
        <v>20</v>
      </c>
      <c r="K97" s="80"/>
      <c r="L97" s="80"/>
      <c r="O97" s="5"/>
      <c r="P97" s="5"/>
      <c r="Q97" s="80"/>
      <c r="R97" s="80"/>
      <c r="S97" s="94"/>
      <c r="T97" s="133"/>
      <c r="U97" s="5">
        <v>66.895577919999994</v>
      </c>
      <c r="V97">
        <v>66.895577919999994</v>
      </c>
      <c r="W97" s="80">
        <f>+Tabelle2[[#This Row],[Vol_ha_22]]-Tabelle2[[#This Row],[Vol_2020]]</f>
        <v>0</v>
      </c>
      <c r="X97" s="80"/>
      <c r="Y97" s="80"/>
      <c r="Z97" s="80"/>
      <c r="AA97" s="5"/>
      <c r="AB97" s="80"/>
      <c r="AC97" s="80"/>
      <c r="AD97" s="80"/>
      <c r="AE97" s="80"/>
      <c r="AF97" s="134"/>
      <c r="AG97" s="6"/>
      <c r="AH97" s="5"/>
      <c r="AI97" s="134"/>
      <c r="AJ97" s="5"/>
      <c r="AK97" s="5"/>
      <c r="AL97" s="80"/>
      <c r="AM97" s="80"/>
      <c r="AN97">
        <f>IFERROR(Tabelle2[[#This Row],[Vol_ha_22]]*0.537836177777778*Carbon_Calculations!$R$9,0)</f>
        <v>41.375691229537566</v>
      </c>
    </row>
    <row r="98" spans="1:40" x14ac:dyDescent="0.3">
      <c r="A98" s="130" t="s">
        <v>180</v>
      </c>
      <c r="B98" s="130" t="s">
        <v>348</v>
      </c>
      <c r="C98" t="s">
        <v>230</v>
      </c>
      <c r="D98" s="6">
        <v>714</v>
      </c>
      <c r="E98" s="5"/>
      <c r="G98" s="4"/>
      <c r="H98" s="131">
        <v>2018</v>
      </c>
      <c r="I98" s="130" t="s">
        <v>348</v>
      </c>
      <c r="J98">
        <v>20</v>
      </c>
      <c r="K98" s="80"/>
      <c r="L98" s="80"/>
      <c r="O98" s="5"/>
      <c r="P98" s="5"/>
      <c r="Q98" s="80"/>
      <c r="R98" s="80"/>
      <c r="S98" s="94"/>
      <c r="T98" s="133"/>
      <c r="U98" s="5">
        <v>65.959902869999993</v>
      </c>
      <c r="V98">
        <v>65.959902869999993</v>
      </c>
      <c r="W98" s="80">
        <f>+Tabelle2[[#This Row],[Vol_ha_22]]-Tabelle2[[#This Row],[Vol_2020]]</f>
        <v>0</v>
      </c>
      <c r="X98" s="80"/>
      <c r="Y98" s="80"/>
      <c r="Z98" s="80"/>
      <c r="AA98" s="5"/>
      <c r="AB98" s="80"/>
      <c r="AC98" s="80"/>
      <c r="AD98" s="80"/>
      <c r="AE98" s="80"/>
      <c r="AF98" s="134"/>
      <c r="AG98" s="6"/>
      <c r="AH98" s="5"/>
      <c r="AI98" s="134"/>
      <c r="AJ98" s="5"/>
      <c r="AK98" s="5"/>
      <c r="AL98" s="80"/>
      <c r="AM98" s="80"/>
      <c r="AN98">
        <f>IFERROR(Tabelle2[[#This Row],[Vol_ha_22]]*0.537836177777778*Carbon_Calculations!$R$9,0)</f>
        <v>40.796965353123426</v>
      </c>
    </row>
    <row r="99" spans="1:40" x14ac:dyDescent="0.3">
      <c r="A99" s="130" t="s">
        <v>180</v>
      </c>
      <c r="B99" s="130" t="s">
        <v>346</v>
      </c>
      <c r="C99" t="s">
        <v>230</v>
      </c>
      <c r="D99" s="6">
        <v>714</v>
      </c>
      <c r="E99" s="5"/>
      <c r="G99" s="4"/>
      <c r="H99" s="131">
        <v>2018</v>
      </c>
      <c r="I99" s="130" t="s">
        <v>346</v>
      </c>
      <c r="J99">
        <v>20</v>
      </c>
      <c r="K99" s="80"/>
      <c r="L99" s="80"/>
      <c r="O99" s="5"/>
      <c r="P99" s="5"/>
      <c r="Q99" s="80"/>
      <c r="R99" s="80"/>
      <c r="S99" s="94"/>
      <c r="T99" s="133"/>
      <c r="U99" s="5">
        <v>58.471317839999998</v>
      </c>
      <c r="V99">
        <v>58.471317839999998</v>
      </c>
      <c r="W99" s="80">
        <f>+Tabelle2[[#This Row],[Vol_ha_22]]-Tabelle2[[#This Row],[Vol_2020]]</f>
        <v>0</v>
      </c>
      <c r="X99" s="80"/>
      <c r="Y99" s="80"/>
      <c r="Z99" s="80"/>
      <c r="AA99" s="5"/>
      <c r="AB99" s="80"/>
      <c r="AC99" s="80"/>
      <c r="AD99" s="80"/>
      <c r="AE99" s="80"/>
      <c r="AF99" s="134"/>
      <c r="AG99" s="6"/>
      <c r="AH99" s="5"/>
      <c r="AI99" s="134"/>
      <c r="AJ99" s="5"/>
      <c r="AK99" s="5"/>
      <c r="AL99" s="80"/>
      <c r="AM99" s="80"/>
      <c r="AN99">
        <f>IFERROR(Tabelle2[[#This Row],[Vol_ha_22]]*0.537836177777778*Carbon_Calculations!$R$9,0)</f>
        <v>36.165188611199483</v>
      </c>
    </row>
    <row r="100" spans="1:40" x14ac:dyDescent="0.3">
      <c r="A100" s="130" t="s">
        <v>180</v>
      </c>
      <c r="B100" s="130" t="s">
        <v>330</v>
      </c>
      <c r="C100" t="s">
        <v>215</v>
      </c>
      <c r="D100" s="6">
        <v>714</v>
      </c>
      <c r="E100" s="5"/>
      <c r="G100" s="4"/>
      <c r="H100" s="131">
        <v>2018</v>
      </c>
      <c r="I100" s="130" t="s">
        <v>330</v>
      </c>
      <c r="J100">
        <v>20</v>
      </c>
      <c r="K100" s="80"/>
      <c r="L100" s="80"/>
      <c r="O100" s="5"/>
      <c r="P100" s="5"/>
      <c r="Q100" s="80"/>
      <c r="R100" s="80"/>
      <c r="S100" s="94"/>
      <c r="T100" s="133"/>
      <c r="U100" s="5">
        <v>61.074231140000002</v>
      </c>
      <c r="V100">
        <v>61.074231140000002</v>
      </c>
      <c r="W100" s="80">
        <f>+Tabelle2[[#This Row],[Vol_ha_22]]-Tabelle2[[#This Row],[Vol_2020]]</f>
        <v>0</v>
      </c>
      <c r="X100" s="80"/>
      <c r="Y100" s="80"/>
      <c r="Z100" s="80"/>
      <c r="AA100" s="5"/>
      <c r="AB100" s="80"/>
      <c r="AC100" s="80"/>
      <c r="AD100" s="80"/>
      <c r="AE100" s="80"/>
      <c r="AF100" s="134"/>
      <c r="AG100" s="6"/>
      <c r="AH100" s="5"/>
      <c r="AI100" s="134"/>
      <c r="AJ100" s="5"/>
      <c r="AK100" s="5"/>
      <c r="AL100" s="80"/>
      <c r="AM100" s="80"/>
      <c r="AN100">
        <f>IFERROR(Tabelle2[[#This Row],[Vol_ha_22]]*0.537836177777778*Carbon_Calculations!$R$9,0)</f>
        <v>37.775120692612262</v>
      </c>
    </row>
    <row r="101" spans="1:40" x14ac:dyDescent="0.3">
      <c r="A101" s="130" t="s">
        <v>180</v>
      </c>
      <c r="B101" s="130" t="s">
        <v>332</v>
      </c>
      <c r="C101" t="s">
        <v>215</v>
      </c>
      <c r="D101" s="6">
        <v>714</v>
      </c>
      <c r="E101" s="5"/>
      <c r="G101" s="4"/>
      <c r="H101" s="131">
        <v>2018</v>
      </c>
      <c r="I101" s="130" t="s">
        <v>332</v>
      </c>
      <c r="J101">
        <v>20</v>
      </c>
      <c r="K101" s="80"/>
      <c r="L101" s="80"/>
      <c r="O101" s="5"/>
      <c r="P101" s="5"/>
      <c r="Q101" s="80"/>
      <c r="R101" s="80"/>
      <c r="S101" s="94"/>
      <c r="T101" s="133"/>
      <c r="U101" s="5">
        <v>59.939697870000003</v>
      </c>
      <c r="V101">
        <v>59.939697870000003</v>
      </c>
      <c r="W101" s="80">
        <f>+Tabelle2[[#This Row],[Vol_ha_22]]-Tabelle2[[#This Row],[Vol_2020]]</f>
        <v>0</v>
      </c>
      <c r="X101" s="80"/>
      <c r="Y101" s="80"/>
      <c r="Z101" s="80"/>
      <c r="AA101" s="5"/>
      <c r="AB101" s="80"/>
      <c r="AC101" s="80"/>
      <c r="AD101" s="80"/>
      <c r="AE101" s="80"/>
      <c r="AF101" s="134"/>
      <c r="AG101" s="6"/>
      <c r="AH101" s="5"/>
      <c r="AI101" s="134"/>
      <c r="AJ101" s="5"/>
      <c r="AK101" s="5"/>
      <c r="AL101" s="80"/>
      <c r="AM101" s="80"/>
      <c r="AN101">
        <f>IFERROR(Tabelle2[[#This Row],[Vol_ha_22]]*0.537836177777778*Carbon_Calculations!$R$9,0)</f>
        <v>37.073398699488969</v>
      </c>
    </row>
    <row r="102" spans="1:40" x14ac:dyDescent="0.3">
      <c r="A102" s="130" t="s">
        <v>180</v>
      </c>
      <c r="B102" s="130" t="s">
        <v>319</v>
      </c>
      <c r="C102" t="s">
        <v>215</v>
      </c>
      <c r="D102" s="6">
        <v>714</v>
      </c>
      <c r="E102" s="5"/>
      <c r="G102" s="4"/>
      <c r="H102" s="131">
        <v>2018</v>
      </c>
      <c r="I102" s="130" t="s">
        <v>319</v>
      </c>
      <c r="J102">
        <v>20</v>
      </c>
      <c r="K102" s="80"/>
      <c r="L102" s="80"/>
      <c r="O102" s="5"/>
      <c r="P102" s="5"/>
      <c r="Q102" s="80"/>
      <c r="R102" s="80"/>
      <c r="S102" s="94"/>
      <c r="T102" s="133"/>
      <c r="U102" s="5">
        <v>36.420229740000003</v>
      </c>
      <c r="V102">
        <v>36.420229740000003</v>
      </c>
      <c r="W102" s="80">
        <f>+Tabelle2[[#This Row],[Vol_ha_22]]-Tabelle2[[#This Row],[Vol_2020]]</f>
        <v>0</v>
      </c>
      <c r="X102" s="80"/>
      <c r="Y102" s="80"/>
      <c r="Z102" s="80"/>
      <c r="AA102" s="5"/>
      <c r="AB102" s="80"/>
      <c r="AC102" s="80"/>
      <c r="AD102" s="80"/>
      <c r="AE102" s="80"/>
      <c r="AF102" s="134"/>
      <c r="AG102" s="6"/>
      <c r="AH102" s="5"/>
      <c r="AI102" s="134"/>
      <c r="AJ102" s="5"/>
      <c r="AK102" s="5"/>
      <c r="AL102" s="80"/>
      <c r="AM102" s="80"/>
      <c r="AN102">
        <f>IFERROR(Tabelle2[[#This Row],[Vol_ha_22]]*0.537836177777778*Carbon_Calculations!$R$9,0)</f>
        <v>22.526334730722684</v>
      </c>
    </row>
    <row r="103" spans="1:40" x14ac:dyDescent="0.3">
      <c r="A103" s="130" t="s">
        <v>180</v>
      </c>
      <c r="B103" s="130" t="s">
        <v>329</v>
      </c>
      <c r="C103" t="s">
        <v>215</v>
      </c>
      <c r="D103" s="6">
        <v>714</v>
      </c>
      <c r="E103" s="5"/>
      <c r="G103" s="4"/>
      <c r="H103" s="131">
        <v>2018</v>
      </c>
      <c r="I103" s="130" t="s">
        <v>329</v>
      </c>
      <c r="J103">
        <v>20</v>
      </c>
      <c r="K103" s="80"/>
      <c r="L103" s="80"/>
      <c r="O103" s="5"/>
      <c r="P103" s="5"/>
      <c r="Q103" s="80"/>
      <c r="R103" s="80"/>
      <c r="S103" s="94"/>
      <c r="T103" s="133"/>
      <c r="U103" s="5">
        <v>66.221438789999993</v>
      </c>
      <c r="V103">
        <v>66.221438789999993</v>
      </c>
      <c r="W103" s="80">
        <f>+Tabelle2[[#This Row],[Vol_ha_22]]-Tabelle2[[#This Row],[Vol_2020]]</f>
        <v>0</v>
      </c>
      <c r="X103" s="80"/>
      <c r="Y103" s="80"/>
      <c r="Z103" s="80"/>
      <c r="AA103" s="5"/>
      <c r="AB103" s="80"/>
      <c r="AC103" s="80"/>
      <c r="AD103" s="80"/>
      <c r="AE103" s="80"/>
      <c r="AF103" s="134"/>
      <c r="AG103" s="6"/>
      <c r="AH103" s="5"/>
      <c r="AI103" s="134"/>
      <c r="AJ103" s="5"/>
      <c r="AK103" s="5"/>
      <c r="AL103" s="80"/>
      <c r="AM103" s="80"/>
      <c r="AN103">
        <f>IFERROR(Tabelle2[[#This Row],[Vol_ha_22]]*0.537836177777778*Carbon_Calculations!$R$9,0)</f>
        <v>40.958728354622487</v>
      </c>
    </row>
    <row r="104" spans="1:40" x14ac:dyDescent="0.3">
      <c r="A104" s="130" t="s">
        <v>180</v>
      </c>
      <c r="B104" s="130" t="s">
        <v>350</v>
      </c>
      <c r="C104" t="s">
        <v>232</v>
      </c>
      <c r="D104" s="6">
        <v>714</v>
      </c>
      <c r="E104" s="5"/>
      <c r="G104" s="4"/>
      <c r="H104" s="131">
        <v>2019</v>
      </c>
      <c r="I104" s="130" t="s">
        <v>350</v>
      </c>
      <c r="J104">
        <v>20</v>
      </c>
      <c r="K104" s="80"/>
      <c r="L104" s="80"/>
      <c r="O104" s="5"/>
      <c r="P104" s="5"/>
      <c r="Q104" s="80"/>
      <c r="R104" s="80"/>
      <c r="S104" s="94"/>
      <c r="T104" s="133"/>
      <c r="U104" s="5">
        <v>40.51078699</v>
      </c>
      <c r="V104">
        <v>40.51078699</v>
      </c>
      <c r="W104" s="80">
        <f>+Tabelle2[[#This Row],[Vol_ha_22]]-Tabelle2[[#This Row],[Vol_2020]]</f>
        <v>0</v>
      </c>
      <c r="X104" s="80"/>
      <c r="Y104" s="80"/>
      <c r="Z104" s="80"/>
      <c r="AA104" s="5"/>
      <c r="AB104" s="80"/>
      <c r="AC104" s="80"/>
      <c r="AD104" s="80"/>
      <c r="AE104" s="80"/>
      <c r="AF104" s="134"/>
      <c r="AG104" s="6"/>
      <c r="AH104" s="5"/>
      <c r="AI104" s="134"/>
      <c r="AJ104" s="5"/>
      <c r="AK104" s="5"/>
      <c r="AL104" s="80"/>
      <c r="AM104" s="80"/>
      <c r="AN104">
        <f>IFERROR(Tabelle2[[#This Row],[Vol_ha_22]]*0.537836177777778*Carbon_Calculations!$R$9,0)</f>
        <v>25.056391858492034</v>
      </c>
    </row>
    <row r="105" spans="1:40" x14ac:dyDescent="0.3">
      <c r="A105" s="130" t="s">
        <v>180</v>
      </c>
      <c r="B105" s="130" t="s">
        <v>351</v>
      </c>
      <c r="C105" t="s">
        <v>232</v>
      </c>
      <c r="D105" s="6">
        <v>714</v>
      </c>
      <c r="E105" s="5"/>
      <c r="G105" s="4"/>
      <c r="H105" s="131">
        <v>2019</v>
      </c>
      <c r="I105" s="130" t="s">
        <v>351</v>
      </c>
      <c r="J105">
        <v>20</v>
      </c>
      <c r="K105" s="80"/>
      <c r="L105" s="80"/>
      <c r="O105" s="5"/>
      <c r="P105" s="5"/>
      <c r="Q105" s="80"/>
      <c r="R105" s="80"/>
      <c r="S105" s="94"/>
      <c r="T105" s="133"/>
      <c r="U105" s="5">
        <v>53.254541830000001</v>
      </c>
      <c r="V105">
        <v>53.254541830000001</v>
      </c>
      <c r="W105" s="80">
        <f>+Tabelle2[[#This Row],[Vol_ha_22]]-Tabelle2[[#This Row],[Vol_2020]]</f>
        <v>0</v>
      </c>
      <c r="X105" s="80"/>
      <c r="Y105" s="80"/>
      <c r="Z105" s="80"/>
      <c r="AA105" s="5"/>
      <c r="AB105" s="80"/>
      <c r="AC105" s="80"/>
      <c r="AD105" s="80"/>
      <c r="AE105" s="80"/>
      <c r="AF105" s="134"/>
      <c r="AG105" s="6"/>
      <c r="AH105" s="5"/>
      <c r="AI105" s="134"/>
      <c r="AJ105" s="5"/>
      <c r="AK105" s="5"/>
      <c r="AL105" s="80"/>
      <c r="AM105" s="80"/>
      <c r="AN105">
        <f>IFERROR(Tabelle2[[#This Row],[Vol_ha_22]]*0.537836177777778*Carbon_Calculations!$R$9,0)</f>
        <v>32.938552111227096</v>
      </c>
    </row>
    <row r="106" spans="1:40" x14ac:dyDescent="0.3">
      <c r="A106" s="130" t="s">
        <v>180</v>
      </c>
      <c r="B106" s="130" t="s">
        <v>349</v>
      </c>
      <c r="C106" t="s">
        <v>232</v>
      </c>
      <c r="D106" s="6">
        <v>714</v>
      </c>
      <c r="E106" s="5"/>
      <c r="G106" s="4"/>
      <c r="H106" s="131">
        <v>2019</v>
      </c>
      <c r="I106" s="130" t="s">
        <v>349</v>
      </c>
      <c r="J106">
        <v>20</v>
      </c>
      <c r="K106" s="80"/>
      <c r="L106" s="80"/>
      <c r="O106" s="5"/>
      <c r="P106" s="5"/>
      <c r="Q106" s="80"/>
      <c r="R106" s="80"/>
      <c r="S106" s="94"/>
      <c r="T106" s="133"/>
      <c r="U106" s="5">
        <v>37.342492780000001</v>
      </c>
      <c r="V106">
        <v>37.342492780000001</v>
      </c>
      <c r="W106" s="80">
        <f>+Tabelle2[[#This Row],[Vol_ha_22]]-Tabelle2[[#This Row],[Vol_2020]]</f>
        <v>0</v>
      </c>
      <c r="X106" s="80"/>
      <c r="Y106" s="80"/>
      <c r="Z106" s="80"/>
      <c r="AA106" s="5"/>
      <c r="AB106" s="80"/>
      <c r="AC106" s="80"/>
      <c r="AD106" s="80"/>
      <c r="AE106" s="80"/>
      <c r="AF106" s="134"/>
      <c r="AG106" s="6"/>
      <c r="AH106" s="5"/>
      <c r="AI106" s="134"/>
      <c r="AJ106" s="5"/>
      <c r="AK106" s="5"/>
      <c r="AL106" s="80"/>
      <c r="AM106" s="80"/>
      <c r="AN106">
        <f>IFERROR(Tabelle2[[#This Row],[Vol_ha_22]]*0.537836177777778*Carbon_Calculations!$R$9,0)</f>
        <v>23.096765123312895</v>
      </c>
    </row>
    <row r="107" spans="1:40" x14ac:dyDescent="0.3">
      <c r="A107" s="130" t="s">
        <v>180</v>
      </c>
      <c r="B107" s="130" t="s">
        <v>281</v>
      </c>
      <c r="C107" t="s">
        <v>182</v>
      </c>
      <c r="D107" s="6">
        <v>476</v>
      </c>
      <c r="E107" s="5"/>
      <c r="G107" s="4"/>
      <c r="H107" s="131">
        <v>2020</v>
      </c>
      <c r="I107" s="130" t="s">
        <v>281</v>
      </c>
      <c r="J107">
        <v>20</v>
      </c>
      <c r="K107" s="80"/>
      <c r="L107" s="80"/>
      <c r="O107" s="5"/>
      <c r="P107" s="5"/>
      <c r="Q107" s="80"/>
      <c r="R107" s="80"/>
      <c r="S107" s="94"/>
      <c r="T107" s="133"/>
      <c r="U107" s="5">
        <v>88.89876538</v>
      </c>
      <c r="V107">
        <v>88.89876538</v>
      </c>
      <c r="W107" s="80">
        <f>+Tabelle2[[#This Row],[Vol_ha_22]]-Tabelle2[[#This Row],[Vol_2020]]</f>
        <v>0</v>
      </c>
      <c r="X107" s="80"/>
      <c r="Y107" s="80"/>
      <c r="Z107" s="80"/>
      <c r="AA107" s="5"/>
      <c r="AB107" s="80"/>
      <c r="AC107" s="80"/>
      <c r="AD107" s="80"/>
      <c r="AE107" s="80"/>
      <c r="AF107" s="134"/>
      <c r="AG107" s="6"/>
      <c r="AH107" s="5"/>
      <c r="AI107" s="134"/>
      <c r="AJ107" s="5"/>
      <c r="AK107" s="5"/>
      <c r="AL107" s="80"/>
      <c r="AM107" s="80"/>
      <c r="AN107">
        <f>IFERROR(Tabelle2[[#This Row],[Vol_ha_22]]*0.537836177777778*Carbon_Calculations!$R$9,0)</f>
        <v>54.984918008314054</v>
      </c>
    </row>
    <row r="108" spans="1:40" x14ac:dyDescent="0.3">
      <c r="A108" s="130" t="s">
        <v>180</v>
      </c>
      <c r="B108" s="130" t="s">
        <v>280</v>
      </c>
      <c r="C108" t="s">
        <v>182</v>
      </c>
      <c r="D108" s="6">
        <v>476</v>
      </c>
      <c r="E108" s="5"/>
      <c r="G108" s="4"/>
      <c r="H108" s="131">
        <v>2020</v>
      </c>
      <c r="I108" s="130" t="s">
        <v>280</v>
      </c>
      <c r="J108">
        <v>20</v>
      </c>
      <c r="K108" s="80"/>
      <c r="L108" s="80"/>
      <c r="O108" s="5"/>
      <c r="P108" s="5"/>
      <c r="Q108" s="80"/>
      <c r="R108" s="80"/>
      <c r="S108" s="94"/>
      <c r="T108" s="133"/>
      <c r="U108" s="5">
        <v>67.690882779999995</v>
      </c>
      <c r="V108">
        <v>67.690882779999995</v>
      </c>
      <c r="W108" s="80">
        <f>+Tabelle2[[#This Row],[Vol_ha_22]]-Tabelle2[[#This Row],[Vol_2020]]</f>
        <v>0</v>
      </c>
      <c r="X108" s="80"/>
      <c r="Y108" s="80"/>
      <c r="Z108" s="80"/>
      <c r="AA108" s="5"/>
      <c r="AB108" s="80"/>
      <c r="AC108" s="80"/>
      <c r="AD108" s="80"/>
      <c r="AE108" s="80"/>
      <c r="AF108" s="134"/>
      <c r="AG108" s="6"/>
      <c r="AH108" s="5"/>
      <c r="AI108" s="134"/>
      <c r="AJ108" s="5"/>
      <c r="AK108" s="5"/>
      <c r="AL108" s="80"/>
      <c r="AM108" s="80"/>
      <c r="AN108">
        <f>IFERROR(Tabelle2[[#This Row],[Vol_ha_22]]*0.537836177777778*Carbon_Calculations!$R$9,0)</f>
        <v>41.867596514518631</v>
      </c>
    </row>
    <row r="109" spans="1:40" x14ac:dyDescent="0.3">
      <c r="A109" s="130" t="s">
        <v>180</v>
      </c>
      <c r="B109" s="130" t="s">
        <v>275</v>
      </c>
      <c r="C109" t="s">
        <v>182</v>
      </c>
      <c r="D109" s="6">
        <v>476</v>
      </c>
      <c r="E109" s="5"/>
      <c r="G109" s="4"/>
      <c r="H109" s="131">
        <v>2020</v>
      </c>
      <c r="I109" s="130" t="s">
        <v>275</v>
      </c>
      <c r="J109">
        <v>20</v>
      </c>
      <c r="K109" s="80"/>
      <c r="L109" s="80"/>
      <c r="O109" s="5"/>
      <c r="P109" s="5"/>
      <c r="Q109" s="80"/>
      <c r="R109" s="80"/>
      <c r="S109" s="94"/>
      <c r="T109" s="133"/>
      <c r="U109" s="5">
        <v>74.928136300000006</v>
      </c>
      <c r="V109">
        <v>74.928136300000006</v>
      </c>
      <c r="W109" s="80">
        <f>+Tabelle2[[#This Row],[Vol_ha_22]]-Tabelle2[[#This Row],[Vol_2020]]</f>
        <v>0</v>
      </c>
      <c r="X109" s="80"/>
      <c r="Y109" s="80"/>
      <c r="Z109" s="80"/>
      <c r="AA109" s="5"/>
      <c r="AB109" s="80"/>
      <c r="AC109" s="80"/>
      <c r="AD109" s="80"/>
      <c r="AE109" s="80"/>
      <c r="AF109" s="134"/>
      <c r="AG109" s="6"/>
      <c r="AH109" s="5"/>
      <c r="AI109" s="134"/>
      <c r="AJ109" s="5"/>
      <c r="AK109" s="5"/>
      <c r="AL109" s="80"/>
      <c r="AM109" s="80"/>
      <c r="AN109">
        <f>IFERROR(Tabelle2[[#This Row],[Vol_ha_22]]*0.537836177777778*Carbon_Calculations!$R$9,0)</f>
        <v>46.34392180094504</v>
      </c>
    </row>
    <row r="110" spans="1:40" x14ac:dyDescent="0.3">
      <c r="A110" s="130" t="s">
        <v>180</v>
      </c>
      <c r="B110" s="130" t="s">
        <v>443</v>
      </c>
      <c r="C110" t="s">
        <v>188</v>
      </c>
      <c r="D110" s="6">
        <v>476</v>
      </c>
      <c r="E110" s="5"/>
      <c r="G110" s="4"/>
      <c r="H110" s="131">
        <v>2020</v>
      </c>
      <c r="I110" s="130" t="s">
        <v>443</v>
      </c>
      <c r="J110">
        <v>20</v>
      </c>
      <c r="K110" s="80"/>
      <c r="L110" s="80"/>
      <c r="O110" s="5"/>
      <c r="P110" s="5"/>
      <c r="Q110" s="80"/>
      <c r="R110" s="80"/>
      <c r="S110" s="94"/>
      <c r="T110" s="133"/>
      <c r="U110" s="5">
        <v>68.876006270000005</v>
      </c>
      <c r="V110">
        <v>68.876006270000005</v>
      </c>
      <c r="W110" s="80">
        <f>+Tabelle2[[#This Row],[Vol_ha_22]]-Tabelle2[[#This Row],[Vol_2020]]</f>
        <v>0</v>
      </c>
      <c r="X110" s="80"/>
      <c r="Y110" s="80"/>
      <c r="Z110" s="80"/>
      <c r="AA110" s="5"/>
      <c r="AB110" s="80"/>
      <c r="AC110" s="80"/>
      <c r="AD110" s="80"/>
      <c r="AE110" s="80"/>
      <c r="AF110" s="134"/>
      <c r="AG110" s="6"/>
      <c r="AH110" s="5"/>
      <c r="AI110" s="134"/>
      <c r="AJ110" s="5"/>
      <c r="AK110" s="5"/>
      <c r="AL110" s="80"/>
      <c r="AM110" s="80"/>
      <c r="AN110">
        <f>IFERROR(Tabelle2[[#This Row],[Vol_ha_22]]*0.537836177777778*Carbon_Calculations!$R$9,0)</f>
        <v>42.600609145783331</v>
      </c>
    </row>
    <row r="111" spans="1:40" x14ac:dyDescent="0.3">
      <c r="A111" s="130" t="s">
        <v>180</v>
      </c>
      <c r="B111" s="130" t="s">
        <v>282</v>
      </c>
      <c r="C111" t="s">
        <v>188</v>
      </c>
      <c r="D111" s="6">
        <v>476</v>
      </c>
      <c r="E111" s="5"/>
      <c r="G111" s="4"/>
      <c r="H111" s="131">
        <v>2020</v>
      </c>
      <c r="I111" s="130" t="s">
        <v>282</v>
      </c>
      <c r="J111">
        <v>20</v>
      </c>
      <c r="K111" s="80"/>
      <c r="L111" s="80"/>
      <c r="O111" s="5"/>
      <c r="P111" s="5"/>
      <c r="Q111" s="80"/>
      <c r="R111" s="80"/>
      <c r="S111" s="94"/>
      <c r="T111" s="133"/>
      <c r="U111" s="5">
        <v>69.976732049999995</v>
      </c>
      <c r="V111">
        <v>69.976732049999995</v>
      </c>
      <c r="W111" s="80">
        <f>+Tabelle2[[#This Row],[Vol_ha_22]]-Tabelle2[[#This Row],[Vol_2020]]</f>
        <v>0</v>
      </c>
      <c r="X111" s="80"/>
      <c r="Y111" s="80"/>
      <c r="Z111" s="80"/>
      <c r="AA111" s="5"/>
      <c r="AB111" s="80"/>
      <c r="AC111" s="80"/>
      <c r="AD111" s="80"/>
      <c r="AE111" s="80"/>
      <c r="AF111" s="134"/>
      <c r="AG111" s="6"/>
      <c r="AH111" s="5"/>
      <c r="AI111" s="134"/>
      <c r="AJ111" s="5"/>
      <c r="AK111" s="5"/>
      <c r="AL111" s="80"/>
      <c r="AM111" s="80"/>
      <c r="AN111">
        <f>IFERROR(Tabelle2[[#This Row],[Vol_ha_22]]*0.537836177777778*Carbon_Calculations!$R$9,0)</f>
        <v>43.281420814024493</v>
      </c>
    </row>
    <row r="112" spans="1:40" x14ac:dyDescent="0.3">
      <c r="A112" s="130" t="s">
        <v>180</v>
      </c>
      <c r="B112" s="130" t="s">
        <v>283</v>
      </c>
      <c r="C112" t="s">
        <v>190</v>
      </c>
      <c r="D112" s="6">
        <v>476</v>
      </c>
      <c r="E112" s="5"/>
      <c r="G112" s="4"/>
      <c r="H112" s="131">
        <v>2020</v>
      </c>
      <c r="I112" s="130" t="s">
        <v>283</v>
      </c>
      <c r="J112">
        <v>20</v>
      </c>
      <c r="K112" s="80"/>
      <c r="L112" s="80"/>
      <c r="O112" s="5"/>
      <c r="P112" s="5"/>
      <c r="Q112" s="80"/>
      <c r="R112" s="80"/>
      <c r="S112" s="94"/>
      <c r="T112" s="133"/>
      <c r="U112" s="5">
        <v>34.460540100000003</v>
      </c>
      <c r="V112">
        <v>34.460540100000003</v>
      </c>
      <c r="W112" s="80">
        <f>+Tabelle2[[#This Row],[Vol_ha_22]]-Tabelle2[[#This Row],[Vol_2020]]</f>
        <v>0</v>
      </c>
      <c r="X112" s="80"/>
      <c r="Y112" s="80"/>
      <c r="Z112" s="80"/>
      <c r="AA112" s="5"/>
      <c r="AB112" s="80"/>
      <c r="AC112" s="80"/>
      <c r="AD112" s="80"/>
      <c r="AE112" s="80"/>
      <c r="AF112" s="134"/>
      <c r="AG112" s="6"/>
      <c r="AH112" s="5"/>
      <c r="AI112" s="134"/>
      <c r="AJ112" s="5"/>
      <c r="AK112" s="5"/>
      <c r="AL112" s="80"/>
      <c r="AM112" s="80"/>
      <c r="AN112">
        <f>IFERROR(Tabelle2[[#This Row],[Vol_ha_22]]*0.537836177777778*Carbon_Calculations!$R$9,0)</f>
        <v>21.314243947273123</v>
      </c>
    </row>
    <row r="113" spans="1:40" x14ac:dyDescent="0.3">
      <c r="A113" s="130" t="s">
        <v>180</v>
      </c>
      <c r="B113" s="130" t="s">
        <v>284</v>
      </c>
      <c r="C113" t="s">
        <v>190</v>
      </c>
      <c r="D113" s="6">
        <v>476</v>
      </c>
      <c r="E113" s="5"/>
      <c r="G113" s="4"/>
      <c r="H113" s="131">
        <v>2020</v>
      </c>
      <c r="I113" s="130" t="s">
        <v>284</v>
      </c>
      <c r="J113">
        <v>20</v>
      </c>
      <c r="K113" s="80"/>
      <c r="L113" s="80"/>
      <c r="O113" s="5"/>
      <c r="P113" s="5"/>
      <c r="Q113" s="80"/>
      <c r="R113" s="80"/>
      <c r="S113" s="94"/>
      <c r="T113" s="133"/>
      <c r="U113" s="5">
        <v>66.078415379999996</v>
      </c>
      <c r="V113">
        <v>66.078415379999996</v>
      </c>
      <c r="W113" s="80">
        <f>+Tabelle2[[#This Row],[Vol_ha_22]]-Tabelle2[[#This Row],[Vol_2020]]</f>
        <v>0</v>
      </c>
      <c r="X113" s="80"/>
      <c r="Y113" s="80"/>
      <c r="Z113" s="80"/>
      <c r="AA113" s="5"/>
      <c r="AB113" s="80"/>
      <c r="AC113" s="80"/>
      <c r="AD113" s="80"/>
      <c r="AE113" s="80"/>
      <c r="AF113" s="134"/>
      <c r="AG113" s="6"/>
      <c r="AH113" s="5"/>
      <c r="AI113" s="134"/>
      <c r="AJ113" s="5"/>
      <c r="AK113" s="5"/>
      <c r="AL113" s="80"/>
      <c r="AM113" s="80"/>
      <c r="AN113">
        <f>IFERROR(Tabelle2[[#This Row],[Vol_ha_22]]*0.537836177777778*Carbon_Calculations!$R$9,0)</f>
        <v>40.870266715830269</v>
      </c>
    </row>
    <row r="114" spans="1:40" x14ac:dyDescent="0.3">
      <c r="A114" s="130" t="s">
        <v>180</v>
      </c>
      <c r="B114" s="130" t="s">
        <v>438</v>
      </c>
      <c r="C114" t="s">
        <v>190</v>
      </c>
      <c r="D114" s="6">
        <v>476</v>
      </c>
      <c r="E114" s="5"/>
      <c r="G114" s="4"/>
      <c r="H114" s="131">
        <v>2020</v>
      </c>
      <c r="I114" s="130" t="s">
        <v>438</v>
      </c>
      <c r="J114">
        <v>20</v>
      </c>
      <c r="K114" s="80"/>
      <c r="L114" s="80"/>
      <c r="O114" s="5"/>
      <c r="P114" s="5"/>
      <c r="Q114" s="80"/>
      <c r="R114" s="80"/>
      <c r="S114" s="94"/>
      <c r="T114" s="133"/>
      <c r="U114" s="5">
        <v>47.214443330000002</v>
      </c>
      <c r="V114">
        <v>47.214443330000002</v>
      </c>
      <c r="W114" s="80">
        <f>+Tabelle2[[#This Row],[Vol_ha_22]]-Tabelle2[[#This Row],[Vol_2020]]</f>
        <v>0</v>
      </c>
      <c r="X114" s="80"/>
      <c r="Y114" s="80"/>
      <c r="Z114" s="80"/>
      <c r="AA114" s="5"/>
      <c r="AB114" s="80"/>
      <c r="AC114" s="80"/>
      <c r="AD114" s="80"/>
      <c r="AE114" s="80"/>
      <c r="AF114" s="134"/>
      <c r="AG114" s="6"/>
      <c r="AH114" s="5"/>
      <c r="AI114" s="134"/>
      <c r="AJ114" s="5"/>
      <c r="AK114" s="5"/>
      <c r="AL114" s="80"/>
      <c r="AM114" s="80"/>
      <c r="AN114">
        <f>IFERROR(Tabelle2[[#This Row],[Vol_ha_22]]*0.537836177777778*Carbon_Calculations!$R$9,0)</f>
        <v>29.202681096989611</v>
      </c>
    </row>
    <row r="115" spans="1:40" x14ac:dyDescent="0.3">
      <c r="A115" s="130" t="s">
        <v>180</v>
      </c>
      <c r="B115" s="130" t="s">
        <v>276</v>
      </c>
      <c r="C115" t="s">
        <v>184</v>
      </c>
      <c r="D115" s="6">
        <v>476</v>
      </c>
      <c r="E115" s="5"/>
      <c r="G115" s="4"/>
      <c r="H115" s="131">
        <v>2020</v>
      </c>
      <c r="I115" s="130" t="s">
        <v>276</v>
      </c>
      <c r="J115">
        <v>20</v>
      </c>
      <c r="K115" s="80"/>
      <c r="L115" s="80"/>
      <c r="O115" s="5"/>
      <c r="P115" s="5"/>
      <c r="Q115" s="80"/>
      <c r="R115" s="80"/>
      <c r="S115" s="94"/>
      <c r="T115" s="133"/>
      <c r="U115" s="5">
        <v>59.196959579999998</v>
      </c>
      <c r="V115">
        <v>59.196959579999998</v>
      </c>
      <c r="W115" s="80">
        <f>+Tabelle2[[#This Row],[Vol_ha_22]]-Tabelle2[[#This Row],[Vol_2020]]</f>
        <v>0</v>
      </c>
      <c r="X115" s="80"/>
      <c r="Y115" s="80"/>
      <c r="Z115" s="80"/>
      <c r="AA115" s="5"/>
      <c r="AB115" s="80"/>
      <c r="AC115" s="80"/>
      <c r="AD115" s="80"/>
      <c r="AE115" s="80"/>
      <c r="AF115" s="134"/>
      <c r="AG115" s="6"/>
      <c r="AH115" s="5"/>
      <c r="AI115" s="134"/>
      <c r="AJ115" s="5"/>
      <c r="AK115" s="5"/>
      <c r="AL115" s="80"/>
      <c r="AM115" s="80"/>
      <c r="AN115">
        <f>IFERROR(Tabelle2[[#This Row],[Vol_ha_22]]*0.537836177777778*Carbon_Calculations!$R$9,0)</f>
        <v>36.614006448058738</v>
      </c>
    </row>
    <row r="116" spans="1:40" x14ac:dyDescent="0.3">
      <c r="A116" s="130" t="s">
        <v>180</v>
      </c>
      <c r="B116" s="130" t="s">
        <v>286</v>
      </c>
      <c r="C116" t="s">
        <v>184</v>
      </c>
      <c r="D116" s="6">
        <v>476</v>
      </c>
      <c r="E116" s="5"/>
      <c r="G116" s="4"/>
      <c r="H116" s="131">
        <v>2020</v>
      </c>
      <c r="I116" s="130" t="s">
        <v>286</v>
      </c>
      <c r="J116">
        <v>20</v>
      </c>
      <c r="K116" s="80"/>
      <c r="L116" s="80"/>
      <c r="O116" s="5"/>
      <c r="P116" s="5"/>
      <c r="Q116" s="80"/>
      <c r="R116" s="80"/>
      <c r="S116" s="94"/>
      <c r="T116" s="133"/>
      <c r="U116" s="5">
        <v>65.410436419999996</v>
      </c>
      <c r="V116">
        <v>65.410436419999996</v>
      </c>
      <c r="W116" s="80">
        <f>+Tabelle2[[#This Row],[Vol_ha_22]]-Tabelle2[[#This Row],[Vol_2020]]</f>
        <v>0</v>
      </c>
      <c r="X116" s="80"/>
      <c r="Y116" s="80"/>
      <c r="Z116" s="80"/>
      <c r="AA116" s="5"/>
      <c r="AB116" s="80"/>
      <c r="AC116" s="80"/>
      <c r="AD116" s="80"/>
      <c r="AE116" s="80"/>
      <c r="AF116" s="134"/>
      <c r="AG116" s="6"/>
      <c r="AH116" s="5"/>
      <c r="AI116" s="134"/>
      <c r="AJ116" s="5"/>
      <c r="AK116" s="5"/>
      <c r="AL116" s="80"/>
      <c r="AM116" s="80"/>
      <c r="AN116">
        <f>IFERROR(Tabelle2[[#This Row],[Vol_ha_22]]*0.537836177777778*Carbon_Calculations!$R$9,0)</f>
        <v>40.457113977545539</v>
      </c>
    </row>
    <row r="117" spans="1:40" x14ac:dyDescent="0.3">
      <c r="A117" s="130" t="s">
        <v>180</v>
      </c>
      <c r="B117" s="130" t="s">
        <v>278</v>
      </c>
      <c r="C117" t="s">
        <v>186</v>
      </c>
      <c r="D117" s="6">
        <v>476</v>
      </c>
      <c r="E117" s="5"/>
      <c r="G117" s="4"/>
      <c r="H117" s="131">
        <v>2020</v>
      </c>
      <c r="I117" s="130" t="s">
        <v>278</v>
      </c>
      <c r="J117">
        <v>20</v>
      </c>
      <c r="K117" s="80"/>
      <c r="L117" s="80"/>
      <c r="O117" s="5"/>
      <c r="P117" s="5"/>
      <c r="Q117" s="80"/>
      <c r="R117" s="80"/>
      <c r="S117" s="94"/>
      <c r="T117" s="133"/>
      <c r="U117" s="5">
        <v>63.440431230000002</v>
      </c>
      <c r="V117">
        <v>63.440431230000002</v>
      </c>
      <c r="W117" s="80">
        <f>+Tabelle2[[#This Row],[Vol_ha_22]]-Tabelle2[[#This Row],[Vol_2020]]</f>
        <v>0</v>
      </c>
      <c r="X117" s="80"/>
      <c r="Y117" s="80"/>
      <c r="Z117" s="80"/>
      <c r="AA117" s="5"/>
      <c r="AB117" s="80"/>
      <c r="AC117" s="80"/>
      <c r="AD117" s="80"/>
      <c r="AE117" s="80"/>
      <c r="AF117" s="134"/>
      <c r="AG117" s="6"/>
      <c r="AH117" s="5"/>
      <c r="AI117" s="134"/>
      <c r="AJ117" s="5"/>
      <c r="AK117" s="5"/>
      <c r="AL117" s="80"/>
      <c r="AM117" s="80"/>
      <c r="AN117">
        <f>IFERROR(Tabelle2[[#This Row],[Vol_ha_22]]*0.537836177777778*Carbon_Calculations!$R$9,0)</f>
        <v>39.238642906714752</v>
      </c>
    </row>
    <row r="118" spans="1:40" x14ac:dyDescent="0.3">
      <c r="A118" s="130" t="s">
        <v>180</v>
      </c>
      <c r="B118" s="130" t="s">
        <v>285</v>
      </c>
      <c r="C118" t="s">
        <v>186</v>
      </c>
      <c r="D118" s="6">
        <v>476</v>
      </c>
      <c r="E118" s="5"/>
      <c r="G118" s="4"/>
      <c r="H118" s="131">
        <v>2020</v>
      </c>
      <c r="I118" s="130" t="s">
        <v>285</v>
      </c>
      <c r="J118">
        <v>20</v>
      </c>
      <c r="K118" s="80"/>
      <c r="L118" s="80"/>
      <c r="O118" s="5"/>
      <c r="P118" s="5"/>
      <c r="Q118" s="80"/>
      <c r="R118" s="80"/>
      <c r="S118" s="94"/>
      <c r="T118" s="133"/>
      <c r="U118" s="5">
        <v>66.139474840000005</v>
      </c>
      <c r="V118">
        <v>66.139474840000005</v>
      </c>
      <c r="W118" s="80">
        <f>+Tabelle2[[#This Row],[Vol_ha_22]]-Tabelle2[[#This Row],[Vol_2020]]</f>
        <v>0</v>
      </c>
      <c r="X118" s="80"/>
      <c r="Y118" s="80"/>
      <c r="Z118" s="80"/>
      <c r="AA118" s="5"/>
      <c r="AB118" s="80"/>
      <c r="AC118" s="80"/>
      <c r="AD118" s="80"/>
      <c r="AE118" s="80"/>
      <c r="AF118" s="134"/>
      <c r="AG118" s="6"/>
      <c r="AH118" s="5"/>
      <c r="AI118" s="134"/>
      <c r="AJ118" s="5"/>
      <c r="AK118" s="5"/>
      <c r="AL118" s="80"/>
      <c r="AM118" s="80"/>
      <c r="AN118">
        <f>IFERROR(Tabelle2[[#This Row],[Vol_ha_22]]*0.537836177777778*Carbon_Calculations!$R$9,0)</f>
        <v>40.908032700401385</v>
      </c>
    </row>
    <row r="119" spans="1:40" x14ac:dyDescent="0.3">
      <c r="A119" s="130" t="s">
        <v>180</v>
      </c>
      <c r="B119" s="130" t="s">
        <v>277</v>
      </c>
      <c r="C119" t="s">
        <v>186</v>
      </c>
      <c r="D119" s="6">
        <v>476</v>
      </c>
      <c r="E119" s="5"/>
      <c r="G119" s="4"/>
      <c r="H119" s="131">
        <v>2020</v>
      </c>
      <c r="I119" s="130" t="s">
        <v>277</v>
      </c>
      <c r="J119">
        <v>20</v>
      </c>
      <c r="K119" s="80"/>
      <c r="L119" s="80"/>
      <c r="O119" s="5"/>
      <c r="P119" s="5"/>
      <c r="Q119" s="80"/>
      <c r="R119" s="80"/>
      <c r="S119" s="94"/>
      <c r="T119" s="133"/>
      <c r="U119" s="5">
        <v>8.4406262470000009</v>
      </c>
      <c r="V119">
        <v>8.4406262470000009</v>
      </c>
      <c r="W119" s="80">
        <f>+Tabelle2[[#This Row],[Vol_ha_22]]-Tabelle2[[#This Row],[Vol_2020]]</f>
        <v>0</v>
      </c>
      <c r="X119" s="80"/>
      <c r="Y119" s="80"/>
      <c r="Z119" s="80"/>
      <c r="AA119" s="5"/>
      <c r="AB119" s="80"/>
      <c r="AC119" s="80"/>
      <c r="AD119" s="80"/>
      <c r="AE119" s="80"/>
      <c r="AF119" s="134"/>
      <c r="AG119" s="6"/>
      <c r="AH119" s="5"/>
      <c r="AI119" s="134"/>
      <c r="AJ119" s="5"/>
      <c r="AK119" s="5"/>
      <c r="AL119" s="80"/>
      <c r="AM119" s="80"/>
      <c r="AN119">
        <f>IFERROR(Tabelle2[[#This Row],[Vol_ha_22]]*0.537836177777778*Carbon_Calculations!$R$9,0)</f>
        <v>5.2206252825478625</v>
      </c>
    </row>
    <row r="120" spans="1:40" x14ac:dyDescent="0.3">
      <c r="A120" s="130" t="s">
        <v>180</v>
      </c>
      <c r="B120" s="130" t="s">
        <v>279</v>
      </c>
      <c r="C120" t="s">
        <v>186</v>
      </c>
      <c r="D120" s="6">
        <v>476</v>
      </c>
      <c r="E120" s="5"/>
      <c r="G120" s="4"/>
      <c r="H120" s="131">
        <v>2020</v>
      </c>
      <c r="I120" s="130" t="s">
        <v>279</v>
      </c>
      <c r="J120">
        <v>20</v>
      </c>
      <c r="K120" s="80"/>
      <c r="L120" s="80"/>
      <c r="O120" s="5"/>
      <c r="P120" s="5"/>
      <c r="Q120" s="80"/>
      <c r="R120" s="80"/>
      <c r="S120" s="94"/>
      <c r="T120" s="133"/>
      <c r="U120" s="5">
        <v>5.5026704080000002</v>
      </c>
      <c r="V120">
        <v>5.5026704080000002</v>
      </c>
      <c r="W120" s="80">
        <f>+Tabelle2[[#This Row],[Vol_ha_22]]-Tabelle2[[#This Row],[Vol_2020]]</f>
        <v>0</v>
      </c>
      <c r="X120" s="80"/>
      <c r="Y120" s="80"/>
      <c r="Z120" s="80"/>
      <c r="AA120" s="5"/>
      <c r="AB120" s="80"/>
      <c r="AC120" s="80"/>
      <c r="AD120" s="80"/>
      <c r="AE120" s="80"/>
      <c r="AF120" s="134"/>
      <c r="AG120" s="6"/>
      <c r="AH120" s="5"/>
      <c r="AI120" s="134"/>
      <c r="AJ120" s="5"/>
      <c r="AK120" s="5"/>
      <c r="AL120" s="80"/>
      <c r="AM120" s="80"/>
      <c r="AN120">
        <f>IFERROR(Tabelle2[[#This Row],[Vol_ha_22]]*0.537836177777778*Carbon_Calculations!$R$9,0)</f>
        <v>3.4034655027810472</v>
      </c>
    </row>
    <row r="121" spans="1:40" x14ac:dyDescent="0.3">
      <c r="A121" s="130" t="s">
        <v>180</v>
      </c>
      <c r="B121" s="130" t="s">
        <v>301</v>
      </c>
      <c r="C121" t="s">
        <v>204</v>
      </c>
      <c r="D121" s="6">
        <v>500</v>
      </c>
      <c r="E121" s="5"/>
      <c r="G121" s="4"/>
      <c r="H121" s="131">
        <v>2020</v>
      </c>
      <c r="I121" s="130" t="s">
        <v>301</v>
      </c>
      <c r="J121">
        <v>20</v>
      </c>
      <c r="K121" s="80"/>
      <c r="L121" s="80"/>
      <c r="O121" s="5"/>
      <c r="P121" s="5"/>
      <c r="Q121" s="80"/>
      <c r="R121" s="80"/>
      <c r="S121" s="94"/>
      <c r="T121" s="133"/>
      <c r="U121" s="5">
        <v>26.986472750000001</v>
      </c>
      <c r="V121">
        <v>26.986472750000001</v>
      </c>
      <c r="W121" s="80">
        <f>+Tabelle2[[#This Row],[Vol_ha_22]]-Tabelle2[[#This Row],[Vol_2020]]</f>
        <v>0</v>
      </c>
      <c r="X121" s="80"/>
      <c r="Y121" s="80"/>
      <c r="Z121" s="80"/>
      <c r="AA121" s="5"/>
      <c r="AB121" s="80"/>
      <c r="AC121" s="80"/>
      <c r="AD121" s="80"/>
      <c r="AE121" s="80"/>
      <c r="AF121" s="134"/>
      <c r="AG121" s="6"/>
      <c r="AH121" s="5"/>
      <c r="AI121" s="134"/>
      <c r="AJ121" s="5"/>
      <c r="AK121" s="5"/>
      <c r="AL121" s="80"/>
      <c r="AM121" s="80"/>
      <c r="AN121">
        <f>IFERROR(Tabelle2[[#This Row],[Vol_ha_22]]*0.537836177777778*Carbon_Calculations!$R$9,0)</f>
        <v>16.691446558898786</v>
      </c>
    </row>
    <row r="122" spans="1:40" x14ac:dyDescent="0.3">
      <c r="A122" s="130" t="s">
        <v>180</v>
      </c>
      <c r="B122" s="130" t="s">
        <v>338</v>
      </c>
      <c r="C122" t="s">
        <v>204</v>
      </c>
      <c r="D122" s="6">
        <v>500</v>
      </c>
      <c r="E122" s="5"/>
      <c r="G122" s="4"/>
      <c r="H122" s="131">
        <v>2020</v>
      </c>
      <c r="I122" s="130" t="s">
        <v>338</v>
      </c>
      <c r="J122">
        <v>20</v>
      </c>
      <c r="K122" s="80"/>
      <c r="L122" s="80"/>
      <c r="O122" s="5"/>
      <c r="P122" s="5"/>
      <c r="Q122" s="80"/>
      <c r="R122" s="80"/>
      <c r="S122" s="94"/>
      <c r="T122" s="133"/>
      <c r="U122" s="5">
        <v>30.253924489999999</v>
      </c>
      <c r="V122">
        <v>30.253924489999999</v>
      </c>
      <c r="W122" s="80">
        <f>+Tabelle2[[#This Row],[Vol_ha_22]]-Tabelle2[[#This Row],[Vol_2020]]</f>
        <v>0</v>
      </c>
      <c r="X122" s="80"/>
      <c r="Y122" s="80"/>
      <c r="Z122" s="80"/>
      <c r="AA122" s="5"/>
      <c r="AB122" s="80"/>
      <c r="AC122" s="80"/>
      <c r="AD122" s="80"/>
      <c r="AE122" s="80"/>
      <c r="AF122" s="134"/>
      <c r="AG122" s="6"/>
      <c r="AH122" s="5"/>
      <c r="AI122" s="134"/>
      <c r="AJ122" s="5"/>
      <c r="AK122" s="5"/>
      <c r="AL122" s="80"/>
      <c r="AM122" s="80"/>
      <c r="AN122">
        <f>IFERROR(Tabelle2[[#This Row],[Vol_ha_22]]*0.537836177777778*Carbon_Calculations!$R$9,0)</f>
        <v>18.712403377050979</v>
      </c>
    </row>
    <row r="123" spans="1:40" x14ac:dyDescent="0.3">
      <c r="A123" s="130" t="s">
        <v>180</v>
      </c>
      <c r="B123" s="130" t="s">
        <v>340</v>
      </c>
      <c r="C123" t="s">
        <v>204</v>
      </c>
      <c r="D123" s="6">
        <v>500</v>
      </c>
      <c r="E123" s="5"/>
      <c r="G123" s="4"/>
      <c r="H123" s="131">
        <v>2020</v>
      </c>
      <c r="I123" s="130" t="s">
        <v>340</v>
      </c>
      <c r="J123">
        <v>20</v>
      </c>
      <c r="K123" s="80"/>
      <c r="L123" s="80"/>
      <c r="O123" s="5"/>
      <c r="P123" s="5"/>
      <c r="Q123" s="80"/>
      <c r="R123" s="80"/>
      <c r="S123" s="94"/>
      <c r="T123" s="133"/>
      <c r="U123" s="5">
        <v>68.021009599999999</v>
      </c>
      <c r="V123">
        <v>68.021009599999999</v>
      </c>
      <c r="W123" s="80">
        <f>+Tabelle2[[#This Row],[Vol_ha_22]]-Tabelle2[[#This Row],[Vol_2020]]</f>
        <v>0</v>
      </c>
      <c r="X123" s="80"/>
      <c r="Y123" s="80"/>
      <c r="Z123" s="80"/>
      <c r="AA123" s="5"/>
      <c r="AB123" s="80"/>
      <c r="AC123" s="80"/>
      <c r="AD123" s="80"/>
      <c r="AE123" s="80"/>
      <c r="AF123" s="134"/>
      <c r="AG123" s="6"/>
      <c r="AH123" s="5"/>
      <c r="AI123" s="134"/>
      <c r="AJ123" s="5"/>
      <c r="AK123" s="5"/>
      <c r="AL123" s="80"/>
      <c r="AM123" s="80"/>
      <c r="AN123">
        <f>IFERROR(Tabelle2[[#This Row],[Vol_ha_22]]*0.537836177777778*Carbon_Calculations!$R$9,0)</f>
        <v>42.071783783626977</v>
      </c>
    </row>
    <row r="124" spans="1:40" x14ac:dyDescent="0.3">
      <c r="A124" s="130" t="s">
        <v>180</v>
      </c>
      <c r="B124" s="130" t="s">
        <v>296</v>
      </c>
      <c r="C124" t="s">
        <v>198</v>
      </c>
      <c r="D124" s="6">
        <v>500</v>
      </c>
      <c r="E124" s="5"/>
      <c r="G124" s="4"/>
      <c r="H124" s="131">
        <v>2019</v>
      </c>
      <c r="I124" s="130" t="s">
        <v>296</v>
      </c>
      <c r="J124">
        <v>20</v>
      </c>
      <c r="K124" s="80"/>
      <c r="L124" s="80"/>
      <c r="O124" s="5"/>
      <c r="P124" s="5"/>
      <c r="Q124" s="80"/>
      <c r="R124" s="80"/>
      <c r="S124" s="94"/>
      <c r="T124" s="133"/>
      <c r="U124" s="5">
        <v>54.783237120000003</v>
      </c>
      <c r="V124">
        <v>54.783237120000003</v>
      </c>
      <c r="W124" s="80">
        <f>+Tabelle2[[#This Row],[Vol_ha_22]]-Tabelle2[[#This Row],[Vol_2020]]</f>
        <v>0</v>
      </c>
      <c r="X124" s="80"/>
      <c r="Y124" s="80"/>
      <c r="Z124" s="80"/>
      <c r="AA124" s="5"/>
      <c r="AB124" s="80"/>
      <c r="AC124" s="80"/>
      <c r="AD124" s="80"/>
      <c r="AE124" s="80"/>
      <c r="AF124" s="134"/>
      <c r="AG124" s="6"/>
      <c r="AH124" s="5"/>
      <c r="AI124" s="134"/>
      <c r="AJ124" s="5"/>
      <c r="AK124" s="5"/>
      <c r="AL124" s="80"/>
      <c r="AM124" s="80"/>
      <c r="AN124">
        <f>IFERROR(Tabelle2[[#This Row],[Vol_ha_22]]*0.537836177777778*Carbon_Calculations!$R$9,0)</f>
        <v>33.884067887751662</v>
      </c>
    </row>
    <row r="125" spans="1:40" x14ac:dyDescent="0.3">
      <c r="A125" s="130" t="s">
        <v>180</v>
      </c>
      <c r="B125" s="130" t="s">
        <v>297</v>
      </c>
      <c r="C125" t="s">
        <v>198</v>
      </c>
      <c r="D125" s="6">
        <v>500</v>
      </c>
      <c r="E125" s="5"/>
      <c r="G125" s="4"/>
      <c r="H125" s="131">
        <v>2019</v>
      </c>
      <c r="I125" s="130" t="s">
        <v>297</v>
      </c>
      <c r="J125">
        <v>20</v>
      </c>
      <c r="K125" s="80"/>
      <c r="L125" s="80"/>
      <c r="O125" s="5"/>
      <c r="P125" s="5"/>
      <c r="Q125" s="80"/>
      <c r="R125" s="80"/>
      <c r="S125" s="94"/>
      <c r="T125" s="133"/>
      <c r="U125" s="5">
        <v>38.905211700000002</v>
      </c>
      <c r="V125">
        <v>38.905211700000002</v>
      </c>
      <c r="W125" s="80">
        <f>+Tabelle2[[#This Row],[Vol_ha_22]]-Tabelle2[[#This Row],[Vol_2020]]</f>
        <v>0</v>
      </c>
      <c r="X125" s="80"/>
      <c r="Y125" s="80"/>
      <c r="Z125" s="80"/>
      <c r="AA125" s="5"/>
      <c r="AB125" s="80"/>
      <c r="AC125" s="80"/>
      <c r="AD125" s="80"/>
      <c r="AE125" s="80"/>
      <c r="AF125" s="134"/>
      <c r="AG125" s="6"/>
      <c r="AH125" s="5"/>
      <c r="AI125" s="134"/>
      <c r="AJ125" s="5"/>
      <c r="AK125" s="5"/>
      <c r="AL125" s="80"/>
      <c r="AM125" s="80"/>
      <c r="AN125">
        <f>IFERROR(Tabelle2[[#This Row],[Vol_ha_22]]*0.537836177777778*Carbon_Calculations!$R$9,0)</f>
        <v>24.063324909817783</v>
      </c>
    </row>
    <row r="126" spans="1:40" x14ac:dyDescent="0.3">
      <c r="A126" s="130" t="s">
        <v>180</v>
      </c>
      <c r="B126" s="130" t="s">
        <v>291</v>
      </c>
      <c r="C126" t="s">
        <v>198</v>
      </c>
      <c r="D126" s="6">
        <v>500</v>
      </c>
      <c r="E126" s="5"/>
      <c r="G126" s="4"/>
      <c r="H126" s="131">
        <v>2019</v>
      </c>
      <c r="I126" s="130" t="s">
        <v>291</v>
      </c>
      <c r="J126">
        <v>20</v>
      </c>
      <c r="K126" s="80"/>
      <c r="L126" s="80"/>
      <c r="O126" s="5"/>
      <c r="P126" s="5"/>
      <c r="Q126" s="80"/>
      <c r="R126" s="80"/>
      <c r="S126" s="94"/>
      <c r="T126" s="133"/>
      <c r="U126" s="5">
        <v>55.750658260000002</v>
      </c>
      <c r="V126">
        <v>55.750658260000002</v>
      </c>
      <c r="W126" s="80">
        <f>+Tabelle2[[#This Row],[Vol_ha_22]]-Tabelle2[[#This Row],[Vol_2020]]</f>
        <v>0</v>
      </c>
      <c r="X126" s="80"/>
      <c r="Y126" s="80"/>
      <c r="Z126" s="80"/>
      <c r="AA126" s="5"/>
      <c r="AB126" s="80"/>
      <c r="AC126" s="80"/>
      <c r="AD126" s="80"/>
      <c r="AE126" s="80"/>
      <c r="AF126" s="134"/>
      <c r="AG126" s="6"/>
      <c r="AH126" s="5"/>
      <c r="AI126" s="134"/>
      <c r="AJ126" s="5"/>
      <c r="AK126" s="5"/>
      <c r="AL126" s="80"/>
      <c r="AM126" s="80"/>
      <c r="AN126">
        <f>IFERROR(Tabelle2[[#This Row],[Vol_ha_22]]*0.537836177777778*Carbon_Calculations!$R$9,0)</f>
        <v>34.482429089226535</v>
      </c>
    </row>
    <row r="127" spans="1:40" x14ac:dyDescent="0.3">
      <c r="A127" s="130" t="s">
        <v>180</v>
      </c>
      <c r="B127" s="130" t="s">
        <v>299</v>
      </c>
      <c r="C127" t="s">
        <v>202</v>
      </c>
      <c r="D127" s="6">
        <v>500</v>
      </c>
      <c r="E127" s="5"/>
      <c r="G127" s="4"/>
      <c r="H127" s="131">
        <v>2019</v>
      </c>
      <c r="I127" s="130" t="s">
        <v>299</v>
      </c>
      <c r="J127">
        <v>20</v>
      </c>
      <c r="K127" s="80"/>
      <c r="L127" s="80"/>
      <c r="O127" s="5"/>
      <c r="P127" s="5"/>
      <c r="Q127" s="80"/>
      <c r="R127" s="80"/>
      <c r="S127" s="94"/>
      <c r="T127" s="133"/>
      <c r="U127" s="5">
        <v>69.778072109999997</v>
      </c>
      <c r="V127">
        <v>69.778072109999997</v>
      </c>
      <c r="W127" s="80">
        <f>+Tabelle2[[#This Row],[Vol_ha_22]]-Tabelle2[[#This Row],[Vol_2020]]</f>
        <v>0</v>
      </c>
      <c r="X127" s="80"/>
      <c r="Y127" s="80"/>
      <c r="Z127" s="80"/>
      <c r="AA127" s="5"/>
      <c r="AB127" s="80"/>
      <c r="AC127" s="80"/>
      <c r="AD127" s="80"/>
      <c r="AE127" s="80"/>
      <c r="AF127" s="134"/>
      <c r="AG127" s="6"/>
      <c r="AH127" s="5"/>
      <c r="AI127" s="134"/>
      <c r="AJ127" s="5"/>
      <c r="AK127" s="5"/>
      <c r="AL127" s="80"/>
      <c r="AM127" s="80"/>
      <c r="AN127">
        <f>IFERROR(Tabelle2[[#This Row],[Vol_ha_22]]*0.537836177777778*Carbon_Calculations!$R$9,0)</f>
        <v>43.158547335796257</v>
      </c>
    </row>
    <row r="128" spans="1:40" x14ac:dyDescent="0.3">
      <c r="A128" s="130" t="s">
        <v>180</v>
      </c>
      <c r="B128" s="130" t="s">
        <v>300</v>
      </c>
      <c r="C128" t="s">
        <v>202</v>
      </c>
      <c r="D128" s="6">
        <v>500</v>
      </c>
      <c r="E128" s="5"/>
      <c r="G128" s="4"/>
      <c r="H128" s="131">
        <v>2019</v>
      </c>
      <c r="I128" s="130" t="s">
        <v>300</v>
      </c>
      <c r="J128">
        <v>20</v>
      </c>
      <c r="K128" s="80"/>
      <c r="L128" s="80"/>
      <c r="O128" s="5"/>
      <c r="P128" s="5"/>
      <c r="Q128" s="80"/>
      <c r="R128" s="80"/>
      <c r="S128" s="94"/>
      <c r="T128" s="133"/>
      <c r="U128" s="5">
        <v>42.800715529999998</v>
      </c>
      <c r="V128">
        <v>42.800715529999998</v>
      </c>
      <c r="W128" s="80">
        <f>+Tabelle2[[#This Row],[Vol_ha_22]]-Tabelle2[[#This Row],[Vol_2020]]</f>
        <v>0</v>
      </c>
      <c r="X128" s="80"/>
      <c r="Y128" s="80"/>
      <c r="Z128" s="80"/>
      <c r="AA128" s="5"/>
      <c r="AB128" s="80"/>
      <c r="AC128" s="80"/>
      <c r="AD128" s="80"/>
      <c r="AE128" s="80"/>
      <c r="AF128" s="134"/>
      <c r="AG128" s="6"/>
      <c r="AH128" s="5"/>
      <c r="AI128" s="134"/>
      <c r="AJ128" s="5"/>
      <c r="AK128" s="5"/>
      <c r="AL128" s="80"/>
      <c r="AM128" s="80"/>
      <c r="AN128">
        <f>IFERROR(Tabelle2[[#This Row],[Vol_ha_22]]*0.537836177777778*Carbon_Calculations!$R$9,0)</f>
        <v>26.472739233830559</v>
      </c>
    </row>
    <row r="129" spans="1:43" x14ac:dyDescent="0.3">
      <c r="A129" s="130" t="s">
        <v>180</v>
      </c>
      <c r="B129" s="130" t="s">
        <v>298</v>
      </c>
      <c r="C129" t="s">
        <v>202</v>
      </c>
      <c r="D129" s="6">
        <v>500</v>
      </c>
      <c r="E129" s="5"/>
      <c r="G129" s="4"/>
      <c r="H129" s="131">
        <v>2019</v>
      </c>
      <c r="I129" s="130" t="s">
        <v>298</v>
      </c>
      <c r="J129">
        <v>20</v>
      </c>
      <c r="K129" s="80"/>
      <c r="L129" s="80"/>
      <c r="O129" s="5"/>
      <c r="P129" s="5"/>
      <c r="Q129" s="80"/>
      <c r="R129" s="80"/>
      <c r="S129" s="94"/>
      <c r="T129" s="133"/>
      <c r="U129" s="5">
        <v>47.744530359999999</v>
      </c>
      <c r="V129">
        <v>47.744530359999999</v>
      </c>
      <c r="W129" s="80">
        <f>+Tabelle2[[#This Row],[Vol_ha_22]]-Tabelle2[[#This Row],[Vol_2020]]</f>
        <v>0</v>
      </c>
      <c r="X129" s="80"/>
      <c r="Y129" s="80"/>
      <c r="Z129" s="80"/>
      <c r="AA129" s="5"/>
      <c r="AB129" s="80"/>
      <c r="AC129" s="80"/>
      <c r="AD129" s="80"/>
      <c r="AE129" s="80"/>
      <c r="AF129" s="134"/>
      <c r="AG129" s="6"/>
      <c r="AH129" s="5"/>
      <c r="AI129" s="134"/>
      <c r="AJ129" s="5"/>
      <c r="AK129" s="5"/>
      <c r="AL129" s="80"/>
      <c r="AM129" s="80"/>
      <c r="AN129">
        <f>IFERROR(Tabelle2[[#This Row],[Vol_ha_22]]*0.537836177777778*Carbon_Calculations!$R$9,0)</f>
        <v>29.530546076410101</v>
      </c>
    </row>
    <row r="130" spans="1:43" x14ac:dyDescent="0.3">
      <c r="A130" s="130" t="s">
        <v>180</v>
      </c>
      <c r="B130" t="s">
        <v>294</v>
      </c>
      <c r="C130" t="s">
        <v>200</v>
      </c>
      <c r="D130" s="6">
        <v>500</v>
      </c>
      <c r="E130" s="5"/>
      <c r="G130" s="4"/>
      <c r="H130">
        <v>2019</v>
      </c>
      <c r="I130" t="s">
        <v>294</v>
      </c>
      <c r="J130">
        <v>20</v>
      </c>
      <c r="K130" t="str">
        <f>IF(AND(Tabelle2[[#This Row],[trees_measured]]=20,Tabelle2[[#This Row],[Densidad_plantac]]=714),"280","Error")</f>
        <v>Error</v>
      </c>
      <c r="L130" s="5" t="e">
        <f>10000/K130</f>
        <v>#VALUE!</v>
      </c>
      <c r="M130" t="s">
        <v>40</v>
      </c>
      <c r="N130" s="5" t="s">
        <v>37</v>
      </c>
      <c r="O130" s="5">
        <v>503609.06140000001</v>
      </c>
      <c r="P130" s="5">
        <v>7370704.2019999996</v>
      </c>
      <c r="Q130" s="5" t="s">
        <v>38</v>
      </c>
      <c r="R130" s="5">
        <v>1</v>
      </c>
      <c r="S130" s="5">
        <v>14.532970389999999</v>
      </c>
      <c r="T130" s="5">
        <v>14.532970389999999</v>
      </c>
      <c r="U130" s="5">
        <v>47.623491360000003</v>
      </c>
      <c r="V130">
        <v>47.623491360000003</v>
      </c>
      <c r="W130" s="5">
        <f>+Tabelle2[[#This Row],[Vol_ha_22]]-Tabelle2[[#This Row],[Vol_2020]]</f>
        <v>0</v>
      </c>
      <c r="X130" s="5">
        <v>16.976701829620573</v>
      </c>
      <c r="Y130" s="5">
        <v>14.3</v>
      </c>
      <c r="Z130" s="5">
        <v>18.7</v>
      </c>
      <c r="AA130" s="5">
        <v>15.700000000000001</v>
      </c>
      <c r="AB130" s="5">
        <v>1.3225320068304245</v>
      </c>
      <c r="AC130" s="6">
        <v>15.901297898640296</v>
      </c>
      <c r="AD130" s="6">
        <v>13.6</v>
      </c>
      <c r="AE130" s="6">
        <v>17.8</v>
      </c>
      <c r="AF130" s="6">
        <v>20.5</v>
      </c>
      <c r="AG130" s="6">
        <v>750</v>
      </c>
      <c r="AH130" s="5">
        <v>1</v>
      </c>
      <c r="AI130" s="6">
        <v>100</v>
      </c>
      <c r="AJ130" s="5">
        <v>0</v>
      </c>
      <c r="AK130" s="5">
        <v>0</v>
      </c>
      <c r="AL130" s="5">
        <v>0</v>
      </c>
      <c r="AM130" s="5">
        <v>1</v>
      </c>
      <c r="AN130">
        <f>IFERROR(Tabelle2[[#This Row],[Vol_ha_22]]*0.537836177777778*Carbon_Calculations!$R$9,0)</f>
        <v>29.455682050319751</v>
      </c>
      <c r="AO130">
        <f>IF(Tabelle2[[#This Row],[Year]]=2015,1,IF(Tabelle2[[#This Row],[Year]]=2016,2,IF(Tabelle2[[#This Row],[Year]]=2017,3,IF(Tabelle2[[#This Row],[Year]]=2018,4,5))))</f>
        <v>5</v>
      </c>
      <c r="AQ130">
        <v>0.58904511999999998</v>
      </c>
    </row>
    <row r="131" spans="1:43" x14ac:dyDescent="0.3">
      <c r="A131" s="130" t="s">
        <v>180</v>
      </c>
      <c r="B131" t="s">
        <v>293</v>
      </c>
      <c r="C131" t="s">
        <v>200</v>
      </c>
      <c r="D131" s="6">
        <v>500</v>
      </c>
      <c r="E131" s="5"/>
      <c r="G131" s="4"/>
      <c r="H131">
        <v>2019</v>
      </c>
      <c r="I131" t="s">
        <v>293</v>
      </c>
      <c r="J131">
        <v>20</v>
      </c>
      <c r="K131" t="str">
        <f>IF(AND(Tabelle2[[#This Row],[trees_measured]]=20,Tabelle2[[#This Row],[Densidad_plantac]]=714),"280","Error")</f>
        <v>Error</v>
      </c>
      <c r="L131" s="5" t="e">
        <f>10000/K131</f>
        <v>#VALUE!</v>
      </c>
      <c r="M131" t="s">
        <v>39</v>
      </c>
      <c r="N131" s="5" t="s">
        <v>37</v>
      </c>
      <c r="O131" s="5">
        <v>503586.90035000001</v>
      </c>
      <c r="P131" s="5">
        <v>7371154.5894999998</v>
      </c>
      <c r="Q131" s="5" t="s">
        <v>38</v>
      </c>
      <c r="R131" s="5">
        <v>1</v>
      </c>
      <c r="S131" s="5">
        <v>11.49256435</v>
      </c>
      <c r="T131" s="5">
        <v>11.49256435</v>
      </c>
      <c r="U131" s="5">
        <v>52.13702292</v>
      </c>
      <c r="V131">
        <v>52.13702292</v>
      </c>
      <c r="W131" s="5">
        <f>+Tabelle2[[#This Row],[Vol_ha_22]]-Tabelle2[[#This Row],[Vol_2020]]</f>
        <v>0</v>
      </c>
      <c r="X131" s="5">
        <v>17.556803078304636</v>
      </c>
      <c r="Y131" s="5">
        <v>16.360900000000001</v>
      </c>
      <c r="Z131" s="5">
        <v>18.8</v>
      </c>
      <c r="AA131" s="5">
        <v>14.823076923076922</v>
      </c>
      <c r="AB131" s="5">
        <v>1.1762609164593303</v>
      </c>
      <c r="AC131" s="6">
        <v>14.998647063532671</v>
      </c>
      <c r="AD131" s="6">
        <v>13.4</v>
      </c>
      <c r="AE131" s="6">
        <v>17.5</v>
      </c>
      <c r="AF131" s="6">
        <v>18.899999999999999</v>
      </c>
      <c r="AG131" s="6">
        <v>500</v>
      </c>
      <c r="AH131" s="5">
        <v>0</v>
      </c>
      <c r="AI131" s="6">
        <v>0</v>
      </c>
      <c r="AJ131" s="5">
        <v>0</v>
      </c>
      <c r="AK131" s="5">
        <v>0</v>
      </c>
      <c r="AL131" s="5">
        <v>0</v>
      </c>
      <c r="AM131" s="5">
        <v>1</v>
      </c>
      <c r="AN131">
        <f>IFERROR(Tabelle2[[#This Row],[Vol_ha_22]]*0.537836177777778*Carbon_Calculations!$R$9,0)</f>
        <v>32.247353697205988</v>
      </c>
      <c r="AO131">
        <f>IF(Tabelle2[[#This Row],[Year]]=2015,1,IF(Tabelle2[[#This Row],[Year]]=2016,2,IF(Tabelle2[[#This Row],[Year]]=2017,3,IF(Tabelle2[[#This Row],[Year]]=2018,4,5))))</f>
        <v>5</v>
      </c>
    </row>
    <row r="132" spans="1:43" x14ac:dyDescent="0.3">
      <c r="A132" s="130" t="s">
        <v>180</v>
      </c>
      <c r="B132" t="s">
        <v>295</v>
      </c>
      <c r="C132" t="s">
        <v>200</v>
      </c>
      <c r="D132" s="6">
        <v>500</v>
      </c>
      <c r="E132" s="5"/>
      <c r="G132" s="4"/>
      <c r="H132">
        <v>2019</v>
      </c>
      <c r="I132" t="s">
        <v>295</v>
      </c>
      <c r="J132">
        <v>20</v>
      </c>
      <c r="K132" t="str">
        <f>IF(AND(Tabelle2[[#This Row],[trees_measured]]=20,Tabelle2[[#This Row],[Densidad_plantac]]=714),"280","Error")</f>
        <v>Error</v>
      </c>
      <c r="L132" s="5" t="e">
        <f>10000/K132</f>
        <v>#VALUE!</v>
      </c>
      <c r="M132" t="s">
        <v>39</v>
      </c>
      <c r="N132" s="5" t="s">
        <v>37</v>
      </c>
      <c r="O132" s="5">
        <v>503898.99569999997</v>
      </c>
      <c r="P132" s="5">
        <v>7371361.6155000003</v>
      </c>
      <c r="Q132" s="5" t="s">
        <v>38</v>
      </c>
      <c r="R132" s="5">
        <v>1</v>
      </c>
      <c r="S132" s="5">
        <v>13.126043770000001</v>
      </c>
      <c r="T132" s="5">
        <v>13.126043770000001</v>
      </c>
      <c r="U132" s="5">
        <v>61.80993419</v>
      </c>
      <c r="V132">
        <v>61.80993419</v>
      </c>
      <c r="W132" s="5">
        <f>+Tabelle2[[#This Row],[Vol_ha_22]]-Tabelle2[[#This Row],[Vol_2020]]</f>
        <v>0</v>
      </c>
      <c r="X132" s="5">
        <v>17.849923505261224</v>
      </c>
      <c r="Y132" s="5">
        <v>15.8</v>
      </c>
      <c r="Z132" s="5">
        <v>19.8</v>
      </c>
      <c r="AA132" s="5">
        <v>15.161538461538463</v>
      </c>
      <c r="AB132" s="5">
        <v>0.91336234279215234</v>
      </c>
      <c r="AC132" s="6">
        <v>15.26276552103657</v>
      </c>
      <c r="AD132" s="6">
        <v>13.6</v>
      </c>
      <c r="AE132" s="6">
        <v>16.7</v>
      </c>
      <c r="AF132" s="6">
        <v>20.2</v>
      </c>
      <c r="AG132" s="6">
        <v>600</v>
      </c>
      <c r="AH132" s="5">
        <v>0</v>
      </c>
      <c r="AI132" s="6">
        <v>0</v>
      </c>
      <c r="AJ132" s="5">
        <v>0</v>
      </c>
      <c r="AK132" s="5">
        <v>0</v>
      </c>
      <c r="AL132" s="5">
        <v>0</v>
      </c>
      <c r="AM132" s="5">
        <v>1</v>
      </c>
      <c r="AN132">
        <f>IFERROR(Tabelle2[[#This Row],[Vol_ha_22]]*0.537836177777778*Carbon_Calculations!$R$9,0)</f>
        <v>38.230161566462442</v>
      </c>
      <c r="AO132">
        <f>IF(Tabelle2[[#This Row],[Year]]=2015,1,IF(Tabelle2[[#This Row],[Year]]=2016,2,IF(Tabelle2[[#This Row],[Year]]=2017,3,IF(Tabelle2[[#This Row],[Year]]=2018,4,5))))</f>
        <v>5</v>
      </c>
    </row>
    <row r="133" spans="1:43" x14ac:dyDescent="0.3">
      <c r="A133" s="130" t="s">
        <v>180</v>
      </c>
      <c r="B133" t="s">
        <v>292</v>
      </c>
      <c r="C133" t="s">
        <v>196</v>
      </c>
      <c r="D133" s="6">
        <v>500</v>
      </c>
      <c r="E133" s="5"/>
      <c r="G133" s="4"/>
      <c r="H133">
        <v>2019</v>
      </c>
      <c r="I133" t="s">
        <v>292</v>
      </c>
      <c r="J133">
        <v>20</v>
      </c>
      <c r="K133" t="str">
        <f>IF(AND(Tabelle2[[#This Row],[trees_measured]]=20,Tabelle2[[#This Row],[Densidad_plantac]]=714),"280","Error")</f>
        <v>Error</v>
      </c>
      <c r="L133" s="5" t="e">
        <f>10000/K133</f>
        <v>#VALUE!</v>
      </c>
      <c r="M133" t="s">
        <v>39</v>
      </c>
      <c r="N133" s="5" t="s">
        <v>37</v>
      </c>
      <c r="O133" s="5">
        <v>504106.77179999999</v>
      </c>
      <c r="P133" s="5">
        <v>7371480.5885000005</v>
      </c>
      <c r="Q133" s="5" t="s">
        <v>38</v>
      </c>
      <c r="R133" s="5">
        <v>1</v>
      </c>
      <c r="S133" s="5">
        <v>12.38450389</v>
      </c>
      <c r="T133" s="5">
        <v>12.38450389</v>
      </c>
      <c r="U133" s="5">
        <v>22.637246940000001</v>
      </c>
      <c r="V133">
        <v>22.637246940000001</v>
      </c>
      <c r="W133" s="5">
        <f>+Tabelle2[[#This Row],[Vol_ha_22]]-Tabelle2[[#This Row],[Vol_2020]]</f>
        <v>0</v>
      </c>
      <c r="X133" s="5">
        <v>18.771914256345379</v>
      </c>
      <c r="Y133" s="5">
        <v>16.933699999999998</v>
      </c>
      <c r="Z133" s="5">
        <v>20.100000000000001</v>
      </c>
      <c r="AA133" s="5">
        <v>16.209090909090911</v>
      </c>
      <c r="AB133" s="5">
        <v>1.3685426887419663</v>
      </c>
      <c r="AC133" s="6">
        <v>16.419638615103771</v>
      </c>
      <c r="AD133" s="6">
        <v>14.3</v>
      </c>
      <c r="AE133" s="6">
        <v>18.3</v>
      </c>
      <c r="AF133" s="6">
        <v>20.100000000000001</v>
      </c>
      <c r="AG133" s="6">
        <v>650</v>
      </c>
      <c r="AH133" s="5">
        <v>0</v>
      </c>
      <c r="AI133" s="6">
        <v>0</v>
      </c>
      <c r="AJ133" s="5">
        <v>0</v>
      </c>
      <c r="AK133" s="5">
        <v>0</v>
      </c>
      <c r="AL133" s="5">
        <v>0</v>
      </c>
      <c r="AM133" s="5">
        <v>1</v>
      </c>
      <c r="AN133">
        <f>IFERROR(Tabelle2[[#This Row],[Vol_ha_22]]*0.537836177777778*Carbon_Calculations!$R$9,0)</f>
        <v>14.001399925064495</v>
      </c>
      <c r="AO133">
        <f>IF(Tabelle2[[#This Row],[Year]]=2015,1,IF(Tabelle2[[#This Row],[Year]]=2016,2,IF(Tabelle2[[#This Row],[Year]]=2017,3,IF(Tabelle2[[#This Row],[Year]]=2018,4,5))))</f>
        <v>5</v>
      </c>
    </row>
    <row r="134" spans="1:43" x14ac:dyDescent="0.3">
      <c r="A134" s="130" t="s">
        <v>180</v>
      </c>
      <c r="B134" s="130" t="s">
        <v>290</v>
      </c>
      <c r="C134" t="s">
        <v>196</v>
      </c>
      <c r="D134" s="6">
        <v>500</v>
      </c>
      <c r="E134" s="5"/>
      <c r="G134" s="4"/>
      <c r="H134" s="131">
        <v>2019</v>
      </c>
      <c r="I134" s="130" t="s">
        <v>290</v>
      </c>
      <c r="J134">
        <v>20</v>
      </c>
      <c r="K134" s="132"/>
      <c r="L134" s="80"/>
      <c r="O134" s="5"/>
      <c r="P134" s="5"/>
      <c r="Q134" s="80"/>
      <c r="R134" s="80"/>
      <c r="S134" s="94"/>
      <c r="T134" s="133"/>
      <c r="U134" s="5">
        <v>25.79184674</v>
      </c>
      <c r="V134">
        <v>25.79184674</v>
      </c>
      <c r="W134" s="80">
        <f>+Tabelle2[[#This Row],[Vol_ha_22]]-Tabelle2[[#This Row],[Vol_2020]]</f>
        <v>0</v>
      </c>
      <c r="X134" s="80"/>
      <c r="Y134" s="80"/>
      <c r="Z134" s="80"/>
      <c r="AA134" s="5"/>
      <c r="AB134" s="80"/>
      <c r="AC134" s="80"/>
      <c r="AD134" s="80"/>
      <c r="AE134" s="80"/>
      <c r="AF134" s="134"/>
      <c r="AG134" s="6"/>
      <c r="AH134" s="5"/>
      <c r="AI134" s="134"/>
      <c r="AJ134" s="5"/>
      <c r="AK134" s="5"/>
      <c r="AL134" s="80"/>
      <c r="AM134" s="80"/>
      <c r="AN134">
        <f>IFERROR(Tabelle2[[#This Row],[Vol_ha_22]]*0.537836177777778*Carbon_Calculations!$R$9,0)</f>
        <v>15.952556508742619</v>
      </c>
    </row>
    <row r="135" spans="1:43" x14ac:dyDescent="0.3">
      <c r="A135" s="130" t="s">
        <v>180</v>
      </c>
      <c r="B135" s="130" t="s">
        <v>289</v>
      </c>
      <c r="C135" t="s">
        <v>196</v>
      </c>
      <c r="D135" s="6">
        <v>500</v>
      </c>
      <c r="E135" s="5"/>
      <c r="G135" s="4"/>
      <c r="H135" s="131">
        <v>2019</v>
      </c>
      <c r="I135" s="130" t="s">
        <v>289</v>
      </c>
      <c r="J135">
        <v>20</v>
      </c>
      <c r="K135" s="80"/>
      <c r="L135" s="80"/>
      <c r="O135" s="5"/>
      <c r="P135" s="5"/>
      <c r="Q135" s="80"/>
      <c r="R135" s="80"/>
      <c r="S135" s="94"/>
      <c r="T135" s="133"/>
      <c r="U135" s="5">
        <v>20.75625857</v>
      </c>
      <c r="V135">
        <v>20.75625857</v>
      </c>
      <c r="W135" s="80">
        <f>+Tabelle2[[#This Row],[Vol_ha_22]]-Tabelle2[[#This Row],[Vol_2020]]</f>
        <v>0</v>
      </c>
      <c r="X135" s="80"/>
      <c r="Y135" s="80"/>
      <c r="Z135" s="80"/>
      <c r="AA135" s="5"/>
      <c r="AB135" s="80"/>
      <c r="AC135" s="80"/>
      <c r="AD135" s="80"/>
      <c r="AE135" s="80"/>
      <c r="AF135" s="134"/>
      <c r="AG135" s="6"/>
      <c r="AH135" s="5"/>
      <c r="AI135" s="134"/>
      <c r="AJ135" s="5"/>
      <c r="AK135" s="5"/>
      <c r="AL135" s="80"/>
      <c r="AM135" s="80"/>
      <c r="AN135">
        <f>IFERROR(Tabelle2[[#This Row],[Vol_ha_22]]*0.537836177777778*Carbon_Calculations!$R$9,0)</f>
        <v>12.837986790394455</v>
      </c>
    </row>
    <row r="136" spans="1:43" x14ac:dyDescent="0.3">
      <c r="A136" s="130" t="s">
        <v>180</v>
      </c>
      <c r="B136" s="130" t="s">
        <v>314</v>
      </c>
      <c r="C136" t="s">
        <v>210</v>
      </c>
      <c r="D136" s="6">
        <v>714</v>
      </c>
      <c r="E136" s="5"/>
      <c r="G136" s="4"/>
      <c r="H136" s="131">
        <v>2018</v>
      </c>
      <c r="I136" s="130" t="s">
        <v>314</v>
      </c>
      <c r="J136">
        <v>20</v>
      </c>
      <c r="K136" s="80"/>
      <c r="L136" s="80"/>
      <c r="O136" s="5"/>
      <c r="P136" s="5"/>
      <c r="Q136" s="80"/>
      <c r="R136" s="80"/>
      <c r="S136" s="94"/>
      <c r="T136" s="133"/>
      <c r="U136" s="5">
        <v>42.956691120000002</v>
      </c>
      <c r="V136">
        <v>42.956691120000002</v>
      </c>
      <c r="W136" s="80">
        <f>+Tabelle2[[#This Row],[Vol_ha_22]]-Tabelle2[[#This Row],[Vol_2020]]</f>
        <v>0</v>
      </c>
      <c r="X136" s="80"/>
      <c r="Y136" s="80"/>
      <c r="Z136" s="80"/>
      <c r="AA136" s="5"/>
      <c r="AB136" s="80"/>
      <c r="AC136" s="80"/>
      <c r="AD136" s="80"/>
      <c r="AE136" s="80"/>
      <c r="AF136" s="134"/>
      <c r="AG136" s="6"/>
      <c r="AH136" s="5"/>
      <c r="AI136" s="134"/>
      <c r="AJ136" s="5"/>
      <c r="AK136" s="5"/>
      <c r="AL136" s="80"/>
      <c r="AM136" s="80"/>
      <c r="AN136">
        <f>IFERROR(Tabelle2[[#This Row],[Vol_ha_22]]*0.537836177777778*Carbon_Calculations!$R$9,0)</f>
        <v>26.569211946255631</v>
      </c>
    </row>
    <row r="137" spans="1:43" x14ac:dyDescent="0.3">
      <c r="A137" s="130" t="s">
        <v>180</v>
      </c>
      <c r="B137" s="130" t="s">
        <v>315</v>
      </c>
      <c r="C137" t="s">
        <v>210</v>
      </c>
      <c r="D137" s="6">
        <v>714</v>
      </c>
      <c r="E137" s="5"/>
      <c r="G137" s="4"/>
      <c r="H137" s="131">
        <v>2018</v>
      </c>
      <c r="I137" s="130" t="s">
        <v>315</v>
      </c>
      <c r="J137">
        <v>20</v>
      </c>
      <c r="K137" s="80"/>
      <c r="L137" s="80"/>
      <c r="O137" s="5"/>
      <c r="P137" s="5"/>
      <c r="Q137" s="80"/>
      <c r="R137" s="80"/>
      <c r="S137" s="94"/>
      <c r="T137" s="133"/>
      <c r="U137" s="5">
        <v>89.012367780000005</v>
      </c>
      <c r="V137">
        <v>89.012367780000005</v>
      </c>
      <c r="W137" s="80">
        <f>+Tabelle2[[#This Row],[Vol_ha_22]]-Tabelle2[[#This Row],[Vol_2020]]</f>
        <v>0</v>
      </c>
      <c r="X137" s="80"/>
      <c r="Y137" s="80"/>
      <c r="Z137" s="80"/>
      <c r="AA137" s="5"/>
      <c r="AB137" s="80"/>
      <c r="AC137" s="80"/>
      <c r="AD137" s="80"/>
      <c r="AE137" s="80"/>
      <c r="AF137" s="134"/>
      <c r="AG137" s="6"/>
      <c r="AH137" s="5"/>
      <c r="AI137" s="134"/>
      <c r="AJ137" s="5"/>
      <c r="AK137" s="5"/>
      <c r="AL137" s="80"/>
      <c r="AM137" s="80"/>
      <c r="AN137">
        <f>IFERROR(Tabelle2[[#This Row],[Vol_ha_22]]*0.537836177777778*Carbon_Calculations!$R$9,0)</f>
        <v>55.055182411006797</v>
      </c>
    </row>
    <row r="138" spans="1:43" x14ac:dyDescent="0.3">
      <c r="A138" s="130" t="s">
        <v>180</v>
      </c>
      <c r="B138" s="130" t="s">
        <v>313</v>
      </c>
      <c r="C138" t="s">
        <v>210</v>
      </c>
      <c r="D138" s="6">
        <v>714</v>
      </c>
      <c r="E138" s="5"/>
      <c r="G138" s="4"/>
      <c r="H138" s="131">
        <v>2018</v>
      </c>
      <c r="I138" s="130" t="s">
        <v>313</v>
      </c>
      <c r="J138">
        <v>20</v>
      </c>
      <c r="K138" s="80"/>
      <c r="L138" s="80"/>
      <c r="O138" s="5"/>
      <c r="P138" s="5"/>
      <c r="Q138" s="80"/>
      <c r="R138" s="80"/>
      <c r="S138" s="94"/>
      <c r="T138" s="133"/>
      <c r="U138" s="5">
        <v>73.239666139999997</v>
      </c>
      <c r="V138">
        <v>73.239666139999997</v>
      </c>
      <c r="W138" s="80">
        <f>+Tabelle2[[#This Row],[Vol_ha_22]]-Tabelle2[[#This Row],[Vol_2020]]</f>
        <v>0</v>
      </c>
      <c r="X138" s="80"/>
      <c r="Y138" s="80"/>
      <c r="Z138" s="80"/>
      <c r="AA138" s="5"/>
      <c r="AB138" s="80"/>
      <c r="AC138" s="80"/>
      <c r="AD138" s="80"/>
      <c r="AE138" s="80"/>
      <c r="AF138" s="134"/>
      <c r="AG138" s="6"/>
      <c r="AH138" s="5"/>
      <c r="AI138" s="134"/>
      <c r="AJ138" s="5"/>
      <c r="AK138" s="5"/>
      <c r="AL138" s="80"/>
      <c r="AM138" s="80"/>
      <c r="AN138">
        <f>IFERROR(Tabelle2[[#This Row],[Vol_ha_22]]*0.537836177777778*Carbon_Calculations!$R$9,0)</f>
        <v>45.299583413226863</v>
      </c>
    </row>
    <row r="139" spans="1:43" x14ac:dyDescent="0.3">
      <c r="A139" s="130" t="s">
        <v>180</v>
      </c>
      <c r="B139" t="s">
        <v>317</v>
      </c>
      <c r="C139" t="s">
        <v>213</v>
      </c>
      <c r="D139" s="6">
        <v>714</v>
      </c>
      <c r="E139" s="5"/>
      <c r="G139" s="4"/>
      <c r="H139">
        <v>2019</v>
      </c>
      <c r="I139" t="s">
        <v>317</v>
      </c>
      <c r="J139">
        <v>20</v>
      </c>
      <c r="K139" t="str">
        <f>IF(AND(Tabelle2[[#This Row],[trees_measured]]=20,Tabelle2[[#This Row],[Densidad_plantac]]=714),"280","Error")</f>
        <v>280</v>
      </c>
      <c r="L139" s="5">
        <f>10000/K139</f>
        <v>35.714285714285715</v>
      </c>
      <c r="M139" t="s">
        <v>40</v>
      </c>
      <c r="N139" s="5" t="s">
        <v>37</v>
      </c>
      <c r="O139" s="5">
        <v>503853.64789999998</v>
      </c>
      <c r="P139" s="5">
        <v>7370822.6660000002</v>
      </c>
      <c r="Q139" s="5" t="s">
        <v>38</v>
      </c>
      <c r="R139" s="5">
        <v>1</v>
      </c>
      <c r="S139" s="5">
        <v>14.860041989999999</v>
      </c>
      <c r="T139" s="5">
        <v>14.860041989999999</v>
      </c>
      <c r="U139" s="5">
        <v>57.616854140000001</v>
      </c>
      <c r="V139">
        <v>57.616854140000001</v>
      </c>
      <c r="W139" s="5">
        <f>+Tabelle2[[#This Row],[Vol_ha_22]]-Tabelle2[[#This Row],[Vol_2020]]</f>
        <v>0</v>
      </c>
      <c r="X139" s="5">
        <v>15.959686054240745</v>
      </c>
      <c r="Y139" s="5">
        <v>9.5</v>
      </c>
      <c r="Z139" s="5">
        <v>17.100000000000001</v>
      </c>
      <c r="AA139" s="5">
        <v>12.654545454545456</v>
      </c>
      <c r="AB139" s="5">
        <v>2.8267874473909842</v>
      </c>
      <c r="AC139" s="6">
        <v>13.755855806931605</v>
      </c>
      <c r="AD139" s="6">
        <v>8</v>
      </c>
      <c r="AE139" s="6">
        <v>17.7</v>
      </c>
      <c r="AF139" s="6">
        <v>20.3</v>
      </c>
      <c r="AG139" s="6">
        <v>550</v>
      </c>
      <c r="AH139" s="5">
        <v>0.72727272727272729</v>
      </c>
      <c r="AI139" s="6">
        <v>72.727272727272734</v>
      </c>
      <c r="AJ139" s="5">
        <v>0</v>
      </c>
      <c r="AK139" s="5">
        <v>0</v>
      </c>
      <c r="AL139" s="5">
        <v>0</v>
      </c>
      <c r="AM139" s="5">
        <v>1</v>
      </c>
      <c r="AN139">
        <f>IFERROR(Tabelle2[[#This Row],[Vol_ha_22]]*0.537836177777778*Carbon_Calculations!$R$9,0)</f>
        <v>35.636692897172942</v>
      </c>
      <c r="AO139">
        <f>IF(Tabelle2[[#This Row],[Year]]=2015,1,IF(Tabelle2[[#This Row],[Year]]=2016,2,IF(Tabelle2[[#This Row],[Year]]=2017,3,IF(Tabelle2[[#This Row],[Year]]=2018,4,5))))</f>
        <v>5</v>
      </c>
    </row>
    <row r="140" spans="1:43" x14ac:dyDescent="0.3">
      <c r="A140" s="130" t="s">
        <v>180</v>
      </c>
      <c r="B140" s="130" t="s">
        <v>318</v>
      </c>
      <c r="C140" t="s">
        <v>213</v>
      </c>
      <c r="D140" s="6">
        <v>714</v>
      </c>
      <c r="E140" s="5"/>
      <c r="G140" s="4"/>
      <c r="H140" s="131">
        <v>2019</v>
      </c>
      <c r="I140" s="130" t="s">
        <v>318</v>
      </c>
      <c r="J140">
        <v>20</v>
      </c>
      <c r="K140" s="80"/>
      <c r="L140" s="80"/>
      <c r="O140" s="5"/>
      <c r="P140" s="5"/>
      <c r="Q140" s="80"/>
      <c r="R140" s="80"/>
      <c r="S140" s="94"/>
      <c r="T140" s="133"/>
      <c r="U140" s="5">
        <v>46.871215560000003</v>
      </c>
      <c r="V140">
        <v>46.871215560000003</v>
      </c>
      <c r="W140" s="80">
        <f>+Tabelle2[[#This Row],[Vol_ha_22]]-Tabelle2[[#This Row],[Vol_2020]]</f>
        <v>0</v>
      </c>
      <c r="X140" s="80"/>
      <c r="Y140" s="80"/>
      <c r="Z140" s="80"/>
      <c r="AA140" s="5"/>
      <c r="AB140" s="80"/>
      <c r="AC140" s="80"/>
      <c r="AD140" s="80"/>
      <c r="AE140" s="80"/>
      <c r="AF140" s="134"/>
      <c r="AG140" s="6"/>
      <c r="AH140" s="5"/>
      <c r="AI140" s="134"/>
      <c r="AJ140" s="5"/>
      <c r="AK140" s="5"/>
      <c r="AL140" s="80"/>
      <c r="AM140" s="80"/>
      <c r="AN140">
        <f>IFERROR(Tabelle2[[#This Row],[Vol_ha_22]]*0.537836177777778*Carbon_Calculations!$R$9,0)</f>
        <v>28.990390738277021</v>
      </c>
    </row>
    <row r="141" spans="1:43" x14ac:dyDescent="0.3">
      <c r="A141" s="130" t="s">
        <v>180</v>
      </c>
      <c r="B141" s="130" t="s">
        <v>316</v>
      </c>
      <c r="C141" t="s">
        <v>212</v>
      </c>
      <c r="D141" s="6">
        <v>714</v>
      </c>
      <c r="E141" s="5"/>
      <c r="G141" s="4"/>
      <c r="H141" s="131">
        <v>2019</v>
      </c>
      <c r="I141" s="130" t="s">
        <v>316</v>
      </c>
      <c r="J141">
        <v>20</v>
      </c>
      <c r="K141" s="80"/>
      <c r="L141" s="80"/>
      <c r="O141" s="5"/>
      <c r="P141" s="5"/>
      <c r="Q141" s="80"/>
      <c r="R141" s="80"/>
      <c r="S141" s="94"/>
      <c r="T141" s="133"/>
      <c r="U141" s="5">
        <v>49.303099240000002</v>
      </c>
      <c r="V141">
        <v>49.303099240000002</v>
      </c>
      <c r="W141" s="80">
        <f>+Tabelle2[[#This Row],[Vol_ha_22]]-Tabelle2[[#This Row],[Vol_2020]]</f>
        <v>0</v>
      </c>
      <c r="X141" s="80"/>
      <c r="Y141" s="80"/>
      <c r="Z141" s="80"/>
      <c r="AA141" s="5"/>
      <c r="AB141" s="80"/>
      <c r="AC141" s="80"/>
      <c r="AD141" s="80"/>
      <c r="AE141" s="80"/>
      <c r="AF141" s="134"/>
      <c r="AG141" s="6"/>
      <c r="AH141" s="5"/>
      <c r="AI141" s="134"/>
      <c r="AJ141" s="5"/>
      <c r="AK141" s="5"/>
      <c r="AL141" s="80"/>
      <c r="AM141" s="80"/>
      <c r="AN141">
        <f>IFERROR(Tabelle2[[#This Row],[Vol_ha_22]]*0.537836177777778*Carbon_Calculations!$R$9,0)</f>
        <v>30.49453901501608</v>
      </c>
    </row>
    <row r="142" spans="1:43" x14ac:dyDescent="0.3">
      <c r="A142" s="130" t="s">
        <v>180</v>
      </c>
      <c r="B142" t="s">
        <v>353</v>
      </c>
      <c r="C142" t="s">
        <v>236</v>
      </c>
      <c r="D142" s="6">
        <v>714</v>
      </c>
      <c r="E142" s="5"/>
      <c r="G142" s="4"/>
      <c r="H142">
        <v>2019</v>
      </c>
      <c r="I142" t="s">
        <v>353</v>
      </c>
      <c r="J142">
        <v>20</v>
      </c>
      <c r="K142" t="str">
        <f>IF(AND(Tabelle2[[#This Row],[trees_measured]]=20,Tabelle2[[#This Row],[Densidad_plantac]]=714),"280","Error")</f>
        <v>280</v>
      </c>
      <c r="L142" s="5">
        <f>10000/K142</f>
        <v>35.714285714285715</v>
      </c>
      <c r="M142" t="s">
        <v>40</v>
      </c>
      <c r="N142" s="5" t="s">
        <v>37</v>
      </c>
      <c r="O142" s="5">
        <v>504361.15364999999</v>
      </c>
      <c r="P142" s="5">
        <v>7371316.3300000001</v>
      </c>
      <c r="Q142" s="5" t="s">
        <v>38</v>
      </c>
      <c r="R142" s="5">
        <v>1</v>
      </c>
      <c r="S142" s="5">
        <v>12.751867130000001</v>
      </c>
      <c r="T142" s="5">
        <v>12.751867130000001</v>
      </c>
      <c r="U142" s="5">
        <v>26.318804180000001</v>
      </c>
      <c r="V142">
        <v>26.318804180000001</v>
      </c>
      <c r="W142" s="5">
        <f>+Tabelle2[[#This Row],[Vol_ha_22]]-Tabelle2[[#This Row],[Vol_2020]]</f>
        <v>0</v>
      </c>
      <c r="X142" s="5">
        <v>16.808597757080619</v>
      </c>
      <c r="Y142" s="5">
        <v>11.7</v>
      </c>
      <c r="Z142" s="5">
        <v>17.7</v>
      </c>
      <c r="AA142" s="5">
        <v>15.245454545454544</v>
      </c>
      <c r="AB142" s="5">
        <v>1.9876436483251514</v>
      </c>
      <c r="AC142" s="6">
        <v>15.700848172500256</v>
      </c>
      <c r="AD142" s="6">
        <v>12.4</v>
      </c>
      <c r="AE142" s="6">
        <v>17.7</v>
      </c>
      <c r="AF142" s="6">
        <v>20.6</v>
      </c>
      <c r="AG142" s="6">
        <v>650</v>
      </c>
      <c r="AH142" s="5">
        <v>1</v>
      </c>
      <c r="AI142" s="6">
        <v>100</v>
      </c>
      <c r="AJ142" s="5">
        <v>0</v>
      </c>
      <c r="AK142" s="5">
        <v>0</v>
      </c>
      <c r="AL142" s="5">
        <v>0</v>
      </c>
      <c r="AM142" s="5">
        <v>1</v>
      </c>
      <c r="AN142">
        <f>IFERROR(Tabelle2[[#This Row],[Vol_ha_22]]*0.537836177777778*Carbon_Calculations!$R$9,0)</f>
        <v>16.27848580043096</v>
      </c>
      <c r="AO142">
        <f>IF(Tabelle2[[#This Row],[Year]]=2015,1,IF(Tabelle2[[#This Row],[Year]]=2016,2,IF(Tabelle2[[#This Row],[Year]]=2017,3,IF(Tabelle2[[#This Row],[Year]]=2018,4,5))))</f>
        <v>5</v>
      </c>
    </row>
    <row r="143" spans="1:43" x14ac:dyDescent="0.3">
      <c r="A143" s="130" t="s">
        <v>180</v>
      </c>
      <c r="B143" t="s">
        <v>355</v>
      </c>
      <c r="C143" t="s">
        <v>236</v>
      </c>
      <c r="D143" s="6">
        <v>714</v>
      </c>
      <c r="E143" s="5"/>
      <c r="G143" s="4"/>
      <c r="H143">
        <v>2019</v>
      </c>
      <c r="I143" t="s">
        <v>355</v>
      </c>
      <c r="J143">
        <v>20</v>
      </c>
      <c r="K143" t="str">
        <f>IF(AND(Tabelle2[[#This Row],[trees_measured]]=20,Tabelle2[[#This Row],[Densidad_plantac]]=714),"280","Error")</f>
        <v>280</v>
      </c>
      <c r="L143" s="5">
        <f>10000/K143</f>
        <v>35.714285714285715</v>
      </c>
      <c r="M143" t="s">
        <v>40</v>
      </c>
      <c r="N143" s="5" t="s">
        <v>37</v>
      </c>
      <c r="O143" s="5">
        <v>503785.93460000004</v>
      </c>
      <c r="P143" s="5">
        <v>7370945.3234999999</v>
      </c>
      <c r="Q143" s="5" t="s">
        <v>38</v>
      </c>
      <c r="R143" s="5">
        <v>1</v>
      </c>
      <c r="S143" s="5">
        <v>15.29809083</v>
      </c>
      <c r="T143" s="5">
        <v>14.108239940000001</v>
      </c>
      <c r="U143" s="5">
        <v>30.70277334</v>
      </c>
      <c r="V143">
        <v>30.70277334</v>
      </c>
      <c r="W143" s="5">
        <f>+Tabelle2[[#This Row],[Vol_ha_22]]-Tabelle2[[#This Row],[Vol_2020]]</f>
        <v>0</v>
      </c>
      <c r="X143" s="5">
        <v>19.124562237735567</v>
      </c>
      <c r="Y143" s="5">
        <v>10.9</v>
      </c>
      <c r="Z143" s="5">
        <v>21.5</v>
      </c>
      <c r="AA143" s="5">
        <v>15.391666666666667</v>
      </c>
      <c r="AB143" s="5">
        <v>1.9570192238259279</v>
      </c>
      <c r="AC143" s="6">
        <v>15.836273167485276</v>
      </c>
      <c r="AD143" s="6">
        <v>11.9</v>
      </c>
      <c r="AE143" s="6">
        <v>18.600000000000001</v>
      </c>
      <c r="AF143" s="6">
        <v>20.100000000000001</v>
      </c>
      <c r="AG143" s="6">
        <v>600</v>
      </c>
      <c r="AH143" s="5">
        <v>1</v>
      </c>
      <c r="AI143" s="6">
        <v>100</v>
      </c>
      <c r="AJ143" s="5">
        <v>0</v>
      </c>
      <c r="AK143" s="5">
        <v>0</v>
      </c>
      <c r="AL143" s="5">
        <v>0</v>
      </c>
      <c r="AM143" s="5">
        <v>1</v>
      </c>
      <c r="AN143">
        <f>IFERROR(Tabelle2[[#This Row],[Vol_ha_22]]*0.537836177777778*Carbon_Calculations!$R$9,0)</f>
        <v>18.990021599417521</v>
      </c>
      <c r="AO143">
        <f>IF(Tabelle2[[#This Row],[Year]]=2015,1,IF(Tabelle2[[#This Row],[Year]]=2016,2,IF(Tabelle2[[#This Row],[Year]]=2017,3,IF(Tabelle2[[#This Row],[Year]]=2018,4,5))))</f>
        <v>5</v>
      </c>
    </row>
    <row r="144" spans="1:43" x14ac:dyDescent="0.3">
      <c r="A144" s="130" t="s">
        <v>180</v>
      </c>
      <c r="B144" t="s">
        <v>354</v>
      </c>
      <c r="C144" t="s">
        <v>236</v>
      </c>
      <c r="D144" s="6">
        <v>714</v>
      </c>
      <c r="E144" s="5"/>
      <c r="G144" s="4"/>
      <c r="H144">
        <v>2019</v>
      </c>
      <c r="I144" t="s">
        <v>354</v>
      </c>
      <c r="J144">
        <v>20</v>
      </c>
      <c r="K144" t="str">
        <f>IF(AND(Tabelle2[[#This Row],[trees_measured]]=20,Tabelle2[[#This Row],[Densidad_plantac]]=714),"280","Error")</f>
        <v>280</v>
      </c>
      <c r="L144" s="5">
        <f>10000/K144</f>
        <v>35.714285714285715</v>
      </c>
      <c r="M144" t="s">
        <v>39</v>
      </c>
      <c r="N144" s="5" t="s">
        <v>37</v>
      </c>
      <c r="O144" s="5">
        <v>503664.74459999998</v>
      </c>
      <c r="P144" s="5">
        <v>7371013.3420000002</v>
      </c>
      <c r="Q144" s="5" t="s">
        <v>38</v>
      </c>
      <c r="R144" s="5">
        <v>1</v>
      </c>
      <c r="S144" s="5">
        <v>16.125961910000001</v>
      </c>
      <c r="T144" s="5">
        <v>16.125961910000001</v>
      </c>
      <c r="U144" s="5">
        <v>16.829162239999999</v>
      </c>
      <c r="V144">
        <v>16.829162239999999</v>
      </c>
      <c r="W144" s="5">
        <f>+Tabelle2[[#This Row],[Vol_ha_22]]-Tabelle2[[#This Row],[Vol_2020]]</f>
        <v>0</v>
      </c>
      <c r="X144" s="5">
        <v>19.699985957562582</v>
      </c>
      <c r="Y144" s="5">
        <v>17.721299999999999</v>
      </c>
      <c r="Z144" s="5">
        <v>20.6</v>
      </c>
      <c r="AA144" s="5">
        <v>17.708333333333332</v>
      </c>
      <c r="AB144" s="5">
        <v>1.4393548639034168</v>
      </c>
      <c r="AC144" s="6">
        <v>17.917457294475952</v>
      </c>
      <c r="AD144" s="6">
        <v>15.2</v>
      </c>
      <c r="AE144" s="6">
        <v>19.7</v>
      </c>
      <c r="AF144" s="6">
        <v>19.8</v>
      </c>
      <c r="AG144" s="6">
        <v>550</v>
      </c>
      <c r="AH144" s="5">
        <v>0</v>
      </c>
      <c r="AI144" s="6">
        <v>0</v>
      </c>
      <c r="AJ144" s="5">
        <v>0</v>
      </c>
      <c r="AK144" s="5">
        <v>0</v>
      </c>
      <c r="AL144" s="5">
        <v>0</v>
      </c>
      <c r="AM144" s="5">
        <v>1</v>
      </c>
      <c r="AN144">
        <f>IFERROR(Tabelle2[[#This Row],[Vol_ha_22]]*0.537836177777778*Carbon_Calculations!$R$9,0)</f>
        <v>10.409032138518265</v>
      </c>
      <c r="AO144">
        <f>IF(Tabelle2[[#This Row],[Year]]=2015,1,IF(Tabelle2[[#This Row],[Year]]=2016,2,IF(Tabelle2[[#This Row],[Year]]=2017,3,IF(Tabelle2[[#This Row],[Year]]=2018,4,5))))</f>
        <v>5</v>
      </c>
    </row>
    <row r="145" spans="1:40" x14ac:dyDescent="0.3">
      <c r="A145" s="130" t="s">
        <v>180</v>
      </c>
      <c r="B145" s="130" t="s">
        <v>360</v>
      </c>
      <c r="C145" t="s">
        <v>234</v>
      </c>
      <c r="D145" s="6">
        <v>714</v>
      </c>
      <c r="E145" s="5"/>
      <c r="G145" s="4"/>
      <c r="H145" s="131">
        <v>2019</v>
      </c>
      <c r="I145" s="130" t="s">
        <v>360</v>
      </c>
      <c r="J145">
        <v>20</v>
      </c>
      <c r="K145" s="80"/>
      <c r="L145" s="80"/>
      <c r="O145" s="5"/>
      <c r="P145" s="5"/>
      <c r="Q145" s="80"/>
      <c r="R145" s="80"/>
      <c r="S145" s="94"/>
      <c r="T145" s="133"/>
      <c r="U145" s="5">
        <v>13.054282110000001</v>
      </c>
      <c r="V145">
        <v>13.054282110000001</v>
      </c>
      <c r="W145" s="80">
        <f>+Tabelle2[[#This Row],[Vol_ha_22]]-Tabelle2[[#This Row],[Vol_2020]]</f>
        <v>0</v>
      </c>
      <c r="X145" s="80"/>
      <c r="Y145" s="80"/>
      <c r="Z145" s="80"/>
      <c r="AA145" s="5"/>
      <c r="AB145" s="80"/>
      <c r="AC145" s="80"/>
      <c r="AD145" s="80"/>
      <c r="AE145" s="80"/>
      <c r="AF145" s="134"/>
      <c r="AG145" s="6"/>
      <c r="AH145" s="5"/>
      <c r="AI145" s="134"/>
      <c r="AJ145" s="5"/>
      <c r="AK145" s="5"/>
      <c r="AL145" s="80"/>
      <c r="AM145" s="80"/>
      <c r="AN145">
        <f>IFERROR(Tabelle2[[#This Row],[Vol_ha_22]]*0.537836177777778*Carbon_Calculations!$R$9,0)</f>
        <v>8.0742249727265119</v>
      </c>
    </row>
    <row r="146" spans="1:40" x14ac:dyDescent="0.3">
      <c r="A146" s="130" t="s">
        <v>180</v>
      </c>
      <c r="B146" s="130" t="s">
        <v>359</v>
      </c>
      <c r="C146" t="s">
        <v>234</v>
      </c>
      <c r="D146" s="6">
        <v>714</v>
      </c>
      <c r="E146" s="5"/>
      <c r="G146" s="4"/>
      <c r="H146" s="131">
        <v>2019</v>
      </c>
      <c r="I146" s="130" t="s">
        <v>359</v>
      </c>
      <c r="J146">
        <v>20</v>
      </c>
      <c r="K146" s="80"/>
      <c r="L146" s="80"/>
      <c r="O146" s="5"/>
      <c r="P146" s="5"/>
      <c r="Q146" s="80"/>
      <c r="R146" s="80"/>
      <c r="S146" s="94"/>
      <c r="T146" s="133"/>
      <c r="U146" s="5">
        <v>22.049748109999999</v>
      </c>
      <c r="V146">
        <v>22.049748109999999</v>
      </c>
      <c r="W146" s="80">
        <f>+Tabelle2[[#This Row],[Vol_ha_22]]-Tabelle2[[#This Row],[Vol_2020]]</f>
        <v>0</v>
      </c>
      <c r="X146" s="80"/>
      <c r="Y146" s="80"/>
      <c r="Z146" s="80"/>
      <c r="AA146" s="5"/>
      <c r="AB146" s="80"/>
      <c r="AC146" s="80"/>
      <c r="AD146" s="80"/>
      <c r="AE146" s="80"/>
      <c r="AF146" s="134"/>
      <c r="AG146" s="6"/>
      <c r="AH146" s="5"/>
      <c r="AI146" s="134"/>
      <c r="AJ146" s="5"/>
      <c r="AK146" s="5"/>
      <c r="AL146" s="80"/>
      <c r="AM146" s="80"/>
      <c r="AN146">
        <f>IFERROR(Tabelle2[[#This Row],[Vol_ha_22]]*0.537836177777778*Carbon_Calculations!$R$9,0)</f>
        <v>13.638025081111962</v>
      </c>
    </row>
    <row r="147" spans="1:40" x14ac:dyDescent="0.3">
      <c r="A147" s="130" t="s">
        <v>180</v>
      </c>
      <c r="B147" s="130" t="s">
        <v>357</v>
      </c>
      <c r="C147" t="s">
        <v>234</v>
      </c>
      <c r="D147" s="6">
        <v>714</v>
      </c>
      <c r="E147" s="5"/>
      <c r="G147" s="4"/>
      <c r="H147" s="131">
        <v>2019</v>
      </c>
      <c r="I147" s="130" t="s">
        <v>357</v>
      </c>
      <c r="J147">
        <v>20</v>
      </c>
      <c r="K147" s="80"/>
      <c r="L147" s="80"/>
      <c r="O147" s="5"/>
      <c r="P147" s="5"/>
      <c r="Q147" s="80"/>
      <c r="R147" s="80"/>
      <c r="S147" s="94"/>
      <c r="T147" s="133"/>
      <c r="U147" s="5">
        <v>19.52535649</v>
      </c>
      <c r="V147">
        <v>19.52535649</v>
      </c>
      <c r="W147" s="80">
        <f>+Tabelle2[[#This Row],[Vol_ha_22]]-Tabelle2[[#This Row],[Vol_2020]]</f>
        <v>0</v>
      </c>
      <c r="X147" s="80"/>
      <c r="Y147" s="80"/>
      <c r="Z147" s="80"/>
      <c r="AA147" s="5"/>
      <c r="AB147" s="80"/>
      <c r="AC147" s="80"/>
      <c r="AD147" s="80"/>
      <c r="AE147" s="80"/>
      <c r="AF147" s="134"/>
      <c r="AG147" s="6"/>
      <c r="AH147" s="5"/>
      <c r="AI147" s="134"/>
      <c r="AJ147" s="5"/>
      <c r="AK147" s="5"/>
      <c r="AL147" s="80"/>
      <c r="AM147" s="80"/>
      <c r="AN147">
        <f>IFERROR(Tabelle2[[#This Row],[Vol_ha_22]]*0.537836177777778*Carbon_Calculations!$R$9,0)</f>
        <v>12.07665956997965</v>
      </c>
    </row>
    <row r="148" spans="1:40" x14ac:dyDescent="0.3">
      <c r="A148" s="130" t="s">
        <v>180</v>
      </c>
      <c r="B148" s="130" t="s">
        <v>361</v>
      </c>
      <c r="C148" t="s">
        <v>234</v>
      </c>
      <c r="D148" s="6">
        <v>714</v>
      </c>
      <c r="E148" s="5"/>
      <c r="G148" s="4"/>
      <c r="H148" s="131">
        <v>2019</v>
      </c>
      <c r="I148" s="130" t="s">
        <v>361</v>
      </c>
      <c r="J148">
        <v>20</v>
      </c>
      <c r="K148" s="80"/>
      <c r="L148" s="80"/>
      <c r="O148" s="5"/>
      <c r="P148" s="5"/>
      <c r="Q148" s="80"/>
      <c r="R148" s="80"/>
      <c r="S148" s="94"/>
      <c r="T148" s="133"/>
      <c r="U148" s="5">
        <v>16.883708890000001</v>
      </c>
      <c r="V148">
        <v>16.883708890000001</v>
      </c>
      <c r="W148" s="80">
        <f>+Tabelle2[[#This Row],[Vol_ha_22]]-Tabelle2[[#This Row],[Vol_2020]]</f>
        <v>0</v>
      </c>
      <c r="X148" s="80"/>
      <c r="Y148" s="80"/>
      <c r="Z148" s="80"/>
      <c r="AA148" s="5"/>
      <c r="AB148" s="80"/>
      <c r="AC148" s="80"/>
      <c r="AD148" s="80"/>
      <c r="AE148" s="80"/>
      <c r="AF148" s="134"/>
      <c r="AG148" s="6"/>
      <c r="AH148" s="5"/>
      <c r="AI148" s="134"/>
      <c r="AJ148" s="5"/>
      <c r="AK148" s="5"/>
      <c r="AL148" s="80"/>
      <c r="AM148" s="80"/>
      <c r="AN148">
        <f>IFERROR(Tabelle2[[#This Row],[Vol_ha_22]]*0.537836177777778*Carbon_Calculations!$R$9,0)</f>
        <v>10.442769874526837</v>
      </c>
    </row>
    <row r="149" spans="1:40" x14ac:dyDescent="0.3">
      <c r="A149" s="130" t="s">
        <v>180</v>
      </c>
      <c r="B149" s="130" t="s">
        <v>356</v>
      </c>
      <c r="C149" t="s">
        <v>234</v>
      </c>
      <c r="D149" s="6">
        <v>714</v>
      </c>
      <c r="E149" s="5"/>
      <c r="G149" s="4"/>
      <c r="H149" s="131">
        <v>2019</v>
      </c>
      <c r="I149" s="130" t="s">
        <v>356</v>
      </c>
      <c r="J149">
        <v>20</v>
      </c>
      <c r="K149" s="80"/>
      <c r="L149" s="80"/>
      <c r="O149" s="5"/>
      <c r="P149" s="5"/>
      <c r="Q149" s="80"/>
      <c r="R149" s="80"/>
      <c r="S149" s="94"/>
      <c r="T149" s="133"/>
      <c r="U149" s="5">
        <v>10.470497719999999</v>
      </c>
      <c r="V149">
        <v>10.470497719999999</v>
      </c>
      <c r="W149" s="80">
        <f>+Tabelle2[[#This Row],[Vol_ha_22]]-Tabelle2[[#This Row],[Vol_2020]]</f>
        <v>0</v>
      </c>
      <c r="X149" s="80"/>
      <c r="Y149" s="80"/>
      <c r="Z149" s="80"/>
      <c r="AA149" s="5"/>
      <c r="AB149" s="80"/>
      <c r="AC149" s="80"/>
      <c r="AD149" s="80"/>
      <c r="AE149" s="80"/>
      <c r="AF149" s="134"/>
      <c r="AG149" s="6"/>
      <c r="AH149" s="5"/>
      <c r="AI149" s="134"/>
      <c r="AJ149" s="5"/>
      <c r="AK149" s="5"/>
      <c r="AL149" s="80"/>
      <c r="AM149" s="80"/>
      <c r="AN149">
        <f>IFERROR(Tabelle2[[#This Row],[Vol_ha_22]]*0.537836177777778*Carbon_Calculations!$R$9,0)</f>
        <v>6.476124344129099</v>
      </c>
    </row>
    <row r="150" spans="1:40" x14ac:dyDescent="0.3">
      <c r="A150" s="130" t="s">
        <v>180</v>
      </c>
      <c r="B150" s="130" t="s">
        <v>352</v>
      </c>
      <c r="C150" t="s">
        <v>234</v>
      </c>
      <c r="D150" s="6">
        <v>714</v>
      </c>
      <c r="E150" s="5"/>
      <c r="G150" s="4"/>
      <c r="H150" s="131">
        <v>2019</v>
      </c>
      <c r="I150" s="130" t="s">
        <v>352</v>
      </c>
      <c r="J150">
        <v>20</v>
      </c>
      <c r="K150" s="80"/>
      <c r="L150" s="80"/>
      <c r="O150" s="5"/>
      <c r="P150" s="5"/>
      <c r="Q150" s="80"/>
      <c r="R150" s="80"/>
      <c r="S150" s="94"/>
      <c r="T150" s="133"/>
      <c r="U150" s="5">
        <v>15.25286208</v>
      </c>
      <c r="V150">
        <v>15.25286208</v>
      </c>
      <c r="W150" s="80">
        <f>+Tabelle2[[#This Row],[Vol_ha_22]]-Tabelle2[[#This Row],[Vol_2020]]</f>
        <v>0</v>
      </c>
      <c r="X150" s="80"/>
      <c r="Y150" s="80"/>
      <c r="Z150" s="80"/>
      <c r="AA150" s="5"/>
      <c r="AB150" s="80"/>
      <c r="AC150" s="80"/>
      <c r="AD150" s="80"/>
      <c r="AE150" s="80"/>
      <c r="AF150" s="134"/>
      <c r="AG150" s="6"/>
      <c r="AH150" s="5"/>
      <c r="AI150" s="134"/>
      <c r="AJ150" s="5"/>
      <c r="AK150" s="5"/>
      <c r="AL150" s="80"/>
      <c r="AM150" s="80"/>
      <c r="AN150">
        <f>IFERROR(Tabelle2[[#This Row],[Vol_ha_22]]*0.537836177777778*Carbon_Calculations!$R$9,0)</f>
        <v>9.4340721974706305</v>
      </c>
    </row>
    <row r="151" spans="1:40" x14ac:dyDescent="0.3">
      <c r="A151" s="130" t="s">
        <v>180</v>
      </c>
      <c r="B151" s="130" t="s">
        <v>362</v>
      </c>
      <c r="C151" t="s">
        <v>234</v>
      </c>
      <c r="D151" s="6">
        <v>714</v>
      </c>
      <c r="E151" s="5"/>
      <c r="G151" s="4"/>
      <c r="H151" s="131">
        <v>2019</v>
      </c>
      <c r="I151" s="130" t="s">
        <v>362</v>
      </c>
      <c r="J151">
        <v>20</v>
      </c>
      <c r="K151" s="80"/>
      <c r="L151" s="80"/>
      <c r="O151" s="5"/>
      <c r="P151" s="5"/>
      <c r="Q151" s="80"/>
      <c r="R151" s="80"/>
      <c r="S151" s="94"/>
      <c r="T151" s="133"/>
      <c r="U151" s="5">
        <v>25.07301373</v>
      </c>
      <c r="V151">
        <v>25.07301373</v>
      </c>
      <c r="W151" s="80">
        <f>+Tabelle2[[#This Row],[Vol_ha_22]]-Tabelle2[[#This Row],[Vol_2020]]</f>
        <v>0</v>
      </c>
      <c r="X151" s="80"/>
      <c r="Y151" s="80"/>
      <c r="Z151" s="80"/>
      <c r="AA151" s="5"/>
      <c r="AB151" s="80"/>
      <c r="AC151" s="80"/>
      <c r="AD151" s="80"/>
      <c r="AE151" s="80"/>
      <c r="AF151" s="134"/>
      <c r="AG151" s="6"/>
      <c r="AH151" s="5"/>
      <c r="AI151" s="134"/>
      <c r="AJ151" s="5"/>
      <c r="AK151" s="5"/>
      <c r="AL151" s="80"/>
      <c r="AM151" s="80"/>
      <c r="AN151">
        <f>IFERROR(Tabelle2[[#This Row],[Vol_ha_22]]*0.537836177777778*Carbon_Calculations!$R$9,0)</f>
        <v>15.507949950399892</v>
      </c>
    </row>
    <row r="152" spans="1:40" x14ac:dyDescent="0.3">
      <c r="A152" s="130" t="s">
        <v>180</v>
      </c>
      <c r="B152" s="130" t="s">
        <v>432</v>
      </c>
      <c r="C152" t="s">
        <v>271</v>
      </c>
      <c r="D152" s="6">
        <v>1000</v>
      </c>
      <c r="E152" s="5"/>
      <c r="G152" s="4"/>
      <c r="H152" s="131">
        <v>2018</v>
      </c>
      <c r="I152" s="130" t="s">
        <v>432</v>
      </c>
      <c r="J152">
        <v>20</v>
      </c>
      <c r="K152" s="80"/>
      <c r="L152" s="80"/>
      <c r="O152" s="5"/>
      <c r="P152" s="5"/>
      <c r="Q152" s="80"/>
      <c r="R152" s="80"/>
      <c r="S152" s="94"/>
      <c r="T152" s="133"/>
      <c r="U152" s="5">
        <v>26.553116249999999</v>
      </c>
      <c r="V152">
        <v>26.553116249999999</v>
      </c>
      <c r="W152" s="80">
        <f>+Tabelle2[[#This Row],[Vol_ha_22]]-Tabelle2[[#This Row],[Vol_2020]]</f>
        <v>0</v>
      </c>
      <c r="X152" s="80"/>
      <c r="Y152" s="80"/>
      <c r="Z152" s="80"/>
      <c r="AA152" s="5"/>
      <c r="AB152" s="80"/>
      <c r="AC152" s="80"/>
      <c r="AD152" s="80"/>
      <c r="AE152" s="80"/>
      <c r="AF152" s="134"/>
      <c r="AG152" s="6"/>
      <c r="AH152" s="5"/>
      <c r="AI152" s="134"/>
      <c r="AJ152" s="5"/>
      <c r="AK152" s="5"/>
      <c r="AL152" s="80"/>
      <c r="AM152" s="80"/>
      <c r="AN152">
        <f>IFERROR(Tabelle2[[#This Row],[Vol_ha_22]]*0.537836177777778*Carbon_Calculations!$R$9,0)</f>
        <v>16.423410534787354</v>
      </c>
    </row>
    <row r="153" spans="1:40" x14ac:dyDescent="0.3">
      <c r="A153" s="130" t="s">
        <v>180</v>
      </c>
      <c r="B153" s="130" t="s">
        <v>433</v>
      </c>
      <c r="C153" t="s">
        <v>272</v>
      </c>
      <c r="D153" s="6">
        <v>1000</v>
      </c>
      <c r="E153" s="5"/>
      <c r="G153" s="4"/>
      <c r="H153" s="131">
        <v>2018</v>
      </c>
      <c r="I153" s="130" t="s">
        <v>433</v>
      </c>
      <c r="J153">
        <v>20</v>
      </c>
      <c r="K153" s="80"/>
      <c r="L153" s="80"/>
      <c r="O153" s="5"/>
      <c r="P153" s="5"/>
      <c r="Q153" s="80"/>
      <c r="R153" s="80"/>
      <c r="S153" s="94"/>
      <c r="T153" s="133"/>
      <c r="U153" s="5">
        <v>12.317662070000001</v>
      </c>
      <c r="V153">
        <v>12.317662070000001</v>
      </c>
      <c r="W153" s="80">
        <f>+Tabelle2[[#This Row],[Vol_ha_22]]-Tabelle2[[#This Row],[Vol_2020]]</f>
        <v>0</v>
      </c>
      <c r="X153" s="80"/>
      <c r="Y153" s="80"/>
      <c r="Z153" s="80"/>
      <c r="AA153" s="5"/>
      <c r="AB153" s="80"/>
      <c r="AC153" s="80"/>
      <c r="AD153" s="80"/>
      <c r="AE153" s="80"/>
      <c r="AF153" s="134"/>
      <c r="AG153" s="6"/>
      <c r="AH153" s="5"/>
      <c r="AI153" s="134"/>
      <c r="AJ153" s="5"/>
      <c r="AK153" s="5"/>
      <c r="AL153" s="80"/>
      <c r="AM153" s="80"/>
      <c r="AN153">
        <f>IFERROR(Tabelle2[[#This Row],[Vol_ha_22]]*0.537836177777778*Carbon_Calculations!$R$9,0)</f>
        <v>7.6186169299201802</v>
      </c>
    </row>
    <row r="154" spans="1:40" x14ac:dyDescent="0.3">
      <c r="A154" s="130" t="s">
        <v>180</v>
      </c>
      <c r="B154" s="130" t="s">
        <v>435</v>
      </c>
      <c r="C154" t="s">
        <v>272</v>
      </c>
      <c r="D154" s="6">
        <v>1000</v>
      </c>
      <c r="E154" s="5"/>
      <c r="G154" s="4"/>
      <c r="H154" s="131">
        <v>2018</v>
      </c>
      <c r="I154" s="130" t="s">
        <v>435</v>
      </c>
      <c r="J154">
        <v>20</v>
      </c>
      <c r="K154" s="80"/>
      <c r="L154" s="80"/>
      <c r="O154" s="5"/>
      <c r="P154" s="5"/>
      <c r="Q154" s="80"/>
      <c r="R154" s="80"/>
      <c r="S154" s="94"/>
      <c r="T154" s="133"/>
      <c r="U154" s="5">
        <v>20.395138240000001</v>
      </c>
      <c r="V154">
        <v>20.395138240000001</v>
      </c>
      <c r="W154" s="80">
        <f>+Tabelle2[[#This Row],[Vol_ha_22]]-Tabelle2[[#This Row],[Vol_2020]]</f>
        <v>0</v>
      </c>
      <c r="X154" s="80"/>
      <c r="Y154" s="80"/>
      <c r="Z154" s="80"/>
      <c r="AA154" s="5"/>
      <c r="AB154" s="80"/>
      <c r="AC154" s="80"/>
      <c r="AD154" s="80"/>
      <c r="AE154" s="80"/>
      <c r="AF154" s="134"/>
      <c r="AG154" s="6"/>
      <c r="AH154" s="5"/>
      <c r="AI154" s="134"/>
      <c r="AJ154" s="5"/>
      <c r="AK154" s="5"/>
      <c r="AL154" s="80"/>
      <c r="AM154" s="80"/>
      <c r="AN154">
        <f>IFERROR(Tabelle2[[#This Row],[Vol_ha_22]]*0.537836177777778*Carbon_Calculations!$R$9,0)</f>
        <v>12.614629675688649</v>
      </c>
    </row>
    <row r="155" spans="1:40" x14ac:dyDescent="0.3">
      <c r="A155" s="130" t="s">
        <v>180</v>
      </c>
      <c r="B155" s="130" t="s">
        <v>436</v>
      </c>
      <c r="C155" t="s">
        <v>272</v>
      </c>
      <c r="D155" s="6">
        <v>1000</v>
      </c>
      <c r="E155" s="5"/>
      <c r="G155" s="4"/>
      <c r="H155" s="131">
        <v>2018</v>
      </c>
      <c r="I155" s="130" t="s">
        <v>436</v>
      </c>
      <c r="J155">
        <v>20</v>
      </c>
      <c r="K155" s="80"/>
      <c r="L155" s="80"/>
      <c r="O155" s="5"/>
      <c r="P155" s="5"/>
      <c r="Q155" s="80"/>
      <c r="R155" s="80"/>
      <c r="S155" s="94"/>
      <c r="T155" s="133"/>
      <c r="U155" s="5">
        <v>16.180221979999999</v>
      </c>
      <c r="V155">
        <v>16.180221979999999</v>
      </c>
      <c r="W155" s="80">
        <f>+Tabelle2[[#This Row],[Vol_ha_22]]-Tabelle2[[#This Row],[Vol_2020]]</f>
        <v>0</v>
      </c>
      <c r="X155" s="80"/>
      <c r="Y155" s="80"/>
      <c r="Z155" s="80"/>
      <c r="AA155" s="5"/>
      <c r="AB155" s="80"/>
      <c r="AC155" s="80"/>
      <c r="AD155" s="80"/>
      <c r="AE155" s="80"/>
      <c r="AF155" s="134"/>
      <c r="AG155" s="6"/>
      <c r="AH155" s="5"/>
      <c r="AI155" s="134"/>
      <c r="AJ155" s="5"/>
      <c r="AK155" s="5"/>
      <c r="AL155" s="80"/>
      <c r="AM155" s="80"/>
      <c r="AN155">
        <f>IFERROR(Tabelle2[[#This Row],[Vol_ha_22]]*0.537836177777778*Carbon_Calculations!$R$9,0)</f>
        <v>10.00765505711707</v>
      </c>
    </row>
    <row r="156" spans="1:40" x14ac:dyDescent="0.3">
      <c r="A156" s="130" t="s">
        <v>180</v>
      </c>
      <c r="B156" s="130" t="s">
        <v>434</v>
      </c>
      <c r="C156" t="s">
        <v>272</v>
      </c>
      <c r="D156" s="6">
        <v>1000</v>
      </c>
      <c r="E156" s="5"/>
      <c r="G156" s="4"/>
      <c r="H156" s="131">
        <v>2018</v>
      </c>
      <c r="I156" s="130" t="s">
        <v>434</v>
      </c>
      <c r="J156">
        <v>20</v>
      </c>
      <c r="K156" s="80"/>
      <c r="L156" s="80"/>
      <c r="O156" s="5"/>
      <c r="P156" s="5"/>
      <c r="Q156" s="80"/>
      <c r="R156" s="80"/>
      <c r="S156" s="94"/>
      <c r="T156" s="133"/>
      <c r="U156" s="5">
        <v>9.5499808769999994</v>
      </c>
      <c r="V156">
        <v>9.5499808769999994</v>
      </c>
      <c r="W156" s="80">
        <f>+Tabelle2[[#This Row],[Vol_ha_22]]-Tabelle2[[#This Row],[Vol_2020]]</f>
        <v>0</v>
      </c>
      <c r="X156" s="80"/>
      <c r="Y156" s="80"/>
      <c r="Z156" s="80"/>
      <c r="AA156" s="5"/>
      <c r="AB156" s="80"/>
      <c r="AC156" s="80"/>
      <c r="AD156" s="80"/>
      <c r="AE156" s="80"/>
      <c r="AF156" s="134"/>
      <c r="AG156" s="6"/>
      <c r="AH156" s="5"/>
      <c r="AI156" s="134"/>
      <c r="AJ156" s="5"/>
      <c r="AK156" s="5"/>
      <c r="AL156" s="80"/>
      <c r="AM156" s="80"/>
      <c r="AN156">
        <f>IFERROR(Tabelle2[[#This Row],[Vol_ha_22]]*0.537836177777778*Carbon_Calculations!$R$9,0)</f>
        <v>5.9067739946470343</v>
      </c>
    </row>
    <row r="157" spans="1:40" x14ac:dyDescent="0.3">
      <c r="A157" s="130" t="s">
        <v>180</v>
      </c>
      <c r="B157" s="130" t="s">
        <v>431</v>
      </c>
      <c r="C157" t="s">
        <v>269</v>
      </c>
      <c r="D157" s="6">
        <v>1000</v>
      </c>
      <c r="E157" s="5"/>
      <c r="G157" s="4"/>
      <c r="H157" s="131">
        <v>2018</v>
      </c>
      <c r="I157" s="130" t="s">
        <v>431</v>
      </c>
      <c r="J157">
        <v>20</v>
      </c>
      <c r="K157" s="80"/>
      <c r="L157" s="80"/>
      <c r="O157" s="5"/>
      <c r="P157" s="5"/>
      <c r="Q157" s="80"/>
      <c r="R157" s="80"/>
      <c r="S157" s="94"/>
      <c r="T157" s="133"/>
      <c r="U157" s="5">
        <v>22.15163222</v>
      </c>
      <c r="V157">
        <v>22.15163222</v>
      </c>
      <c r="W157" s="80">
        <f>+Tabelle2[[#This Row],[Vol_ha_22]]-Tabelle2[[#This Row],[Vol_2020]]</f>
        <v>0</v>
      </c>
      <c r="X157" s="80"/>
      <c r="Y157" s="80"/>
      <c r="Z157" s="80"/>
      <c r="AA157" s="5"/>
      <c r="AB157" s="80"/>
      <c r="AC157" s="80"/>
      <c r="AD157" s="80"/>
      <c r="AE157" s="80"/>
      <c r="AF157" s="134"/>
      <c r="AG157" s="6"/>
      <c r="AH157" s="5"/>
      <c r="AI157" s="134"/>
      <c r="AJ157" s="5"/>
      <c r="AK157" s="5"/>
      <c r="AL157" s="80"/>
      <c r="AM157" s="80"/>
      <c r="AN157">
        <f>IFERROR(Tabelle2[[#This Row],[Vol_ha_22]]*0.537836177777778*Carbon_Calculations!$R$9,0)</f>
        <v>13.701041585455457</v>
      </c>
    </row>
    <row r="158" spans="1:40" x14ac:dyDescent="0.3">
      <c r="A158" s="130" t="s">
        <v>180</v>
      </c>
      <c r="B158" s="130" t="s">
        <v>303</v>
      </c>
      <c r="C158" t="s">
        <v>192</v>
      </c>
      <c r="D158" s="6">
        <v>714</v>
      </c>
      <c r="E158" s="5"/>
      <c r="G158" s="4"/>
      <c r="H158" s="131">
        <v>2018</v>
      </c>
      <c r="I158" s="130" t="s">
        <v>303</v>
      </c>
      <c r="J158">
        <v>20</v>
      </c>
      <c r="K158" s="80"/>
      <c r="L158" s="80"/>
      <c r="O158" s="5"/>
      <c r="P158" s="5"/>
      <c r="Q158" s="80"/>
      <c r="R158" s="80"/>
      <c r="S158" s="94"/>
      <c r="T158" s="133"/>
      <c r="U158" s="5">
        <v>15.55966499</v>
      </c>
      <c r="V158">
        <v>15.55966499</v>
      </c>
      <c r="W158" s="80">
        <f>+Tabelle2[[#This Row],[Vol_ha_22]]-Tabelle2[[#This Row],[Vol_2020]]</f>
        <v>0</v>
      </c>
      <c r="X158" s="80"/>
      <c r="Y158" s="80"/>
      <c r="Z158" s="80"/>
      <c r="AA158" s="5"/>
      <c r="AB158" s="80"/>
      <c r="AC158" s="80"/>
      <c r="AD158" s="80"/>
      <c r="AE158" s="80"/>
      <c r="AF158" s="134"/>
      <c r="AG158" s="6"/>
      <c r="AH158" s="5"/>
      <c r="AI158" s="134"/>
      <c r="AJ158" s="5"/>
      <c r="AK158" s="5"/>
      <c r="AL158" s="80"/>
      <c r="AM158" s="80"/>
      <c r="AN158">
        <f>IFERROR(Tabelle2[[#This Row],[Vol_ha_22]]*0.537836177777778*Carbon_Calculations!$R$9,0)</f>
        <v>9.6238333575829529</v>
      </c>
    </row>
    <row r="159" spans="1:40" x14ac:dyDescent="0.3">
      <c r="A159" s="130" t="s">
        <v>180</v>
      </c>
      <c r="B159" s="130" t="s">
        <v>287</v>
      </c>
      <c r="C159" t="s">
        <v>192</v>
      </c>
      <c r="D159" s="6">
        <v>714</v>
      </c>
      <c r="E159" s="5"/>
      <c r="G159" s="4"/>
      <c r="H159" s="131">
        <v>2018</v>
      </c>
      <c r="I159" s="130" t="s">
        <v>287</v>
      </c>
      <c r="J159">
        <v>20</v>
      </c>
      <c r="K159" s="80"/>
      <c r="L159" s="80"/>
      <c r="O159" s="5"/>
      <c r="P159" s="5"/>
      <c r="Q159" s="80"/>
      <c r="R159" s="80"/>
      <c r="S159" s="94"/>
      <c r="T159" s="133"/>
      <c r="U159" s="5">
        <v>5.1818845199999997</v>
      </c>
      <c r="V159">
        <v>5.1818845199999997</v>
      </c>
      <c r="W159" s="80">
        <f>+Tabelle2[[#This Row],[Vol_ha_22]]-Tabelle2[[#This Row],[Vol_2020]]</f>
        <v>0</v>
      </c>
      <c r="X159" s="80"/>
      <c r="Y159" s="80"/>
      <c r="Z159" s="80"/>
      <c r="AA159" s="5"/>
      <c r="AB159" s="80"/>
      <c r="AC159" s="80"/>
      <c r="AD159" s="80"/>
      <c r="AE159" s="80"/>
      <c r="AF159" s="134"/>
      <c r="AG159" s="6"/>
      <c r="AH159" s="5"/>
      <c r="AI159" s="134"/>
      <c r="AJ159" s="5"/>
      <c r="AK159" s="5"/>
      <c r="AL159" s="80"/>
      <c r="AM159" s="80"/>
      <c r="AN159">
        <f>IFERROR(Tabelle2[[#This Row],[Vol_ha_22]]*0.537836177777778*Carbon_Calculations!$R$9,0)</f>
        <v>3.2050557085110309</v>
      </c>
    </row>
    <row r="160" spans="1:40" x14ac:dyDescent="0.3">
      <c r="A160" s="130" t="s">
        <v>180</v>
      </c>
      <c r="B160" s="130" t="s">
        <v>302</v>
      </c>
      <c r="C160" t="s">
        <v>192</v>
      </c>
      <c r="D160" s="6">
        <v>714</v>
      </c>
      <c r="E160" s="5"/>
      <c r="G160" s="4"/>
      <c r="H160" s="131">
        <v>2018</v>
      </c>
      <c r="I160" s="130" t="s">
        <v>302</v>
      </c>
      <c r="J160">
        <v>20</v>
      </c>
      <c r="K160" s="80"/>
      <c r="L160" s="80"/>
      <c r="O160" s="5"/>
      <c r="P160" s="5"/>
      <c r="Q160" s="80"/>
      <c r="R160" s="80"/>
      <c r="S160" s="94"/>
      <c r="T160" s="133"/>
      <c r="U160" s="5">
        <v>15.97657203</v>
      </c>
      <c r="V160">
        <v>15.97657203</v>
      </c>
      <c r="W160" s="80">
        <f>+Tabelle2[[#This Row],[Vol_ha_22]]-Tabelle2[[#This Row],[Vol_2020]]</f>
        <v>0</v>
      </c>
      <c r="X160" s="80"/>
      <c r="Y160" s="80"/>
      <c r="Z160" s="80"/>
      <c r="AA160" s="5"/>
      <c r="AB160" s="80"/>
      <c r="AC160" s="80"/>
      <c r="AD160" s="80"/>
      <c r="AE160" s="80"/>
      <c r="AF160" s="134"/>
      <c r="AG160" s="6"/>
      <c r="AH160" s="5"/>
      <c r="AI160" s="134"/>
      <c r="AJ160" s="5"/>
      <c r="AK160" s="5"/>
      <c r="AL160" s="80"/>
      <c r="AM160" s="80"/>
      <c r="AN160">
        <f>IFERROR(Tabelle2[[#This Row],[Vol_ha_22]]*0.537836177777778*Carbon_Calculations!$R$9,0)</f>
        <v>9.8816951997975391</v>
      </c>
    </row>
    <row r="161" spans="1:40" x14ac:dyDescent="0.3">
      <c r="A161" s="130" t="s">
        <v>180</v>
      </c>
      <c r="B161" s="130" t="s">
        <v>397</v>
      </c>
      <c r="C161" t="s">
        <v>258</v>
      </c>
      <c r="D161" s="6">
        <v>1000</v>
      </c>
      <c r="E161" s="5"/>
      <c r="G161" s="4"/>
      <c r="H161" s="131">
        <v>2019</v>
      </c>
      <c r="I161" s="130" t="s">
        <v>397</v>
      </c>
      <c r="J161">
        <v>20</v>
      </c>
      <c r="K161" s="80"/>
      <c r="L161" s="80"/>
      <c r="O161" s="5"/>
      <c r="P161" s="5"/>
      <c r="Q161" s="80"/>
      <c r="R161" s="80"/>
      <c r="S161" s="94"/>
      <c r="T161" s="133"/>
      <c r="U161" s="5">
        <v>47.598213100000002</v>
      </c>
      <c r="V161">
        <v>47.598213100000002</v>
      </c>
      <c r="W161" s="80">
        <f>+Tabelle2[[#This Row],[Vol_ha_22]]-Tabelle2[[#This Row],[Vol_2020]]</f>
        <v>0</v>
      </c>
      <c r="X161" s="80"/>
      <c r="Y161" s="80"/>
      <c r="Z161" s="80"/>
      <c r="AA161" s="5"/>
      <c r="AB161" s="80"/>
      <c r="AC161" s="80"/>
      <c r="AD161" s="80"/>
      <c r="AE161" s="80"/>
      <c r="AF161" s="134"/>
      <c r="AG161" s="6"/>
      <c r="AH161" s="5"/>
      <c r="AI161" s="134"/>
      <c r="AJ161" s="5"/>
      <c r="AK161" s="5"/>
      <c r="AL161" s="80"/>
      <c r="AM161" s="80"/>
      <c r="AN161">
        <f>IFERROR(Tabelle2[[#This Row],[Vol_ha_22]]*0.537836177777778*Carbon_Calculations!$R$9,0)</f>
        <v>29.440047153169587</v>
      </c>
    </row>
    <row r="162" spans="1:40" x14ac:dyDescent="0.3">
      <c r="A162" s="130" t="s">
        <v>180</v>
      </c>
      <c r="B162" s="130" t="s">
        <v>396</v>
      </c>
      <c r="C162" t="s">
        <v>256</v>
      </c>
      <c r="D162" s="6">
        <v>1000</v>
      </c>
      <c r="E162" s="5"/>
      <c r="G162" s="4"/>
      <c r="H162" s="131">
        <v>2019</v>
      </c>
      <c r="I162" s="130" t="s">
        <v>396</v>
      </c>
      <c r="J162">
        <v>20</v>
      </c>
      <c r="K162" s="80"/>
      <c r="L162" s="80"/>
      <c r="O162" s="5"/>
      <c r="P162" s="5"/>
      <c r="Q162" s="80"/>
      <c r="R162" s="80"/>
      <c r="S162" s="94"/>
      <c r="T162" s="133"/>
      <c r="U162" s="5">
        <v>44.904360539999999</v>
      </c>
      <c r="V162">
        <v>44.904360539999999</v>
      </c>
      <c r="W162" s="80">
        <f>+Tabelle2[[#This Row],[Vol_ha_22]]-Tabelle2[[#This Row],[Vol_2020]]</f>
        <v>0</v>
      </c>
      <c r="X162" s="80"/>
      <c r="Y162" s="80"/>
      <c r="Z162" s="80"/>
      <c r="AA162" s="5"/>
      <c r="AB162" s="80"/>
      <c r="AC162" s="80"/>
      <c r="AD162" s="80"/>
      <c r="AE162" s="80"/>
      <c r="AF162" s="134"/>
      <c r="AG162" s="6"/>
      <c r="AH162" s="5"/>
      <c r="AI162" s="134"/>
      <c r="AJ162" s="5"/>
      <c r="AK162" s="5"/>
      <c r="AL162" s="80"/>
      <c r="AM162" s="80"/>
      <c r="AN162">
        <f>IFERROR(Tabelle2[[#This Row],[Vol_ha_22]]*0.537836177777778*Carbon_Calculations!$R$9,0)</f>
        <v>27.77386808414721</v>
      </c>
    </row>
    <row r="163" spans="1:40" x14ac:dyDescent="0.3">
      <c r="A163" s="130" t="s">
        <v>180</v>
      </c>
      <c r="B163" s="130" t="s">
        <v>395</v>
      </c>
      <c r="C163" t="s">
        <v>256</v>
      </c>
      <c r="D163" s="6">
        <v>1000</v>
      </c>
      <c r="E163" s="5"/>
      <c r="G163" s="4"/>
      <c r="H163" s="131">
        <v>2019</v>
      </c>
      <c r="I163" s="130" t="s">
        <v>395</v>
      </c>
      <c r="J163">
        <v>20</v>
      </c>
      <c r="K163" s="80"/>
      <c r="L163" s="80"/>
      <c r="O163" s="5"/>
      <c r="P163" s="5"/>
      <c r="Q163" s="80"/>
      <c r="R163" s="80"/>
      <c r="S163" s="94"/>
      <c r="T163" s="133"/>
      <c r="U163" s="5">
        <v>43.589498499999998</v>
      </c>
      <c r="V163">
        <v>43.589498499999998</v>
      </c>
      <c r="W163" s="80">
        <f>+Tabelle2[[#This Row],[Vol_ha_22]]-Tabelle2[[#This Row],[Vol_2020]]</f>
        <v>0</v>
      </c>
      <c r="X163" s="80"/>
      <c r="Y163" s="80"/>
      <c r="Z163" s="80"/>
      <c r="AA163" s="5"/>
      <c r="AB163" s="80"/>
      <c r="AC163" s="80"/>
      <c r="AD163" s="80"/>
      <c r="AE163" s="80"/>
      <c r="AF163" s="134"/>
      <c r="AG163" s="6"/>
      <c r="AH163" s="5"/>
      <c r="AI163" s="134"/>
      <c r="AJ163" s="5"/>
      <c r="AK163" s="5"/>
      <c r="AL163" s="80"/>
      <c r="AM163" s="80"/>
      <c r="AN163">
        <f>IFERROR(Tabelle2[[#This Row],[Vol_ha_22]]*0.537836177777778*Carbon_Calculations!$R$9,0)</f>
        <v>26.960610654163712</v>
      </c>
    </row>
    <row r="164" spans="1:40" x14ac:dyDescent="0.3">
      <c r="A164" s="130" t="s">
        <v>180</v>
      </c>
      <c r="B164" s="130" t="s">
        <v>400</v>
      </c>
      <c r="C164" t="s">
        <v>256</v>
      </c>
      <c r="D164" s="6">
        <v>1000</v>
      </c>
      <c r="E164" s="5"/>
      <c r="G164" s="4"/>
      <c r="H164" s="131">
        <v>2019</v>
      </c>
      <c r="I164" s="130" t="s">
        <v>400</v>
      </c>
      <c r="J164">
        <v>20</v>
      </c>
      <c r="K164" s="80"/>
      <c r="L164" s="80"/>
      <c r="O164" s="5"/>
      <c r="P164" s="5"/>
      <c r="Q164" s="80"/>
      <c r="R164" s="80"/>
      <c r="S164" s="94"/>
      <c r="T164" s="133"/>
      <c r="U164" s="5">
        <v>39.71196466</v>
      </c>
      <c r="V164">
        <v>39.71196466</v>
      </c>
      <c r="W164" s="80">
        <f>+Tabelle2[[#This Row],[Vol_ha_22]]-Tabelle2[[#This Row],[Vol_2020]]</f>
        <v>0</v>
      </c>
      <c r="X164" s="80"/>
      <c r="Y164" s="80"/>
      <c r="Z164" s="80"/>
      <c r="AA164" s="5"/>
      <c r="AB164" s="80"/>
      <c r="AC164" s="80"/>
      <c r="AD164" s="80"/>
      <c r="AE164" s="80"/>
      <c r="AF164" s="134"/>
      <c r="AG164" s="6"/>
      <c r="AH164" s="5"/>
      <c r="AI164" s="134"/>
      <c r="AJ164" s="5"/>
      <c r="AK164" s="5"/>
      <c r="AL164" s="80"/>
      <c r="AM164" s="80"/>
      <c r="AN164">
        <f>IFERROR(Tabelle2[[#This Row],[Vol_ha_22]]*0.537836177777778*Carbon_Calculations!$R$9,0)</f>
        <v>24.562310977497688</v>
      </c>
    </row>
    <row r="165" spans="1:40" x14ac:dyDescent="0.3">
      <c r="A165" s="130" t="s">
        <v>180</v>
      </c>
      <c r="B165" s="130" t="s">
        <v>411</v>
      </c>
      <c r="C165" t="s">
        <v>194</v>
      </c>
      <c r="D165" s="6">
        <v>1000</v>
      </c>
      <c r="E165" s="5"/>
      <c r="G165" s="4"/>
      <c r="H165" s="131">
        <v>2019</v>
      </c>
      <c r="I165" s="130" t="s">
        <v>411</v>
      </c>
      <c r="J165">
        <v>20</v>
      </c>
      <c r="K165" s="80"/>
      <c r="L165" s="80"/>
      <c r="O165" s="5"/>
      <c r="P165" s="5"/>
      <c r="Q165" s="80"/>
      <c r="R165" s="80"/>
      <c r="S165" s="94"/>
      <c r="T165" s="133"/>
      <c r="U165" s="5">
        <v>40.395867350000003</v>
      </c>
      <c r="V165">
        <v>40.395867350000003</v>
      </c>
      <c r="W165" s="80">
        <f>+Tabelle2[[#This Row],[Vol_ha_22]]-Tabelle2[[#This Row],[Vol_2020]]</f>
        <v>0</v>
      </c>
      <c r="X165" s="80"/>
      <c r="Y165" s="80"/>
      <c r="Z165" s="80"/>
      <c r="AA165" s="5"/>
      <c r="AB165" s="80"/>
      <c r="AC165" s="80"/>
      <c r="AD165" s="80"/>
      <c r="AE165" s="80"/>
      <c r="AF165" s="134"/>
      <c r="AG165" s="6"/>
      <c r="AH165" s="5"/>
      <c r="AI165" s="134"/>
      <c r="AJ165" s="5"/>
      <c r="AK165" s="5"/>
      <c r="AL165" s="80"/>
      <c r="AM165" s="80"/>
      <c r="AN165">
        <f>IFERROR(Tabelle2[[#This Row],[Vol_ha_22]]*0.537836177777778*Carbon_Calculations!$R$9,0)</f>
        <v>24.985312727573461</v>
      </c>
    </row>
    <row r="166" spans="1:40" x14ac:dyDescent="0.3">
      <c r="A166" s="130" t="s">
        <v>180</v>
      </c>
      <c r="B166" s="130" t="s">
        <v>414</v>
      </c>
      <c r="C166" t="s">
        <v>194</v>
      </c>
      <c r="D166" s="6">
        <v>1000</v>
      </c>
      <c r="E166" s="5"/>
      <c r="G166" s="4"/>
      <c r="H166" s="131">
        <v>2019</v>
      </c>
      <c r="I166" s="130" t="s">
        <v>414</v>
      </c>
      <c r="J166">
        <v>20</v>
      </c>
      <c r="K166" s="80"/>
      <c r="L166" s="80"/>
      <c r="O166" s="5"/>
      <c r="P166" s="5"/>
      <c r="Q166" s="80"/>
      <c r="R166" s="80"/>
      <c r="S166" s="94"/>
      <c r="T166" s="133"/>
      <c r="U166" s="5">
        <v>35.344969499999998</v>
      </c>
      <c r="V166">
        <v>35.344969499999998</v>
      </c>
      <c r="W166" s="80">
        <f>+Tabelle2[[#This Row],[Vol_ha_22]]-Tabelle2[[#This Row],[Vol_2020]]</f>
        <v>0</v>
      </c>
      <c r="X166" s="80"/>
      <c r="Y166" s="80"/>
      <c r="Z166" s="80"/>
      <c r="AA166" s="5"/>
      <c r="AB166" s="80"/>
      <c r="AC166" s="80"/>
      <c r="AD166" s="80"/>
      <c r="AE166" s="80"/>
      <c r="AF166" s="134"/>
      <c r="AG166" s="6"/>
      <c r="AH166" s="5"/>
      <c r="AI166" s="134"/>
      <c r="AJ166" s="5"/>
      <c r="AK166" s="5"/>
      <c r="AL166" s="80"/>
      <c r="AM166" s="80"/>
      <c r="AN166">
        <f>IFERROR(Tabelle2[[#This Row],[Vol_ha_22]]*0.537836177777778*Carbon_Calculations!$R$9,0)</f>
        <v>21.861273794484962</v>
      </c>
    </row>
    <row r="167" spans="1:40" x14ac:dyDescent="0.3">
      <c r="A167" s="130" t="s">
        <v>180</v>
      </c>
      <c r="B167" s="130" t="s">
        <v>428</v>
      </c>
      <c r="C167" t="s">
        <v>264</v>
      </c>
      <c r="D167" s="6">
        <v>1000</v>
      </c>
      <c r="E167" s="5"/>
      <c r="G167" s="4"/>
      <c r="H167" s="131">
        <v>2019</v>
      </c>
      <c r="I167" s="130" t="s">
        <v>428</v>
      </c>
      <c r="J167">
        <v>20</v>
      </c>
      <c r="K167" s="80"/>
      <c r="L167" s="80"/>
      <c r="O167" s="5"/>
      <c r="P167" s="5"/>
      <c r="Q167" s="80"/>
      <c r="R167" s="80"/>
      <c r="S167" s="94"/>
      <c r="T167" s="133"/>
      <c r="U167" s="5">
        <v>17.8783973</v>
      </c>
      <c r="V167">
        <v>17.8783973</v>
      </c>
      <c r="W167" s="80">
        <f>+Tabelle2[[#This Row],[Vol_ha_22]]-Tabelle2[[#This Row],[Vol_2020]]</f>
        <v>0</v>
      </c>
      <c r="X167" s="80"/>
      <c r="Y167" s="80"/>
      <c r="Z167" s="80"/>
      <c r="AA167" s="5"/>
      <c r="AB167" s="80"/>
      <c r="AC167" s="80"/>
      <c r="AD167" s="80"/>
      <c r="AE167" s="80"/>
      <c r="AF167" s="134"/>
      <c r="AG167" s="6"/>
      <c r="AH167" s="5"/>
      <c r="AI167" s="134"/>
      <c r="AJ167" s="5"/>
      <c r="AK167" s="5"/>
      <c r="AL167" s="80"/>
      <c r="AM167" s="80"/>
      <c r="AN167">
        <f>IFERROR(Tabelle2[[#This Row],[Vol_ha_22]]*0.537836177777778*Carbon_Calculations!$R$9,0)</f>
        <v>11.057996198918229</v>
      </c>
    </row>
    <row r="168" spans="1:40" x14ac:dyDescent="0.3">
      <c r="A168" s="130" t="s">
        <v>180</v>
      </c>
      <c r="B168" s="130" t="s">
        <v>429</v>
      </c>
      <c r="C168" t="s">
        <v>264</v>
      </c>
      <c r="D168" s="6">
        <v>1000</v>
      </c>
      <c r="E168" s="5"/>
      <c r="G168" s="4"/>
      <c r="H168" s="131">
        <v>2019</v>
      </c>
      <c r="I168" s="130" t="s">
        <v>429</v>
      </c>
      <c r="J168">
        <v>20</v>
      </c>
      <c r="K168" s="80"/>
      <c r="L168" s="80"/>
      <c r="O168" s="5"/>
      <c r="P168" s="5"/>
      <c r="Q168" s="80"/>
      <c r="R168" s="80"/>
      <c r="S168" s="94"/>
      <c r="T168" s="133"/>
      <c r="U168" s="5">
        <v>14.407520330000001</v>
      </c>
      <c r="V168">
        <v>14.407520330000001</v>
      </c>
      <c r="W168" s="80">
        <f>+Tabelle2[[#This Row],[Vol_ha_22]]-Tabelle2[[#This Row],[Vol_2020]]</f>
        <v>0</v>
      </c>
      <c r="X168" s="80"/>
      <c r="Y168" s="80"/>
      <c r="Z168" s="80"/>
      <c r="AA168" s="5"/>
      <c r="AB168" s="80"/>
      <c r="AC168" s="80"/>
      <c r="AD168" s="80"/>
      <c r="AE168" s="80"/>
      <c r="AF168" s="134"/>
      <c r="AG168" s="6"/>
      <c r="AH168" s="5"/>
      <c r="AI168" s="134"/>
      <c r="AJ168" s="5"/>
      <c r="AK168" s="5"/>
      <c r="AL168" s="80"/>
      <c r="AM168" s="80"/>
      <c r="AN168">
        <f>IFERROR(Tabelle2[[#This Row],[Vol_ha_22]]*0.537836177777778*Carbon_Calculations!$R$9,0)</f>
        <v>8.9112185153742569</v>
      </c>
    </row>
    <row r="169" spans="1:40" x14ac:dyDescent="0.3">
      <c r="A169" s="130" t="s">
        <v>180</v>
      </c>
      <c r="B169" s="130" t="s">
        <v>417</v>
      </c>
      <c r="C169" t="s">
        <v>264</v>
      </c>
      <c r="D169" s="6">
        <v>1000</v>
      </c>
      <c r="E169" s="5"/>
      <c r="G169" s="4"/>
      <c r="H169" s="131">
        <v>2019</v>
      </c>
      <c r="I169" s="130" t="s">
        <v>417</v>
      </c>
      <c r="J169">
        <v>20</v>
      </c>
      <c r="K169" s="80"/>
      <c r="L169" s="80"/>
      <c r="O169" s="5"/>
      <c r="P169" s="5"/>
      <c r="Q169" s="80"/>
      <c r="R169" s="80"/>
      <c r="S169" s="94"/>
      <c r="T169" s="133"/>
      <c r="U169" s="5">
        <v>9.9486506739999996</v>
      </c>
      <c r="V169">
        <v>9.9486506739999996</v>
      </c>
      <c r="W169" s="80">
        <f>+Tabelle2[[#This Row],[Vol_ha_22]]-Tabelle2[[#This Row],[Vol_2020]]</f>
        <v>0</v>
      </c>
      <c r="X169" s="80"/>
      <c r="Y169" s="80"/>
      <c r="Z169" s="80"/>
      <c r="AA169" s="5"/>
      <c r="AB169" s="80"/>
      <c r="AC169" s="80"/>
      <c r="AD169" s="80"/>
      <c r="AE169" s="80"/>
      <c r="AF169" s="134"/>
      <c r="AG169" s="6"/>
      <c r="AH169" s="5"/>
      <c r="AI169" s="134"/>
      <c r="AJ169" s="5"/>
      <c r="AK169" s="5"/>
      <c r="AL169" s="80"/>
      <c r="AM169" s="80"/>
      <c r="AN169">
        <f>IFERROR(Tabelle2[[#This Row],[Vol_ha_22]]*0.537836177777778*Carbon_Calculations!$R$9,0)</f>
        <v>6.1533558904330459</v>
      </c>
    </row>
    <row r="170" spans="1:40" x14ac:dyDescent="0.3">
      <c r="A170" s="130" t="s">
        <v>180</v>
      </c>
      <c r="B170" s="130" t="s">
        <v>405</v>
      </c>
      <c r="C170" t="s">
        <v>260</v>
      </c>
      <c r="D170" s="6">
        <v>1000</v>
      </c>
      <c r="E170" s="5"/>
      <c r="G170" s="4"/>
      <c r="H170" s="131">
        <v>2019</v>
      </c>
      <c r="I170" s="130" t="s">
        <v>405</v>
      </c>
      <c r="J170">
        <v>20</v>
      </c>
      <c r="K170" s="80"/>
      <c r="L170" s="80"/>
      <c r="O170" s="5"/>
      <c r="P170" s="5"/>
      <c r="Q170" s="80"/>
      <c r="R170" s="80"/>
      <c r="S170" s="94"/>
      <c r="T170" s="133"/>
      <c r="U170" s="5">
        <v>50.318362800000003</v>
      </c>
      <c r="V170">
        <v>50.318362800000003</v>
      </c>
      <c r="W170" s="80">
        <f>+Tabelle2[[#This Row],[Vol_ha_22]]-Tabelle2[[#This Row],[Vol_2020]]</f>
        <v>0</v>
      </c>
      <c r="X170" s="80"/>
      <c r="Y170" s="80"/>
      <c r="Z170" s="80"/>
      <c r="AA170" s="5"/>
      <c r="AB170" s="80"/>
      <c r="AC170" s="80"/>
      <c r="AD170" s="80"/>
      <c r="AE170" s="80"/>
      <c r="AF170" s="134"/>
      <c r="AG170" s="6"/>
      <c r="AH170" s="5"/>
      <c r="AI170" s="134"/>
      <c r="AJ170" s="5"/>
      <c r="AK170" s="5"/>
      <c r="AL170" s="80"/>
      <c r="AM170" s="80"/>
      <c r="AN170">
        <f>IFERROR(Tabelle2[[#This Row],[Vol_ha_22]]*0.537836177777778*Carbon_Calculations!$R$9,0)</f>
        <v>31.122491308445664</v>
      </c>
    </row>
    <row r="171" spans="1:40" x14ac:dyDescent="0.3">
      <c r="A171" s="130" t="s">
        <v>180</v>
      </c>
      <c r="B171" s="130" t="s">
        <v>345</v>
      </c>
      <c r="C171" t="s">
        <v>230</v>
      </c>
      <c r="D171" s="6">
        <v>714</v>
      </c>
      <c r="E171" s="5"/>
      <c r="G171" s="4"/>
      <c r="H171" s="131">
        <v>2018</v>
      </c>
      <c r="I171" s="130" t="s">
        <v>345</v>
      </c>
      <c r="J171">
        <v>20</v>
      </c>
      <c r="K171" s="80"/>
      <c r="L171" s="80"/>
      <c r="O171" s="5"/>
      <c r="P171" s="5"/>
      <c r="Q171" s="80"/>
      <c r="R171" s="80"/>
      <c r="S171" s="94"/>
      <c r="T171" s="133"/>
      <c r="U171" s="5">
        <v>46.968506669999996</v>
      </c>
      <c r="V171">
        <v>46.968506669999996</v>
      </c>
      <c r="W171" s="80">
        <f>+Tabelle2[[#This Row],[Vol_ha_22]]-Tabelle2[[#This Row],[Vol_2020]]</f>
        <v>0</v>
      </c>
      <c r="X171" s="80"/>
      <c r="Y171" s="80"/>
      <c r="Z171" s="80"/>
      <c r="AA171" s="5"/>
      <c r="AB171" s="80"/>
      <c r="AC171" s="80"/>
      <c r="AD171" s="80"/>
      <c r="AE171" s="80"/>
      <c r="AF171" s="134"/>
      <c r="AG171" s="6"/>
      <c r="AH171" s="5"/>
      <c r="AI171" s="134"/>
      <c r="AJ171" s="5"/>
      <c r="AK171" s="5"/>
      <c r="AL171" s="80"/>
      <c r="AM171" s="80"/>
      <c r="AN171">
        <f>IFERROR(Tabelle2[[#This Row],[Vol_ha_22]]*0.537836177777778*Carbon_Calculations!$R$9,0)</f>
        <v>29.050566418821298</v>
      </c>
    </row>
    <row r="172" spans="1:40" x14ac:dyDescent="0.3">
      <c r="A172" s="130" t="s">
        <v>180</v>
      </c>
      <c r="B172" s="130" t="s">
        <v>312</v>
      </c>
      <c r="C172" t="s">
        <v>210</v>
      </c>
      <c r="D172" s="6">
        <v>714</v>
      </c>
      <c r="E172" s="5"/>
      <c r="G172" s="4"/>
      <c r="H172" s="131">
        <v>2018</v>
      </c>
      <c r="I172" s="130" t="s">
        <v>312</v>
      </c>
      <c r="J172">
        <v>20</v>
      </c>
      <c r="K172" s="80"/>
      <c r="L172" s="80"/>
      <c r="O172" s="5"/>
      <c r="P172" s="5"/>
      <c r="Q172" s="80"/>
      <c r="R172" s="80"/>
      <c r="S172" s="94"/>
      <c r="T172" s="133"/>
      <c r="U172" s="5">
        <v>45.535054199999998</v>
      </c>
      <c r="V172">
        <v>45.535054199999998</v>
      </c>
      <c r="W172" s="80">
        <f>+Tabelle2[[#This Row],[Vol_ha_22]]-Tabelle2[[#This Row],[Vol_2020]]</f>
        <v>0</v>
      </c>
      <c r="X172" s="80"/>
      <c r="Y172" s="80"/>
      <c r="Z172" s="80"/>
      <c r="AA172" s="5"/>
      <c r="AB172" s="80"/>
      <c r="AC172" s="80"/>
      <c r="AD172" s="80"/>
      <c r="AE172" s="80"/>
      <c r="AF172" s="134"/>
      <c r="AG172" s="6"/>
      <c r="AH172" s="5"/>
      <c r="AI172" s="134"/>
      <c r="AJ172" s="5"/>
      <c r="AK172" s="5"/>
      <c r="AL172" s="80"/>
      <c r="AM172" s="80"/>
      <c r="AN172">
        <f>IFERROR(Tabelle2[[#This Row],[Vol_ha_22]]*0.537836177777778*Carbon_Calculations!$R$9,0)</f>
        <v>28.163959431706747</v>
      </c>
    </row>
    <row r="173" spans="1:40" x14ac:dyDescent="0.3">
      <c r="A173" s="130" t="s">
        <v>180</v>
      </c>
      <c r="B173" s="130" t="s">
        <v>358</v>
      </c>
      <c r="C173" t="s">
        <v>234</v>
      </c>
      <c r="D173" s="6">
        <v>714</v>
      </c>
      <c r="E173" s="5"/>
      <c r="G173" s="4"/>
      <c r="H173" s="131">
        <v>2019</v>
      </c>
      <c r="I173" s="130" t="s">
        <v>358</v>
      </c>
      <c r="J173">
        <v>20</v>
      </c>
      <c r="K173" s="80"/>
      <c r="L173" s="80"/>
      <c r="O173" s="5"/>
      <c r="P173" s="5"/>
      <c r="Q173" s="80"/>
      <c r="R173" s="80"/>
      <c r="S173" s="94"/>
      <c r="T173" s="133"/>
      <c r="U173" s="5">
        <v>59.833188739999997</v>
      </c>
      <c r="V173">
        <v>59.833188739999997</v>
      </c>
      <c r="W173" s="80">
        <f>+Tabelle2[[#This Row],[Vol_ha_22]]-Tabelle2[[#This Row],[Vol_2020]]</f>
        <v>0</v>
      </c>
      <c r="X173" s="80"/>
      <c r="Y173" s="80"/>
      <c r="Z173" s="80"/>
      <c r="AA173" s="5"/>
      <c r="AB173" s="80"/>
      <c r="AC173" s="80"/>
      <c r="AD173" s="80"/>
      <c r="AE173" s="80"/>
      <c r="AF173" s="134"/>
      <c r="AG173" s="6"/>
      <c r="AH173" s="5"/>
      <c r="AI173" s="134"/>
      <c r="AJ173" s="5"/>
      <c r="AK173" s="5"/>
      <c r="AL173" s="80"/>
      <c r="AM173" s="80"/>
      <c r="AN173">
        <f>IFERROR(Tabelle2[[#This Row],[Vol_ha_22]]*0.537836177777778*Carbon_Calculations!$R$9,0)</f>
        <v>37.00752156660468</v>
      </c>
    </row>
    <row r="174" spans="1:40" x14ac:dyDescent="0.3">
      <c r="A174" s="130" t="s">
        <v>180</v>
      </c>
      <c r="B174" s="130" t="s">
        <v>647</v>
      </c>
      <c r="C174" t="s">
        <v>665</v>
      </c>
      <c r="D174" s="6">
        <v>1000</v>
      </c>
      <c r="E174" s="5"/>
      <c r="G174" s="4"/>
      <c r="H174" s="131">
        <v>2018</v>
      </c>
      <c r="I174" s="130" t="s">
        <v>647</v>
      </c>
      <c r="J174">
        <v>20</v>
      </c>
      <c r="K174" s="80"/>
      <c r="L174" s="80"/>
      <c r="O174" s="5"/>
      <c r="P174" s="5"/>
      <c r="Q174" s="80"/>
      <c r="R174" s="80"/>
      <c r="S174" s="94"/>
      <c r="T174" s="133"/>
      <c r="U174" s="5">
        <v>58.761314519999999</v>
      </c>
      <c r="V174">
        <v>58.761314519999999</v>
      </c>
      <c r="W174" s="80">
        <f>+Tabelle2[[#This Row],[Vol_ha_22]]-Tabelle2[[#This Row],[Vol_2020]]</f>
        <v>0</v>
      </c>
      <c r="X174" s="80"/>
      <c r="Y174" s="80"/>
      <c r="Z174" s="80"/>
      <c r="AA174" s="5"/>
      <c r="AB174" s="80"/>
      <c r="AC174" s="80"/>
      <c r="AD174" s="80"/>
      <c r="AE174" s="80"/>
      <c r="AF174" s="134"/>
      <c r="AG174" s="6"/>
      <c r="AH174" s="5"/>
      <c r="AI174" s="134"/>
      <c r="AJ174" s="5"/>
      <c r="AK174" s="5"/>
      <c r="AL174" s="80"/>
      <c r="AM174" s="80"/>
      <c r="AN174">
        <f>IFERROR(Tabelle2[[#This Row],[Vol_ha_22]]*0.537836177777778*Carbon_Calculations!$R$9,0)</f>
        <v>36.344554923029847</v>
      </c>
    </row>
    <row r="175" spans="1:40" x14ac:dyDescent="0.3">
      <c r="A175" s="130" t="s">
        <v>180</v>
      </c>
      <c r="B175" s="130" t="s">
        <v>648</v>
      </c>
      <c r="C175" t="s">
        <v>665</v>
      </c>
      <c r="D175" s="6">
        <v>1000</v>
      </c>
      <c r="E175" s="5"/>
      <c r="G175" s="4"/>
      <c r="H175" s="131">
        <v>2018</v>
      </c>
      <c r="I175" s="130" t="s">
        <v>648</v>
      </c>
      <c r="J175">
        <v>20</v>
      </c>
      <c r="K175" s="80"/>
      <c r="L175" s="80"/>
      <c r="O175" s="5"/>
      <c r="P175" s="5"/>
      <c r="Q175" s="80"/>
      <c r="R175" s="80"/>
      <c r="S175" s="94"/>
      <c r="T175" s="133"/>
      <c r="U175" s="5">
        <v>72.857585729999997</v>
      </c>
      <c r="V175">
        <v>72.857585729999997</v>
      </c>
      <c r="W175" s="80">
        <f>+Tabelle2[[#This Row],[Vol_ha_22]]-Tabelle2[[#This Row],[Vol_2020]]</f>
        <v>0</v>
      </c>
      <c r="X175" s="80"/>
      <c r="Y175" s="80"/>
      <c r="Z175" s="80"/>
      <c r="AA175" s="5"/>
      <c r="AB175" s="80"/>
      <c r="AC175" s="80"/>
      <c r="AD175" s="80"/>
      <c r="AE175" s="80"/>
      <c r="AF175" s="134"/>
      <c r="AG175" s="6"/>
      <c r="AH175" s="5"/>
      <c r="AI175" s="134"/>
      <c r="AJ175" s="5"/>
      <c r="AK175" s="5"/>
      <c r="AL175" s="80"/>
      <c r="AM175" s="80"/>
      <c r="AN175">
        <f>IFERROR(Tabelle2[[#This Row],[Vol_ha_22]]*0.537836177777778*Carbon_Calculations!$R$9,0)</f>
        <v>45.063262245810975</v>
      </c>
    </row>
    <row r="176" spans="1:40" x14ac:dyDescent="0.3">
      <c r="A176" s="130" t="s">
        <v>180</v>
      </c>
      <c r="B176" s="130" t="s">
        <v>649</v>
      </c>
      <c r="C176" t="s">
        <v>665</v>
      </c>
      <c r="D176" s="6">
        <v>1000</v>
      </c>
      <c r="E176" s="5"/>
      <c r="G176" s="4"/>
      <c r="H176" s="131">
        <v>2018</v>
      </c>
      <c r="I176" s="130" t="s">
        <v>649</v>
      </c>
      <c r="J176">
        <v>20</v>
      </c>
      <c r="K176" s="80"/>
      <c r="L176" s="80"/>
      <c r="O176" s="5"/>
      <c r="P176" s="5"/>
      <c r="Q176" s="80"/>
      <c r="R176" s="80"/>
      <c r="S176" s="94"/>
      <c r="T176" s="133"/>
      <c r="U176" s="5">
        <v>71.662304890000001</v>
      </c>
      <c r="V176">
        <v>71.662304890000001</v>
      </c>
      <c r="W176" s="80">
        <f>+Tabelle2[[#This Row],[Vol_ha_22]]-Tabelle2[[#This Row],[Vol_2020]]</f>
        <v>0</v>
      </c>
      <c r="X176" s="80"/>
      <c r="Y176" s="80"/>
      <c r="Z176" s="80"/>
      <c r="AA176" s="5"/>
      <c r="AB176" s="80"/>
      <c r="AC176" s="80"/>
      <c r="AD176" s="80"/>
      <c r="AE176" s="80"/>
      <c r="AF176" s="134"/>
      <c r="AG176" s="6"/>
      <c r="AH176" s="5"/>
      <c r="AI176" s="134"/>
      <c r="AJ176" s="5"/>
      <c r="AK176" s="5"/>
      <c r="AL176" s="80"/>
      <c r="AM176" s="80"/>
      <c r="AN176">
        <f>IFERROR(Tabelle2[[#This Row],[Vol_ha_22]]*0.537836177777778*Carbon_Calculations!$R$9,0)</f>
        <v>44.323967175700872</v>
      </c>
    </row>
    <row r="177" spans="1:40" x14ac:dyDescent="0.3">
      <c r="A177" s="130" t="s">
        <v>180</v>
      </c>
      <c r="B177" s="130" t="s">
        <v>650</v>
      </c>
      <c r="C177" t="s">
        <v>665</v>
      </c>
      <c r="D177" s="6">
        <v>1000</v>
      </c>
      <c r="E177" s="5"/>
      <c r="G177" s="4"/>
      <c r="H177" s="131">
        <v>2018</v>
      </c>
      <c r="I177" s="130" t="s">
        <v>650</v>
      </c>
      <c r="J177">
        <v>20</v>
      </c>
      <c r="K177" s="80"/>
      <c r="L177" s="80"/>
      <c r="O177" s="5"/>
      <c r="P177" s="5"/>
      <c r="Q177" s="80"/>
      <c r="R177" s="80"/>
      <c r="S177" s="94"/>
      <c r="T177" s="133"/>
      <c r="U177" s="5">
        <v>55.605140689999999</v>
      </c>
      <c r="V177">
        <v>55.605140689999999</v>
      </c>
      <c r="W177" s="80">
        <f>+Tabelle2[[#This Row],[Vol_ha_22]]-Tabelle2[[#This Row],[Vol_2020]]</f>
        <v>0</v>
      </c>
      <c r="X177" s="80"/>
      <c r="Y177" s="80"/>
      <c r="Z177" s="80"/>
      <c r="AA177" s="5"/>
      <c r="AB177" s="80"/>
      <c r="AC177" s="80"/>
      <c r="AD177" s="80"/>
      <c r="AE177" s="80"/>
      <c r="AF177" s="134"/>
      <c r="AG177" s="6"/>
      <c r="AH177" s="5"/>
      <c r="AI177" s="134"/>
      <c r="AJ177" s="5"/>
      <c r="AK177" s="5"/>
      <c r="AL177" s="80"/>
      <c r="AM177" s="80"/>
      <c r="AN177">
        <f>IFERROR(Tabelle2[[#This Row],[Vol_ha_22]]*0.537836177777778*Carbon_Calculations!$R$9,0)</f>
        <v>34.392424783530977</v>
      </c>
    </row>
    <row r="178" spans="1:40" x14ac:dyDescent="0.3">
      <c r="A178" s="130" t="s">
        <v>180</v>
      </c>
      <c r="B178" s="130" t="s">
        <v>651</v>
      </c>
      <c r="C178" t="s">
        <v>665</v>
      </c>
      <c r="D178" s="6">
        <v>1000</v>
      </c>
      <c r="E178" s="5"/>
      <c r="G178" s="4"/>
      <c r="H178" s="131">
        <v>2018</v>
      </c>
      <c r="I178" s="130" t="s">
        <v>651</v>
      </c>
      <c r="J178">
        <v>20</v>
      </c>
      <c r="K178" s="80"/>
      <c r="L178" s="80"/>
      <c r="O178" s="5"/>
      <c r="P178" s="5"/>
      <c r="Q178" s="80"/>
      <c r="R178" s="80"/>
      <c r="S178" s="94"/>
      <c r="T178" s="133"/>
      <c r="U178" s="5">
        <v>29.1425354</v>
      </c>
      <c r="V178">
        <v>29.1425354</v>
      </c>
      <c r="W178" s="80">
        <f>+Tabelle2[[#This Row],[Vol_ha_22]]-Tabelle2[[#This Row],[Vol_2020]]</f>
        <v>0</v>
      </c>
      <c r="X178" s="80"/>
      <c r="Y178" s="80"/>
      <c r="Z178" s="80"/>
      <c r="AA178" s="5"/>
      <c r="AB178" s="80"/>
      <c r="AC178" s="80"/>
      <c r="AD178" s="80"/>
      <c r="AE178" s="80"/>
      <c r="AF178" s="134"/>
      <c r="AG178" s="6"/>
      <c r="AH178" s="5"/>
      <c r="AI178" s="134"/>
      <c r="AJ178" s="5"/>
      <c r="AK178" s="5"/>
      <c r="AL178" s="80"/>
      <c r="AM178" s="80"/>
      <c r="AN178">
        <f>IFERROR(Tabelle2[[#This Row],[Vol_ha_22]]*0.537836177777778*Carbon_Calculations!$R$9,0)</f>
        <v>18.024996327833026</v>
      </c>
    </row>
    <row r="179" spans="1:40" x14ac:dyDescent="0.3">
      <c r="A179" s="130" t="s">
        <v>180</v>
      </c>
      <c r="B179" s="195" t="s">
        <v>652</v>
      </c>
      <c r="C179" t="s">
        <v>666</v>
      </c>
      <c r="D179" s="6">
        <v>1000</v>
      </c>
      <c r="E179" s="5"/>
      <c r="G179" s="4"/>
      <c r="H179" s="196">
        <v>2018</v>
      </c>
      <c r="I179" s="195" t="s">
        <v>652</v>
      </c>
      <c r="J179">
        <v>20</v>
      </c>
      <c r="K179" s="80"/>
      <c r="L179" s="197"/>
      <c r="O179" s="5"/>
      <c r="P179" s="5"/>
      <c r="Q179" s="197"/>
      <c r="R179" s="197"/>
      <c r="S179" s="94"/>
      <c r="T179" s="198"/>
      <c r="U179" s="5">
        <v>28.021544630000001</v>
      </c>
      <c r="V179">
        <v>28.021544630000001</v>
      </c>
      <c r="W179" s="197">
        <f>+Tabelle2[[#This Row],[Vol_ha_22]]-Tabelle2[[#This Row],[Vol_2020]]</f>
        <v>0</v>
      </c>
      <c r="X179" s="197"/>
      <c r="Y179" s="197"/>
      <c r="Z179" s="197"/>
      <c r="AA179" s="5"/>
      <c r="AB179" s="197"/>
      <c r="AC179" s="197"/>
      <c r="AD179" s="197"/>
      <c r="AE179" s="197"/>
      <c r="AF179" s="199"/>
      <c r="AG179" s="6"/>
      <c r="AH179" s="5"/>
      <c r="AI179" s="199"/>
      <c r="AJ179" s="5"/>
      <c r="AK179" s="5"/>
      <c r="AL179" s="197"/>
      <c r="AM179" s="197"/>
      <c r="AN179">
        <f>IFERROR(Tabelle2[[#This Row],[Vol_ha_22]]*0.537836177777778*Carbon_Calculations!$R$9,0)</f>
        <v>17.331650528112913</v>
      </c>
    </row>
    <row r="180" spans="1:40" x14ac:dyDescent="0.3">
      <c r="A180" s="130" t="s">
        <v>180</v>
      </c>
      <c r="B180" s="195" t="s">
        <v>653</v>
      </c>
      <c r="C180" t="s">
        <v>666</v>
      </c>
      <c r="D180" s="6">
        <v>1000</v>
      </c>
      <c r="E180" s="5"/>
      <c r="G180" s="4"/>
      <c r="H180" s="196">
        <v>2018</v>
      </c>
      <c r="I180" s="195" t="s">
        <v>653</v>
      </c>
      <c r="J180">
        <v>20</v>
      </c>
      <c r="K180" s="80"/>
      <c r="L180" s="197"/>
      <c r="O180" s="5"/>
      <c r="P180" s="5"/>
      <c r="Q180" s="197"/>
      <c r="R180" s="197"/>
      <c r="S180" s="94"/>
      <c r="T180" s="198"/>
      <c r="U180" s="5">
        <v>49.024754430000002</v>
      </c>
      <c r="V180">
        <v>49.024754430000002</v>
      </c>
      <c r="W180" s="197">
        <f>+Tabelle2[[#This Row],[Vol_ha_22]]-Tabelle2[[#This Row],[Vol_2020]]</f>
        <v>0</v>
      </c>
      <c r="X180" s="197"/>
      <c r="Y180" s="197"/>
      <c r="Z180" s="197"/>
      <c r="AA180" s="5"/>
      <c r="AB180" s="197"/>
      <c r="AC180" s="197"/>
      <c r="AD180" s="197"/>
      <c r="AE180" s="197"/>
      <c r="AF180" s="199"/>
      <c r="AG180" s="6"/>
      <c r="AH180" s="5"/>
      <c r="AI180" s="199"/>
      <c r="AJ180" s="5"/>
      <c r="AK180" s="5"/>
      <c r="AL180" s="197"/>
      <c r="AM180" s="197"/>
      <c r="AN180">
        <f>IFERROR(Tabelle2[[#This Row],[Vol_ha_22]]*0.537836177777778*Carbon_Calculations!$R$9,0)</f>
        <v>30.322379519994197</v>
      </c>
    </row>
    <row r="181" spans="1:40" x14ac:dyDescent="0.3">
      <c r="A181" s="130" t="s">
        <v>180</v>
      </c>
      <c r="B181" s="195" t="s">
        <v>654</v>
      </c>
      <c r="C181" t="s">
        <v>666</v>
      </c>
      <c r="D181" s="6">
        <v>1000</v>
      </c>
      <c r="E181" s="5"/>
      <c r="G181" s="4"/>
      <c r="H181" s="196">
        <v>2018</v>
      </c>
      <c r="I181" s="195" t="s">
        <v>654</v>
      </c>
      <c r="J181">
        <v>20</v>
      </c>
      <c r="K181" s="80"/>
      <c r="L181" s="197"/>
      <c r="O181" s="5"/>
      <c r="P181" s="5"/>
      <c r="Q181" s="197"/>
      <c r="R181" s="197"/>
      <c r="S181" s="94"/>
      <c r="T181" s="198"/>
      <c r="U181" s="5">
        <v>49.615066310000003</v>
      </c>
      <c r="V181">
        <v>49.615066310000003</v>
      </c>
      <c r="W181" s="197">
        <f>+Tabelle2[[#This Row],[Vol_ha_22]]-Tabelle2[[#This Row],[Vol_2020]]</f>
        <v>0</v>
      </c>
      <c r="X181" s="197"/>
      <c r="Y181" s="197"/>
      <c r="Z181" s="197"/>
      <c r="AA181" s="5"/>
      <c r="AB181" s="197"/>
      <c r="AC181" s="197"/>
      <c r="AD181" s="197"/>
      <c r="AE181" s="197"/>
      <c r="AF181" s="199"/>
      <c r="AG181" s="6"/>
      <c r="AH181" s="5"/>
      <c r="AI181" s="199"/>
      <c r="AJ181" s="5"/>
      <c r="AK181" s="5"/>
      <c r="AL181" s="197"/>
      <c r="AM181" s="197"/>
      <c r="AN181">
        <f>IFERROR(Tabelle2[[#This Row],[Vol_ha_22]]*0.537836177777778*Carbon_Calculations!$R$9,0)</f>
        <v>30.687494268015612</v>
      </c>
    </row>
    <row r="182" spans="1:40" x14ac:dyDescent="0.3">
      <c r="A182" s="130" t="s">
        <v>180</v>
      </c>
      <c r="B182" s="195" t="s">
        <v>655</v>
      </c>
      <c r="C182" t="s">
        <v>666</v>
      </c>
      <c r="D182" s="6">
        <v>1000</v>
      </c>
      <c r="E182" s="5"/>
      <c r="G182" s="4"/>
      <c r="H182" s="196">
        <v>2018</v>
      </c>
      <c r="I182" s="195" t="s">
        <v>655</v>
      </c>
      <c r="J182">
        <v>20</v>
      </c>
      <c r="K182" s="80"/>
      <c r="L182" s="197"/>
      <c r="O182" s="5"/>
      <c r="P182" s="5"/>
      <c r="Q182" s="197"/>
      <c r="R182" s="197"/>
      <c r="S182" s="94"/>
      <c r="T182" s="198"/>
      <c r="U182" s="5">
        <v>68.880429849999999</v>
      </c>
      <c r="V182">
        <v>68.880429849999999</v>
      </c>
      <c r="W182" s="197">
        <f>+Tabelle2[[#This Row],[Vol_ha_22]]-Tabelle2[[#This Row],[Vol_2020]]</f>
        <v>0</v>
      </c>
      <c r="X182" s="197"/>
      <c r="Y182" s="197"/>
      <c r="Z182" s="197"/>
      <c r="AA182" s="5"/>
      <c r="AB182" s="197"/>
      <c r="AC182" s="197"/>
      <c r="AD182" s="197"/>
      <c r="AE182" s="197"/>
      <c r="AF182" s="199"/>
      <c r="AG182" s="6"/>
      <c r="AH182" s="5"/>
      <c r="AI182" s="199"/>
      <c r="AJ182" s="5"/>
      <c r="AK182" s="5"/>
      <c r="AL182" s="197"/>
      <c r="AM182" s="197"/>
      <c r="AN182">
        <f>IFERROR(Tabelle2[[#This Row],[Vol_ha_22]]*0.537836177777778*Carbon_Calculations!$R$9,0)</f>
        <v>42.603345181346519</v>
      </c>
    </row>
    <row r="183" spans="1:40" x14ac:dyDescent="0.3">
      <c r="A183" s="130" t="s">
        <v>180</v>
      </c>
      <c r="B183" s="195" t="s">
        <v>656</v>
      </c>
      <c r="C183" t="s">
        <v>666</v>
      </c>
      <c r="D183" s="6">
        <v>1000</v>
      </c>
      <c r="E183" s="5"/>
      <c r="G183" s="4"/>
      <c r="H183" s="196">
        <v>2018</v>
      </c>
      <c r="I183" s="195" t="s">
        <v>656</v>
      </c>
      <c r="J183">
        <v>20</v>
      </c>
      <c r="K183" s="80"/>
      <c r="L183" s="197"/>
      <c r="O183" s="5"/>
      <c r="P183" s="5"/>
      <c r="Q183" s="197"/>
      <c r="R183" s="197"/>
      <c r="S183" s="94"/>
      <c r="T183" s="198"/>
      <c r="U183" s="5">
        <v>89.565933139999999</v>
      </c>
      <c r="V183">
        <v>89.565933139999999</v>
      </c>
      <c r="W183" s="197">
        <f>+Tabelle2[[#This Row],[Vol_ha_22]]-Tabelle2[[#This Row],[Vol_2020]]</f>
        <v>0</v>
      </c>
      <c r="X183" s="197"/>
      <c r="Y183" s="197"/>
      <c r="Z183" s="197"/>
      <c r="AA183" s="5"/>
      <c r="AB183" s="197"/>
      <c r="AC183" s="197"/>
      <c r="AD183" s="197"/>
      <c r="AE183" s="197"/>
      <c r="AF183" s="199"/>
      <c r="AG183" s="6"/>
      <c r="AH183" s="5"/>
      <c r="AI183" s="199"/>
      <c r="AJ183" s="5"/>
      <c r="AK183" s="5"/>
      <c r="AL183" s="197"/>
      <c r="AM183" s="197"/>
      <c r="AN183">
        <f>IFERROR(Tabelle2[[#This Row],[Vol_ha_22]]*0.537836177777778*Carbon_Calculations!$R$9,0)</f>
        <v>55.397569009985254</v>
      </c>
    </row>
    <row r="184" spans="1:40" x14ac:dyDescent="0.3">
      <c r="A184" s="130" t="s">
        <v>180</v>
      </c>
      <c r="B184" s="195" t="s">
        <v>657</v>
      </c>
      <c r="C184" t="s">
        <v>667</v>
      </c>
      <c r="D184" s="6">
        <v>1000</v>
      </c>
      <c r="E184" s="5"/>
      <c r="G184" s="4"/>
      <c r="H184" s="196">
        <v>2018</v>
      </c>
      <c r="I184" s="195" t="s">
        <v>657</v>
      </c>
      <c r="J184">
        <v>20</v>
      </c>
      <c r="K184" s="80"/>
      <c r="L184" s="197"/>
      <c r="O184" s="5"/>
      <c r="P184" s="5"/>
      <c r="Q184" s="197"/>
      <c r="R184" s="197"/>
      <c r="S184" s="94"/>
      <c r="T184" s="198"/>
      <c r="U184" s="5">
        <v>92.504554589999998</v>
      </c>
      <c r="V184">
        <v>92.504554589999998</v>
      </c>
      <c r="W184" s="197">
        <f>+Tabelle2[[#This Row],[Vol_ha_22]]-Tabelle2[[#This Row],[Vol_2020]]</f>
        <v>0</v>
      </c>
      <c r="X184" s="197"/>
      <c r="Y184" s="197"/>
      <c r="Z184" s="197"/>
      <c r="AA184" s="5"/>
      <c r="AB184" s="197"/>
      <c r="AC184" s="197"/>
      <c r="AD184" s="197"/>
      <c r="AE184" s="197"/>
      <c r="AF184" s="199"/>
      <c r="AG184" s="6"/>
      <c r="AH184" s="5"/>
      <c r="AI184" s="199"/>
      <c r="AJ184" s="5"/>
      <c r="AK184" s="5"/>
      <c r="AL184" s="197"/>
      <c r="AM184" s="197"/>
      <c r="AN184">
        <f>IFERROR(Tabelle2[[#This Row],[Vol_ha_22]]*0.537836177777778*Carbon_Calculations!$R$9,0)</f>
        <v>57.215140477879615</v>
      </c>
    </row>
    <row r="185" spans="1:40" x14ac:dyDescent="0.3">
      <c r="A185" s="130" t="s">
        <v>180</v>
      </c>
      <c r="B185" s="195" t="s">
        <v>658</v>
      </c>
      <c r="C185" t="s">
        <v>667</v>
      </c>
      <c r="D185" s="6">
        <v>1000</v>
      </c>
      <c r="E185" s="5"/>
      <c r="G185" s="4"/>
      <c r="H185" s="196">
        <v>2018</v>
      </c>
      <c r="I185" s="195" t="s">
        <v>658</v>
      </c>
      <c r="J185">
        <v>20</v>
      </c>
      <c r="K185" s="80"/>
      <c r="L185" s="197"/>
      <c r="O185" s="5"/>
      <c r="P185" s="5"/>
      <c r="Q185" s="197"/>
      <c r="R185" s="197"/>
      <c r="S185" s="94"/>
      <c r="T185" s="198"/>
      <c r="U185" s="5">
        <v>75.824402149999997</v>
      </c>
      <c r="V185">
        <v>75.824402149999997</v>
      </c>
      <c r="W185" s="197">
        <f>+Tabelle2[[#This Row],[Vol_ha_22]]-Tabelle2[[#This Row],[Vol_2020]]</f>
        <v>0</v>
      </c>
      <c r="X185" s="197"/>
      <c r="Y185" s="197"/>
      <c r="Z185" s="197"/>
      <c r="AA185" s="5"/>
      <c r="AB185" s="197"/>
      <c r="AC185" s="197"/>
      <c r="AD185" s="197"/>
      <c r="AE185" s="197"/>
      <c r="AF185" s="199"/>
      <c r="AG185" s="6"/>
      <c r="AH185" s="5"/>
      <c r="AI185" s="199"/>
      <c r="AJ185" s="5"/>
      <c r="AK185" s="5"/>
      <c r="AL185" s="197"/>
      <c r="AM185" s="197"/>
      <c r="AN185">
        <f>IFERROR(Tabelle2[[#This Row],[Vol_ha_22]]*0.537836177777778*Carbon_Calculations!$R$9,0)</f>
        <v>46.898272629837301</v>
      </c>
    </row>
    <row r="186" spans="1:40" x14ac:dyDescent="0.3">
      <c r="A186" s="130" t="s">
        <v>180</v>
      </c>
      <c r="B186" s="195" t="s">
        <v>659</v>
      </c>
      <c r="C186" t="s">
        <v>667</v>
      </c>
      <c r="D186" s="6">
        <v>1000</v>
      </c>
      <c r="E186" s="5"/>
      <c r="G186" s="4"/>
      <c r="H186" s="196">
        <v>2018</v>
      </c>
      <c r="I186" s="195" t="s">
        <v>659</v>
      </c>
      <c r="J186">
        <v>20</v>
      </c>
      <c r="K186" s="80"/>
      <c r="L186" s="197"/>
      <c r="O186" s="5"/>
      <c r="P186" s="5"/>
      <c r="Q186" s="197"/>
      <c r="R186" s="197"/>
      <c r="S186" s="94"/>
      <c r="T186" s="198"/>
      <c r="U186" s="5">
        <v>49.205088920000001</v>
      </c>
      <c r="V186">
        <v>49.205088920000001</v>
      </c>
      <c r="W186" s="197">
        <f>+Tabelle2[[#This Row],[Vol_ha_22]]-Tabelle2[[#This Row],[Vol_2020]]</f>
        <v>0</v>
      </c>
      <c r="X186" s="197"/>
      <c r="Y186" s="197"/>
      <c r="Z186" s="197"/>
      <c r="AA186" s="5"/>
      <c r="AB186" s="197"/>
      <c r="AC186" s="197"/>
      <c r="AD186" s="197"/>
      <c r="AE186" s="197"/>
      <c r="AF186" s="199"/>
      <c r="AG186" s="6"/>
      <c r="AH186" s="5"/>
      <c r="AI186" s="199"/>
      <c r="AJ186" s="5"/>
      <c r="AK186" s="5"/>
      <c r="AL186" s="197"/>
      <c r="AM186" s="197"/>
      <c r="AN186">
        <f>IFERROR(Tabelle2[[#This Row],[Vol_ha_22]]*0.537836177777778*Carbon_Calculations!$R$9,0)</f>
        <v>30.433918494740769</v>
      </c>
    </row>
    <row r="187" spans="1:40" x14ac:dyDescent="0.3">
      <c r="A187" s="130" t="s">
        <v>180</v>
      </c>
      <c r="B187" s="195" t="s">
        <v>660</v>
      </c>
      <c r="C187" t="s">
        <v>667</v>
      </c>
      <c r="D187" s="6">
        <v>1000</v>
      </c>
      <c r="E187" s="5"/>
      <c r="G187" s="4"/>
      <c r="H187" s="196">
        <v>2018</v>
      </c>
      <c r="I187" s="195" t="s">
        <v>660</v>
      </c>
      <c r="J187">
        <v>20</v>
      </c>
      <c r="K187" s="80"/>
      <c r="L187" s="197"/>
      <c r="O187" s="5"/>
      <c r="P187" s="5"/>
      <c r="Q187" s="197"/>
      <c r="R187" s="197"/>
      <c r="S187" s="94"/>
      <c r="T187" s="198"/>
      <c r="U187" s="5">
        <v>78.390559420000002</v>
      </c>
      <c r="V187">
        <v>78.390559420000002</v>
      </c>
      <c r="W187" s="197">
        <f>+Tabelle2[[#This Row],[Vol_ha_22]]-Tabelle2[[#This Row],[Vol_2020]]</f>
        <v>0</v>
      </c>
      <c r="X187" s="197"/>
      <c r="Y187" s="197"/>
      <c r="Z187" s="197"/>
      <c r="AA187" s="5"/>
      <c r="AB187" s="197"/>
      <c r="AC187" s="197"/>
      <c r="AD187" s="197"/>
      <c r="AE187" s="197"/>
      <c r="AF187" s="199"/>
      <c r="AG187" s="6"/>
      <c r="AH187" s="5"/>
      <c r="AI187" s="199"/>
      <c r="AJ187" s="5"/>
      <c r="AK187" s="5"/>
      <c r="AL187" s="197"/>
      <c r="AM187" s="197"/>
      <c r="AN187">
        <f>IFERROR(Tabelle2[[#This Row],[Vol_ha_22]]*0.537836177777778*Carbon_Calculations!$R$9,0)</f>
        <v>48.485470680161782</v>
      </c>
    </row>
    <row r="188" spans="1:40" x14ac:dyDescent="0.3">
      <c r="A188" s="130" t="s">
        <v>180</v>
      </c>
      <c r="B188" s="195" t="s">
        <v>661</v>
      </c>
      <c r="C188" t="s">
        <v>668</v>
      </c>
      <c r="D188" s="6">
        <v>1000</v>
      </c>
      <c r="E188" s="5"/>
      <c r="G188" s="4"/>
      <c r="H188" s="196">
        <v>2020</v>
      </c>
      <c r="I188" s="195" t="s">
        <v>661</v>
      </c>
      <c r="J188">
        <v>20</v>
      </c>
      <c r="K188" s="80"/>
      <c r="L188" s="197"/>
      <c r="O188" s="5"/>
      <c r="P188" s="5"/>
      <c r="Q188" s="197"/>
      <c r="R188" s="197"/>
      <c r="S188" s="94"/>
      <c r="T188" s="198"/>
      <c r="U188" s="5">
        <v>76.908452069999996</v>
      </c>
      <c r="V188">
        <v>76.908452069999996</v>
      </c>
      <c r="W188" s="197">
        <f>+Tabelle2[[#This Row],[Vol_ha_22]]-Tabelle2[[#This Row],[Vol_2020]]</f>
        <v>0</v>
      </c>
      <c r="X188" s="197"/>
      <c r="Y188" s="197"/>
      <c r="Z188" s="197"/>
      <c r="AA188" s="5"/>
      <c r="AB188" s="197"/>
      <c r="AC188" s="197"/>
      <c r="AD188" s="197"/>
      <c r="AE188" s="197"/>
      <c r="AF188" s="199"/>
      <c r="AG188" s="6"/>
      <c r="AH188" s="5"/>
      <c r="AI188" s="199"/>
      <c r="AJ188" s="5"/>
      <c r="AK188" s="5"/>
      <c r="AL188" s="197"/>
      <c r="AM188" s="197"/>
      <c r="AN188">
        <f>IFERROR(Tabelle2[[#This Row],[Vol_ha_22]]*0.537836177777778*Carbon_Calculations!$R$9,0)</f>
        <v>47.568770085154377</v>
      </c>
    </row>
    <row r="189" spans="1:40" x14ac:dyDescent="0.3">
      <c r="A189" s="130" t="s">
        <v>180</v>
      </c>
      <c r="B189" s="195" t="s">
        <v>662</v>
      </c>
      <c r="C189" t="s">
        <v>668</v>
      </c>
      <c r="D189" s="6">
        <v>1000</v>
      </c>
      <c r="E189" s="5"/>
      <c r="G189" s="4"/>
      <c r="H189" s="196">
        <v>2020</v>
      </c>
      <c r="I189" s="195" t="s">
        <v>662</v>
      </c>
      <c r="J189">
        <v>20</v>
      </c>
      <c r="K189" s="80"/>
      <c r="L189" s="197"/>
      <c r="O189" s="5"/>
      <c r="P189" s="5"/>
      <c r="Q189" s="197"/>
      <c r="R189" s="197"/>
      <c r="S189" s="94"/>
      <c r="T189" s="198"/>
      <c r="U189" s="5">
        <v>41.266845230000001</v>
      </c>
      <c r="V189">
        <v>41.266845230000001</v>
      </c>
      <c r="W189" s="197">
        <f>+Tabelle2[[#This Row],[Vol_ha_22]]-Tabelle2[[#This Row],[Vol_2020]]</f>
        <v>0</v>
      </c>
      <c r="X189" s="197"/>
      <c r="Y189" s="197"/>
      <c r="Z189" s="197"/>
      <c r="AA189" s="5"/>
      <c r="AB189" s="197"/>
      <c r="AC189" s="197"/>
      <c r="AD189" s="197"/>
      <c r="AE189" s="197"/>
      <c r="AF189" s="199"/>
      <c r="AG189" s="6"/>
      <c r="AH189" s="5"/>
      <c r="AI189" s="199"/>
      <c r="AJ189" s="5"/>
      <c r="AK189" s="5"/>
      <c r="AL189" s="197"/>
      <c r="AM189" s="197"/>
      <c r="AN189">
        <f>IFERROR(Tabelle2[[#This Row],[Vol_ha_22]]*0.537836177777778*Carbon_Calculations!$R$9,0)</f>
        <v>25.524022653567879</v>
      </c>
    </row>
    <row r="190" spans="1:40" x14ac:dyDescent="0.3">
      <c r="A190" s="130" t="s">
        <v>180</v>
      </c>
      <c r="B190" s="195" t="s">
        <v>663</v>
      </c>
      <c r="C190" t="s">
        <v>668</v>
      </c>
      <c r="D190" s="6">
        <v>1000</v>
      </c>
      <c r="E190" s="5"/>
      <c r="G190" s="4"/>
      <c r="H190" s="196">
        <v>2020</v>
      </c>
      <c r="I190" s="195" t="s">
        <v>663</v>
      </c>
      <c r="J190">
        <v>20</v>
      </c>
      <c r="K190" s="80"/>
      <c r="L190" s="197"/>
      <c r="O190" s="5"/>
      <c r="P190" s="5"/>
      <c r="Q190" s="197"/>
      <c r="R190" s="197"/>
      <c r="S190" s="94"/>
      <c r="T190" s="198"/>
      <c r="U190" s="5">
        <v>75.333140569999998</v>
      </c>
      <c r="V190">
        <v>75.333140569999998</v>
      </c>
      <c r="W190" s="197">
        <f>+Tabelle2[[#This Row],[Vol_ha_22]]-Tabelle2[[#This Row],[Vol_2020]]</f>
        <v>0</v>
      </c>
      <c r="X190" s="197"/>
      <c r="Y190" s="197"/>
      <c r="Z190" s="197"/>
      <c r="AA190" s="5"/>
      <c r="AB190" s="197"/>
      <c r="AC190" s="197"/>
      <c r="AD190" s="197"/>
      <c r="AE190" s="197"/>
      <c r="AF190" s="199"/>
      <c r="AG190" s="6"/>
      <c r="AH190" s="5"/>
      <c r="AI190" s="199"/>
      <c r="AJ190" s="5"/>
      <c r="AK190" s="5"/>
      <c r="AL190" s="197"/>
      <c r="AM190" s="197"/>
      <c r="AN190">
        <f>IFERROR(Tabelle2[[#This Row],[Vol_ha_22]]*0.537836177777778*Carbon_Calculations!$R$9,0)</f>
        <v>46.594421641789594</v>
      </c>
    </row>
  </sheetData>
  <pageMargins left="0.7" right="0.7" top="0.78740157500000008" bottom="0.78740157500000008" header="0.3" footer="0.3"/>
  <pageSetup paperSize="9" orientation="portrait" verticalDpi="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DB03-4E8C-4FE6-8404-49AAED8BA2AF}">
  <dimension ref="A1:P34"/>
  <sheetViews>
    <sheetView showGridLines="0" topLeftCell="A12" workbookViewId="0">
      <selection activeCell="K20" sqref="A20:K20"/>
    </sheetView>
  </sheetViews>
  <sheetFormatPr defaultRowHeight="14.4" x14ac:dyDescent="0.3"/>
  <cols>
    <col min="1" max="1" width="19.109375" bestFit="1" customWidth="1"/>
    <col min="2" max="3" width="18.109375" style="116" bestFit="1" customWidth="1"/>
    <col min="7" max="7" width="11.77734375" bestFit="1" customWidth="1"/>
    <col min="8" max="8" width="12" bestFit="1" customWidth="1"/>
    <col min="11" max="11" width="11.6640625" customWidth="1"/>
    <col min="12" max="12" width="11.44140625" customWidth="1"/>
    <col min="13" max="13" width="13.5546875" customWidth="1"/>
    <col min="14" max="14" width="9" bestFit="1" customWidth="1"/>
    <col min="15" max="15" width="13.77734375" customWidth="1"/>
    <col min="16" max="16" width="14.44140625" customWidth="1"/>
  </cols>
  <sheetData>
    <row r="1" spans="1:16" x14ac:dyDescent="0.3">
      <c r="A1" t="s">
        <v>609</v>
      </c>
      <c r="B1" t="s">
        <v>610</v>
      </c>
      <c r="C1"/>
    </row>
    <row r="2" spans="1:16" x14ac:dyDescent="0.3">
      <c r="A2">
        <v>57.267314112839166</v>
      </c>
      <c r="B2" s="200">
        <v>57.267314112839166</v>
      </c>
      <c r="C2"/>
      <c r="F2" t="s">
        <v>612</v>
      </c>
      <c r="G2" s="116" t="s">
        <v>627</v>
      </c>
      <c r="H2" s="116" t="s">
        <v>628</v>
      </c>
    </row>
    <row r="3" spans="1:16" ht="15" thickBot="1" x14ac:dyDescent="0.35">
      <c r="B3"/>
      <c r="C3"/>
      <c r="D3" s="26">
        <f>+'[1]Ex-Ante - 1ha model'!$AL$117</f>
        <v>82.26064013884023</v>
      </c>
      <c r="E3" s="175">
        <f>+B3-D3</f>
        <v>-82.26064013884023</v>
      </c>
      <c r="F3">
        <v>161</v>
      </c>
      <c r="G3" s="116">
        <f>+F3*B3</f>
        <v>0</v>
      </c>
      <c r="H3" s="116">
        <f>+F3*D3</f>
        <v>13243.963062353278</v>
      </c>
    </row>
    <row r="4" spans="1:16" ht="57.6" x14ac:dyDescent="0.3">
      <c r="B4"/>
      <c r="C4"/>
      <c r="D4" s="26">
        <f>+'[1]Ex-Ante - 1ha model'!$AL$66</f>
        <v>103.186592454861</v>
      </c>
      <c r="E4" s="26">
        <f t="shared" ref="E4:E13" si="0">+B4-D4</f>
        <v>-103.186592454861</v>
      </c>
      <c r="F4">
        <v>184.5</v>
      </c>
      <c r="G4" s="116">
        <f t="shared" ref="G4:G8" si="1">+F4*B4</f>
        <v>0</v>
      </c>
      <c r="H4" s="116">
        <f t="shared" ref="H4:H8" si="2">+F4*D4</f>
        <v>19037.926307921854</v>
      </c>
      <c r="K4" s="184" t="s">
        <v>629</v>
      </c>
      <c r="L4" s="185" t="s">
        <v>636</v>
      </c>
      <c r="M4" s="185" t="s">
        <v>637</v>
      </c>
      <c r="N4" s="185" t="s">
        <v>44</v>
      </c>
      <c r="O4" s="186" t="s">
        <v>634</v>
      </c>
      <c r="P4" s="187" t="s">
        <v>635</v>
      </c>
    </row>
    <row r="5" spans="1:16" x14ac:dyDescent="0.3">
      <c r="B5"/>
      <c r="C5"/>
      <c r="E5" s="26"/>
      <c r="G5" s="116">
        <f t="shared" si="1"/>
        <v>0</v>
      </c>
      <c r="H5" s="116">
        <f t="shared" si="2"/>
        <v>0</v>
      </c>
      <c r="K5" s="177" t="s">
        <v>159</v>
      </c>
      <c r="L5" s="176">
        <v>63.919550374800018</v>
      </c>
      <c r="M5" s="176">
        <v>82.26064013884023</v>
      </c>
      <c r="N5" s="176">
        <v>161</v>
      </c>
      <c r="O5" s="180">
        <v>10291.047610342803</v>
      </c>
      <c r="P5" s="181">
        <v>13243.963062353278</v>
      </c>
    </row>
    <row r="6" spans="1:16" x14ac:dyDescent="0.3">
      <c r="B6"/>
      <c r="C6"/>
      <c r="D6" s="26">
        <f>+'[1]Ex-Ante - 1ha model'!$AL$178</f>
        <v>29.05717950167455</v>
      </c>
      <c r="E6" s="26">
        <f t="shared" si="0"/>
        <v>-29.05717950167455</v>
      </c>
      <c r="F6">
        <v>41</v>
      </c>
      <c r="G6" s="116">
        <f t="shared" si="1"/>
        <v>0</v>
      </c>
      <c r="H6" s="116">
        <f t="shared" si="2"/>
        <v>1191.3443595686565</v>
      </c>
      <c r="K6" s="177" t="s">
        <v>630</v>
      </c>
      <c r="L6" s="176">
        <v>104.22885623000001</v>
      </c>
      <c r="M6" s="176">
        <v>103.186592454861</v>
      </c>
      <c r="N6" s="176">
        <v>184.5</v>
      </c>
      <c r="O6" s="180">
        <v>19230.223974435001</v>
      </c>
      <c r="P6" s="181">
        <v>19037.926307921854</v>
      </c>
    </row>
    <row r="7" spans="1:16" x14ac:dyDescent="0.3">
      <c r="B7"/>
      <c r="C7"/>
      <c r="D7" s="26">
        <f>+'[1]Ex-Ante - 1ha model'!$AL$116</f>
        <v>37.359230787867276</v>
      </c>
      <c r="E7" s="26">
        <f t="shared" si="0"/>
        <v>-37.359230787867276</v>
      </c>
      <c r="F7">
        <v>252</v>
      </c>
      <c r="G7" s="116">
        <f t="shared" si="1"/>
        <v>0</v>
      </c>
      <c r="H7" s="116">
        <f t="shared" si="2"/>
        <v>9414.5261585425542</v>
      </c>
      <c r="K7" s="177" t="s">
        <v>631</v>
      </c>
      <c r="L7" s="176">
        <v>36.383447135333334</v>
      </c>
      <c r="M7" s="176">
        <v>29.05717950167455</v>
      </c>
      <c r="N7" s="176">
        <v>41</v>
      </c>
      <c r="O7" s="180">
        <v>1491.7213325486666</v>
      </c>
      <c r="P7" s="181">
        <v>1191.3443595686565</v>
      </c>
    </row>
    <row r="8" spans="1:16" x14ac:dyDescent="0.3">
      <c r="B8"/>
      <c r="C8"/>
      <c r="D8" s="26">
        <f>+'[1]Ex-Ante - 1ha model'!$AL$65</f>
        <v>47.235809042131038</v>
      </c>
      <c r="E8" s="26">
        <f t="shared" si="0"/>
        <v>-47.235809042131038</v>
      </c>
      <c r="F8">
        <v>354</v>
      </c>
      <c r="G8" s="116">
        <f t="shared" si="1"/>
        <v>0</v>
      </c>
      <c r="H8" s="116">
        <f t="shared" si="2"/>
        <v>16721.476400914387</v>
      </c>
      <c r="K8" s="177" t="s">
        <v>632</v>
      </c>
      <c r="L8" s="176">
        <v>56.391714468157907</v>
      </c>
      <c r="M8" s="176">
        <v>37.359230787867276</v>
      </c>
      <c r="N8" s="176">
        <v>252</v>
      </c>
      <c r="O8" s="180">
        <v>14210.712045975793</v>
      </c>
      <c r="P8" s="181">
        <v>9414.5261585425542</v>
      </c>
    </row>
    <row r="9" spans="1:16" x14ac:dyDescent="0.3">
      <c r="B9"/>
      <c r="C9"/>
      <c r="E9" s="26"/>
      <c r="G9" s="116">
        <f>SUM(G3:G8)</f>
        <v>0</v>
      </c>
      <c r="H9" s="116">
        <f>SUM(H3:H8)</f>
        <v>59609.236289300723</v>
      </c>
      <c r="K9" s="177" t="s">
        <v>633</v>
      </c>
      <c r="L9" s="176">
        <v>57.29317634542857</v>
      </c>
      <c r="M9" s="176">
        <v>47.235809042131038</v>
      </c>
      <c r="N9" s="176">
        <v>354</v>
      </c>
      <c r="O9" s="180">
        <v>20281.784426281713</v>
      </c>
      <c r="P9" s="181">
        <v>16721.476400914387</v>
      </c>
    </row>
    <row r="10" spans="1:16" ht="15" thickBot="1" x14ac:dyDescent="0.35">
      <c r="B10"/>
      <c r="C10"/>
      <c r="D10" s="26">
        <f>+'[1]Ex-Ante - 1ha model'!$AL$177</f>
        <v>9.7033979592346267</v>
      </c>
      <c r="E10" s="26">
        <f t="shared" si="0"/>
        <v>-9.7033979592346267</v>
      </c>
      <c r="K10" s="178" t="s">
        <v>72</v>
      </c>
      <c r="L10" s="179"/>
      <c r="M10" s="179"/>
      <c r="N10" s="179"/>
      <c r="O10" s="182">
        <f>SUM(O5:O9)</f>
        <v>65505.489389583978</v>
      </c>
      <c r="P10" s="183">
        <f>SUM(P5:P9)</f>
        <v>59609.236289300723</v>
      </c>
    </row>
    <row r="11" spans="1:16" x14ac:dyDescent="0.3">
      <c r="B11"/>
      <c r="C11"/>
      <c r="D11" s="26">
        <f>+'[1]Ex-Ante - 1ha model'!$AL$177</f>
        <v>9.7033979592346267</v>
      </c>
      <c r="E11" s="26">
        <f t="shared" si="0"/>
        <v>-9.7033979592346267</v>
      </c>
    </row>
    <row r="12" spans="1:16" x14ac:dyDescent="0.3">
      <c r="B12"/>
      <c r="C12"/>
      <c r="D12" s="26">
        <f>+'[1]Ex-Ante - 1ha model'!$AL$115</f>
        <v>14.662912471732325</v>
      </c>
      <c r="E12" s="175">
        <f t="shared" si="0"/>
        <v>-14.662912471732325</v>
      </c>
    </row>
    <row r="13" spans="1:16" x14ac:dyDescent="0.3">
      <c r="B13"/>
      <c r="C13"/>
      <c r="D13" s="26">
        <f>+'[1]Ex-Ante - 1ha model'!$AL$64</f>
        <v>18.328640589665405</v>
      </c>
      <c r="E13" s="26">
        <f t="shared" si="0"/>
        <v>-18.328640589665405</v>
      </c>
    </row>
    <row r="14" spans="1:16" x14ac:dyDescent="0.3">
      <c r="B14"/>
      <c r="C14"/>
    </row>
    <row r="15" spans="1:16" x14ac:dyDescent="0.3">
      <c r="C15"/>
    </row>
    <row r="16" spans="1:16" x14ac:dyDescent="0.3">
      <c r="C16"/>
    </row>
    <row r="17" spans="1:9" x14ac:dyDescent="0.3">
      <c r="B17" s="116" t="s">
        <v>611</v>
      </c>
    </row>
    <row r="18" spans="1:9" x14ac:dyDescent="0.3">
      <c r="B18" s="116" t="s">
        <v>612</v>
      </c>
    </row>
    <row r="20" spans="1:9" ht="100.8" x14ac:dyDescent="0.3">
      <c r="A20" s="168" t="s">
        <v>618</v>
      </c>
      <c r="B20" s="170" t="s">
        <v>619</v>
      </c>
      <c r="C20" s="169" t="s">
        <v>620</v>
      </c>
      <c r="D20" s="169" t="s">
        <v>621</v>
      </c>
      <c r="E20" s="168" t="s">
        <v>622</v>
      </c>
      <c r="F20" s="168" t="s">
        <v>623</v>
      </c>
      <c r="G20" s="168" t="s">
        <v>624</v>
      </c>
      <c r="H20" s="168" t="s">
        <v>625</v>
      </c>
      <c r="I20" s="169" t="s">
        <v>626</v>
      </c>
    </row>
    <row r="21" spans="1:9" x14ac:dyDescent="0.3">
      <c r="A21" s="155" t="s">
        <v>180</v>
      </c>
      <c r="B21" s="171">
        <v>1692.5</v>
      </c>
      <c r="C21" s="156">
        <v>1272</v>
      </c>
      <c r="D21" s="156">
        <v>1272</v>
      </c>
      <c r="E21" s="157">
        <v>76693.349176372445</v>
      </c>
      <c r="F21" s="156">
        <v>60.29351350343746</v>
      </c>
      <c r="G21" s="156">
        <v>83288.71994197274</v>
      </c>
      <c r="H21" s="158">
        <v>31.53618906942393</v>
      </c>
      <c r="I21" s="158">
        <v>36.982397234127355</v>
      </c>
    </row>
    <row r="22" spans="1:9" x14ac:dyDescent="0.3">
      <c r="A22" s="159" t="s">
        <v>485</v>
      </c>
      <c r="B22" s="172">
        <v>697.5</v>
      </c>
      <c r="C22" s="160">
        <v>697.5</v>
      </c>
      <c r="D22" s="160">
        <v>697.5</v>
      </c>
      <c r="E22" s="160">
        <v>48267.553155177447</v>
      </c>
      <c r="F22" s="160"/>
      <c r="G22" s="160">
        <v>52426.863720768619</v>
      </c>
      <c r="H22" s="161">
        <v>39.200000000000003</v>
      </c>
      <c r="I22" s="161">
        <v>42.545270241698923</v>
      </c>
    </row>
    <row r="23" spans="1:9" x14ac:dyDescent="0.3">
      <c r="A23" s="162">
        <v>2018</v>
      </c>
      <c r="B23" s="173">
        <v>156.5</v>
      </c>
      <c r="C23" s="163">
        <v>156.5</v>
      </c>
      <c r="D23" s="163">
        <v>156.5</v>
      </c>
      <c r="E23" s="163"/>
      <c r="F23" s="163"/>
      <c r="G23" s="163"/>
      <c r="H23" s="164"/>
      <c r="I23" s="164">
        <v>44.0016627513738</v>
      </c>
    </row>
    <row r="24" spans="1:9" x14ac:dyDescent="0.3">
      <c r="A24" s="162">
        <v>2019</v>
      </c>
      <c r="B24" s="173">
        <v>354</v>
      </c>
      <c r="C24" s="163">
        <v>354</v>
      </c>
      <c r="D24" s="163">
        <v>354</v>
      </c>
      <c r="E24" s="163"/>
      <c r="F24" s="163"/>
      <c r="G24" s="163"/>
      <c r="H24" s="164"/>
      <c r="I24" s="164">
        <v>40.604705573432199</v>
      </c>
    </row>
    <row r="25" spans="1:9" x14ac:dyDescent="0.3">
      <c r="A25" s="162">
        <v>2020</v>
      </c>
      <c r="B25" s="173">
        <v>187</v>
      </c>
      <c r="C25" s="163">
        <v>187</v>
      </c>
      <c r="D25" s="163">
        <v>187</v>
      </c>
      <c r="E25" s="163"/>
      <c r="F25" s="163"/>
      <c r="G25" s="163"/>
      <c r="H25" s="164"/>
      <c r="I25" s="164">
        <v>45</v>
      </c>
    </row>
    <row r="26" spans="1:9" x14ac:dyDescent="0.3">
      <c r="A26" s="159" t="s">
        <v>613</v>
      </c>
      <c r="B26" s="172">
        <v>413</v>
      </c>
      <c r="C26" s="160">
        <v>413</v>
      </c>
      <c r="D26" s="160">
        <v>413</v>
      </c>
      <c r="E26" s="160">
        <v>24814.768026233403</v>
      </c>
      <c r="F26" s="160"/>
      <c r="G26" s="160">
        <v>52426.863720768619</v>
      </c>
      <c r="H26" s="161">
        <v>34</v>
      </c>
      <c r="I26" s="161">
        <v>30.520716215363191</v>
      </c>
    </row>
    <row r="27" spans="1:9" x14ac:dyDescent="0.3">
      <c r="A27" s="162">
        <v>2018</v>
      </c>
      <c r="B27" s="173">
        <v>161</v>
      </c>
      <c r="C27" s="163">
        <v>161</v>
      </c>
      <c r="D27" s="163">
        <v>161</v>
      </c>
      <c r="E27" s="163"/>
      <c r="F27" s="163"/>
      <c r="G27" s="163"/>
      <c r="H27" s="164"/>
      <c r="I27" s="164">
        <v>27.370254208509312</v>
      </c>
    </row>
    <row r="28" spans="1:9" x14ac:dyDescent="0.3">
      <c r="A28" s="162">
        <v>2019</v>
      </c>
      <c r="B28" s="173">
        <v>252</v>
      </c>
      <c r="C28" s="163">
        <v>252</v>
      </c>
      <c r="D28" s="163">
        <v>252</v>
      </c>
      <c r="E28" s="163"/>
      <c r="F28" s="163"/>
      <c r="G28" s="163"/>
      <c r="H28" s="164"/>
      <c r="I28" s="164">
        <v>32.533511386408733</v>
      </c>
    </row>
    <row r="29" spans="1:9" x14ac:dyDescent="0.3">
      <c r="A29" s="159" t="s">
        <v>614</v>
      </c>
      <c r="B29" s="172">
        <v>161.5</v>
      </c>
      <c r="C29" s="160">
        <v>161.5</v>
      </c>
      <c r="D29" s="160">
        <v>161.5</v>
      </c>
      <c r="E29" s="160">
        <v>3611.0279949616224</v>
      </c>
      <c r="F29" s="160"/>
      <c r="G29" s="160">
        <v>26830.485412452297</v>
      </c>
      <c r="H29" s="161">
        <v>25</v>
      </c>
      <c r="I29" s="161">
        <v>29.481284775727556</v>
      </c>
    </row>
    <row r="30" spans="1:9" x14ac:dyDescent="0.3">
      <c r="A30" s="162">
        <v>2019</v>
      </c>
      <c r="B30" s="173">
        <v>41</v>
      </c>
      <c r="C30" s="163">
        <v>41</v>
      </c>
      <c r="D30" s="163">
        <v>41</v>
      </c>
      <c r="E30" s="163"/>
      <c r="F30" s="163"/>
      <c r="G30" s="163"/>
      <c r="H30" s="164"/>
      <c r="I30" s="164">
        <v>27.023443475487806</v>
      </c>
    </row>
    <row r="31" spans="1:9" x14ac:dyDescent="0.3">
      <c r="A31" s="162">
        <v>2020</v>
      </c>
      <c r="B31" s="173">
        <v>120.5</v>
      </c>
      <c r="C31" s="163">
        <v>120.5</v>
      </c>
      <c r="D31" s="163">
        <v>120.5</v>
      </c>
      <c r="E31" s="163"/>
      <c r="F31" s="163"/>
      <c r="G31" s="163"/>
      <c r="H31" s="164"/>
      <c r="I31" s="164">
        <v>30.317562728506225</v>
      </c>
    </row>
    <row r="32" spans="1:9" x14ac:dyDescent="0.3">
      <c r="A32" s="159" t="s">
        <v>615</v>
      </c>
      <c r="B32" s="172">
        <v>35</v>
      </c>
      <c r="C32" s="160">
        <v>0</v>
      </c>
      <c r="D32" s="160">
        <v>0</v>
      </c>
      <c r="E32" s="160">
        <v>0</v>
      </c>
      <c r="F32" s="160"/>
      <c r="G32" s="160">
        <v>0</v>
      </c>
      <c r="H32" s="161">
        <v>40</v>
      </c>
      <c r="I32" s="161"/>
    </row>
    <row r="33" spans="1:9" x14ac:dyDescent="0.3">
      <c r="A33" s="159" t="s">
        <v>616</v>
      </c>
      <c r="B33" s="172">
        <v>385.5</v>
      </c>
      <c r="C33" s="160">
        <v>0</v>
      </c>
      <c r="D33" s="160">
        <v>0</v>
      </c>
      <c r="E33" s="160">
        <v>0</v>
      </c>
      <c r="F33" s="160"/>
      <c r="G33" s="160">
        <v>0</v>
      </c>
      <c r="H33" s="161">
        <v>17</v>
      </c>
      <c r="I33" s="161"/>
    </row>
    <row r="34" spans="1:9" x14ac:dyDescent="0.3">
      <c r="A34" s="165" t="s">
        <v>617</v>
      </c>
      <c r="B34" s="174">
        <v>0</v>
      </c>
      <c r="C34" s="166">
        <v>0</v>
      </c>
      <c r="D34" s="166">
        <v>0</v>
      </c>
      <c r="E34" s="166">
        <v>0</v>
      </c>
      <c r="F34" s="166"/>
      <c r="G34" s="166"/>
      <c r="H34" s="167">
        <v>28</v>
      </c>
      <c r="I34" s="16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B8BFA-A623-46FD-AEED-C0D09DFD8284}">
  <dimension ref="A2:AS140"/>
  <sheetViews>
    <sheetView topLeftCell="A97" workbookViewId="0">
      <selection activeCell="A2" sqref="A2:AS140"/>
    </sheetView>
  </sheetViews>
  <sheetFormatPr defaultRowHeight="14.4" x14ac:dyDescent="0.3"/>
  <sheetData>
    <row r="2" spans="1:45" x14ac:dyDescent="0.3">
      <c r="A2" s="128" t="s">
        <v>1</v>
      </c>
      <c r="B2" s="128" t="s">
        <v>2</v>
      </c>
      <c r="C2" s="128" t="s">
        <v>575</v>
      </c>
      <c r="D2" s="128" t="s">
        <v>576</v>
      </c>
      <c r="E2" s="128" t="s">
        <v>577</v>
      </c>
      <c r="F2" s="128" t="s">
        <v>3</v>
      </c>
      <c r="G2" s="128" t="s">
        <v>578</v>
      </c>
      <c r="H2" s="128" t="s">
        <v>4</v>
      </c>
      <c r="I2" s="128" t="s">
        <v>5</v>
      </c>
      <c r="J2" s="128" t="s">
        <v>6</v>
      </c>
      <c r="K2" s="128" t="s">
        <v>7</v>
      </c>
      <c r="L2" s="128" t="s">
        <v>8</v>
      </c>
      <c r="M2" s="128" t="s">
        <v>9</v>
      </c>
      <c r="N2" s="128" t="s">
        <v>10</v>
      </c>
      <c r="O2" s="128" t="s">
        <v>11</v>
      </c>
      <c r="P2" s="128" t="s">
        <v>12</v>
      </c>
      <c r="Q2" s="128" t="s">
        <v>13</v>
      </c>
      <c r="R2" s="128" t="s">
        <v>14</v>
      </c>
      <c r="S2" s="128" t="s">
        <v>15</v>
      </c>
      <c r="T2" s="128" t="s">
        <v>16</v>
      </c>
      <c r="U2" s="128" t="s">
        <v>579</v>
      </c>
      <c r="V2" s="128" t="s">
        <v>580</v>
      </c>
      <c r="W2" s="128" t="s">
        <v>581</v>
      </c>
      <c r="X2" s="128" t="s">
        <v>17</v>
      </c>
      <c r="Y2" s="128" t="s">
        <v>18</v>
      </c>
      <c r="Z2" s="128" t="s">
        <v>19</v>
      </c>
      <c r="AA2" s="128" t="s">
        <v>20</v>
      </c>
      <c r="AB2" s="128" t="s">
        <v>21</v>
      </c>
      <c r="AC2" s="128" t="s">
        <v>22</v>
      </c>
      <c r="AD2" s="128" t="s">
        <v>23</v>
      </c>
      <c r="AE2" s="128" t="s">
        <v>24</v>
      </c>
      <c r="AF2" s="128" t="s">
        <v>25</v>
      </c>
      <c r="AG2" s="128" t="s">
        <v>26</v>
      </c>
      <c r="AH2" s="128" t="s">
        <v>27</v>
      </c>
      <c r="AI2" s="128" t="s">
        <v>28</v>
      </c>
      <c r="AJ2" s="128" t="s">
        <v>29</v>
      </c>
      <c r="AK2" s="128" t="s">
        <v>30</v>
      </c>
      <c r="AL2" s="128" t="s">
        <v>31</v>
      </c>
      <c r="AM2" s="128" t="s">
        <v>32</v>
      </c>
      <c r="AN2" s="128" t="s">
        <v>33</v>
      </c>
      <c r="AO2" s="128" t="s">
        <v>34</v>
      </c>
      <c r="AP2" s="128" t="s">
        <v>35</v>
      </c>
      <c r="AQ2" s="128" t="s">
        <v>36</v>
      </c>
      <c r="AR2" s="128" t="s">
        <v>582</v>
      </c>
      <c r="AS2" s="128" t="s">
        <v>583</v>
      </c>
    </row>
    <row r="3" spans="1:45" x14ac:dyDescent="0.3">
      <c r="A3" t="s">
        <v>584</v>
      </c>
      <c r="B3" t="s">
        <v>207</v>
      </c>
      <c r="C3" t="s">
        <v>207</v>
      </c>
      <c r="D3" s="129" t="s">
        <v>585</v>
      </c>
      <c r="F3" t="s">
        <v>586</v>
      </c>
      <c r="G3" s="4">
        <v>43374</v>
      </c>
      <c r="H3" s="129">
        <v>2018</v>
      </c>
      <c r="I3" t="s">
        <v>309</v>
      </c>
      <c r="J3">
        <v>20</v>
      </c>
      <c r="K3" s="5">
        <v>279.99999999999994</v>
      </c>
      <c r="L3" s="5">
        <f t="shared" ref="L3:L66" si="0">10000/K3</f>
        <v>35.714285714285722</v>
      </c>
      <c r="M3" t="s">
        <v>587</v>
      </c>
      <c r="N3" t="s">
        <v>588</v>
      </c>
      <c r="O3">
        <v>0</v>
      </c>
      <c r="P3">
        <v>0</v>
      </c>
      <c r="Q3" s="152" t="s">
        <v>38</v>
      </c>
      <c r="R3" s="5"/>
      <c r="S3" s="5">
        <v>2.8983716723462485</v>
      </c>
      <c r="T3" s="152">
        <v>2.8983716723462485</v>
      </c>
      <c r="U3" s="5">
        <v>12.879683893696438</v>
      </c>
      <c r="V3" s="5"/>
      <c r="W3" s="5"/>
      <c r="X3" s="5">
        <v>10.482352941176471</v>
      </c>
      <c r="Y3" s="5">
        <v>1.918409267504481</v>
      </c>
      <c r="Z3" s="5">
        <v>11.109413620571184</v>
      </c>
      <c r="AA3" s="5">
        <v>7.3</v>
      </c>
      <c r="AB3" s="5">
        <v>12.7</v>
      </c>
      <c r="AC3" s="5">
        <v>7.6411764705882339</v>
      </c>
      <c r="AD3" s="5">
        <v>1.5949368418253376</v>
      </c>
      <c r="AE3" s="5">
        <v>8.19460848358157</v>
      </c>
      <c r="AF3" s="5">
        <v>4.3</v>
      </c>
      <c r="AG3" s="5">
        <v>9.6999999999999993</v>
      </c>
      <c r="AH3" s="6">
        <v>428.57142857142856</v>
      </c>
      <c r="AI3" s="6">
        <v>428.57142857142856</v>
      </c>
      <c r="AJ3" s="5">
        <v>0</v>
      </c>
      <c r="AK3" s="6">
        <v>0</v>
      </c>
      <c r="AL3" s="5">
        <v>0</v>
      </c>
      <c r="AM3" s="5">
        <v>0</v>
      </c>
      <c r="AN3" s="5">
        <v>0</v>
      </c>
      <c r="AO3" s="5">
        <v>1</v>
      </c>
      <c r="AP3">
        <f>IFERROR(Tabelle23[[#This Row],[Vol_ha_19]]*0.537836177777778*1.15,0)</f>
        <v>7.9662339498274557</v>
      </c>
      <c r="AQ3">
        <v>1</v>
      </c>
      <c r="AR3">
        <f>INDEX([2]Tabelle2!$A$2:$AU$139,MATCH(Tabelle23[[#This Row],[plot_id]],[2]Tabelle2!$M$2:$M$139,0),20)</f>
        <v>714</v>
      </c>
      <c r="AS3">
        <f>INDEX([2]Tabelle2!$A$2:$AU$139, MATCH(Tabelle23[[#This Row],[plot_id]],[2]Tabelle2!$M$2:$M$139,0), 19)</f>
        <v>7</v>
      </c>
    </row>
    <row r="4" spans="1:45" x14ac:dyDescent="0.3">
      <c r="A4" t="s">
        <v>584</v>
      </c>
      <c r="B4" t="s">
        <v>207</v>
      </c>
      <c r="C4" t="s">
        <v>207</v>
      </c>
      <c r="D4" s="129" t="s">
        <v>585</v>
      </c>
      <c r="F4" t="s">
        <v>586</v>
      </c>
      <c r="G4" s="4">
        <v>43374</v>
      </c>
      <c r="H4" s="129">
        <v>2018</v>
      </c>
      <c r="I4" t="s">
        <v>311</v>
      </c>
      <c r="J4">
        <v>20</v>
      </c>
      <c r="K4" s="5">
        <v>279.99999999999994</v>
      </c>
      <c r="L4" s="5">
        <f t="shared" si="0"/>
        <v>35.714285714285722</v>
      </c>
      <c r="M4" t="s">
        <v>587</v>
      </c>
      <c r="N4" s="129" t="s">
        <v>589</v>
      </c>
      <c r="O4">
        <v>0</v>
      </c>
      <c r="P4">
        <v>0</v>
      </c>
      <c r="Q4" s="152" t="s">
        <v>38</v>
      </c>
      <c r="R4" s="5"/>
      <c r="S4" s="5">
        <v>3.6015274280622211</v>
      </c>
      <c r="T4" s="152">
        <v>3.4479259872492056</v>
      </c>
      <c r="U4" s="5">
        <v>15.381786288692631</v>
      </c>
      <c r="V4" s="5"/>
      <c r="W4" s="5"/>
      <c r="X4" s="5">
        <v>10.927777777777777</v>
      </c>
      <c r="Y4" s="5">
        <v>1.2111276007752052</v>
      </c>
      <c r="Z4" s="5">
        <v>10.677265823967849</v>
      </c>
      <c r="AA4" s="5">
        <v>8.9</v>
      </c>
      <c r="AB4" s="5">
        <v>12.6</v>
      </c>
      <c r="AC4" s="5">
        <v>8.1736842105263143</v>
      </c>
      <c r="AD4" s="5">
        <v>0.90635014659640012</v>
      </c>
      <c r="AE4" s="5">
        <v>8.0463772518049499</v>
      </c>
      <c r="AF4" s="5">
        <v>7</v>
      </c>
      <c r="AG4" s="5">
        <v>9.5</v>
      </c>
      <c r="AH4" s="6">
        <v>428.57142857142856</v>
      </c>
      <c r="AI4" s="6">
        <v>428.57142857142856</v>
      </c>
      <c r="AJ4" s="5">
        <v>0</v>
      </c>
      <c r="AK4" s="6">
        <v>0</v>
      </c>
      <c r="AL4" s="5">
        <v>0</v>
      </c>
      <c r="AM4" s="5">
        <v>0</v>
      </c>
      <c r="AN4" s="5">
        <v>0</v>
      </c>
      <c r="AO4" s="5">
        <v>1</v>
      </c>
      <c r="AP4">
        <f>IFERROR(Tabelle23[[#This Row],[Vol_ha_19]]*0.537836177777778*1.15,0)</f>
        <v>9.5138133166408387</v>
      </c>
      <c r="AQ4">
        <v>1</v>
      </c>
      <c r="AR4">
        <f>INDEX([2]Tabelle2!$A$2:$AU$139,MATCH(Tabelle23[[#This Row],[plot_id]],[2]Tabelle2!$M$2:$M$139,0),20)</f>
        <v>714</v>
      </c>
      <c r="AS4">
        <f>INDEX([2]Tabelle2!$A$2:$AU$139, MATCH(Tabelle23[[#This Row],[plot_id]],[2]Tabelle2!$M$2:$M$139,0), 19)</f>
        <v>7</v>
      </c>
    </row>
    <row r="5" spans="1:45" x14ac:dyDescent="0.3">
      <c r="A5" t="s">
        <v>584</v>
      </c>
      <c r="B5" t="s">
        <v>207</v>
      </c>
      <c r="C5" t="s">
        <v>207</v>
      </c>
      <c r="D5" s="129" t="s">
        <v>585</v>
      </c>
      <c r="F5" t="s">
        <v>586</v>
      </c>
      <c r="G5" s="4">
        <v>43374</v>
      </c>
      <c r="H5" s="129">
        <v>2018</v>
      </c>
      <c r="I5" t="s">
        <v>310</v>
      </c>
      <c r="J5">
        <v>20</v>
      </c>
      <c r="K5" s="5">
        <v>279.99999999999994</v>
      </c>
      <c r="L5" s="152">
        <f t="shared" si="0"/>
        <v>35.714285714285722</v>
      </c>
      <c r="M5" t="s">
        <v>587</v>
      </c>
      <c r="O5" s="5"/>
      <c r="P5" s="5"/>
      <c r="Q5" s="152"/>
      <c r="R5" s="152"/>
      <c r="S5" s="5">
        <v>4.126986849309521</v>
      </c>
      <c r="T5" s="152">
        <v>4.126986849309521</v>
      </c>
      <c r="U5" s="5">
        <v>19.650900809245837</v>
      </c>
      <c r="V5" s="5"/>
      <c r="W5" s="5"/>
      <c r="X5" s="5">
        <v>11.595999999999998</v>
      </c>
      <c r="Y5" s="152">
        <v>1.5123018356483304</v>
      </c>
      <c r="Z5" s="152">
        <v>11.903903214844016</v>
      </c>
      <c r="AA5" s="152">
        <v>8.6</v>
      </c>
      <c r="AB5" s="152">
        <v>14</v>
      </c>
      <c r="AC5" s="5">
        <v>8.49</v>
      </c>
      <c r="AD5" s="152">
        <v>1.2502210330893206</v>
      </c>
      <c r="AE5" s="152">
        <v>8.8525793515938282</v>
      </c>
      <c r="AF5" s="152">
        <v>6.6</v>
      </c>
      <c r="AG5" s="152">
        <v>12</v>
      </c>
      <c r="AH5" s="153"/>
      <c r="AI5" s="6"/>
      <c r="AJ5" s="5"/>
      <c r="AK5" s="153"/>
      <c r="AL5" s="5"/>
      <c r="AM5" s="5"/>
      <c r="AN5" s="152"/>
      <c r="AO5" s="152"/>
      <c r="AP5">
        <f>IFERROR(Tabelle23[[#This Row],[Vol_ha_19]]*0.537836177777778*1.15,0)</f>
        <v>12.15431018830528</v>
      </c>
      <c r="AQ5">
        <f>IF(Tabelle23[[#This Row],[Year of planting ]]=2015,1,IF(Tabelle23[[#This Row],[Year of planting ]]=2016,2,IF(Tabelle23[[#This Row],[Year of planting ]]=2017,3,IF(Tabelle23[[#This Row],[Year of planting ]]=2018,4,5))))</f>
        <v>4</v>
      </c>
      <c r="AR5">
        <f>INDEX([2]Tabelle2!$A$2:$AU$139,MATCH(Tabelle23[[#This Row],[plot_id]],[2]Tabelle2!$M$2:$M$139,0),20)</f>
        <v>714</v>
      </c>
      <c r="AS5">
        <f>INDEX([2]Tabelle2!$A$2:$AU$139, MATCH(Tabelle23[[#This Row],[plot_id]],[2]Tabelle2!$M$2:$M$139,0), 19)</f>
        <v>7</v>
      </c>
    </row>
    <row r="6" spans="1:45" x14ac:dyDescent="0.3">
      <c r="A6" t="s">
        <v>584</v>
      </c>
      <c r="B6" t="s">
        <v>205</v>
      </c>
      <c r="C6" t="s">
        <v>205</v>
      </c>
      <c r="D6" s="129" t="s">
        <v>585</v>
      </c>
      <c r="F6" t="s">
        <v>586</v>
      </c>
      <c r="G6" s="4">
        <v>43770</v>
      </c>
      <c r="H6" s="154">
        <v>2019</v>
      </c>
      <c r="I6" t="s">
        <v>307</v>
      </c>
      <c r="J6">
        <v>20</v>
      </c>
      <c r="K6" s="5">
        <v>279.99999999999994</v>
      </c>
      <c r="L6" s="5">
        <f t="shared" si="0"/>
        <v>35.714285714285722</v>
      </c>
      <c r="M6" t="s">
        <v>587</v>
      </c>
      <c r="N6" t="s">
        <v>588</v>
      </c>
      <c r="O6">
        <v>0</v>
      </c>
      <c r="P6">
        <v>0</v>
      </c>
      <c r="Q6" s="152" t="s">
        <v>38</v>
      </c>
      <c r="R6" s="5"/>
      <c r="S6" s="5">
        <v>1.0192224166146318</v>
      </c>
      <c r="T6" s="152">
        <v>0.86792107042299482</v>
      </c>
      <c r="U6" s="5">
        <v>2.2957940054349528</v>
      </c>
      <c r="V6" s="5"/>
      <c r="W6" s="5"/>
      <c r="X6" s="5">
        <v>6.4636363636363647</v>
      </c>
      <c r="Y6" s="5">
        <v>0.5886811144800338</v>
      </c>
      <c r="Z6" s="5">
        <v>5.6312389916336416</v>
      </c>
      <c r="AA6" s="5">
        <v>5</v>
      </c>
      <c r="AB6" s="5">
        <v>7.3</v>
      </c>
      <c r="AC6" s="5">
        <v>4.7733333333333325</v>
      </c>
      <c r="AD6" s="5">
        <v>0.88348483549264212</v>
      </c>
      <c r="AE6" s="5">
        <v>4.6766512549537644</v>
      </c>
      <c r="AF6" s="5">
        <v>3.5</v>
      </c>
      <c r="AG6" s="5">
        <v>6.4</v>
      </c>
      <c r="AH6" s="6">
        <v>428.57142857142856</v>
      </c>
      <c r="AI6" s="6">
        <v>428.57142857142856</v>
      </c>
      <c r="AJ6" s="5">
        <v>0</v>
      </c>
      <c r="AK6" s="6">
        <v>0</v>
      </c>
      <c r="AL6" s="5">
        <v>0</v>
      </c>
      <c r="AM6" s="5">
        <v>0</v>
      </c>
      <c r="AN6" s="5">
        <v>0</v>
      </c>
      <c r="AO6" s="5">
        <v>1</v>
      </c>
      <c r="AP6">
        <f>IFERROR(Tabelle23[[#This Row],[Vol_ha_19]]*0.537836177777778*1.15,0)</f>
        <v>1.4199752337755107</v>
      </c>
      <c r="AQ6">
        <v>1</v>
      </c>
      <c r="AR6">
        <f>INDEX([2]Tabelle2!$A$2:$AU$139,MATCH(Tabelle23[[#This Row],[plot_id]],[2]Tabelle2!$M$2:$M$139,0),20)</f>
        <v>714</v>
      </c>
      <c r="AS6">
        <f>INDEX([2]Tabelle2!$A$2:$AU$139, MATCH(Tabelle23[[#This Row],[plot_id]],[2]Tabelle2!$M$2:$M$139,0), 19)</f>
        <v>20.5</v>
      </c>
    </row>
    <row r="7" spans="1:45" x14ac:dyDescent="0.3">
      <c r="A7" t="s">
        <v>584</v>
      </c>
      <c r="B7" t="s">
        <v>205</v>
      </c>
      <c r="C7" t="s">
        <v>205</v>
      </c>
      <c r="D7" s="129" t="s">
        <v>585</v>
      </c>
      <c r="F7" t="s">
        <v>586</v>
      </c>
      <c r="G7" s="4">
        <v>43770</v>
      </c>
      <c r="H7" s="154">
        <v>2019</v>
      </c>
      <c r="I7" t="s">
        <v>306</v>
      </c>
      <c r="J7">
        <v>20</v>
      </c>
      <c r="K7" s="5">
        <v>279.99999999999994</v>
      </c>
      <c r="L7" s="5">
        <f t="shared" si="0"/>
        <v>35.714285714285722</v>
      </c>
      <c r="M7" t="s">
        <v>587</v>
      </c>
      <c r="N7" s="129" t="s">
        <v>589</v>
      </c>
      <c r="O7">
        <v>0</v>
      </c>
      <c r="P7">
        <v>0</v>
      </c>
      <c r="Q7" s="152" t="s">
        <v>38</v>
      </c>
      <c r="R7" s="5"/>
      <c r="S7" s="5">
        <v>0.90893007452610408</v>
      </c>
      <c r="T7" s="152">
        <v>0.86480752770381186</v>
      </c>
      <c r="U7" s="5">
        <v>1.980862805881092</v>
      </c>
      <c r="V7" s="5"/>
      <c r="W7" s="5"/>
      <c r="X7" s="5">
        <v>5.5764705882352947</v>
      </c>
      <c r="Y7" s="5">
        <v>0.63985292427703444</v>
      </c>
      <c r="Z7" s="5">
        <v>5.4483366251080119</v>
      </c>
      <c r="AA7" s="5">
        <v>4.4000000000000004</v>
      </c>
      <c r="AB7" s="5">
        <v>6.6</v>
      </c>
      <c r="AC7" s="5">
        <v>4.0631578947368432</v>
      </c>
      <c r="AD7" s="5">
        <v>0.60749001444225992</v>
      </c>
      <c r="AE7" s="5">
        <v>4.1637729909887673</v>
      </c>
      <c r="AF7" s="5">
        <v>2.9</v>
      </c>
      <c r="AG7" s="5">
        <v>5.3</v>
      </c>
      <c r="AH7" s="6">
        <v>428.57142857142856</v>
      </c>
      <c r="AI7" s="6">
        <v>428.57142857142856</v>
      </c>
      <c r="AJ7" s="5">
        <v>0.91666666666666663</v>
      </c>
      <c r="AK7" s="6">
        <v>91.666666666666657</v>
      </c>
      <c r="AL7" s="5">
        <v>0</v>
      </c>
      <c r="AM7" s="5">
        <v>0</v>
      </c>
      <c r="AN7" s="5">
        <v>0</v>
      </c>
      <c r="AO7" s="5">
        <v>1</v>
      </c>
      <c r="AP7">
        <f>IFERROR(Tabelle23[[#This Row],[Vol_ha_19]]*0.537836177777778*1.15,0)</f>
        <v>1.2251866322498388</v>
      </c>
      <c r="AQ7">
        <v>1</v>
      </c>
      <c r="AR7">
        <f>INDEX([2]Tabelle2!$A$2:$AU$139,MATCH(Tabelle23[[#This Row],[plot_id]],[2]Tabelle2!$M$2:$M$139,0),20)</f>
        <v>714</v>
      </c>
      <c r="AS7">
        <f>INDEX([2]Tabelle2!$A$2:$AU$139, MATCH(Tabelle23[[#This Row],[plot_id]],[2]Tabelle2!$M$2:$M$139,0), 19)</f>
        <v>20.5</v>
      </c>
    </row>
    <row r="8" spans="1:45" x14ac:dyDescent="0.3">
      <c r="A8" t="s">
        <v>584</v>
      </c>
      <c r="B8" t="s">
        <v>205</v>
      </c>
      <c r="C8" t="s">
        <v>205</v>
      </c>
      <c r="D8" s="129" t="s">
        <v>585</v>
      </c>
      <c r="F8" t="s">
        <v>586</v>
      </c>
      <c r="G8" s="4">
        <v>43770</v>
      </c>
      <c r="H8" s="154">
        <v>2019</v>
      </c>
      <c r="I8" t="s">
        <v>308</v>
      </c>
      <c r="J8">
        <v>20</v>
      </c>
      <c r="K8" s="5">
        <v>279.99999999999994</v>
      </c>
      <c r="L8" s="5">
        <f t="shared" si="0"/>
        <v>35.714285714285722</v>
      </c>
      <c r="M8" t="s">
        <v>587</v>
      </c>
      <c r="N8" t="s">
        <v>588</v>
      </c>
      <c r="O8">
        <v>0</v>
      </c>
      <c r="P8">
        <v>0</v>
      </c>
      <c r="Q8" s="152" t="s">
        <v>38</v>
      </c>
      <c r="R8" s="5"/>
      <c r="S8" s="5">
        <v>1.0352108792266512</v>
      </c>
      <c r="T8" s="152">
        <v>0.96289814832527187</v>
      </c>
      <c r="U8" s="5">
        <v>2.6235743189419964</v>
      </c>
      <c r="V8" s="5"/>
      <c r="W8" s="5"/>
      <c r="X8" s="5">
        <v>6.7384615384615376</v>
      </c>
      <c r="Y8" s="5">
        <v>0.44071620032711439</v>
      </c>
      <c r="Z8" s="5">
        <v>6.3358451200346826</v>
      </c>
      <c r="AA8" s="5">
        <v>6</v>
      </c>
      <c r="AB8" s="5">
        <v>7.3</v>
      </c>
      <c r="AC8" s="5">
        <v>4.8933333333333326</v>
      </c>
      <c r="AD8" s="5">
        <v>0.58660256060007587</v>
      </c>
      <c r="AE8" s="5">
        <v>4.8626673169674302</v>
      </c>
      <c r="AF8" s="5">
        <v>4.2</v>
      </c>
      <c r="AG8" s="5">
        <v>5.8</v>
      </c>
      <c r="AH8" s="6">
        <v>500</v>
      </c>
      <c r="AI8" s="6">
        <v>500</v>
      </c>
      <c r="AJ8" s="5">
        <v>7.1428571428571425E-2</v>
      </c>
      <c r="AK8" s="6">
        <v>7.1428571428571423</v>
      </c>
      <c r="AL8" s="5">
        <v>0</v>
      </c>
      <c r="AM8" s="5">
        <v>0</v>
      </c>
      <c r="AN8" s="5">
        <v>0</v>
      </c>
      <c r="AO8" s="5">
        <v>1</v>
      </c>
      <c r="AP8">
        <f>IFERROR(Tabelle23[[#This Row],[Vol_ha_19]]*0.537836177777778*1.15,0)</f>
        <v>1.6227111613880556</v>
      </c>
      <c r="AQ8">
        <v>1</v>
      </c>
      <c r="AR8">
        <f>INDEX([2]Tabelle2!$A$2:$AU$139,MATCH(Tabelle23[[#This Row],[plot_id]],[2]Tabelle2!$M$2:$M$139,0),20)</f>
        <v>714</v>
      </c>
      <c r="AS8">
        <f>INDEX([2]Tabelle2!$A$2:$AU$139, MATCH(Tabelle23[[#This Row],[plot_id]],[2]Tabelle2!$M$2:$M$139,0), 19)</f>
        <v>20.5</v>
      </c>
    </row>
    <row r="9" spans="1:45" x14ac:dyDescent="0.3">
      <c r="A9" t="s">
        <v>584</v>
      </c>
      <c r="B9" t="s">
        <v>265</v>
      </c>
      <c r="C9" t="s">
        <v>265</v>
      </c>
      <c r="D9" s="129" t="s">
        <v>585</v>
      </c>
      <c r="F9" t="s">
        <v>586</v>
      </c>
      <c r="G9" s="4">
        <v>43313</v>
      </c>
      <c r="H9" s="129">
        <v>2018</v>
      </c>
      <c r="I9" t="s">
        <v>424</v>
      </c>
      <c r="J9">
        <v>20</v>
      </c>
      <c r="K9" s="5">
        <v>200</v>
      </c>
      <c r="L9" s="152">
        <f t="shared" si="0"/>
        <v>50</v>
      </c>
      <c r="M9" t="s">
        <v>587</v>
      </c>
      <c r="O9" s="5"/>
      <c r="P9" s="5"/>
      <c r="Q9" s="152"/>
      <c r="R9" s="152"/>
      <c r="S9" s="5">
        <v>4.183619666877358</v>
      </c>
      <c r="T9" s="152">
        <v>4.183619666877358</v>
      </c>
      <c r="U9" s="5">
        <v>24.686033456915435</v>
      </c>
      <c r="V9" s="5"/>
      <c r="W9" s="5"/>
      <c r="X9" s="5">
        <v>14.700000000000001</v>
      </c>
      <c r="Y9" s="152">
        <v>0.77459666924148329</v>
      </c>
      <c r="Z9" s="152">
        <v>14.75159994368048</v>
      </c>
      <c r="AA9" s="152">
        <v>13.9</v>
      </c>
      <c r="AB9" s="152">
        <v>16</v>
      </c>
      <c r="AC9" s="5">
        <v>11.512499999999998</v>
      </c>
      <c r="AD9" s="152">
        <v>0.8492643875731517</v>
      </c>
      <c r="AE9" s="152">
        <v>11.61580231848688</v>
      </c>
      <c r="AF9" s="152">
        <v>9.6</v>
      </c>
      <c r="AG9" s="152">
        <v>12.3</v>
      </c>
      <c r="AH9" s="153"/>
      <c r="AI9" s="6"/>
      <c r="AJ9" s="5"/>
      <c r="AK9" s="153"/>
      <c r="AL9" s="5"/>
      <c r="AM9" s="5"/>
      <c r="AN9" s="152"/>
      <c r="AO9" s="152"/>
      <c r="AP9">
        <f>IFERROR(Tabelle23[[#This Row],[Vol_ha_19]]*0.537836177777778*1.15,0)</f>
        <v>15.268598160806008</v>
      </c>
      <c r="AQ9">
        <f>IF(Tabelle23[[#This Row],[Year of planting ]]=2015,1,IF(Tabelle23[[#This Row],[Year of planting ]]=2016,2,IF(Tabelle23[[#This Row],[Year of planting ]]=2017,3,IF(Tabelle23[[#This Row],[Year of planting ]]=2018,4,5))))</f>
        <v>4</v>
      </c>
      <c r="AR9">
        <f>INDEX([2]Tabelle2!$A$2:$AU$139,MATCH(Tabelle23[[#This Row],[plot_id]],[2]Tabelle2!$M$2:$M$139,0),20)</f>
        <v>1000</v>
      </c>
      <c r="AS9">
        <f>INDEX([2]Tabelle2!$A$2:$AU$139, MATCH(Tabelle23[[#This Row],[plot_id]],[2]Tabelle2!$M$2:$M$139,0), 19)</f>
        <v>15.5</v>
      </c>
    </row>
    <row r="10" spans="1:45" x14ac:dyDescent="0.3">
      <c r="A10" t="s">
        <v>584</v>
      </c>
      <c r="B10" t="s">
        <v>265</v>
      </c>
      <c r="C10" t="s">
        <v>265</v>
      </c>
      <c r="D10" s="129" t="s">
        <v>585</v>
      </c>
      <c r="F10" t="s">
        <v>586</v>
      </c>
      <c r="G10" s="4">
        <v>43313</v>
      </c>
      <c r="H10" s="129">
        <v>2018</v>
      </c>
      <c r="I10" t="s">
        <v>425</v>
      </c>
      <c r="J10">
        <v>20</v>
      </c>
      <c r="K10" s="5">
        <v>200</v>
      </c>
      <c r="L10" s="152">
        <f t="shared" si="0"/>
        <v>50</v>
      </c>
      <c r="M10" t="s">
        <v>587</v>
      </c>
      <c r="O10" s="5"/>
      <c r="P10" s="5"/>
      <c r="Q10" s="152"/>
      <c r="R10" s="152"/>
      <c r="S10" s="5">
        <v>5.2156328535816039</v>
      </c>
      <c r="T10" s="152">
        <v>5.2156328535816039</v>
      </c>
      <c r="U10" s="5">
        <v>31.365753730423783</v>
      </c>
      <c r="V10" s="5"/>
      <c r="W10" s="5"/>
      <c r="X10" s="5">
        <v>14.97777777777778</v>
      </c>
      <c r="Y10" s="152">
        <v>0.60575939484620855</v>
      </c>
      <c r="Z10" s="152">
        <v>15.034490833113734</v>
      </c>
      <c r="AA10" s="152">
        <v>14.3</v>
      </c>
      <c r="AB10" s="152">
        <v>16.100000000000001</v>
      </c>
      <c r="AC10" s="5">
        <v>12.122222222222222</v>
      </c>
      <c r="AD10" s="152">
        <v>0.83782124850378703</v>
      </c>
      <c r="AE10" s="152">
        <v>12.224770545495616</v>
      </c>
      <c r="AF10" s="152">
        <v>10.8</v>
      </c>
      <c r="AG10" s="152">
        <v>13.4</v>
      </c>
      <c r="AH10" s="153"/>
      <c r="AI10" s="6"/>
      <c r="AJ10" s="5"/>
      <c r="AK10" s="153"/>
      <c r="AL10" s="5"/>
      <c r="AM10" s="5"/>
      <c r="AN10" s="152"/>
      <c r="AO10" s="152"/>
      <c r="AP10">
        <f>IFERROR(Tabelle23[[#This Row],[Vol_ha_19]]*0.537836177777778*1.15,0)</f>
        <v>19.400082664413738</v>
      </c>
      <c r="AQ10">
        <f>IF(Tabelle23[[#This Row],[Year of planting ]]=2015,1,IF(Tabelle23[[#This Row],[Year of planting ]]=2016,2,IF(Tabelle23[[#This Row],[Year of planting ]]=2017,3,IF(Tabelle23[[#This Row],[Year of planting ]]=2018,4,5))))</f>
        <v>4</v>
      </c>
      <c r="AR10">
        <f>INDEX([2]Tabelle2!$A$2:$AU$139,MATCH(Tabelle23[[#This Row],[plot_id]],[2]Tabelle2!$M$2:$M$139,0),20)</f>
        <v>1000</v>
      </c>
      <c r="AS10">
        <f>INDEX([2]Tabelle2!$A$2:$AU$139, MATCH(Tabelle23[[#This Row],[plot_id]],[2]Tabelle2!$M$2:$M$139,0), 19)</f>
        <v>15.5</v>
      </c>
    </row>
    <row r="11" spans="1:45" x14ac:dyDescent="0.3">
      <c r="A11" t="s">
        <v>584</v>
      </c>
      <c r="B11" t="s">
        <v>265</v>
      </c>
      <c r="C11" t="s">
        <v>265</v>
      </c>
      <c r="D11" s="129" t="s">
        <v>585</v>
      </c>
      <c r="F11" t="s">
        <v>586</v>
      </c>
      <c r="G11" s="4">
        <v>43313</v>
      </c>
      <c r="H11" s="129">
        <v>2018</v>
      </c>
      <c r="I11" t="s">
        <v>423</v>
      </c>
      <c r="J11">
        <v>20</v>
      </c>
      <c r="K11" s="5">
        <v>200</v>
      </c>
      <c r="L11" s="152">
        <f t="shared" si="0"/>
        <v>50</v>
      </c>
      <c r="M11" t="s">
        <v>587</v>
      </c>
      <c r="O11" s="5"/>
      <c r="P11" s="5"/>
      <c r="Q11" s="152"/>
      <c r="R11" s="152"/>
      <c r="S11" s="5">
        <v>6.3297986881772239</v>
      </c>
      <c r="T11" s="152">
        <v>6.3297986881772239</v>
      </c>
      <c r="U11" s="5">
        <v>36.446654670667201</v>
      </c>
      <c r="V11" s="5"/>
      <c r="W11" s="5"/>
      <c r="X11" s="5">
        <v>14.363636363636363</v>
      </c>
      <c r="Y11" s="152">
        <v>1.170702974518069</v>
      </c>
      <c r="Z11" s="152">
        <v>14.394871174474371</v>
      </c>
      <c r="AA11" s="152">
        <v>12.1</v>
      </c>
      <c r="AB11" s="152">
        <v>16</v>
      </c>
      <c r="AC11" s="5">
        <v>12.1</v>
      </c>
      <c r="AD11" s="152">
        <v>0.36878177829171549</v>
      </c>
      <c r="AE11" s="152">
        <v>12.120742367560663</v>
      </c>
      <c r="AF11" s="152">
        <v>11.7</v>
      </c>
      <c r="AG11" s="152">
        <v>12.9</v>
      </c>
      <c r="AH11" s="153"/>
      <c r="AI11" s="6"/>
      <c r="AJ11" s="5"/>
      <c r="AK11" s="153"/>
      <c r="AL11" s="5"/>
      <c r="AM11" s="5"/>
      <c r="AN11" s="152"/>
      <c r="AO11" s="152"/>
      <c r="AP11">
        <f>IFERROR(Tabelle23[[#This Row],[Vol_ha_19]]*0.537836177777778*1.15,0)</f>
        <v>22.542678856986985</v>
      </c>
      <c r="AQ11">
        <f>IF(Tabelle23[[#This Row],[Year of planting ]]=2015,1,IF(Tabelle23[[#This Row],[Year of planting ]]=2016,2,IF(Tabelle23[[#This Row],[Year of planting ]]=2017,3,IF(Tabelle23[[#This Row],[Year of planting ]]=2018,4,5))))</f>
        <v>4</v>
      </c>
      <c r="AR11">
        <f>INDEX([2]Tabelle2!$A$2:$AU$139,MATCH(Tabelle23[[#This Row],[plot_id]],[2]Tabelle2!$M$2:$M$139,0),20)</f>
        <v>1000</v>
      </c>
      <c r="AS11">
        <f>INDEX([2]Tabelle2!$A$2:$AU$139, MATCH(Tabelle23[[#This Row],[plot_id]],[2]Tabelle2!$M$2:$M$139,0), 19)</f>
        <v>15.5</v>
      </c>
    </row>
    <row r="12" spans="1:45" x14ac:dyDescent="0.3">
      <c r="A12" t="s">
        <v>584</v>
      </c>
      <c r="B12" t="s">
        <v>270</v>
      </c>
      <c r="C12" t="s">
        <v>270</v>
      </c>
      <c r="D12" s="129" t="s">
        <v>585</v>
      </c>
      <c r="F12" t="s">
        <v>590</v>
      </c>
      <c r="G12" s="4">
        <v>43313</v>
      </c>
      <c r="H12" s="129">
        <v>2018</v>
      </c>
      <c r="I12" t="s">
        <v>432</v>
      </c>
      <c r="J12">
        <v>20</v>
      </c>
      <c r="K12" s="5">
        <v>200</v>
      </c>
      <c r="L12" s="152">
        <f t="shared" si="0"/>
        <v>50</v>
      </c>
      <c r="M12" t="s">
        <v>591</v>
      </c>
      <c r="O12" s="5"/>
      <c r="P12" s="5"/>
      <c r="Q12" s="152"/>
      <c r="R12" s="152"/>
      <c r="S12" s="5">
        <v>5.9677694047591707</v>
      </c>
      <c r="T12" s="152">
        <v>5.9677694047591707</v>
      </c>
      <c r="U12" s="5">
        <v>31.855155746388981</v>
      </c>
      <c r="V12" s="5"/>
      <c r="W12" s="5"/>
      <c r="X12" s="5">
        <v>13.1</v>
      </c>
      <c r="Y12" s="152">
        <v>1.2319812408384216</v>
      </c>
      <c r="Z12" s="152">
        <v>13.344665982312067</v>
      </c>
      <c r="AA12" s="152">
        <v>10.5</v>
      </c>
      <c r="AB12" s="152">
        <v>14.7</v>
      </c>
      <c r="AC12" s="5">
        <v>12.239999999999998</v>
      </c>
      <c r="AD12" s="152">
        <v>1.5457468529268783</v>
      </c>
      <c r="AE12" s="152">
        <v>12.59736260265319</v>
      </c>
      <c r="AF12" s="152">
        <v>10.1</v>
      </c>
      <c r="AG12" s="152">
        <v>15.1</v>
      </c>
      <c r="AH12" s="153"/>
      <c r="AI12" s="6"/>
      <c r="AJ12" s="5"/>
      <c r="AK12" s="153"/>
      <c r="AL12" s="5"/>
      <c r="AM12" s="5"/>
      <c r="AN12" s="152"/>
      <c r="AO12" s="152"/>
      <c r="AP12">
        <f>IFERROR(Tabelle23[[#This Row],[Vol_ha_19]]*0.537836177777778*1.15,0)</f>
        <v>19.70278349052672</v>
      </c>
      <c r="AQ12">
        <f>IF(Tabelle23[[#This Row],[Year of planting ]]=2015,1,IF(Tabelle23[[#This Row],[Year of planting ]]=2016,2,IF(Tabelle23[[#This Row],[Year of planting ]]=2017,3,IF(Tabelle23[[#This Row],[Year of planting ]]=2018,4,5))))</f>
        <v>4</v>
      </c>
      <c r="AR12">
        <f>INDEX([2]Tabelle2!$A$2:$AU$139,MATCH(Tabelle23[[#This Row],[plot_id]],[2]Tabelle2!$M$2:$M$139,0),20)</f>
        <v>1000</v>
      </c>
      <c r="AS12">
        <f>INDEX([2]Tabelle2!$A$2:$AU$139, MATCH(Tabelle23[[#This Row],[plot_id]],[2]Tabelle2!$M$2:$M$139,0), 19)</f>
        <v>42</v>
      </c>
    </row>
    <row r="13" spans="1:45" x14ac:dyDescent="0.3">
      <c r="A13" t="s">
        <v>584</v>
      </c>
      <c r="B13" t="s">
        <v>270</v>
      </c>
      <c r="C13" t="s">
        <v>270</v>
      </c>
      <c r="D13" s="129" t="s">
        <v>585</v>
      </c>
      <c r="F13" t="s">
        <v>590</v>
      </c>
      <c r="G13" s="4">
        <v>43313</v>
      </c>
      <c r="H13" s="129">
        <v>2018</v>
      </c>
      <c r="I13" t="s">
        <v>433</v>
      </c>
      <c r="J13">
        <v>20</v>
      </c>
      <c r="K13" s="5">
        <v>200</v>
      </c>
      <c r="L13" s="152">
        <f t="shared" si="0"/>
        <v>50</v>
      </c>
      <c r="M13" t="s">
        <v>591</v>
      </c>
      <c r="O13" s="5"/>
      <c r="P13" s="5"/>
      <c r="Q13" s="152"/>
      <c r="R13" s="152"/>
      <c r="S13" s="5">
        <v>10.056238084140928</v>
      </c>
      <c r="T13" s="152">
        <v>10.056238084140928</v>
      </c>
      <c r="U13" s="5">
        <v>56.157707554451321</v>
      </c>
      <c r="V13" s="5"/>
      <c r="W13" s="5"/>
      <c r="X13" s="5">
        <v>13.80625</v>
      </c>
      <c r="Y13" s="152">
        <v>1.0748449500586894</v>
      </c>
      <c r="Z13" s="152">
        <v>13.960913386441735</v>
      </c>
      <c r="AA13" s="152">
        <v>11.3</v>
      </c>
      <c r="AB13" s="152">
        <v>15.4</v>
      </c>
      <c r="AC13" s="5">
        <v>12.5625</v>
      </c>
      <c r="AD13" s="152">
        <v>1.5435349040433171</v>
      </c>
      <c r="AE13" s="152">
        <v>12.920185098406749</v>
      </c>
      <c r="AF13" s="152">
        <v>10.199999999999999</v>
      </c>
      <c r="AG13" s="152">
        <v>15.3</v>
      </c>
      <c r="AH13" s="153"/>
      <c r="AI13" s="6"/>
      <c r="AJ13" s="5"/>
      <c r="AK13" s="153"/>
      <c r="AL13" s="5"/>
      <c r="AM13" s="5"/>
      <c r="AN13" s="152"/>
      <c r="AO13" s="152"/>
      <c r="AP13">
        <f>IFERROR(Tabelle23[[#This Row],[Vol_ha_19]]*0.537836177777778*1.15,0)</f>
        <v>34.734193801425597</v>
      </c>
      <c r="AQ13">
        <f>IF(Tabelle23[[#This Row],[Year of planting ]]=2015,1,IF(Tabelle23[[#This Row],[Year of planting ]]=2016,2,IF(Tabelle23[[#This Row],[Year of planting ]]=2017,3,IF(Tabelle23[[#This Row],[Year of planting ]]=2018,4,5))))</f>
        <v>4</v>
      </c>
      <c r="AR13">
        <f>INDEX([2]Tabelle2!$A$2:$AU$139,MATCH(Tabelle23[[#This Row],[plot_id]],[2]Tabelle2!$M$2:$M$139,0),20)</f>
        <v>1000</v>
      </c>
      <c r="AS13">
        <f>INDEX([2]Tabelle2!$A$2:$AU$139, MATCH(Tabelle23[[#This Row],[plot_id]],[2]Tabelle2!$M$2:$M$139,0), 19)</f>
        <v>42</v>
      </c>
    </row>
    <row r="14" spans="1:45" x14ac:dyDescent="0.3">
      <c r="A14" t="s">
        <v>584</v>
      </c>
      <c r="B14" t="s">
        <v>270</v>
      </c>
      <c r="C14" t="s">
        <v>270</v>
      </c>
      <c r="D14" s="129" t="s">
        <v>585</v>
      </c>
      <c r="F14" t="s">
        <v>590</v>
      </c>
      <c r="G14" s="4">
        <v>43313</v>
      </c>
      <c r="H14" s="129">
        <v>2018</v>
      </c>
      <c r="I14" t="s">
        <v>435</v>
      </c>
      <c r="J14">
        <v>20</v>
      </c>
      <c r="K14" s="5">
        <v>200</v>
      </c>
      <c r="L14" s="152">
        <f t="shared" si="0"/>
        <v>50</v>
      </c>
      <c r="M14" t="s">
        <v>591</v>
      </c>
      <c r="O14" s="5"/>
      <c r="P14" s="5"/>
      <c r="Q14" s="152"/>
      <c r="R14" s="152"/>
      <c r="S14" s="5">
        <v>5.5379602598399167</v>
      </c>
      <c r="T14" s="152">
        <v>5.5379602598399167</v>
      </c>
      <c r="U14" s="5">
        <v>32.163854923716016</v>
      </c>
      <c r="V14" s="5"/>
      <c r="W14" s="5"/>
      <c r="X14" s="5">
        <v>14.262499999999999</v>
      </c>
      <c r="Y14" s="152">
        <v>1.4510464204448161</v>
      </c>
      <c r="Z14" s="152">
        <v>14.519720896591338</v>
      </c>
      <c r="AA14" s="152">
        <v>12</v>
      </c>
      <c r="AB14" s="152">
        <v>15.6</v>
      </c>
      <c r="AC14" s="5">
        <v>13.1875</v>
      </c>
      <c r="AD14" s="152">
        <v>1.6452854724072221</v>
      </c>
      <c r="AE14" s="152">
        <v>13.536455046339963</v>
      </c>
      <c r="AF14" s="152">
        <v>10.9</v>
      </c>
      <c r="AG14" s="152">
        <v>15.6</v>
      </c>
      <c r="AH14" s="153"/>
      <c r="AI14" s="6"/>
      <c r="AJ14" s="5"/>
      <c r="AK14" s="153"/>
      <c r="AL14" s="5"/>
      <c r="AM14" s="5"/>
      <c r="AN14" s="152"/>
      <c r="AO14" s="152"/>
      <c r="AP14">
        <f>IFERROR(Tabelle23[[#This Row],[Vol_ha_19]]*0.537836177777778*1.15,0)</f>
        <v>19.893717513985944</v>
      </c>
      <c r="AQ14">
        <f>IF(Tabelle23[[#This Row],[Year of planting ]]=2015,1,IF(Tabelle23[[#This Row],[Year of planting ]]=2016,2,IF(Tabelle23[[#This Row],[Year of planting ]]=2017,3,IF(Tabelle23[[#This Row],[Year of planting ]]=2018,4,5))))</f>
        <v>4</v>
      </c>
      <c r="AR14">
        <f>INDEX([2]Tabelle2!$A$2:$AU$139,MATCH(Tabelle23[[#This Row],[plot_id]],[2]Tabelle2!$M$2:$M$139,0),20)</f>
        <v>1000</v>
      </c>
      <c r="AS14">
        <f>INDEX([2]Tabelle2!$A$2:$AU$139, MATCH(Tabelle23[[#This Row],[plot_id]],[2]Tabelle2!$M$2:$M$139,0), 19)</f>
        <v>42</v>
      </c>
    </row>
    <row r="15" spans="1:45" x14ac:dyDescent="0.3">
      <c r="A15" t="s">
        <v>584</v>
      </c>
      <c r="B15" t="s">
        <v>270</v>
      </c>
      <c r="C15" t="s">
        <v>270</v>
      </c>
      <c r="D15" s="129" t="s">
        <v>585</v>
      </c>
      <c r="F15" t="s">
        <v>590</v>
      </c>
      <c r="G15" s="4">
        <v>43313</v>
      </c>
      <c r="H15" s="129">
        <v>2018</v>
      </c>
      <c r="I15" t="s">
        <v>436</v>
      </c>
      <c r="J15">
        <v>20</v>
      </c>
      <c r="K15" s="5">
        <v>200</v>
      </c>
      <c r="L15" s="152">
        <f t="shared" si="0"/>
        <v>50</v>
      </c>
      <c r="M15" t="s">
        <v>591</v>
      </c>
      <c r="O15" s="5"/>
      <c r="P15" s="5"/>
      <c r="Q15" s="152"/>
      <c r="R15" s="152"/>
      <c r="S15" s="5">
        <v>7.3710010333932203</v>
      </c>
      <c r="T15" s="152">
        <v>7.3710010333932203</v>
      </c>
      <c r="U15" s="5">
        <v>41.620408523380135</v>
      </c>
      <c r="V15" s="5"/>
      <c r="W15" s="5"/>
      <c r="X15" s="5">
        <v>13.966666666666669</v>
      </c>
      <c r="Y15" s="152">
        <v>1.1251935860378011</v>
      </c>
      <c r="Z15" s="152">
        <v>14.116267361388593</v>
      </c>
      <c r="AA15" s="152">
        <v>12.4</v>
      </c>
      <c r="AB15" s="152">
        <v>15.8</v>
      </c>
      <c r="AC15" s="5">
        <v>12.45833333333333</v>
      </c>
      <c r="AD15" s="152">
        <v>1.1476920186604811</v>
      </c>
      <c r="AE15" s="152">
        <v>12.651363072120022</v>
      </c>
      <c r="AF15" s="152">
        <v>10.7</v>
      </c>
      <c r="AG15" s="152">
        <v>14.3</v>
      </c>
      <c r="AH15" s="153"/>
      <c r="AI15" s="6"/>
      <c r="AJ15" s="5"/>
      <c r="AK15" s="153"/>
      <c r="AL15" s="5"/>
      <c r="AM15" s="5"/>
      <c r="AN15" s="152"/>
      <c r="AO15" s="152"/>
      <c r="AP15">
        <f>IFERROR(Tabelle23[[#This Row],[Vol_ha_19]]*0.537836177777778*1.15,0)</f>
        <v>25.742705653429091</v>
      </c>
      <c r="AQ15">
        <f>IF(Tabelle23[[#This Row],[Year of planting ]]=2015,1,IF(Tabelle23[[#This Row],[Year of planting ]]=2016,2,IF(Tabelle23[[#This Row],[Year of planting ]]=2017,3,IF(Tabelle23[[#This Row],[Year of planting ]]=2018,4,5))))</f>
        <v>4</v>
      </c>
      <c r="AR15">
        <f>INDEX([2]Tabelle2!$A$2:$AU$139,MATCH(Tabelle23[[#This Row],[plot_id]],[2]Tabelle2!$M$2:$M$139,0),20)</f>
        <v>1000</v>
      </c>
      <c r="AS15">
        <f>INDEX([2]Tabelle2!$A$2:$AU$139, MATCH(Tabelle23[[#This Row],[plot_id]],[2]Tabelle2!$M$2:$M$139,0), 19)</f>
        <v>42</v>
      </c>
    </row>
    <row r="16" spans="1:45" x14ac:dyDescent="0.3">
      <c r="A16" t="s">
        <v>584</v>
      </c>
      <c r="B16" t="s">
        <v>270</v>
      </c>
      <c r="C16" t="s">
        <v>270</v>
      </c>
      <c r="D16" s="129" t="s">
        <v>585</v>
      </c>
      <c r="F16" t="s">
        <v>590</v>
      </c>
      <c r="G16" s="4">
        <v>43313</v>
      </c>
      <c r="H16" s="129">
        <v>2018</v>
      </c>
      <c r="I16" t="s">
        <v>434</v>
      </c>
      <c r="J16">
        <v>20</v>
      </c>
      <c r="K16" s="5">
        <v>200</v>
      </c>
      <c r="L16" s="152">
        <f t="shared" si="0"/>
        <v>50</v>
      </c>
      <c r="M16" t="s">
        <v>591</v>
      </c>
      <c r="O16" s="5"/>
      <c r="P16" s="5"/>
      <c r="Q16" s="152"/>
      <c r="R16" s="152"/>
      <c r="S16" s="5">
        <v>7.5750082063357098</v>
      </c>
      <c r="T16" s="152">
        <v>7.5750082063357098</v>
      </c>
      <c r="U16" s="5">
        <v>46.366343430119848</v>
      </c>
      <c r="V16" s="5"/>
      <c r="W16" s="5"/>
      <c r="X16" s="5">
        <v>15.260000000000002</v>
      </c>
      <c r="Y16" s="152">
        <v>0.63280679867116185</v>
      </c>
      <c r="Z16" s="152">
        <v>15.302406996516259</v>
      </c>
      <c r="AA16" s="152">
        <v>14.3</v>
      </c>
      <c r="AB16" s="152">
        <v>16</v>
      </c>
      <c r="AC16" s="5">
        <v>13.86</v>
      </c>
      <c r="AD16" s="152">
        <v>0.94068532936837523</v>
      </c>
      <c r="AE16" s="152">
        <v>13.974933642999336</v>
      </c>
      <c r="AF16" s="152">
        <v>12.6</v>
      </c>
      <c r="AG16" s="152">
        <v>15.1</v>
      </c>
      <c r="AH16" s="153"/>
      <c r="AI16" s="6"/>
      <c r="AJ16" s="5"/>
      <c r="AK16" s="153"/>
      <c r="AL16" s="5"/>
      <c r="AM16" s="5"/>
      <c r="AN16" s="152"/>
      <c r="AO16" s="152"/>
      <c r="AP16">
        <f>IFERROR(Tabelle23[[#This Row],[Vol_ha_19]]*0.537836177777778*1.15,0)</f>
        <v>28.678121467185566</v>
      </c>
      <c r="AQ16">
        <f>IF(Tabelle23[[#This Row],[Year of planting ]]=2015,1,IF(Tabelle23[[#This Row],[Year of planting ]]=2016,2,IF(Tabelle23[[#This Row],[Year of planting ]]=2017,3,IF(Tabelle23[[#This Row],[Year of planting ]]=2018,4,5))))</f>
        <v>4</v>
      </c>
      <c r="AR16">
        <f>INDEX([2]Tabelle2!$A$2:$AU$139,MATCH(Tabelle23[[#This Row],[plot_id]],[2]Tabelle2!$M$2:$M$139,0),20)</f>
        <v>1000</v>
      </c>
      <c r="AS16">
        <f>INDEX([2]Tabelle2!$A$2:$AU$139, MATCH(Tabelle23[[#This Row],[plot_id]],[2]Tabelle2!$M$2:$M$139,0), 19)</f>
        <v>42</v>
      </c>
    </row>
    <row r="17" spans="1:45" x14ac:dyDescent="0.3">
      <c r="A17" t="s">
        <v>584</v>
      </c>
      <c r="B17" t="s">
        <v>268</v>
      </c>
      <c r="C17" t="s">
        <v>268</v>
      </c>
      <c r="D17" s="129" t="s">
        <v>585</v>
      </c>
      <c r="F17" t="s">
        <v>592</v>
      </c>
      <c r="G17" s="4">
        <v>43344</v>
      </c>
      <c r="H17" s="129">
        <v>2018</v>
      </c>
      <c r="I17" t="s">
        <v>593</v>
      </c>
      <c r="J17">
        <v>20</v>
      </c>
      <c r="K17" s="5">
        <v>200</v>
      </c>
      <c r="L17" s="152">
        <f t="shared" si="0"/>
        <v>50</v>
      </c>
      <c r="M17" t="s">
        <v>594</v>
      </c>
      <c r="O17" s="5"/>
      <c r="P17" s="5"/>
      <c r="Q17" s="152"/>
      <c r="R17" s="152"/>
      <c r="S17" s="5">
        <v>10.523746340903259</v>
      </c>
      <c r="T17" s="152">
        <v>10.523746340903259</v>
      </c>
      <c r="U17" s="5">
        <v>61.746698274559819</v>
      </c>
      <c r="V17" s="5"/>
      <c r="W17" s="5"/>
      <c r="X17" s="5">
        <v>14.305000000000001</v>
      </c>
      <c r="Y17" s="152">
        <v>1.6181454622011051</v>
      </c>
      <c r="Z17" s="152">
        <v>14.66842136686755</v>
      </c>
      <c r="AA17" s="152">
        <v>10.6</v>
      </c>
      <c r="AB17" s="152">
        <v>16.100000000000001</v>
      </c>
      <c r="AC17" s="5">
        <v>11.424999999999999</v>
      </c>
      <c r="AD17" s="152">
        <v>1.9089470782000362</v>
      </c>
      <c r="AE17" s="152">
        <v>11.961615388921022</v>
      </c>
      <c r="AF17" s="152">
        <v>6.7</v>
      </c>
      <c r="AG17" s="152">
        <v>13.3</v>
      </c>
      <c r="AH17" s="153"/>
      <c r="AI17" s="6"/>
      <c r="AJ17" s="5"/>
      <c r="AK17" s="153"/>
      <c r="AL17" s="5"/>
      <c r="AM17" s="5"/>
      <c r="AN17" s="152"/>
      <c r="AO17" s="152"/>
      <c r="AP17">
        <f>IFERROR(Tabelle23[[#This Row],[Vol_ha_19]]*0.537836177777778*1.15,0)</f>
        <v>38.191049418945013</v>
      </c>
      <c r="AQ17">
        <f>IF(Tabelle23[[#This Row],[Year of planting ]]=2015,1,IF(Tabelle23[[#This Row],[Year of planting ]]=2016,2,IF(Tabelle23[[#This Row],[Year of planting ]]=2017,3,IF(Tabelle23[[#This Row],[Year of planting ]]=2018,4,5))))</f>
        <v>4</v>
      </c>
      <c r="AR17">
        <f>INDEX([2]Tabelle2!$A$2:$AU$139,MATCH(Tabelle23[[#This Row],[plot_id]],[2]Tabelle2!$M$2:$M$139,0),20)</f>
        <v>1000</v>
      </c>
      <c r="AS17">
        <f>INDEX([2]Tabelle2!$A$2:$AU$139, MATCH(Tabelle23[[#This Row],[plot_id]],[2]Tabelle2!$M$2:$M$139,0), 19)</f>
        <v>71</v>
      </c>
    </row>
    <row r="18" spans="1:45" x14ac:dyDescent="0.3">
      <c r="A18" t="s">
        <v>584</v>
      </c>
      <c r="B18" t="s">
        <v>268</v>
      </c>
      <c r="C18" t="s">
        <v>268</v>
      </c>
      <c r="D18" s="129" t="s">
        <v>585</v>
      </c>
      <c r="F18" t="s">
        <v>592</v>
      </c>
      <c r="G18" s="4">
        <v>43344</v>
      </c>
      <c r="H18" s="129">
        <v>2018</v>
      </c>
      <c r="I18" t="s">
        <v>595</v>
      </c>
      <c r="J18">
        <v>20</v>
      </c>
      <c r="K18" s="5">
        <v>200</v>
      </c>
      <c r="L18" s="152">
        <f t="shared" si="0"/>
        <v>50</v>
      </c>
      <c r="M18" t="s">
        <v>594</v>
      </c>
      <c r="O18" s="5"/>
      <c r="P18" s="5"/>
      <c r="Q18" s="152"/>
      <c r="R18" s="152"/>
      <c r="S18" s="5">
        <v>9.7875533724426607</v>
      </c>
      <c r="T18" s="152">
        <v>9.7875533724426607</v>
      </c>
      <c r="U18" s="5">
        <v>57.673037492150755</v>
      </c>
      <c r="V18" s="5"/>
      <c r="W18" s="5"/>
      <c r="X18" s="5">
        <v>14.33888888888889</v>
      </c>
      <c r="Y18" s="152">
        <v>2.0779341802656526</v>
      </c>
      <c r="Z18" s="152">
        <v>14.731219155987452</v>
      </c>
      <c r="AA18" s="152">
        <v>7.4</v>
      </c>
      <c r="AB18" s="152">
        <v>17.2</v>
      </c>
      <c r="AC18" s="5">
        <v>11.644444444444444</v>
      </c>
      <c r="AD18" s="152">
        <v>1.743971877209253</v>
      </c>
      <c r="AE18" s="152">
        <v>12.058886686620818</v>
      </c>
      <c r="AF18" s="152">
        <v>5.9</v>
      </c>
      <c r="AG18" s="152">
        <v>14.1</v>
      </c>
      <c r="AH18" s="153"/>
      <c r="AI18" s="6"/>
      <c r="AJ18" s="5"/>
      <c r="AK18" s="153"/>
      <c r="AL18" s="5"/>
      <c r="AM18" s="5"/>
      <c r="AN18" s="152"/>
      <c r="AO18" s="152"/>
      <c r="AP18">
        <f>IFERROR(Tabelle23[[#This Row],[Vol_ha_19]]*0.537836177777778*1.15,0)</f>
        <v>35.671442952454775</v>
      </c>
      <c r="AQ18">
        <f>IF(Tabelle23[[#This Row],[Year of planting ]]=2015,1,IF(Tabelle23[[#This Row],[Year of planting ]]=2016,2,IF(Tabelle23[[#This Row],[Year of planting ]]=2017,3,IF(Tabelle23[[#This Row],[Year of planting ]]=2018,4,5))))</f>
        <v>4</v>
      </c>
      <c r="AR18">
        <f>INDEX([2]Tabelle2!$A$2:$AU$139,MATCH(Tabelle23[[#This Row],[plot_id]],[2]Tabelle2!$M$2:$M$139,0),20)</f>
        <v>1000</v>
      </c>
      <c r="AS18">
        <f>INDEX([2]Tabelle2!$A$2:$AU$139, MATCH(Tabelle23[[#This Row],[plot_id]],[2]Tabelle2!$M$2:$M$139,0), 19)</f>
        <v>71</v>
      </c>
    </row>
    <row r="19" spans="1:45" x14ac:dyDescent="0.3">
      <c r="A19" t="s">
        <v>584</v>
      </c>
      <c r="B19" t="s">
        <v>268</v>
      </c>
      <c r="C19" t="s">
        <v>268</v>
      </c>
      <c r="D19" s="129" t="s">
        <v>585</v>
      </c>
      <c r="F19" t="s">
        <v>592</v>
      </c>
      <c r="G19" s="4">
        <v>43344</v>
      </c>
      <c r="H19" s="129">
        <v>2018</v>
      </c>
      <c r="I19" t="s">
        <v>431</v>
      </c>
      <c r="J19">
        <v>20</v>
      </c>
      <c r="K19" s="5">
        <v>200</v>
      </c>
      <c r="L19" s="152">
        <f t="shared" si="0"/>
        <v>50</v>
      </c>
      <c r="M19" t="s">
        <v>594</v>
      </c>
      <c r="O19" s="5"/>
      <c r="P19" s="5"/>
      <c r="Q19" s="152"/>
      <c r="R19" s="152"/>
      <c r="S19" s="5">
        <v>9.1614339565822132</v>
      </c>
      <c r="T19" s="152">
        <v>9.1614339565822132</v>
      </c>
      <c r="U19" s="5">
        <v>54.302732180990631</v>
      </c>
      <c r="V19" s="5"/>
      <c r="W19" s="5"/>
      <c r="X19" s="5">
        <v>14.072222222222225</v>
      </c>
      <c r="Y19" s="152">
        <v>2.6267415635783524</v>
      </c>
      <c r="Z19" s="152">
        <v>14.81829494114722</v>
      </c>
      <c r="AA19" s="152">
        <v>4.9000000000000004</v>
      </c>
      <c r="AB19" s="152">
        <v>16.399999999999999</v>
      </c>
      <c r="AC19" s="5">
        <v>11.111111111111107</v>
      </c>
      <c r="AD19" s="152">
        <v>2.5520208575786421</v>
      </c>
      <c r="AE19" s="152">
        <v>11.925761485507557</v>
      </c>
      <c r="AF19" s="152">
        <v>2.7</v>
      </c>
      <c r="AG19" s="152">
        <v>13.5</v>
      </c>
      <c r="AH19" s="153"/>
      <c r="AI19" s="6"/>
      <c r="AJ19" s="5"/>
      <c r="AK19" s="153"/>
      <c r="AL19" s="5"/>
      <c r="AM19" s="5"/>
      <c r="AN19" s="152"/>
      <c r="AO19" s="152"/>
      <c r="AP19">
        <f>IFERROR(Tabelle23[[#This Row],[Vol_ha_19]]*0.537836177777778*1.15,0)</f>
        <v>33.586870006981492</v>
      </c>
      <c r="AQ19">
        <f>IF(Tabelle23[[#This Row],[Year of planting ]]=2015,1,IF(Tabelle23[[#This Row],[Year of planting ]]=2016,2,IF(Tabelle23[[#This Row],[Year of planting ]]=2017,3,IF(Tabelle23[[#This Row],[Year of planting ]]=2018,4,5))))</f>
        <v>4</v>
      </c>
      <c r="AR19">
        <f>INDEX([2]Tabelle2!$A$2:$AU$139,MATCH(Tabelle23[[#This Row],[plot_id]],[2]Tabelle2!$M$2:$M$139,0),20)</f>
        <v>1000</v>
      </c>
      <c r="AS19">
        <f>INDEX([2]Tabelle2!$A$2:$AU$139, MATCH(Tabelle23[[#This Row],[plot_id]],[2]Tabelle2!$M$2:$M$139,0), 19)</f>
        <v>71</v>
      </c>
    </row>
    <row r="20" spans="1:45" x14ac:dyDescent="0.3">
      <c r="A20" t="s">
        <v>584</v>
      </c>
      <c r="B20" t="s">
        <v>268</v>
      </c>
      <c r="C20" t="s">
        <v>268</v>
      </c>
      <c r="D20" s="129" t="s">
        <v>585</v>
      </c>
      <c r="F20" t="s">
        <v>592</v>
      </c>
      <c r="G20" s="4">
        <v>43344</v>
      </c>
      <c r="H20" s="129">
        <v>2018</v>
      </c>
      <c r="I20" t="s">
        <v>596</v>
      </c>
      <c r="J20">
        <v>20</v>
      </c>
      <c r="K20" s="5">
        <v>200</v>
      </c>
      <c r="L20" s="152">
        <f t="shared" si="0"/>
        <v>50</v>
      </c>
      <c r="M20" t="s">
        <v>594</v>
      </c>
      <c r="O20" s="5"/>
      <c r="P20" s="5"/>
      <c r="Q20" s="152"/>
      <c r="R20" s="152"/>
      <c r="S20" s="5">
        <v>10.123311087295068</v>
      </c>
      <c r="T20" s="152">
        <v>10.123311087295068</v>
      </c>
      <c r="U20" s="5">
        <v>63.163831450686004</v>
      </c>
      <c r="V20" s="5"/>
      <c r="W20" s="5"/>
      <c r="X20" s="5">
        <v>14.930000000000001</v>
      </c>
      <c r="Y20" s="152">
        <v>2.2909662406481481</v>
      </c>
      <c r="Z20" s="152">
        <v>15.598609710304592</v>
      </c>
      <c r="AA20" s="152">
        <v>11.5</v>
      </c>
      <c r="AB20" s="152">
        <v>18.5</v>
      </c>
      <c r="AC20" s="5">
        <v>11.17</v>
      </c>
      <c r="AD20" s="152">
        <v>2.0837971413541645</v>
      </c>
      <c r="AE20" s="152">
        <v>11.8540925101246</v>
      </c>
      <c r="AF20" s="152">
        <v>7.5</v>
      </c>
      <c r="AG20" s="152">
        <v>13.4</v>
      </c>
      <c r="AH20" s="153"/>
      <c r="AI20" s="6"/>
      <c r="AJ20" s="5"/>
      <c r="AK20" s="153"/>
      <c r="AL20" s="5"/>
      <c r="AM20" s="5"/>
      <c r="AN20" s="152"/>
      <c r="AO20" s="152"/>
      <c r="AP20">
        <f>IFERROR(Tabelle23[[#This Row],[Vol_ha_19]]*0.537836177777778*1.15,0)</f>
        <v>39.067562733422278</v>
      </c>
      <c r="AQ20">
        <f>IF(Tabelle23[[#This Row],[Year of planting ]]=2015,1,IF(Tabelle23[[#This Row],[Year of planting ]]=2016,2,IF(Tabelle23[[#This Row],[Year of planting ]]=2017,3,IF(Tabelle23[[#This Row],[Year of planting ]]=2018,4,5))))</f>
        <v>4</v>
      </c>
      <c r="AR20">
        <f>INDEX([2]Tabelle2!$A$2:$AU$139,MATCH(Tabelle23[[#This Row],[plot_id]],[2]Tabelle2!$M$2:$M$139,0),20)</f>
        <v>1000</v>
      </c>
      <c r="AS20">
        <f>INDEX([2]Tabelle2!$A$2:$AU$139, MATCH(Tabelle23[[#This Row],[plot_id]],[2]Tabelle2!$M$2:$M$139,0), 19)</f>
        <v>71</v>
      </c>
    </row>
    <row r="21" spans="1:45" x14ac:dyDescent="0.3">
      <c r="A21" t="s">
        <v>584</v>
      </c>
      <c r="B21" t="s">
        <v>268</v>
      </c>
      <c r="C21" t="s">
        <v>268</v>
      </c>
      <c r="D21" s="129" t="s">
        <v>585</v>
      </c>
      <c r="F21" t="s">
        <v>592</v>
      </c>
      <c r="G21" s="4">
        <v>43344</v>
      </c>
      <c r="H21" s="129">
        <v>2018</v>
      </c>
      <c r="I21" t="s">
        <v>597</v>
      </c>
      <c r="J21">
        <v>20</v>
      </c>
      <c r="K21" s="5">
        <v>200</v>
      </c>
      <c r="L21" s="152">
        <f t="shared" si="0"/>
        <v>50</v>
      </c>
      <c r="M21" t="s">
        <v>594</v>
      </c>
      <c r="O21" s="5"/>
      <c r="P21" s="5"/>
      <c r="Q21" s="152"/>
      <c r="R21" s="152"/>
      <c r="S21" s="5">
        <v>10.89260858834287</v>
      </c>
      <c r="T21" s="152">
        <v>10.89260858834287</v>
      </c>
      <c r="U21" s="5">
        <v>66.38249208445734</v>
      </c>
      <c r="V21" s="5"/>
      <c r="W21" s="5"/>
      <c r="X21" s="5">
        <v>14.615000000000004</v>
      </c>
      <c r="Y21" s="152">
        <v>2.7143429950425819</v>
      </c>
      <c r="Z21" s="152">
        <v>15.235673701591326</v>
      </c>
      <c r="AA21" s="152">
        <v>5.4</v>
      </c>
      <c r="AB21" s="152">
        <v>18</v>
      </c>
      <c r="AC21" s="5">
        <v>11.610000000000001</v>
      </c>
      <c r="AD21" s="152">
        <v>2.0253394777172438</v>
      </c>
      <c r="AE21" s="152">
        <v>12.156425527619351</v>
      </c>
      <c r="AF21" s="152">
        <v>4.8</v>
      </c>
      <c r="AG21" s="152">
        <v>14</v>
      </c>
      <c r="AH21" s="153"/>
      <c r="AI21" s="6"/>
      <c r="AJ21" s="5"/>
      <c r="AK21" s="153"/>
      <c r="AL21" s="5"/>
      <c r="AM21" s="5"/>
      <c r="AN21" s="152"/>
      <c r="AO21" s="152"/>
      <c r="AP21">
        <f>IFERROR(Tabelle23[[#This Row],[Vol_ha_19]]*0.537836177777778*1.15,0)</f>
        <v>41.058341686178359</v>
      </c>
      <c r="AQ21">
        <f>IF(Tabelle23[[#This Row],[Year of planting ]]=2015,1,IF(Tabelle23[[#This Row],[Year of planting ]]=2016,2,IF(Tabelle23[[#This Row],[Year of planting ]]=2017,3,IF(Tabelle23[[#This Row],[Year of planting ]]=2018,4,5))))</f>
        <v>4</v>
      </c>
      <c r="AR21">
        <f>INDEX([2]Tabelle2!$A$2:$AU$139,MATCH(Tabelle23[[#This Row],[plot_id]],[2]Tabelle2!$M$2:$M$139,0),20)</f>
        <v>1000</v>
      </c>
      <c r="AS21">
        <f>INDEX([2]Tabelle2!$A$2:$AU$139, MATCH(Tabelle23[[#This Row],[plot_id]],[2]Tabelle2!$M$2:$M$139,0), 19)</f>
        <v>71</v>
      </c>
    </row>
    <row r="22" spans="1:45" x14ac:dyDescent="0.3">
      <c r="A22" t="s">
        <v>584</v>
      </c>
      <c r="B22" t="s">
        <v>268</v>
      </c>
      <c r="C22" t="s">
        <v>268</v>
      </c>
      <c r="D22" s="129" t="s">
        <v>585</v>
      </c>
      <c r="F22" t="s">
        <v>592</v>
      </c>
      <c r="G22" s="4">
        <v>43344</v>
      </c>
      <c r="H22" s="129">
        <v>2018</v>
      </c>
      <c r="I22" t="s">
        <v>437</v>
      </c>
      <c r="J22">
        <v>20</v>
      </c>
      <c r="K22" s="5">
        <v>200</v>
      </c>
      <c r="L22" s="152">
        <f t="shared" si="0"/>
        <v>50</v>
      </c>
      <c r="M22" t="s">
        <v>594</v>
      </c>
      <c r="O22" s="5"/>
      <c r="P22" s="5"/>
      <c r="Q22" s="152"/>
      <c r="R22" s="152"/>
      <c r="S22" s="5">
        <v>10.597691577987129</v>
      </c>
      <c r="T22" s="152">
        <v>10.597691577987129</v>
      </c>
      <c r="U22" s="5">
        <v>57.429317446474236</v>
      </c>
      <c r="V22" s="5"/>
      <c r="W22" s="5"/>
      <c r="X22" s="5">
        <v>13.194736842105263</v>
      </c>
      <c r="Y22" s="152">
        <v>2.9362624928470904</v>
      </c>
      <c r="Z22" s="152">
        <v>13.547600678850397</v>
      </c>
      <c r="AA22" s="152">
        <v>6.6</v>
      </c>
      <c r="AB22" s="152">
        <v>17.8</v>
      </c>
      <c r="AC22" s="5">
        <v>11.799999999999999</v>
      </c>
      <c r="AD22" s="152">
        <v>1.7178798302300295</v>
      </c>
      <c r="AE22" s="152">
        <v>12.236530451924642</v>
      </c>
      <c r="AF22" s="152">
        <v>7.6</v>
      </c>
      <c r="AG22" s="152">
        <v>13.8</v>
      </c>
      <c r="AH22" s="153"/>
      <c r="AI22" s="6"/>
      <c r="AJ22" s="5"/>
      <c r="AK22" s="153"/>
      <c r="AL22" s="5"/>
      <c r="AM22" s="5"/>
      <c r="AN22" s="152"/>
      <c r="AO22" s="152"/>
      <c r="AP22">
        <f>IFERROR(Tabelle23[[#This Row],[Vol_ha_19]]*0.537836177777778*1.15,0)</f>
        <v>35.52069927596812</v>
      </c>
      <c r="AQ22">
        <f>IF(Tabelle23[[#This Row],[Year of planting ]]=2015,1,IF(Tabelle23[[#This Row],[Year of planting ]]=2016,2,IF(Tabelle23[[#This Row],[Year of planting ]]=2017,3,IF(Tabelle23[[#This Row],[Year of planting ]]=2018,4,5))))</f>
        <v>4</v>
      </c>
      <c r="AR22">
        <f>INDEX([2]Tabelle2!$A$2:$AU$139,MATCH(Tabelle23[[#This Row],[plot_id]],[2]Tabelle2!$M$2:$M$139,0),20)</f>
        <v>1000</v>
      </c>
      <c r="AS22">
        <f>INDEX([2]Tabelle2!$A$2:$AU$139, MATCH(Tabelle23[[#This Row],[plot_id]],[2]Tabelle2!$M$2:$M$139,0), 19)</f>
        <v>71</v>
      </c>
    </row>
    <row r="23" spans="1:45" x14ac:dyDescent="0.3">
      <c r="A23" t="s">
        <v>584</v>
      </c>
      <c r="B23" t="s">
        <v>268</v>
      </c>
      <c r="C23" t="s">
        <v>268</v>
      </c>
      <c r="D23" s="129" t="s">
        <v>585</v>
      </c>
      <c r="F23" t="s">
        <v>592</v>
      </c>
      <c r="G23" s="4">
        <v>43344</v>
      </c>
      <c r="H23" s="129">
        <v>2018</v>
      </c>
      <c r="I23" t="s">
        <v>598</v>
      </c>
      <c r="J23">
        <v>20</v>
      </c>
      <c r="K23" s="5">
        <v>200</v>
      </c>
      <c r="L23" s="152">
        <f t="shared" si="0"/>
        <v>50</v>
      </c>
      <c r="M23" t="s">
        <v>594</v>
      </c>
      <c r="O23" s="5"/>
      <c r="P23" s="5"/>
      <c r="Q23" s="152"/>
      <c r="R23" s="152"/>
      <c r="S23" s="5">
        <v>10.392663387432224</v>
      </c>
      <c r="T23" s="152">
        <v>10.392663387432224</v>
      </c>
      <c r="U23" s="5">
        <v>58.75532872768305</v>
      </c>
      <c r="V23" s="5"/>
      <c r="W23" s="5"/>
      <c r="X23" s="5">
        <v>14.06842105263158</v>
      </c>
      <c r="Y23" s="152">
        <v>0.87689644110410925</v>
      </c>
      <c r="Z23" s="152">
        <v>14.133847729239328</v>
      </c>
      <c r="AA23" s="152">
        <v>12.3</v>
      </c>
      <c r="AB23" s="152">
        <v>16</v>
      </c>
      <c r="AC23" s="5">
        <v>11.752631578947367</v>
      </c>
      <c r="AD23" s="152">
        <v>1.1082360463831358</v>
      </c>
      <c r="AE23" s="152">
        <v>11.943763201547721</v>
      </c>
      <c r="AF23" s="152">
        <v>9.5</v>
      </c>
      <c r="AG23" s="152">
        <v>13.4</v>
      </c>
      <c r="AH23" s="153"/>
      <c r="AI23" s="6"/>
      <c r="AJ23" s="5"/>
      <c r="AK23" s="153"/>
      <c r="AL23" s="5"/>
      <c r="AM23" s="5"/>
      <c r="AN23" s="152"/>
      <c r="AO23" s="152"/>
      <c r="AP23">
        <f>IFERROR(Tabelle23[[#This Row],[Vol_ha_19]]*0.537836177777778*1.15,0)</f>
        <v>36.340852641020014</v>
      </c>
      <c r="AQ23">
        <f>IF(Tabelle23[[#This Row],[Year of planting ]]=2015,1,IF(Tabelle23[[#This Row],[Year of planting ]]=2016,2,IF(Tabelle23[[#This Row],[Year of planting ]]=2017,3,IF(Tabelle23[[#This Row],[Year of planting ]]=2018,4,5))))</f>
        <v>4</v>
      </c>
      <c r="AR23">
        <f>INDEX([2]Tabelle2!$A$2:$AU$139,MATCH(Tabelle23[[#This Row],[plot_id]],[2]Tabelle2!$M$2:$M$139,0),20)</f>
        <v>1000</v>
      </c>
      <c r="AS23">
        <f>INDEX([2]Tabelle2!$A$2:$AU$139, MATCH(Tabelle23[[#This Row],[plot_id]],[2]Tabelle2!$M$2:$M$139,0), 19)</f>
        <v>71</v>
      </c>
    </row>
    <row r="24" spans="1:45" x14ac:dyDescent="0.3">
      <c r="A24" t="s">
        <v>584</v>
      </c>
      <c r="B24" t="s">
        <v>268</v>
      </c>
      <c r="C24" t="s">
        <v>268</v>
      </c>
      <c r="D24" s="129" t="s">
        <v>585</v>
      </c>
      <c r="F24" t="s">
        <v>592</v>
      </c>
      <c r="G24" s="4">
        <v>43344</v>
      </c>
      <c r="H24" s="129">
        <v>2018</v>
      </c>
      <c r="I24" t="s">
        <v>439</v>
      </c>
      <c r="J24">
        <v>20</v>
      </c>
      <c r="K24" s="5">
        <v>200</v>
      </c>
      <c r="L24" s="152">
        <f t="shared" si="0"/>
        <v>50</v>
      </c>
      <c r="M24" t="s">
        <v>594</v>
      </c>
      <c r="O24" s="5"/>
      <c r="P24" s="5"/>
      <c r="Q24" s="152"/>
      <c r="R24" s="152"/>
      <c r="S24" s="5">
        <v>6.7608644701579124</v>
      </c>
      <c r="T24" s="152">
        <v>6.7608644701579124</v>
      </c>
      <c r="U24" s="5">
        <v>35.862761401663661</v>
      </c>
      <c r="V24" s="5"/>
      <c r="W24" s="5"/>
      <c r="X24" s="5">
        <v>11.99375</v>
      </c>
      <c r="Y24" s="152">
        <v>2.9474211892206084</v>
      </c>
      <c r="Z24" s="152">
        <v>13.26115970818522</v>
      </c>
      <c r="AA24" s="152">
        <v>7.1</v>
      </c>
      <c r="AB24" s="152">
        <v>15.4</v>
      </c>
      <c r="AC24" s="5">
        <v>9.9999999999999982</v>
      </c>
      <c r="AD24" s="152">
        <v>2.8476891216095499</v>
      </c>
      <c r="AE24" s="152">
        <v>11.270776701284824</v>
      </c>
      <c r="AF24" s="152">
        <v>4.5</v>
      </c>
      <c r="AG24" s="152">
        <v>12.6</v>
      </c>
      <c r="AH24" s="153"/>
      <c r="AI24" s="6"/>
      <c r="AJ24" s="5"/>
      <c r="AK24" s="153"/>
      <c r="AL24" s="5"/>
      <c r="AM24" s="5"/>
      <c r="AN24" s="152"/>
      <c r="AO24" s="152"/>
      <c r="AP24">
        <f>IFERROR(Tabelle23[[#This Row],[Vol_ha_19]]*0.537836177777778*1.15,0)</f>
        <v>22.181534094351296</v>
      </c>
      <c r="AQ24">
        <f>IF(Tabelle23[[#This Row],[Year of planting ]]=2015,1,IF(Tabelle23[[#This Row],[Year of planting ]]=2016,2,IF(Tabelle23[[#This Row],[Year of planting ]]=2017,3,IF(Tabelle23[[#This Row],[Year of planting ]]=2018,4,5))))</f>
        <v>4</v>
      </c>
      <c r="AR24">
        <f>INDEX([2]Tabelle2!$A$2:$AU$139,MATCH(Tabelle23[[#This Row],[plot_id]],[2]Tabelle2!$M$2:$M$139,0),20)</f>
        <v>1000</v>
      </c>
      <c r="AS24">
        <f>INDEX([2]Tabelle2!$A$2:$AU$139, MATCH(Tabelle23[[#This Row],[plot_id]],[2]Tabelle2!$M$2:$M$139,0), 19)</f>
        <v>71</v>
      </c>
    </row>
    <row r="25" spans="1:45" x14ac:dyDescent="0.3">
      <c r="A25" t="s">
        <v>584</v>
      </c>
      <c r="B25" t="s">
        <v>273</v>
      </c>
      <c r="C25" t="s">
        <v>273</v>
      </c>
      <c r="D25" s="129" t="s">
        <v>585</v>
      </c>
      <c r="F25" t="s">
        <v>599</v>
      </c>
      <c r="G25" s="4">
        <v>43374</v>
      </c>
      <c r="H25" s="129">
        <v>2018</v>
      </c>
      <c r="I25" t="s">
        <v>600</v>
      </c>
      <c r="J25">
        <v>20</v>
      </c>
      <c r="K25" s="5">
        <v>200</v>
      </c>
      <c r="L25" s="152">
        <f t="shared" si="0"/>
        <v>50</v>
      </c>
      <c r="M25" t="s">
        <v>601</v>
      </c>
      <c r="O25" s="5"/>
      <c r="P25" s="5"/>
      <c r="Q25" s="152"/>
      <c r="R25" s="152"/>
      <c r="S25" s="5">
        <v>11.264887317793264</v>
      </c>
      <c r="T25" s="152">
        <v>11.264887317793264</v>
      </c>
      <c r="U25" s="5">
        <v>66.322778262094232</v>
      </c>
      <c r="V25" s="5"/>
      <c r="W25" s="5"/>
      <c r="X25" s="5">
        <v>14.560000000000002</v>
      </c>
      <c r="Y25" s="152">
        <v>1.2725440743065171</v>
      </c>
      <c r="Z25" s="152">
        <v>14.718917373752864</v>
      </c>
      <c r="AA25" s="152">
        <v>12.5</v>
      </c>
      <c r="AB25" s="152">
        <v>17.399999999999999</v>
      </c>
      <c r="AC25" s="5">
        <v>11.910000000000002</v>
      </c>
      <c r="AD25" s="152">
        <v>1.2900020399820473</v>
      </c>
      <c r="AE25" s="152">
        <v>12.158162575211428</v>
      </c>
      <c r="AF25" s="152">
        <v>8.8000000000000007</v>
      </c>
      <c r="AG25" s="152">
        <v>13.6</v>
      </c>
      <c r="AH25" s="153"/>
      <c r="AI25" s="6"/>
      <c r="AJ25" s="5"/>
      <c r="AK25" s="153"/>
      <c r="AL25" s="5"/>
      <c r="AM25" s="5"/>
      <c r="AN25" s="152"/>
      <c r="AO25" s="152"/>
      <c r="AP25">
        <f>IFERROR(Tabelle23[[#This Row],[Vol_ha_19]]*0.537836177777778*1.15,0)</f>
        <v>41.021407994101047</v>
      </c>
      <c r="AQ25">
        <f>IF(Tabelle23[[#This Row],[Year of planting ]]=2015,1,IF(Tabelle23[[#This Row],[Year of planting ]]=2016,2,IF(Tabelle23[[#This Row],[Year of planting ]]=2017,3,IF(Tabelle23[[#This Row],[Year of planting ]]=2018,4,5))))</f>
        <v>4</v>
      </c>
      <c r="AR25">
        <f>INDEX([2]Tabelle2!$A$2:$AU$139,MATCH(Tabelle23[[#This Row],[plot_id]],[2]Tabelle2!$M$2:$M$139,0),20)</f>
        <v>1000</v>
      </c>
      <c r="AS25">
        <f>INDEX([2]Tabelle2!$A$2:$AU$139, MATCH(Tabelle23[[#This Row],[plot_id]],[2]Tabelle2!$M$2:$M$139,0), 19)</f>
        <v>56</v>
      </c>
    </row>
    <row r="26" spans="1:45" x14ac:dyDescent="0.3">
      <c r="A26" t="s">
        <v>584</v>
      </c>
      <c r="B26" t="s">
        <v>273</v>
      </c>
      <c r="C26" t="s">
        <v>273</v>
      </c>
      <c r="D26" s="129" t="s">
        <v>585</v>
      </c>
      <c r="F26" t="s">
        <v>599</v>
      </c>
      <c r="G26" s="4">
        <v>43374</v>
      </c>
      <c r="H26" s="129">
        <v>2018</v>
      </c>
      <c r="I26" t="s">
        <v>441</v>
      </c>
      <c r="J26">
        <v>20</v>
      </c>
      <c r="K26" s="5">
        <v>200</v>
      </c>
      <c r="L26" s="152">
        <f t="shared" si="0"/>
        <v>50</v>
      </c>
      <c r="M26" t="s">
        <v>601</v>
      </c>
      <c r="O26" s="5"/>
      <c r="P26" s="5"/>
      <c r="Q26" s="152"/>
      <c r="R26" s="152"/>
      <c r="S26" s="5">
        <v>6.2514944912864996</v>
      </c>
      <c r="T26" s="152">
        <v>6.2514944912864996</v>
      </c>
      <c r="U26" s="5">
        <v>34.315068347243269</v>
      </c>
      <c r="V26" s="5"/>
      <c r="W26" s="5"/>
      <c r="X26" s="5">
        <v>13.554545454545456</v>
      </c>
      <c r="Y26" s="152">
        <v>1.824480000637771</v>
      </c>
      <c r="Z26" s="152">
        <v>13.722745975011463</v>
      </c>
      <c r="AA26" s="152">
        <v>10.6</v>
      </c>
      <c r="AB26" s="152">
        <v>15.8</v>
      </c>
      <c r="AC26" s="5">
        <v>11.990909090909089</v>
      </c>
      <c r="AD26" s="152">
        <v>1.0163213521859562</v>
      </c>
      <c r="AE26" s="152">
        <v>12.141092259081741</v>
      </c>
      <c r="AF26" s="152">
        <v>9.8000000000000007</v>
      </c>
      <c r="AG26" s="152">
        <v>13.1</v>
      </c>
      <c r="AH26" s="153"/>
      <c r="AI26" s="6"/>
      <c r="AJ26" s="5"/>
      <c r="AK26" s="153"/>
      <c r="AL26" s="5"/>
      <c r="AM26" s="5"/>
      <c r="AN26" s="152"/>
      <c r="AO26" s="152"/>
      <c r="AP26">
        <f>IFERROR(Tabelle23[[#This Row],[Vol_ha_19]]*0.537836177777778*1.15,0)</f>
        <v>21.224267980074213</v>
      </c>
      <c r="AQ26">
        <f>IF(Tabelle23[[#This Row],[Year of planting ]]=2015,1,IF(Tabelle23[[#This Row],[Year of planting ]]=2016,2,IF(Tabelle23[[#This Row],[Year of planting ]]=2017,3,IF(Tabelle23[[#This Row],[Year of planting ]]=2018,4,5))))</f>
        <v>4</v>
      </c>
      <c r="AR26">
        <f>INDEX([2]Tabelle2!$A$2:$AU$139,MATCH(Tabelle23[[#This Row],[plot_id]],[2]Tabelle2!$M$2:$M$139,0),20)</f>
        <v>1000</v>
      </c>
      <c r="AS26">
        <f>INDEX([2]Tabelle2!$A$2:$AU$139, MATCH(Tabelle23[[#This Row],[plot_id]],[2]Tabelle2!$M$2:$M$139,0), 19)</f>
        <v>56</v>
      </c>
    </row>
    <row r="27" spans="1:45" x14ac:dyDescent="0.3">
      <c r="A27" t="s">
        <v>584</v>
      </c>
      <c r="B27" t="s">
        <v>273</v>
      </c>
      <c r="C27" t="s">
        <v>273</v>
      </c>
      <c r="D27" s="129" t="s">
        <v>585</v>
      </c>
      <c r="F27" t="s">
        <v>599</v>
      </c>
      <c r="G27" s="4">
        <v>43374</v>
      </c>
      <c r="H27" s="129">
        <v>2018</v>
      </c>
      <c r="I27" t="s">
        <v>602</v>
      </c>
      <c r="J27">
        <v>20</v>
      </c>
      <c r="K27" s="5">
        <v>200</v>
      </c>
      <c r="L27" s="152">
        <f t="shared" si="0"/>
        <v>50</v>
      </c>
      <c r="M27" t="s">
        <v>601</v>
      </c>
      <c r="O27" s="5"/>
      <c r="P27" s="5"/>
      <c r="Q27" s="152"/>
      <c r="R27" s="152"/>
      <c r="S27" s="5">
        <v>10.754771210666618</v>
      </c>
      <c r="T27" s="152">
        <v>10.754771210666618</v>
      </c>
      <c r="U27" s="5">
        <v>68.083879705472981</v>
      </c>
      <c r="V27" s="5"/>
      <c r="W27" s="5"/>
      <c r="X27" s="5">
        <v>15.783333333333331</v>
      </c>
      <c r="Y27" s="152">
        <v>0.75712303763499822</v>
      </c>
      <c r="Z27" s="152">
        <v>15.826436093300421</v>
      </c>
      <c r="AA27" s="152">
        <v>14.3</v>
      </c>
      <c r="AB27" s="152">
        <v>17.5</v>
      </c>
      <c r="AC27" s="5">
        <v>12.288888888888891</v>
      </c>
      <c r="AD27" s="152">
        <v>1.0948483047698965</v>
      </c>
      <c r="AE27" s="152">
        <v>12.475217988227906</v>
      </c>
      <c r="AF27" s="152">
        <v>10.6</v>
      </c>
      <c r="AG27" s="152">
        <v>14.6</v>
      </c>
      <c r="AH27" s="153"/>
      <c r="AI27" s="6"/>
      <c r="AJ27" s="5"/>
      <c r="AK27" s="153"/>
      <c r="AL27" s="5"/>
      <c r="AM27" s="5"/>
      <c r="AN27" s="152"/>
      <c r="AO27" s="152"/>
      <c r="AP27">
        <f>IFERROR(Tabelle23[[#This Row],[Vol_ha_19]]*0.537836177777778*1.15,0)</f>
        <v>42.110669673434657</v>
      </c>
      <c r="AQ27">
        <f>IF(Tabelle23[[#This Row],[Year of planting ]]=2015,1,IF(Tabelle23[[#This Row],[Year of planting ]]=2016,2,IF(Tabelle23[[#This Row],[Year of planting ]]=2017,3,IF(Tabelle23[[#This Row],[Year of planting ]]=2018,4,5))))</f>
        <v>4</v>
      </c>
      <c r="AR27">
        <f>INDEX([2]Tabelle2!$A$2:$AU$139,MATCH(Tabelle23[[#This Row],[plot_id]],[2]Tabelle2!$M$2:$M$139,0),20)</f>
        <v>1000</v>
      </c>
      <c r="AS27">
        <f>INDEX([2]Tabelle2!$A$2:$AU$139, MATCH(Tabelle23[[#This Row],[plot_id]],[2]Tabelle2!$M$2:$M$139,0), 19)</f>
        <v>56</v>
      </c>
    </row>
    <row r="28" spans="1:45" x14ac:dyDescent="0.3">
      <c r="A28" t="s">
        <v>584</v>
      </c>
      <c r="B28" t="s">
        <v>273</v>
      </c>
      <c r="C28" t="s">
        <v>273</v>
      </c>
      <c r="D28" s="129" t="s">
        <v>585</v>
      </c>
      <c r="F28" t="s">
        <v>599</v>
      </c>
      <c r="G28" s="4">
        <v>43374</v>
      </c>
      <c r="H28" s="129">
        <v>2018</v>
      </c>
      <c r="I28" t="s">
        <v>603</v>
      </c>
      <c r="J28">
        <v>20</v>
      </c>
      <c r="K28" s="5">
        <v>200</v>
      </c>
      <c r="L28" s="152">
        <f t="shared" si="0"/>
        <v>50</v>
      </c>
      <c r="M28" t="s">
        <v>601</v>
      </c>
      <c r="O28" s="5"/>
      <c r="P28" s="5"/>
      <c r="Q28" s="152"/>
      <c r="R28" s="152"/>
      <c r="S28" s="5">
        <v>9.552954941035841</v>
      </c>
      <c r="T28" s="152">
        <v>9.552954941035841</v>
      </c>
      <c r="U28" s="5">
        <v>58.153699597353672</v>
      </c>
      <c r="V28" s="5"/>
      <c r="W28" s="5"/>
      <c r="X28" s="5">
        <v>14.935294117647059</v>
      </c>
      <c r="Y28" s="152">
        <v>1.5296818200489395</v>
      </c>
      <c r="Z28" s="152">
        <v>15.218772609181794</v>
      </c>
      <c r="AA28" s="152">
        <v>11.7</v>
      </c>
      <c r="AB28" s="152">
        <v>18.100000000000001</v>
      </c>
      <c r="AC28" s="5">
        <v>11.858823529411765</v>
      </c>
      <c r="AD28" s="152">
        <v>1.6182779518400854</v>
      </c>
      <c r="AE28" s="152">
        <v>12.225929853985797</v>
      </c>
      <c r="AF28" s="152">
        <v>7.1</v>
      </c>
      <c r="AG28" s="152">
        <v>14.1</v>
      </c>
      <c r="AH28" s="153"/>
      <c r="AI28" s="6"/>
      <c r="AJ28" s="5"/>
      <c r="AK28" s="153"/>
      <c r="AL28" s="5"/>
      <c r="AM28" s="5"/>
      <c r="AN28" s="152"/>
      <c r="AO28" s="152"/>
      <c r="AP28">
        <f>IFERROR(Tabelle23[[#This Row],[Vol_ha_19]]*0.537836177777778*1.15,0)</f>
        <v>35.968738042339481</v>
      </c>
      <c r="AQ28">
        <f>IF(Tabelle23[[#This Row],[Year of planting ]]=2015,1,IF(Tabelle23[[#This Row],[Year of planting ]]=2016,2,IF(Tabelle23[[#This Row],[Year of planting ]]=2017,3,IF(Tabelle23[[#This Row],[Year of planting ]]=2018,4,5))))</f>
        <v>4</v>
      </c>
      <c r="AR28">
        <f>INDEX([2]Tabelle2!$A$2:$AU$139,MATCH(Tabelle23[[#This Row],[plot_id]],[2]Tabelle2!$M$2:$M$139,0),20)</f>
        <v>1000</v>
      </c>
      <c r="AS28">
        <f>INDEX([2]Tabelle2!$A$2:$AU$139, MATCH(Tabelle23[[#This Row],[plot_id]],[2]Tabelle2!$M$2:$M$139,0), 19)</f>
        <v>56</v>
      </c>
    </row>
    <row r="29" spans="1:45" x14ac:dyDescent="0.3">
      <c r="A29" t="s">
        <v>584</v>
      </c>
      <c r="B29" t="s">
        <v>273</v>
      </c>
      <c r="C29" t="s">
        <v>273</v>
      </c>
      <c r="D29" s="129" t="s">
        <v>585</v>
      </c>
      <c r="F29" t="s">
        <v>599</v>
      </c>
      <c r="G29" s="4">
        <v>43374</v>
      </c>
      <c r="H29" s="129">
        <v>2018</v>
      </c>
      <c r="I29" t="s">
        <v>442</v>
      </c>
      <c r="J29">
        <v>20</v>
      </c>
      <c r="K29" s="5">
        <v>200</v>
      </c>
      <c r="L29" s="152">
        <f t="shared" si="0"/>
        <v>50</v>
      </c>
      <c r="M29" t="s">
        <v>601</v>
      </c>
      <c r="O29" s="5"/>
      <c r="P29" s="5"/>
      <c r="Q29" s="152"/>
      <c r="R29" s="152"/>
      <c r="S29" s="5">
        <v>4.9774608605313286</v>
      </c>
      <c r="T29" s="152">
        <v>4.9774608605313286</v>
      </c>
      <c r="U29" s="5">
        <v>26.782702548791054</v>
      </c>
      <c r="V29" s="5"/>
      <c r="W29" s="5"/>
      <c r="X29" s="5">
        <v>13.4</v>
      </c>
      <c r="Y29" s="152">
        <v>0.87891979156234734</v>
      </c>
      <c r="Z29" s="152">
        <v>13.451990532544379</v>
      </c>
      <c r="AA29" s="152">
        <v>12.6</v>
      </c>
      <c r="AB29" s="152">
        <v>14.9</v>
      </c>
      <c r="AC29" s="5">
        <v>11.844444444444445</v>
      </c>
      <c r="AD29" s="152">
        <v>0.78120277635053081</v>
      </c>
      <c r="AE29" s="152">
        <v>11.936680078895463</v>
      </c>
      <c r="AF29" s="152">
        <v>11</v>
      </c>
      <c r="AG29" s="152">
        <v>13.1</v>
      </c>
      <c r="AH29" s="153"/>
      <c r="AI29" s="6"/>
      <c r="AJ29" s="5"/>
      <c r="AK29" s="153"/>
      <c r="AL29" s="5"/>
      <c r="AM29" s="5"/>
      <c r="AN29" s="152"/>
      <c r="AO29" s="152"/>
      <c r="AP29">
        <f>IFERROR(Tabelle23[[#This Row],[Vol_ha_19]]*0.537836177777778*1.15,0)</f>
        <v>16.565412324811074</v>
      </c>
      <c r="AQ29">
        <f>IF(Tabelle23[[#This Row],[Year of planting ]]=2015,1,IF(Tabelle23[[#This Row],[Year of planting ]]=2016,2,IF(Tabelle23[[#This Row],[Year of planting ]]=2017,3,IF(Tabelle23[[#This Row],[Year of planting ]]=2018,4,5))))</f>
        <v>4</v>
      </c>
      <c r="AR29">
        <f>INDEX([2]Tabelle2!$A$2:$AU$139,MATCH(Tabelle23[[#This Row],[plot_id]],[2]Tabelle2!$M$2:$M$139,0),20)</f>
        <v>1000</v>
      </c>
      <c r="AS29">
        <f>INDEX([2]Tabelle2!$A$2:$AU$139, MATCH(Tabelle23[[#This Row],[plot_id]],[2]Tabelle2!$M$2:$M$139,0), 19)</f>
        <v>56</v>
      </c>
    </row>
    <row r="30" spans="1:45" x14ac:dyDescent="0.3">
      <c r="A30" t="s">
        <v>584</v>
      </c>
      <c r="B30" t="s">
        <v>273</v>
      </c>
      <c r="C30" t="s">
        <v>273</v>
      </c>
      <c r="D30" s="129" t="s">
        <v>585</v>
      </c>
      <c r="F30" t="s">
        <v>599</v>
      </c>
      <c r="G30" s="4">
        <v>43374</v>
      </c>
      <c r="H30" s="129">
        <v>2018</v>
      </c>
      <c r="I30" t="s">
        <v>440</v>
      </c>
      <c r="J30">
        <v>20</v>
      </c>
      <c r="K30" s="5">
        <v>200</v>
      </c>
      <c r="L30" s="152">
        <f t="shared" si="0"/>
        <v>50</v>
      </c>
      <c r="M30" t="s">
        <v>601</v>
      </c>
      <c r="O30" s="5"/>
      <c r="P30" s="5"/>
      <c r="Q30" s="152"/>
      <c r="R30" s="152"/>
      <c r="S30" s="5">
        <v>6.3203739102164551</v>
      </c>
      <c r="T30" s="152">
        <v>6.3203739102164551</v>
      </c>
      <c r="U30" s="5">
        <v>38.247013455845213</v>
      </c>
      <c r="V30" s="5"/>
      <c r="W30" s="5"/>
      <c r="X30" s="5">
        <v>14.887500000000001</v>
      </c>
      <c r="Y30" s="152">
        <v>1.1801180328376357</v>
      </c>
      <c r="Z30" s="152">
        <v>15.128461543240943</v>
      </c>
      <c r="AA30" s="152">
        <v>13.3</v>
      </c>
      <c r="AB30" s="152">
        <v>16.7</v>
      </c>
      <c r="AC30" s="5">
        <v>14.012499999999999</v>
      </c>
      <c r="AD30" s="152">
        <v>2.3503419204143925</v>
      </c>
      <c r="AE30" s="152">
        <v>14.64987169689401</v>
      </c>
      <c r="AF30" s="152">
        <v>10.1</v>
      </c>
      <c r="AG30" s="152">
        <v>16.399999999999999</v>
      </c>
      <c r="AH30" s="153"/>
      <c r="AI30" s="6"/>
      <c r="AJ30" s="5"/>
      <c r="AK30" s="153"/>
      <c r="AL30" s="5"/>
      <c r="AM30" s="5"/>
      <c r="AN30" s="152"/>
      <c r="AO30" s="152"/>
      <c r="AP30">
        <f>IFERROR(Tabelle23[[#This Row],[Vol_ha_19]]*0.537836177777778*1.15,0)</f>
        <v>23.656221657783089</v>
      </c>
      <c r="AQ30">
        <f>IF(Tabelle23[[#This Row],[Year of planting ]]=2015,1,IF(Tabelle23[[#This Row],[Year of planting ]]=2016,2,IF(Tabelle23[[#This Row],[Year of planting ]]=2017,3,IF(Tabelle23[[#This Row],[Year of planting ]]=2018,4,5))))</f>
        <v>4</v>
      </c>
      <c r="AR30">
        <f>INDEX([2]Tabelle2!$A$2:$AU$139,MATCH(Tabelle23[[#This Row],[plot_id]],[2]Tabelle2!$M$2:$M$139,0),20)</f>
        <v>1000</v>
      </c>
      <c r="AS30">
        <f>INDEX([2]Tabelle2!$A$2:$AU$139, MATCH(Tabelle23[[#This Row],[plot_id]],[2]Tabelle2!$M$2:$M$139,0), 19)</f>
        <v>56</v>
      </c>
    </row>
    <row r="31" spans="1:45" x14ac:dyDescent="0.3">
      <c r="A31" t="s">
        <v>584</v>
      </c>
      <c r="B31" t="s">
        <v>273</v>
      </c>
      <c r="C31" t="s">
        <v>273</v>
      </c>
      <c r="D31" s="129" t="s">
        <v>585</v>
      </c>
      <c r="F31" t="s">
        <v>599</v>
      </c>
      <c r="G31" s="4">
        <v>43374</v>
      </c>
      <c r="H31" s="129">
        <v>2018</v>
      </c>
      <c r="I31" t="s">
        <v>604</v>
      </c>
      <c r="J31">
        <v>20</v>
      </c>
      <c r="K31" s="5">
        <v>200</v>
      </c>
      <c r="L31" s="152">
        <f t="shared" si="0"/>
        <v>50</v>
      </c>
      <c r="M31" t="s">
        <v>601</v>
      </c>
      <c r="O31" s="5"/>
      <c r="P31" s="5"/>
      <c r="Q31" s="152"/>
      <c r="R31" s="152"/>
      <c r="S31" s="5">
        <v>6.3019563232847853</v>
      </c>
      <c r="T31" s="152">
        <v>6.3019563232847853</v>
      </c>
      <c r="U31" s="5">
        <v>38.348241854329181</v>
      </c>
      <c r="V31" s="5"/>
      <c r="W31" s="5"/>
      <c r="X31" s="5">
        <v>15.036363636363633</v>
      </c>
      <c r="Y31" s="152">
        <v>1.5213630252327863</v>
      </c>
      <c r="Z31" s="152">
        <v>15.212832288537992</v>
      </c>
      <c r="AA31" s="152">
        <v>13</v>
      </c>
      <c r="AB31" s="152">
        <v>17.3</v>
      </c>
      <c r="AC31" s="5">
        <v>12.036363636363633</v>
      </c>
      <c r="AD31" s="152">
        <v>1.0566671446323361</v>
      </c>
      <c r="AE31" s="152">
        <v>12.20313313974501</v>
      </c>
      <c r="AF31" s="152">
        <v>10.5</v>
      </c>
      <c r="AG31" s="152">
        <v>13.6</v>
      </c>
      <c r="AH31" s="153"/>
      <c r="AI31" s="6"/>
      <c r="AJ31" s="5"/>
      <c r="AK31" s="153"/>
      <c r="AL31" s="5"/>
      <c r="AM31" s="5"/>
      <c r="AN31" s="152"/>
      <c r="AO31" s="152"/>
      <c r="AP31">
        <f>IFERROR(Tabelle23[[#This Row],[Vol_ha_19]]*0.537836177777778*1.15,0)</f>
        <v>23.71883259694475</v>
      </c>
      <c r="AQ31">
        <f>IF(Tabelle23[[#This Row],[Year of planting ]]=2015,1,IF(Tabelle23[[#This Row],[Year of planting ]]=2016,2,IF(Tabelle23[[#This Row],[Year of planting ]]=2017,3,IF(Tabelle23[[#This Row],[Year of planting ]]=2018,4,5))))</f>
        <v>4</v>
      </c>
      <c r="AR31">
        <f>INDEX([2]Tabelle2!$A$2:$AU$139,MATCH(Tabelle23[[#This Row],[plot_id]],[2]Tabelle2!$M$2:$M$139,0),20)</f>
        <v>1000</v>
      </c>
      <c r="AS31">
        <f>INDEX([2]Tabelle2!$A$2:$AU$139, MATCH(Tabelle23[[#This Row],[plot_id]],[2]Tabelle2!$M$2:$M$139,0), 19)</f>
        <v>56</v>
      </c>
    </row>
    <row r="32" spans="1:45" x14ac:dyDescent="0.3">
      <c r="A32" t="s">
        <v>584</v>
      </c>
      <c r="B32" t="s">
        <v>225</v>
      </c>
      <c r="C32" t="s">
        <v>225</v>
      </c>
      <c r="D32" s="129" t="s">
        <v>585</v>
      </c>
      <c r="F32" t="s">
        <v>590</v>
      </c>
      <c r="G32" s="4">
        <v>43344</v>
      </c>
      <c r="H32" s="129">
        <v>2018</v>
      </c>
      <c r="I32" t="s">
        <v>343</v>
      </c>
      <c r="J32">
        <v>20</v>
      </c>
      <c r="K32" s="5">
        <v>279.99999999999994</v>
      </c>
      <c r="L32" s="152">
        <f t="shared" si="0"/>
        <v>35.714285714285722</v>
      </c>
      <c r="M32" t="s">
        <v>591</v>
      </c>
      <c r="O32" s="5"/>
      <c r="P32" s="5"/>
      <c r="Q32" s="152"/>
      <c r="R32" s="152"/>
      <c r="S32" s="5">
        <v>6.378330684688307</v>
      </c>
      <c r="T32" s="152">
        <v>6.378330684688307</v>
      </c>
      <c r="U32" s="5">
        <v>38.345159054338126</v>
      </c>
      <c r="V32" s="5"/>
      <c r="W32" s="5"/>
      <c r="X32" s="5">
        <v>15.023076923076927</v>
      </c>
      <c r="Y32" s="152">
        <v>0.58900176308995633</v>
      </c>
      <c r="Z32" s="152">
        <v>15.029464976780186</v>
      </c>
      <c r="AA32" s="152">
        <v>14.3</v>
      </c>
      <c r="AB32" s="152">
        <v>16.3</v>
      </c>
      <c r="AC32" s="5">
        <v>13.200000000000005</v>
      </c>
      <c r="AD32" s="152">
        <v>0.85634883857767508</v>
      </c>
      <c r="AE32" s="152">
        <v>13.299702716014638</v>
      </c>
      <c r="AF32" s="152">
        <v>11.3</v>
      </c>
      <c r="AG32" s="152">
        <v>14.3</v>
      </c>
      <c r="AH32" s="153"/>
      <c r="AI32" s="6"/>
      <c r="AJ32" s="5"/>
      <c r="AK32" s="153"/>
      <c r="AL32" s="5"/>
      <c r="AM32" s="5"/>
      <c r="AN32" s="152"/>
      <c r="AO32" s="152"/>
      <c r="AP32">
        <f>IFERROR(Tabelle23[[#This Row],[Vol_ha_19]]*0.537836177777778*1.15,0)</f>
        <v>23.7169258493761</v>
      </c>
      <c r="AQ32">
        <f>IF(Tabelle23[[#This Row],[Year of planting ]]=2015,1,IF(Tabelle23[[#This Row],[Year of planting ]]=2016,2,IF(Tabelle23[[#This Row],[Year of planting ]]=2017,3,IF(Tabelle23[[#This Row],[Year of planting ]]=2018,4,5))))</f>
        <v>4</v>
      </c>
      <c r="AR32">
        <f>INDEX([2]Tabelle2!$A$2:$AU$139,MATCH(Tabelle23[[#This Row],[plot_id]],[2]Tabelle2!$M$2:$M$139,0),20)</f>
        <v>714</v>
      </c>
      <c r="AS32">
        <f>INDEX([2]Tabelle2!$A$2:$AU$139, MATCH(Tabelle23[[#This Row],[plot_id]],[2]Tabelle2!$M$2:$M$139,0), 19)</f>
        <v>42.5</v>
      </c>
    </row>
    <row r="33" spans="1:45" x14ac:dyDescent="0.3">
      <c r="A33" t="s">
        <v>584</v>
      </c>
      <c r="B33" t="s">
        <v>225</v>
      </c>
      <c r="C33" t="s">
        <v>225</v>
      </c>
      <c r="D33" s="129" t="s">
        <v>585</v>
      </c>
      <c r="F33" t="s">
        <v>590</v>
      </c>
      <c r="G33" s="4">
        <v>43344</v>
      </c>
      <c r="H33" s="129">
        <v>2018</v>
      </c>
      <c r="I33" t="s">
        <v>344</v>
      </c>
      <c r="J33">
        <v>20</v>
      </c>
      <c r="K33" s="5">
        <v>279.99999999999994</v>
      </c>
      <c r="L33" s="152">
        <f t="shared" si="0"/>
        <v>35.714285714285722</v>
      </c>
      <c r="M33" t="s">
        <v>591</v>
      </c>
      <c r="O33" s="5"/>
      <c r="P33" s="5"/>
      <c r="Q33" s="152"/>
      <c r="R33" s="152"/>
      <c r="S33" s="5">
        <v>9.1091039989524187</v>
      </c>
      <c r="T33" s="152">
        <v>8.787960299926084</v>
      </c>
      <c r="U33" s="5">
        <v>53.091816288238768</v>
      </c>
      <c r="V33" s="5"/>
      <c r="W33" s="5"/>
      <c r="X33" s="5">
        <v>15.016666666666667</v>
      </c>
      <c r="Y33" s="152">
        <v>0.66177124179778934</v>
      </c>
      <c r="Z33" s="152">
        <v>14.571086325928572</v>
      </c>
      <c r="AA33" s="152">
        <v>14</v>
      </c>
      <c r="AB33" s="152">
        <v>16.2</v>
      </c>
      <c r="AC33" s="5">
        <v>13.010526315789473</v>
      </c>
      <c r="AD33" s="152">
        <v>1.2276897907135262</v>
      </c>
      <c r="AE33" s="152">
        <v>12.880003756782228</v>
      </c>
      <c r="AF33" s="152">
        <v>10.8</v>
      </c>
      <c r="AG33" s="152">
        <v>15.2</v>
      </c>
      <c r="AH33" s="153"/>
      <c r="AI33" s="6"/>
      <c r="AJ33" s="5"/>
      <c r="AK33" s="153"/>
      <c r="AL33" s="5"/>
      <c r="AM33" s="5"/>
      <c r="AN33" s="152"/>
      <c r="AO33" s="152"/>
      <c r="AP33">
        <f>IFERROR(Tabelle23[[#This Row],[Vol_ha_19]]*0.537836177777778*1.15,0)</f>
        <v>32.837904475308264</v>
      </c>
      <c r="AQ33">
        <f>IF(Tabelle23[[#This Row],[Year of planting ]]=2015,1,IF(Tabelle23[[#This Row],[Year of planting ]]=2016,2,IF(Tabelle23[[#This Row],[Year of planting ]]=2017,3,IF(Tabelle23[[#This Row],[Year of planting ]]=2018,4,5))))</f>
        <v>4</v>
      </c>
      <c r="AR33">
        <f>INDEX([2]Tabelle2!$A$2:$AU$139,MATCH(Tabelle23[[#This Row],[plot_id]],[2]Tabelle2!$M$2:$M$139,0),20)</f>
        <v>714</v>
      </c>
      <c r="AS33">
        <f>INDEX([2]Tabelle2!$A$2:$AU$139, MATCH(Tabelle23[[#This Row],[plot_id]],[2]Tabelle2!$M$2:$M$139,0), 19)</f>
        <v>42.5</v>
      </c>
    </row>
    <row r="34" spans="1:45" x14ac:dyDescent="0.3">
      <c r="A34" t="s">
        <v>584</v>
      </c>
      <c r="B34" t="s">
        <v>225</v>
      </c>
      <c r="C34" t="s">
        <v>225</v>
      </c>
      <c r="D34" s="129" t="s">
        <v>585</v>
      </c>
      <c r="F34" t="s">
        <v>590</v>
      </c>
      <c r="G34" s="4">
        <v>43344</v>
      </c>
      <c r="H34" s="129">
        <v>2018</v>
      </c>
      <c r="I34" t="s">
        <v>605</v>
      </c>
      <c r="J34">
        <v>20</v>
      </c>
      <c r="K34" s="5">
        <v>279.99999999999994</v>
      </c>
      <c r="L34" s="152">
        <f t="shared" si="0"/>
        <v>35.714285714285722</v>
      </c>
      <c r="M34" t="s">
        <v>591</v>
      </c>
      <c r="O34" s="5"/>
      <c r="P34" s="5"/>
      <c r="Q34" s="152"/>
      <c r="R34" s="152"/>
      <c r="S34" s="5">
        <v>8.0027023862006708</v>
      </c>
      <c r="T34" s="152">
        <v>7.8094663880704935</v>
      </c>
      <c r="U34" s="5">
        <v>42.027615031154184</v>
      </c>
      <c r="V34" s="5"/>
      <c r="W34" s="5"/>
      <c r="X34" s="5">
        <v>13.310526315789474</v>
      </c>
      <c r="Y34" s="152">
        <v>2.1110541697460796</v>
      </c>
      <c r="Z34" s="152">
        <v>13.129194677920241</v>
      </c>
      <c r="AA34" s="152">
        <v>7.1</v>
      </c>
      <c r="AB34" s="152">
        <v>15.4</v>
      </c>
      <c r="AC34" s="5">
        <v>11.859999999999998</v>
      </c>
      <c r="AD34" s="152">
        <v>1.2130624336101818</v>
      </c>
      <c r="AE34" s="152">
        <v>11.972055926702232</v>
      </c>
      <c r="AF34" s="152">
        <v>9</v>
      </c>
      <c r="AG34" s="152">
        <v>14</v>
      </c>
      <c r="AH34" s="153"/>
      <c r="AI34" s="6"/>
      <c r="AJ34" s="5"/>
      <c r="AK34" s="153"/>
      <c r="AL34" s="5"/>
      <c r="AM34" s="5"/>
      <c r="AN34" s="152"/>
      <c r="AO34" s="152"/>
      <c r="AP34">
        <f>IFERROR(Tabelle23[[#This Row],[Vol_ha_19]]*0.537836177777778*1.15,0)</f>
        <v>25.994567603892637</v>
      </c>
      <c r="AQ34">
        <f>IF(Tabelle23[[#This Row],[Year of planting ]]=2015,1,IF(Tabelle23[[#This Row],[Year of planting ]]=2016,2,IF(Tabelle23[[#This Row],[Year of planting ]]=2017,3,IF(Tabelle23[[#This Row],[Year of planting ]]=2018,4,5))))</f>
        <v>4</v>
      </c>
      <c r="AR34">
        <f>INDEX([2]Tabelle2!$A$2:$AU$139,MATCH(Tabelle23[[#This Row],[plot_id]],[2]Tabelle2!$M$2:$M$139,0),20)</f>
        <v>714</v>
      </c>
      <c r="AS34">
        <f>INDEX([2]Tabelle2!$A$2:$AU$139, MATCH(Tabelle23[[#This Row],[plot_id]],[2]Tabelle2!$M$2:$M$139,0), 19)</f>
        <v>42.5</v>
      </c>
    </row>
    <row r="35" spans="1:45" x14ac:dyDescent="0.3">
      <c r="A35" t="s">
        <v>584</v>
      </c>
      <c r="B35" t="s">
        <v>225</v>
      </c>
      <c r="C35" t="s">
        <v>225</v>
      </c>
      <c r="D35" s="129" t="s">
        <v>585</v>
      </c>
      <c r="F35" t="s">
        <v>590</v>
      </c>
      <c r="G35" s="4">
        <v>43344</v>
      </c>
      <c r="H35" s="129">
        <v>2018</v>
      </c>
      <c r="I35" t="s">
        <v>341</v>
      </c>
      <c r="J35">
        <v>20</v>
      </c>
      <c r="K35" s="5">
        <v>279.99999999999994</v>
      </c>
      <c r="L35" s="152">
        <f t="shared" si="0"/>
        <v>35.714285714285722</v>
      </c>
      <c r="M35" t="s">
        <v>591</v>
      </c>
      <c r="O35" s="5"/>
      <c r="P35" s="5"/>
      <c r="Q35" s="152"/>
      <c r="R35" s="152"/>
      <c r="S35" s="5">
        <v>7.7928608269015198</v>
      </c>
      <c r="T35" s="152">
        <v>7.5234692568561945</v>
      </c>
      <c r="U35" s="5">
        <v>41.113318443177334</v>
      </c>
      <c r="V35" s="5"/>
      <c r="W35" s="5"/>
      <c r="X35" s="5">
        <v>13.535294117647057</v>
      </c>
      <c r="Y35" s="152">
        <v>0.90894250125529685</v>
      </c>
      <c r="Z35" s="152">
        <v>13.189417646614183</v>
      </c>
      <c r="AA35" s="152">
        <v>11.1</v>
      </c>
      <c r="AB35" s="152">
        <v>15.1</v>
      </c>
      <c r="AC35" s="5">
        <v>12.338888888888889</v>
      </c>
      <c r="AD35" s="152">
        <v>1.3900909830570354</v>
      </c>
      <c r="AE35" s="152">
        <v>12.333382645660334</v>
      </c>
      <c r="AF35" s="152">
        <v>10.3</v>
      </c>
      <c r="AG35" s="152">
        <v>14.7</v>
      </c>
      <c r="AH35" s="153"/>
      <c r="AI35" s="6"/>
      <c r="AJ35" s="5"/>
      <c r="AK35" s="153"/>
      <c r="AL35" s="5"/>
      <c r="AM35" s="5"/>
      <c r="AN35" s="152"/>
      <c r="AO35" s="152"/>
      <c r="AP35">
        <f>IFERROR(Tabelle23[[#This Row],[Vol_ha_19]]*0.537836177777778*1.15,0)</f>
        <v>25.429064554324995</v>
      </c>
      <c r="AQ35">
        <f>IF(Tabelle23[[#This Row],[Year of planting ]]=2015,1,IF(Tabelle23[[#This Row],[Year of planting ]]=2016,2,IF(Tabelle23[[#This Row],[Year of planting ]]=2017,3,IF(Tabelle23[[#This Row],[Year of planting ]]=2018,4,5))))</f>
        <v>4</v>
      </c>
      <c r="AR35">
        <f>INDEX([2]Tabelle2!$A$2:$AU$139,MATCH(Tabelle23[[#This Row],[plot_id]],[2]Tabelle2!$M$2:$M$139,0),20)</f>
        <v>714</v>
      </c>
      <c r="AS35">
        <f>INDEX([2]Tabelle2!$A$2:$AU$139, MATCH(Tabelle23[[#This Row],[plot_id]],[2]Tabelle2!$M$2:$M$139,0), 19)</f>
        <v>42.5</v>
      </c>
    </row>
    <row r="36" spans="1:45" x14ac:dyDescent="0.3">
      <c r="A36" t="s">
        <v>584</v>
      </c>
      <c r="B36" t="s">
        <v>227</v>
      </c>
      <c r="C36" t="s">
        <v>227</v>
      </c>
      <c r="D36" s="129" t="s">
        <v>585</v>
      </c>
      <c r="F36" t="s">
        <v>590</v>
      </c>
      <c r="G36" s="4">
        <v>43556</v>
      </c>
      <c r="H36" s="154">
        <v>2019</v>
      </c>
      <c r="I36" t="s">
        <v>336</v>
      </c>
      <c r="J36">
        <v>20</v>
      </c>
      <c r="K36" s="5">
        <v>279.99999999999994</v>
      </c>
      <c r="L36" s="152">
        <f t="shared" si="0"/>
        <v>35.714285714285722</v>
      </c>
      <c r="M36" t="s">
        <v>591</v>
      </c>
      <c r="O36" s="5"/>
      <c r="P36" s="5"/>
      <c r="Q36" s="152"/>
      <c r="R36" s="152"/>
      <c r="S36" s="5">
        <v>4.1097361396491836</v>
      </c>
      <c r="T36" s="152">
        <v>3.51067369051778</v>
      </c>
      <c r="U36" s="5">
        <v>14.53698173021318</v>
      </c>
      <c r="V36" s="5"/>
      <c r="W36" s="5"/>
      <c r="X36" s="5">
        <v>10.34</v>
      </c>
      <c r="Y36" s="152">
        <v>1.3911968126144381</v>
      </c>
      <c r="Z36" s="152">
        <v>8.8430140258676602</v>
      </c>
      <c r="AA36" s="152">
        <v>8.9</v>
      </c>
      <c r="AB36" s="152">
        <v>13.2</v>
      </c>
      <c r="AC36" s="5">
        <v>8.7000000000000011</v>
      </c>
      <c r="AD36" s="152">
        <v>0.89639489597152966</v>
      </c>
      <c r="AE36" s="152">
        <v>7.909046855270792</v>
      </c>
      <c r="AF36" s="152">
        <v>7.8</v>
      </c>
      <c r="AG36" s="152">
        <v>10.6</v>
      </c>
      <c r="AH36" s="153"/>
      <c r="AI36" s="6"/>
      <c r="AJ36" s="5"/>
      <c r="AK36" s="153"/>
      <c r="AL36" s="5"/>
      <c r="AM36" s="5"/>
      <c r="AN36" s="152"/>
      <c r="AO36" s="152"/>
      <c r="AP36">
        <f>IFERROR(Tabelle23[[#This Row],[Vol_ha_19]]*0.537836177777778*1.15,0)</f>
        <v>8.9912918937337327</v>
      </c>
      <c r="AQ36">
        <f>IF(Tabelle23[[#This Row],[Year of planting ]]=2015,1,IF(Tabelle23[[#This Row],[Year of planting ]]=2016,2,IF(Tabelle23[[#This Row],[Year of planting ]]=2017,3,IF(Tabelle23[[#This Row],[Year of planting ]]=2018,4,5))))</f>
        <v>5</v>
      </c>
      <c r="AR36">
        <f>INDEX([2]Tabelle2!$A$2:$AU$139,MATCH(Tabelle23[[#This Row],[plot_id]],[2]Tabelle2!$M$2:$M$139,0),20)</f>
        <v>714</v>
      </c>
      <c r="AS36">
        <f>INDEX([2]Tabelle2!$A$2:$AU$139, MATCH(Tabelle23[[#This Row],[plot_id]],[2]Tabelle2!$M$2:$M$139,0), 19)</f>
        <v>11.5</v>
      </c>
    </row>
    <row r="37" spans="1:45" x14ac:dyDescent="0.3">
      <c r="A37" t="s">
        <v>584</v>
      </c>
      <c r="B37" t="s">
        <v>225</v>
      </c>
      <c r="C37" t="s">
        <v>225</v>
      </c>
      <c r="D37" s="129" t="s">
        <v>585</v>
      </c>
      <c r="F37" t="s">
        <v>590</v>
      </c>
      <c r="G37" s="4">
        <v>43344</v>
      </c>
      <c r="H37" s="129">
        <v>2018</v>
      </c>
      <c r="I37" t="s">
        <v>342</v>
      </c>
      <c r="J37">
        <v>20</v>
      </c>
      <c r="K37" s="5">
        <v>279.99999999999994</v>
      </c>
      <c r="L37" s="152">
        <f t="shared" si="0"/>
        <v>35.714285714285722</v>
      </c>
      <c r="M37" t="s">
        <v>591</v>
      </c>
      <c r="O37" s="5"/>
      <c r="P37" s="5"/>
      <c r="Q37" s="152"/>
      <c r="R37" s="152"/>
      <c r="S37" s="5">
        <v>6.0666117636227401</v>
      </c>
      <c r="T37" s="152">
        <v>6.0666117636227401</v>
      </c>
      <c r="U37" s="5">
        <v>29.26163210757543</v>
      </c>
      <c r="V37" s="5"/>
      <c r="W37" s="5"/>
      <c r="X37" s="5">
        <v>11.663157894736841</v>
      </c>
      <c r="Y37" s="152">
        <v>1.6351046607058504</v>
      </c>
      <c r="Z37" s="152">
        <v>12.058474008109901</v>
      </c>
      <c r="AA37" s="152">
        <v>8.1999999999999993</v>
      </c>
      <c r="AB37" s="152">
        <v>14.2</v>
      </c>
      <c r="AC37" s="5">
        <v>10.542105263157895</v>
      </c>
      <c r="AD37" s="152">
        <v>1.6866521045068608</v>
      </c>
      <c r="AE37" s="152">
        <v>11.046042842809522</v>
      </c>
      <c r="AF37" s="152">
        <v>7.6</v>
      </c>
      <c r="AG37" s="152">
        <v>13.6</v>
      </c>
      <c r="AH37" s="153"/>
      <c r="AI37" s="6"/>
      <c r="AJ37" s="5"/>
      <c r="AK37" s="153"/>
      <c r="AL37" s="5"/>
      <c r="AM37" s="5"/>
      <c r="AN37" s="152"/>
      <c r="AO37" s="152"/>
      <c r="AP37">
        <f>IFERROR(Tabelle23[[#This Row],[Vol_ha_19]]*0.537836177777778*1.15,0)</f>
        <v>18.098659023519559</v>
      </c>
      <c r="AQ37">
        <f>IF(Tabelle23[[#This Row],[Year of planting ]]=2015,1,IF(Tabelle23[[#This Row],[Year of planting ]]=2016,2,IF(Tabelle23[[#This Row],[Year of planting ]]=2017,3,IF(Tabelle23[[#This Row],[Year of planting ]]=2018,4,5))))</f>
        <v>4</v>
      </c>
      <c r="AR37">
        <f>INDEX([2]Tabelle2!$A$2:$AU$139,MATCH(Tabelle23[[#This Row],[plot_id]],[2]Tabelle2!$M$2:$M$139,0),20)</f>
        <v>714</v>
      </c>
      <c r="AS37">
        <f>INDEX([2]Tabelle2!$A$2:$AU$139, MATCH(Tabelle23[[#This Row],[plot_id]],[2]Tabelle2!$M$2:$M$139,0), 19)</f>
        <v>42.5</v>
      </c>
    </row>
    <row r="38" spans="1:45" x14ac:dyDescent="0.3">
      <c r="A38" t="s">
        <v>584</v>
      </c>
      <c r="B38" t="s">
        <v>227</v>
      </c>
      <c r="C38" t="s">
        <v>227</v>
      </c>
      <c r="D38" s="129" t="s">
        <v>585</v>
      </c>
      <c r="F38" t="s">
        <v>590</v>
      </c>
      <c r="G38" s="4">
        <v>43556</v>
      </c>
      <c r="H38" s="154">
        <v>2019</v>
      </c>
      <c r="I38" t="s">
        <v>337</v>
      </c>
      <c r="J38">
        <v>20</v>
      </c>
      <c r="K38" s="5">
        <v>279.99999999999994</v>
      </c>
      <c r="L38" s="152">
        <f t="shared" si="0"/>
        <v>35.714285714285722</v>
      </c>
      <c r="M38" t="s">
        <v>591</v>
      </c>
      <c r="O38" s="5"/>
      <c r="P38" s="5"/>
      <c r="Q38" s="152"/>
      <c r="R38" s="152"/>
      <c r="S38" s="5">
        <v>4.4447645562070113</v>
      </c>
      <c r="T38" s="152">
        <v>4.1928761452316863</v>
      </c>
      <c r="U38" s="5">
        <v>16.310744016385367</v>
      </c>
      <c r="V38" s="5"/>
      <c r="W38" s="5"/>
      <c r="X38" s="5">
        <v>9.6666666666666643</v>
      </c>
      <c r="Y38" s="152">
        <v>0.80877539963751588</v>
      </c>
      <c r="Z38" s="152">
        <v>9.1741327409613813</v>
      </c>
      <c r="AA38" s="152">
        <v>8.4</v>
      </c>
      <c r="AB38" s="152">
        <v>11.3</v>
      </c>
      <c r="AC38" s="5">
        <v>8.8550000000000004</v>
      </c>
      <c r="AD38" s="152">
        <v>0.59554445897378583</v>
      </c>
      <c r="AE38" s="152">
        <v>8.6482213064578186</v>
      </c>
      <c r="AF38" s="152">
        <v>8.1</v>
      </c>
      <c r="AG38" s="152">
        <v>10.1</v>
      </c>
      <c r="AH38" s="153"/>
      <c r="AI38" s="6"/>
      <c r="AJ38" s="5"/>
      <c r="AK38" s="153"/>
      <c r="AL38" s="5"/>
      <c r="AM38" s="5"/>
      <c r="AN38" s="152"/>
      <c r="AO38" s="152"/>
      <c r="AP38">
        <f>IFERROR(Tabelle23[[#This Row],[Vol_ha_19]]*0.537836177777778*1.15,0)</f>
        <v>10.08838445125714</v>
      </c>
      <c r="AQ38">
        <f>IF(Tabelle23[[#This Row],[Year of planting ]]=2015,1,IF(Tabelle23[[#This Row],[Year of planting ]]=2016,2,IF(Tabelle23[[#This Row],[Year of planting ]]=2017,3,IF(Tabelle23[[#This Row],[Year of planting ]]=2018,4,5))))</f>
        <v>5</v>
      </c>
      <c r="AR38">
        <f>INDEX([2]Tabelle2!$A$2:$AU$139,MATCH(Tabelle23[[#This Row],[plot_id]],[2]Tabelle2!$M$2:$M$139,0),20)</f>
        <v>714</v>
      </c>
      <c r="AS38">
        <f>INDEX([2]Tabelle2!$A$2:$AU$139, MATCH(Tabelle23[[#This Row],[plot_id]],[2]Tabelle2!$M$2:$M$139,0), 19)</f>
        <v>11.5</v>
      </c>
    </row>
    <row r="39" spans="1:45" x14ac:dyDescent="0.3">
      <c r="A39" t="s">
        <v>584</v>
      </c>
      <c r="B39" t="s">
        <v>227</v>
      </c>
      <c r="C39" t="s">
        <v>227</v>
      </c>
      <c r="D39" s="129" t="s">
        <v>585</v>
      </c>
      <c r="F39" t="s">
        <v>590</v>
      </c>
      <c r="G39" s="4">
        <v>43556</v>
      </c>
      <c r="H39" s="154">
        <v>2019</v>
      </c>
      <c r="I39" t="s">
        <v>339</v>
      </c>
      <c r="J39">
        <v>20</v>
      </c>
      <c r="K39" s="5">
        <v>279.99999999999994</v>
      </c>
      <c r="L39" s="5">
        <f t="shared" si="0"/>
        <v>35.714285714285722</v>
      </c>
      <c r="M39" t="s">
        <v>591</v>
      </c>
      <c r="N39" s="129" t="s">
        <v>589</v>
      </c>
      <c r="O39">
        <v>0</v>
      </c>
      <c r="P39">
        <v>0</v>
      </c>
      <c r="Q39" s="152" t="s">
        <v>38</v>
      </c>
      <c r="R39" s="5"/>
      <c r="S39" s="5">
        <v>3.8066565983809904</v>
      </c>
      <c r="T39" s="152">
        <v>3.7056768345156041</v>
      </c>
      <c r="U39" s="5">
        <v>15.199489764981202</v>
      </c>
      <c r="V39" s="5"/>
      <c r="W39" s="5"/>
      <c r="X39" s="5">
        <v>10.178571428571429</v>
      </c>
      <c r="Y39" s="5">
        <v>0.71594861378622521</v>
      </c>
      <c r="Z39" s="5">
        <v>9.9821781740476005</v>
      </c>
      <c r="AA39" s="5">
        <v>8.5</v>
      </c>
      <c r="AB39" s="5">
        <v>11.2</v>
      </c>
      <c r="AC39" s="5">
        <v>9.4266666666666694</v>
      </c>
      <c r="AD39" s="5">
        <v>0.94415495096333169</v>
      </c>
      <c r="AE39" s="5">
        <v>9.5803861174563387</v>
      </c>
      <c r="AF39" s="5">
        <v>8.1999999999999993</v>
      </c>
      <c r="AG39" s="5">
        <v>11</v>
      </c>
      <c r="AH39" s="6">
        <v>464.28571428571428</v>
      </c>
      <c r="AI39" s="6">
        <v>464.28571428571428</v>
      </c>
      <c r="AJ39" s="5">
        <v>0</v>
      </c>
      <c r="AK39" s="6">
        <v>0</v>
      </c>
      <c r="AL39" s="5">
        <v>0</v>
      </c>
      <c r="AM39" s="5">
        <v>0</v>
      </c>
      <c r="AN39" s="5">
        <v>0</v>
      </c>
      <c r="AO39" s="5">
        <v>1</v>
      </c>
      <c r="AP39">
        <f>IFERROR(Tabelle23[[#This Row],[Vol_ha_19]]*0.537836177777778*1.15,0)</f>
        <v>9.40106080127544</v>
      </c>
      <c r="AQ39">
        <v>1</v>
      </c>
      <c r="AR39">
        <f>INDEX([2]Tabelle2!$A$2:$AU$139,MATCH(Tabelle23[[#This Row],[plot_id]],[2]Tabelle2!$M$2:$M$139,0),20)</f>
        <v>714</v>
      </c>
      <c r="AS39">
        <f>INDEX([2]Tabelle2!$A$2:$AU$139, MATCH(Tabelle23[[#This Row],[plot_id]],[2]Tabelle2!$M$2:$M$139,0), 19)</f>
        <v>11.5</v>
      </c>
    </row>
    <row r="40" spans="1:45" x14ac:dyDescent="0.3">
      <c r="A40" t="s">
        <v>584</v>
      </c>
      <c r="B40" t="s">
        <v>191</v>
      </c>
      <c r="C40" t="s">
        <v>191</v>
      </c>
      <c r="D40" s="129" t="s">
        <v>585</v>
      </c>
      <c r="F40" t="s">
        <v>590</v>
      </c>
      <c r="G40" s="4">
        <v>43374</v>
      </c>
      <c r="H40" s="129">
        <v>2018</v>
      </c>
      <c r="I40" t="s">
        <v>303</v>
      </c>
      <c r="J40">
        <v>20</v>
      </c>
      <c r="K40" s="5">
        <v>279.99999999999994</v>
      </c>
      <c r="L40" s="5">
        <f t="shared" si="0"/>
        <v>35.714285714285722</v>
      </c>
      <c r="M40" t="s">
        <v>591</v>
      </c>
      <c r="N40" s="129" t="s">
        <v>589</v>
      </c>
      <c r="O40">
        <v>0</v>
      </c>
      <c r="P40">
        <v>0</v>
      </c>
      <c r="Q40" s="152" t="s">
        <v>38</v>
      </c>
      <c r="R40" s="5"/>
      <c r="S40" s="5">
        <v>3.5251755066062263</v>
      </c>
      <c r="T40" s="152">
        <v>3.5251755066062263</v>
      </c>
      <c r="U40" s="5">
        <v>14.178116479396239</v>
      </c>
      <c r="V40" s="5"/>
      <c r="W40" s="5"/>
      <c r="X40" s="5">
        <v>9.7733333333333334</v>
      </c>
      <c r="Y40" s="5">
        <v>1.2360459230180476</v>
      </c>
      <c r="Z40" s="5">
        <v>10.054901133877063</v>
      </c>
      <c r="AA40" s="5">
        <v>7.1</v>
      </c>
      <c r="AB40" s="5">
        <v>11.2</v>
      </c>
      <c r="AC40" s="5">
        <v>8.9666666666666668</v>
      </c>
      <c r="AD40" s="5">
        <v>1.9036306164299599</v>
      </c>
      <c r="AE40" s="5">
        <v>9.6961965386910691</v>
      </c>
      <c r="AF40" s="5">
        <v>5.6</v>
      </c>
      <c r="AG40" s="5">
        <v>13</v>
      </c>
      <c r="AH40" s="6">
        <v>428.57142857142856</v>
      </c>
      <c r="AI40" s="6">
        <v>428.57142857142856</v>
      </c>
      <c r="AJ40" s="5">
        <v>0.66666666666666663</v>
      </c>
      <c r="AK40" s="6">
        <v>66.666666666666657</v>
      </c>
      <c r="AL40" s="5">
        <v>0</v>
      </c>
      <c r="AM40" s="5">
        <v>0</v>
      </c>
      <c r="AN40" s="5">
        <v>0</v>
      </c>
      <c r="AO40" s="5">
        <v>1</v>
      </c>
      <c r="AP40">
        <f>IFERROR(Tabelle23[[#This Row],[Vol_ha_19]]*0.537836177777778*1.15,0)</f>
        <v>8.7693295716715891</v>
      </c>
      <c r="AQ40">
        <v>1</v>
      </c>
      <c r="AR40">
        <f>INDEX([2]Tabelle2!$A$2:$AU$139,MATCH(Tabelle23[[#This Row],[plot_id]],[2]Tabelle2!$M$2:$M$139,0),20)</f>
        <v>714</v>
      </c>
      <c r="AS40">
        <f>INDEX([2]Tabelle2!$A$2:$AU$139, MATCH(Tabelle23[[#This Row],[plot_id]],[2]Tabelle2!$M$2:$M$139,0), 19)</f>
        <v>25.5</v>
      </c>
    </row>
    <row r="41" spans="1:45" x14ac:dyDescent="0.3">
      <c r="A41" t="s">
        <v>584</v>
      </c>
      <c r="B41" t="s">
        <v>191</v>
      </c>
      <c r="C41" t="s">
        <v>191</v>
      </c>
      <c r="D41" s="129" t="s">
        <v>585</v>
      </c>
      <c r="F41" t="s">
        <v>590</v>
      </c>
      <c r="G41" s="4">
        <v>43374</v>
      </c>
      <c r="H41" s="129">
        <v>2018</v>
      </c>
      <c r="I41" t="s">
        <v>287</v>
      </c>
      <c r="J41">
        <v>20</v>
      </c>
      <c r="K41" s="5">
        <v>279.99999999999994</v>
      </c>
      <c r="L41" s="5">
        <f t="shared" si="0"/>
        <v>35.714285714285722</v>
      </c>
      <c r="M41" t="s">
        <v>591</v>
      </c>
      <c r="N41" s="129" t="s">
        <v>589</v>
      </c>
      <c r="O41">
        <v>0</v>
      </c>
      <c r="P41">
        <v>0</v>
      </c>
      <c r="Q41" s="152" t="s">
        <v>38</v>
      </c>
      <c r="R41" s="5"/>
      <c r="S41" s="5">
        <v>2.7889769281587466</v>
      </c>
      <c r="T41" s="152">
        <v>2.7889769281587466</v>
      </c>
      <c r="U41" s="5">
        <v>11.43184838136567</v>
      </c>
      <c r="V41" s="5"/>
      <c r="W41" s="5"/>
      <c r="X41" s="5">
        <v>10.045454545454545</v>
      </c>
      <c r="Y41" s="5">
        <v>0.85248300436271041</v>
      </c>
      <c r="Z41" s="5">
        <v>10.247349364873427</v>
      </c>
      <c r="AA41" s="5">
        <v>8.3000000000000007</v>
      </c>
      <c r="AB41" s="5">
        <v>10.9</v>
      </c>
      <c r="AC41" s="5">
        <v>9.4090909090909083</v>
      </c>
      <c r="AD41" s="5">
        <v>1.4300031786360072</v>
      </c>
      <c r="AE41" s="5">
        <v>9.7809703406450836</v>
      </c>
      <c r="AF41" s="5">
        <v>6.8</v>
      </c>
      <c r="AG41" s="5">
        <v>11.3</v>
      </c>
      <c r="AH41" s="6">
        <v>464.28571428571428</v>
      </c>
      <c r="AI41" s="6">
        <v>464.28571428571428</v>
      </c>
      <c r="AJ41" s="5">
        <v>0</v>
      </c>
      <c r="AK41" s="6">
        <v>0</v>
      </c>
      <c r="AL41" s="5">
        <v>0</v>
      </c>
      <c r="AM41" s="5">
        <v>0</v>
      </c>
      <c r="AN41" s="5">
        <v>0</v>
      </c>
      <c r="AO41" s="5">
        <v>1</v>
      </c>
      <c r="AP41">
        <f>IFERROR(Tabelle23[[#This Row],[Vol_ha_19]]*0.537836177777778*1.15,0)</f>
        <v>7.0707308841241092</v>
      </c>
      <c r="AQ41">
        <v>1</v>
      </c>
      <c r="AR41">
        <f>INDEX([2]Tabelle2!$A$2:$AU$139,MATCH(Tabelle23[[#This Row],[plot_id]],[2]Tabelle2!$M$2:$M$139,0),20)</f>
        <v>714</v>
      </c>
      <c r="AS41">
        <f>INDEX([2]Tabelle2!$A$2:$AU$139, MATCH(Tabelle23[[#This Row],[plot_id]],[2]Tabelle2!$M$2:$M$139,0), 19)</f>
        <v>25.5</v>
      </c>
    </row>
    <row r="42" spans="1:45" x14ac:dyDescent="0.3">
      <c r="A42" t="s">
        <v>584</v>
      </c>
      <c r="B42" t="s">
        <v>191</v>
      </c>
      <c r="C42" t="s">
        <v>191</v>
      </c>
      <c r="D42" s="129" t="s">
        <v>585</v>
      </c>
      <c r="F42" t="s">
        <v>590</v>
      </c>
      <c r="G42" s="4">
        <v>43374</v>
      </c>
      <c r="H42" s="129">
        <v>2018</v>
      </c>
      <c r="I42" t="s">
        <v>304</v>
      </c>
      <c r="J42">
        <v>20</v>
      </c>
      <c r="K42" s="5">
        <v>279.99999999999994</v>
      </c>
      <c r="L42" s="152">
        <f t="shared" si="0"/>
        <v>35.714285714285722</v>
      </c>
      <c r="M42" t="s">
        <v>591</v>
      </c>
      <c r="O42" s="5"/>
      <c r="P42" s="5"/>
      <c r="Q42" s="152"/>
      <c r="R42" s="152"/>
      <c r="S42" s="5">
        <v>4.8110966995631061</v>
      </c>
      <c r="T42" s="152">
        <v>4.6997665099015178</v>
      </c>
      <c r="U42" s="5">
        <v>21.994396757532893</v>
      </c>
      <c r="V42" s="5"/>
      <c r="W42" s="5"/>
      <c r="X42" s="5">
        <v>11.593333333333332</v>
      </c>
      <c r="Y42" s="152">
        <v>0.7704049646282205</v>
      </c>
      <c r="Z42" s="152">
        <v>11.428993289373185</v>
      </c>
      <c r="AA42" s="152">
        <v>10.5</v>
      </c>
      <c r="AB42" s="152">
        <v>12.7</v>
      </c>
      <c r="AC42" s="5">
        <v>10.24375</v>
      </c>
      <c r="AD42" s="152">
        <v>1.1847041020963025</v>
      </c>
      <c r="AE42" s="152">
        <v>10.495278074149219</v>
      </c>
      <c r="AF42" s="152">
        <v>7.9</v>
      </c>
      <c r="AG42" s="152">
        <v>12.3</v>
      </c>
      <c r="AH42" s="153"/>
      <c r="AI42" s="6"/>
      <c r="AJ42" s="5"/>
      <c r="AK42" s="153"/>
      <c r="AL42" s="5"/>
      <c r="AM42" s="5"/>
      <c r="AN42" s="152"/>
      <c r="AO42" s="152"/>
      <c r="AP42">
        <f>IFERROR(Tabelle23[[#This Row],[Vol_ha_19]]*0.537836177777778*1.15,0)</f>
        <v>13.603789627289361</v>
      </c>
      <c r="AQ42">
        <f>IF(Tabelle23[[#This Row],[Year of planting ]]=2015,1,IF(Tabelle23[[#This Row],[Year of planting ]]=2016,2,IF(Tabelle23[[#This Row],[Year of planting ]]=2017,3,IF(Tabelle23[[#This Row],[Year of planting ]]=2018,4,5))))</f>
        <v>4</v>
      </c>
      <c r="AR42">
        <f>INDEX([2]Tabelle2!$A$2:$AU$139,MATCH(Tabelle23[[#This Row],[plot_id]],[2]Tabelle2!$M$2:$M$139,0),20)</f>
        <v>714</v>
      </c>
      <c r="AS42">
        <f>INDEX([2]Tabelle2!$A$2:$AU$139, MATCH(Tabelle23[[#This Row],[plot_id]],[2]Tabelle2!$M$2:$M$139,0), 19)</f>
        <v>25.5</v>
      </c>
    </row>
    <row r="43" spans="1:45" x14ac:dyDescent="0.3">
      <c r="A43" t="s">
        <v>584</v>
      </c>
      <c r="B43" t="s">
        <v>191</v>
      </c>
      <c r="C43" t="s">
        <v>191</v>
      </c>
      <c r="D43" s="129" t="s">
        <v>585</v>
      </c>
      <c r="F43" t="s">
        <v>590</v>
      </c>
      <c r="G43" s="4">
        <v>43374</v>
      </c>
      <c r="H43" s="129">
        <v>2018</v>
      </c>
      <c r="I43" t="s">
        <v>302</v>
      </c>
      <c r="J43">
        <v>20</v>
      </c>
      <c r="K43" s="5">
        <v>279.99999999999994</v>
      </c>
      <c r="L43" s="152">
        <f t="shared" si="0"/>
        <v>35.714285714285722</v>
      </c>
      <c r="M43" t="s">
        <v>591</v>
      </c>
      <c r="O43" s="5"/>
      <c r="P43" s="5"/>
      <c r="Q43" s="152"/>
      <c r="R43" s="152"/>
      <c r="S43" s="5">
        <v>4.483753965032812</v>
      </c>
      <c r="T43" s="152">
        <v>4.483753965032812</v>
      </c>
      <c r="U43" s="5">
        <v>22.605667660115621</v>
      </c>
      <c r="V43" s="5"/>
      <c r="W43" s="5"/>
      <c r="X43" s="5">
        <v>12.469230769230766</v>
      </c>
      <c r="Y43" s="152">
        <v>1.3155383026126881</v>
      </c>
      <c r="Z43" s="152">
        <v>12.60420834662713</v>
      </c>
      <c r="AA43" s="152">
        <v>8.9</v>
      </c>
      <c r="AB43" s="152">
        <v>14</v>
      </c>
      <c r="AC43" s="5">
        <v>11.023076923076925</v>
      </c>
      <c r="AD43" s="152">
        <v>1.2544280543696902</v>
      </c>
      <c r="AE43" s="152">
        <v>11.28522730827218</v>
      </c>
      <c r="AF43" s="152">
        <v>8.6999999999999993</v>
      </c>
      <c r="AG43" s="152">
        <v>13.5</v>
      </c>
      <c r="AH43" s="153"/>
      <c r="AI43" s="6"/>
      <c r="AJ43" s="5"/>
      <c r="AK43" s="153"/>
      <c r="AL43" s="5"/>
      <c r="AM43" s="5"/>
      <c r="AN43" s="152"/>
      <c r="AO43" s="152"/>
      <c r="AP43">
        <f>IFERROR(Tabelle23[[#This Row],[Vol_ha_19]]*0.537836177777778*1.15,0)</f>
        <v>13.981867773996008</v>
      </c>
      <c r="AQ43">
        <f>IF(Tabelle23[[#This Row],[Year of planting ]]=2015,1,IF(Tabelle23[[#This Row],[Year of planting ]]=2016,2,IF(Tabelle23[[#This Row],[Year of planting ]]=2017,3,IF(Tabelle23[[#This Row],[Year of planting ]]=2018,4,5))))</f>
        <v>4</v>
      </c>
      <c r="AR43">
        <f>INDEX([2]Tabelle2!$A$2:$AU$139,MATCH(Tabelle23[[#This Row],[plot_id]],[2]Tabelle2!$M$2:$M$139,0),20)</f>
        <v>714</v>
      </c>
      <c r="AS43">
        <f>INDEX([2]Tabelle2!$A$2:$AU$139, MATCH(Tabelle23[[#This Row],[plot_id]],[2]Tabelle2!$M$2:$M$139,0), 19)</f>
        <v>25.5</v>
      </c>
    </row>
    <row r="44" spans="1:45" x14ac:dyDescent="0.3">
      <c r="A44" t="s">
        <v>584</v>
      </c>
      <c r="B44" t="s">
        <v>239</v>
      </c>
      <c r="C44" t="s">
        <v>239</v>
      </c>
      <c r="D44" s="129" t="s">
        <v>585</v>
      </c>
      <c r="F44" t="s">
        <v>590</v>
      </c>
      <c r="G44" s="4">
        <v>43556</v>
      </c>
      <c r="H44" s="154">
        <v>2019</v>
      </c>
      <c r="I44" t="s">
        <v>366</v>
      </c>
      <c r="J44">
        <v>20</v>
      </c>
      <c r="K44" s="5">
        <v>279.99999999999994</v>
      </c>
      <c r="L44" s="152">
        <f t="shared" si="0"/>
        <v>35.714285714285722</v>
      </c>
      <c r="M44" t="s">
        <v>591</v>
      </c>
      <c r="O44" s="5"/>
      <c r="P44" s="5"/>
      <c r="Q44" s="152"/>
      <c r="R44" s="152"/>
      <c r="S44" s="5">
        <v>4.1711935459350347</v>
      </c>
      <c r="T44" s="152">
        <v>3.5466337064276203</v>
      </c>
      <c r="U44" s="5">
        <v>13.830431932433948</v>
      </c>
      <c r="V44" s="5"/>
      <c r="W44" s="5"/>
      <c r="X44" s="5">
        <v>9.7176470588235286</v>
      </c>
      <c r="Y44" s="152">
        <v>0.62172672264191664</v>
      </c>
      <c r="Z44" s="152">
        <v>8.2892532917299917</v>
      </c>
      <c r="AA44" s="152">
        <v>9</v>
      </c>
      <c r="AB44" s="152">
        <v>10.7</v>
      </c>
      <c r="AC44" s="5">
        <v>8.6000000000000014</v>
      </c>
      <c r="AD44" s="152">
        <v>0.66520673478250369</v>
      </c>
      <c r="AE44" s="152">
        <v>7.392321762403669</v>
      </c>
      <c r="AF44" s="152">
        <v>7.3</v>
      </c>
      <c r="AG44" s="152">
        <v>9.5</v>
      </c>
      <c r="AH44" s="153"/>
      <c r="AI44" s="6"/>
      <c r="AJ44" s="5"/>
      <c r="AK44" s="153"/>
      <c r="AL44" s="5"/>
      <c r="AM44" s="5"/>
      <c r="AN44" s="152"/>
      <c r="AO44" s="152"/>
      <c r="AP44">
        <f>IFERROR(Tabelle23[[#This Row],[Vol_ha_19]]*0.537836177777778*1.15,0)</f>
        <v>8.5542826446894029</v>
      </c>
      <c r="AQ44">
        <f>IF(Tabelle23[[#This Row],[Year of planting ]]=2015,1,IF(Tabelle23[[#This Row],[Year of planting ]]=2016,2,IF(Tabelle23[[#This Row],[Year of planting ]]=2017,3,IF(Tabelle23[[#This Row],[Year of planting ]]=2018,4,5))))</f>
        <v>5</v>
      </c>
      <c r="AR44">
        <f>INDEX([2]Tabelle2!$A$2:$AU$139,MATCH(Tabelle23[[#This Row],[plot_id]],[2]Tabelle2!$M$2:$M$139,0),20)</f>
        <v>714</v>
      </c>
      <c r="AS44">
        <f>INDEX([2]Tabelle2!$A$2:$AU$139, MATCH(Tabelle23[[#This Row],[plot_id]],[2]Tabelle2!$M$2:$M$139,0), 19)</f>
        <v>29.5</v>
      </c>
    </row>
    <row r="45" spans="1:45" x14ac:dyDescent="0.3">
      <c r="A45" t="s">
        <v>584</v>
      </c>
      <c r="B45" t="s">
        <v>239</v>
      </c>
      <c r="C45" t="s">
        <v>239</v>
      </c>
      <c r="D45" s="129" t="s">
        <v>585</v>
      </c>
      <c r="F45" t="s">
        <v>590</v>
      </c>
      <c r="G45" s="4">
        <v>43556</v>
      </c>
      <c r="H45" s="154">
        <v>2019</v>
      </c>
      <c r="I45" t="s">
        <v>364</v>
      </c>
      <c r="J45">
        <v>20</v>
      </c>
      <c r="K45" s="5">
        <v>279.99999999999994</v>
      </c>
      <c r="L45" s="152">
        <f t="shared" si="0"/>
        <v>35.714285714285722</v>
      </c>
      <c r="M45" t="s">
        <v>591</v>
      </c>
      <c r="O45" s="5"/>
      <c r="P45" s="5"/>
      <c r="Q45" s="152"/>
      <c r="R45" s="152"/>
      <c r="S45" s="5">
        <v>5.9694748407711202</v>
      </c>
      <c r="T45" s="152">
        <v>5.1964747483815898</v>
      </c>
      <c r="U45" s="5">
        <v>26.437678033208464</v>
      </c>
      <c r="V45" s="5"/>
      <c r="W45" s="5"/>
      <c r="X45" s="5">
        <v>12.378571428571428</v>
      </c>
      <c r="Y45" s="152">
        <v>2.3069055435394845</v>
      </c>
      <c r="Z45" s="152">
        <v>11.07202841891587</v>
      </c>
      <c r="AA45" s="152">
        <v>9.8000000000000007</v>
      </c>
      <c r="AB45" s="152">
        <v>19.2</v>
      </c>
      <c r="AC45" s="5">
        <v>11.082352941176469</v>
      </c>
      <c r="AD45" s="152">
        <v>1.2226794571534814</v>
      </c>
      <c r="AE45" s="152">
        <v>10.164549657920459</v>
      </c>
      <c r="AF45" s="152">
        <v>9</v>
      </c>
      <c r="AG45" s="152">
        <v>13.2</v>
      </c>
      <c r="AH45" s="153"/>
      <c r="AI45" s="6"/>
      <c r="AJ45" s="5"/>
      <c r="AK45" s="153"/>
      <c r="AL45" s="5"/>
      <c r="AM45" s="5"/>
      <c r="AN45" s="152"/>
      <c r="AO45" s="152"/>
      <c r="AP45">
        <f>IFERROR(Tabelle23[[#This Row],[Vol_ha_19]]*0.537836177777778*1.15,0)</f>
        <v>16.352010658105417</v>
      </c>
      <c r="AQ45">
        <f>IF(Tabelle23[[#This Row],[Year of planting ]]=2015,1,IF(Tabelle23[[#This Row],[Year of planting ]]=2016,2,IF(Tabelle23[[#This Row],[Year of planting ]]=2017,3,IF(Tabelle23[[#This Row],[Year of planting ]]=2018,4,5))))</f>
        <v>5</v>
      </c>
      <c r="AR45">
        <f>INDEX([2]Tabelle2!$A$2:$AU$139,MATCH(Tabelle23[[#This Row],[plot_id]],[2]Tabelle2!$M$2:$M$139,0),20)</f>
        <v>714</v>
      </c>
      <c r="AS45">
        <f>INDEX([2]Tabelle2!$A$2:$AU$139, MATCH(Tabelle23[[#This Row],[plot_id]],[2]Tabelle2!$M$2:$M$139,0), 19)</f>
        <v>29.5</v>
      </c>
    </row>
    <row r="46" spans="1:45" x14ac:dyDescent="0.3">
      <c r="A46" t="s">
        <v>584</v>
      </c>
      <c r="B46" t="s">
        <v>239</v>
      </c>
      <c r="C46" t="s">
        <v>239</v>
      </c>
      <c r="D46" s="129" t="s">
        <v>585</v>
      </c>
      <c r="F46" t="s">
        <v>590</v>
      </c>
      <c r="G46" s="4">
        <v>43556</v>
      </c>
      <c r="H46" s="154">
        <v>2019</v>
      </c>
      <c r="I46" t="s">
        <v>367</v>
      </c>
      <c r="J46">
        <v>20</v>
      </c>
      <c r="K46" s="5">
        <v>279.99999999999994</v>
      </c>
      <c r="L46" s="5">
        <f t="shared" si="0"/>
        <v>35.714285714285722</v>
      </c>
      <c r="M46" t="s">
        <v>591</v>
      </c>
      <c r="N46" t="s">
        <v>588</v>
      </c>
      <c r="O46">
        <v>0</v>
      </c>
      <c r="P46">
        <v>0</v>
      </c>
      <c r="Q46" s="152" t="s">
        <v>38</v>
      </c>
      <c r="R46" s="5"/>
      <c r="S46" s="5">
        <v>3.8187741700448368</v>
      </c>
      <c r="T46" s="152">
        <v>3.5905038038402495</v>
      </c>
      <c r="U46" s="5">
        <v>13.574993521760071</v>
      </c>
      <c r="V46" s="5"/>
      <c r="W46" s="5"/>
      <c r="X46" s="5">
        <v>9.4117647058823533</v>
      </c>
      <c r="Y46" s="5">
        <v>0.48461628240956839</v>
      </c>
      <c r="Z46" s="5">
        <v>8.8870098867359069</v>
      </c>
      <c r="AA46" s="5">
        <v>8.6</v>
      </c>
      <c r="AB46" s="5">
        <v>10.3</v>
      </c>
      <c r="AC46" s="5">
        <v>8.3999999999999986</v>
      </c>
      <c r="AD46" s="5">
        <v>0.5842290042541235</v>
      </c>
      <c r="AE46" s="5">
        <v>8.2090346843736679</v>
      </c>
      <c r="AF46" s="5">
        <v>7.3</v>
      </c>
      <c r="AG46" s="5">
        <v>9.5</v>
      </c>
      <c r="AH46" s="6">
        <v>392.85714285714289</v>
      </c>
      <c r="AI46" s="6">
        <v>392.85714285714289</v>
      </c>
      <c r="AJ46" s="5">
        <v>0</v>
      </c>
      <c r="AK46" s="6">
        <v>0</v>
      </c>
      <c r="AL46" s="5">
        <v>0</v>
      </c>
      <c r="AM46" s="5">
        <v>0</v>
      </c>
      <c r="AN46" s="5">
        <v>0</v>
      </c>
      <c r="AO46" s="5">
        <v>1</v>
      </c>
      <c r="AP46">
        <f>IFERROR(Tabelle23[[#This Row],[Vol_ha_19]]*0.537836177777778*1.15,0)</f>
        <v>8.3962910234667643</v>
      </c>
      <c r="AQ46">
        <v>1</v>
      </c>
      <c r="AR46">
        <f>INDEX([2]Tabelle2!$A$2:$AU$139,MATCH(Tabelle23[[#This Row],[plot_id]],[2]Tabelle2!$M$2:$M$139,0),20)</f>
        <v>714</v>
      </c>
      <c r="AS46">
        <f>INDEX([2]Tabelle2!$A$2:$AU$139, MATCH(Tabelle23[[#This Row],[plot_id]],[2]Tabelle2!$M$2:$M$139,0), 19)</f>
        <v>29.5</v>
      </c>
    </row>
    <row r="47" spans="1:45" x14ac:dyDescent="0.3">
      <c r="A47" t="s">
        <v>584</v>
      </c>
      <c r="B47" t="s">
        <v>239</v>
      </c>
      <c r="C47" t="s">
        <v>239</v>
      </c>
      <c r="D47" s="129" t="s">
        <v>585</v>
      </c>
      <c r="F47" t="s">
        <v>590</v>
      </c>
      <c r="G47" s="4">
        <v>43556</v>
      </c>
      <c r="H47" s="154">
        <v>2019</v>
      </c>
      <c r="I47" t="s">
        <v>365</v>
      </c>
      <c r="J47">
        <v>20</v>
      </c>
      <c r="K47" s="5">
        <v>279.99999999999994</v>
      </c>
      <c r="L47" s="152">
        <f t="shared" si="0"/>
        <v>35.714285714285722</v>
      </c>
      <c r="M47" t="s">
        <v>591</v>
      </c>
      <c r="O47" s="5"/>
      <c r="P47" s="5"/>
      <c r="Q47" s="152"/>
      <c r="R47" s="152"/>
      <c r="S47" s="5">
        <v>5.7971079938397869</v>
      </c>
      <c r="T47" s="152">
        <v>5.2690399286926315</v>
      </c>
      <c r="U47" s="5">
        <v>23.509861783716442</v>
      </c>
      <c r="V47" s="5"/>
      <c r="W47" s="5"/>
      <c r="X47" s="5">
        <v>11.017647058823528</v>
      </c>
      <c r="Y47" s="152">
        <v>1.2171869690590167</v>
      </c>
      <c r="Z47" s="152">
        <v>10.138616448364793</v>
      </c>
      <c r="AA47" s="152">
        <v>8.8000000000000007</v>
      </c>
      <c r="AB47" s="152">
        <v>13.5</v>
      </c>
      <c r="AC47" s="5">
        <v>10.394736842105264</v>
      </c>
      <c r="AD47" s="152">
        <v>0.88708047250848809</v>
      </c>
      <c r="AE47" s="152">
        <v>9.6495042845875822</v>
      </c>
      <c r="AF47" s="152">
        <v>9.1999999999999993</v>
      </c>
      <c r="AG47" s="152">
        <v>11.6</v>
      </c>
      <c r="AH47" s="153"/>
      <c r="AI47" s="6"/>
      <c r="AJ47" s="5"/>
      <c r="AK47" s="153"/>
      <c r="AL47" s="5"/>
      <c r="AM47" s="5"/>
      <c r="AN47" s="152"/>
      <c r="AO47" s="152"/>
      <c r="AP47">
        <f>IFERROR(Tabelle23[[#This Row],[Vol_ha_19]]*0.537836177777778*1.15,0)</f>
        <v>14.541122332113591</v>
      </c>
      <c r="AQ47">
        <f>IF(Tabelle23[[#This Row],[Year of planting ]]=2015,1,IF(Tabelle23[[#This Row],[Year of planting ]]=2016,2,IF(Tabelle23[[#This Row],[Year of planting ]]=2017,3,IF(Tabelle23[[#This Row],[Year of planting ]]=2018,4,5))))</f>
        <v>5</v>
      </c>
      <c r="AR47">
        <f>INDEX([2]Tabelle2!$A$2:$AU$139,MATCH(Tabelle23[[#This Row],[plot_id]],[2]Tabelle2!$M$2:$M$139,0),20)</f>
        <v>714</v>
      </c>
      <c r="AS47">
        <f>INDEX([2]Tabelle2!$A$2:$AU$139, MATCH(Tabelle23[[#This Row],[plot_id]],[2]Tabelle2!$M$2:$M$139,0), 19)</f>
        <v>29.5</v>
      </c>
    </row>
    <row r="48" spans="1:45" x14ac:dyDescent="0.3">
      <c r="A48" t="s">
        <v>584</v>
      </c>
      <c r="B48" t="s">
        <v>261</v>
      </c>
      <c r="C48" t="s">
        <v>261</v>
      </c>
      <c r="D48" s="129" t="s">
        <v>585</v>
      </c>
      <c r="F48" t="s">
        <v>586</v>
      </c>
      <c r="G48" s="4">
        <v>43617</v>
      </c>
      <c r="H48" s="154">
        <v>2019</v>
      </c>
      <c r="I48" t="s">
        <v>408</v>
      </c>
      <c r="J48">
        <v>20</v>
      </c>
      <c r="K48" s="5">
        <v>200</v>
      </c>
      <c r="L48" s="152">
        <f t="shared" si="0"/>
        <v>50</v>
      </c>
      <c r="M48" t="s">
        <v>587</v>
      </c>
      <c r="O48" s="5"/>
      <c r="P48" s="5"/>
      <c r="Q48" s="152"/>
      <c r="R48" s="152"/>
      <c r="S48" s="5">
        <v>4.0527330629471718</v>
      </c>
      <c r="T48" s="152">
        <v>3.4585400824288333</v>
      </c>
      <c r="U48" s="5">
        <v>13.88118368855427</v>
      </c>
      <c r="V48" s="5"/>
      <c r="W48" s="5"/>
      <c r="X48" s="5">
        <v>9.7923076923076913</v>
      </c>
      <c r="Y48" s="152">
        <v>1.2486402861122756</v>
      </c>
      <c r="Z48" s="152">
        <v>8.5628534330730055</v>
      </c>
      <c r="AA48" s="152">
        <v>5.9</v>
      </c>
      <c r="AB48" s="152">
        <v>10.7</v>
      </c>
      <c r="AC48" s="5">
        <v>6.7600000000000007</v>
      </c>
      <c r="AD48" s="152">
        <v>1.1094581722162566</v>
      </c>
      <c r="AE48" s="152">
        <v>7.1644706497936097</v>
      </c>
      <c r="AF48" s="152">
        <v>4.8</v>
      </c>
      <c r="AG48" s="152">
        <v>9.1999999999999993</v>
      </c>
      <c r="AH48" s="153"/>
      <c r="AI48" s="6"/>
      <c r="AJ48" s="5"/>
      <c r="AK48" s="153"/>
      <c r="AL48" s="5"/>
      <c r="AM48" s="5"/>
      <c r="AN48" s="152"/>
      <c r="AO48" s="152"/>
      <c r="AP48">
        <f>IFERROR(Tabelle23[[#This Row],[Vol_ha_19]]*0.537836177777778*1.15,0)</f>
        <v>8.5856731947957563</v>
      </c>
      <c r="AQ48">
        <f>IF(Tabelle23[[#This Row],[Year of planting ]]=2015,1,IF(Tabelle23[[#This Row],[Year of planting ]]=2016,2,IF(Tabelle23[[#This Row],[Year of planting ]]=2017,3,IF(Tabelle23[[#This Row],[Year of planting ]]=2018,4,5))))</f>
        <v>5</v>
      </c>
      <c r="AR48">
        <f>INDEX([2]Tabelle2!$A$2:$AU$139,MATCH(Tabelle23[[#This Row],[plot_id]],[2]Tabelle2!$M$2:$M$139,0),20)</f>
        <v>1000</v>
      </c>
      <c r="AS48">
        <f>INDEX([2]Tabelle2!$A$2:$AU$139, MATCH(Tabelle23[[#This Row],[plot_id]],[2]Tabelle2!$M$2:$M$139,0), 19)</f>
        <v>53</v>
      </c>
    </row>
    <row r="49" spans="1:45" x14ac:dyDescent="0.3">
      <c r="A49" t="s">
        <v>584</v>
      </c>
      <c r="B49" t="s">
        <v>261</v>
      </c>
      <c r="C49" t="s">
        <v>261</v>
      </c>
      <c r="D49" s="129" t="s">
        <v>585</v>
      </c>
      <c r="F49" t="s">
        <v>586</v>
      </c>
      <c r="G49" s="4">
        <v>43617</v>
      </c>
      <c r="H49" s="154">
        <v>2019</v>
      </c>
      <c r="I49" t="s">
        <v>407</v>
      </c>
      <c r="J49">
        <v>20</v>
      </c>
      <c r="K49" s="5">
        <v>200</v>
      </c>
      <c r="L49" s="152">
        <f t="shared" si="0"/>
        <v>50</v>
      </c>
      <c r="M49" t="s">
        <v>587</v>
      </c>
      <c r="O49" s="5"/>
      <c r="P49" s="5"/>
      <c r="Q49" s="152"/>
      <c r="R49" s="152"/>
      <c r="S49" s="5">
        <v>4.2770820483216534</v>
      </c>
      <c r="T49" s="152">
        <v>4.2613740850537045</v>
      </c>
      <c r="U49" s="5">
        <v>16.051912685645611</v>
      </c>
      <c r="V49" s="5"/>
      <c r="W49" s="5"/>
      <c r="X49" s="5">
        <v>9.3473684210526304</v>
      </c>
      <c r="Y49" s="152">
        <v>0.71985216156022203</v>
      </c>
      <c r="Z49" s="152">
        <v>9.3825138869760849</v>
      </c>
      <c r="AA49" s="152">
        <v>7.7</v>
      </c>
      <c r="AB49" s="152">
        <v>10.199999999999999</v>
      </c>
      <c r="AC49" s="5">
        <v>7.2450000000000001</v>
      </c>
      <c r="AD49" s="152">
        <v>0.7598091480894843</v>
      </c>
      <c r="AE49" s="152">
        <v>7.6404801909746167</v>
      </c>
      <c r="AF49" s="152">
        <v>6.4</v>
      </c>
      <c r="AG49" s="152">
        <v>9.3000000000000007</v>
      </c>
      <c r="AH49" s="153"/>
      <c r="AI49" s="6"/>
      <c r="AJ49" s="5"/>
      <c r="AK49" s="153"/>
      <c r="AL49" s="5"/>
      <c r="AM49" s="5"/>
      <c r="AN49" s="152"/>
      <c r="AO49" s="152"/>
      <c r="AP49">
        <f>IFERROR(Tabelle23[[#This Row],[Vol_ha_19]]*0.537836177777778*1.15,0)</f>
        <v>9.9282942696008014</v>
      </c>
      <c r="AQ49">
        <f>IF(Tabelle23[[#This Row],[Year of planting ]]=2015,1,IF(Tabelle23[[#This Row],[Year of planting ]]=2016,2,IF(Tabelle23[[#This Row],[Year of planting ]]=2017,3,IF(Tabelle23[[#This Row],[Year of planting ]]=2018,4,5))))</f>
        <v>5</v>
      </c>
      <c r="AR49">
        <f>INDEX([2]Tabelle2!$A$2:$AU$139,MATCH(Tabelle23[[#This Row],[plot_id]],[2]Tabelle2!$M$2:$M$139,0),20)</f>
        <v>1000</v>
      </c>
      <c r="AS49">
        <f>INDEX([2]Tabelle2!$A$2:$AU$139, MATCH(Tabelle23[[#This Row],[plot_id]],[2]Tabelle2!$M$2:$M$139,0), 19)</f>
        <v>53</v>
      </c>
    </row>
    <row r="50" spans="1:45" x14ac:dyDescent="0.3">
      <c r="A50" t="s">
        <v>584</v>
      </c>
      <c r="B50" t="s">
        <v>261</v>
      </c>
      <c r="C50" t="s">
        <v>261</v>
      </c>
      <c r="D50" s="129" t="s">
        <v>585</v>
      </c>
      <c r="F50" t="s">
        <v>586</v>
      </c>
      <c r="G50" s="4">
        <v>43617</v>
      </c>
      <c r="H50" s="154">
        <v>2019</v>
      </c>
      <c r="I50" t="s">
        <v>404</v>
      </c>
      <c r="J50">
        <v>20</v>
      </c>
      <c r="K50" s="5">
        <v>200</v>
      </c>
      <c r="L50" s="5">
        <f t="shared" si="0"/>
        <v>50</v>
      </c>
      <c r="M50" t="s">
        <v>587</v>
      </c>
      <c r="N50" t="s">
        <v>588</v>
      </c>
      <c r="O50">
        <v>0</v>
      </c>
      <c r="P50">
        <v>0</v>
      </c>
      <c r="Q50" s="152" t="s">
        <v>38</v>
      </c>
      <c r="R50" s="5"/>
      <c r="S50" s="5">
        <v>3.8161318662236918</v>
      </c>
      <c r="T50" s="152">
        <v>3.7759194802577425</v>
      </c>
      <c r="U50" s="5">
        <v>13.740635116417968</v>
      </c>
      <c r="V50" s="5"/>
      <c r="W50" s="5"/>
      <c r="X50" s="5">
        <v>8.9842105263157883</v>
      </c>
      <c r="Y50" s="5">
        <v>0.80018272766963594</v>
      </c>
      <c r="Z50" s="5">
        <v>9.001677351636701</v>
      </c>
      <c r="AA50" s="5">
        <v>6.8</v>
      </c>
      <c r="AB50" s="5">
        <v>10.1</v>
      </c>
      <c r="AC50" s="5">
        <v>6.8250000000000002</v>
      </c>
      <c r="AD50" s="5">
        <v>1.2093447068073822</v>
      </c>
      <c r="AE50" s="5">
        <v>7.2171532358479871</v>
      </c>
      <c r="AF50" s="5">
        <v>2.2999999999999998</v>
      </c>
      <c r="AG50" s="5">
        <v>8.1</v>
      </c>
      <c r="AH50" s="6">
        <v>464.28571428571428</v>
      </c>
      <c r="AI50" s="6">
        <v>464.28571428571428</v>
      </c>
      <c r="AJ50" s="5">
        <v>0</v>
      </c>
      <c r="AK50" s="6">
        <v>0</v>
      </c>
      <c r="AL50" s="5">
        <v>0</v>
      </c>
      <c r="AM50" s="5">
        <v>0</v>
      </c>
      <c r="AN50" s="5">
        <v>0</v>
      </c>
      <c r="AO50" s="5">
        <v>1</v>
      </c>
      <c r="AP50">
        <f>IFERROR(Tabelle23[[#This Row],[Vol_ha_19]]*0.537836177777778*1.15,0)</f>
        <v>8.4987422719413566</v>
      </c>
      <c r="AQ50">
        <v>1</v>
      </c>
      <c r="AR50">
        <f>INDEX([2]Tabelle2!$A$2:$AU$139,MATCH(Tabelle23[[#This Row],[plot_id]],[2]Tabelle2!$M$2:$M$139,0),20)</f>
        <v>1000</v>
      </c>
      <c r="AS50">
        <f>INDEX([2]Tabelle2!$A$2:$AU$139, MATCH(Tabelle23[[#This Row],[plot_id]],[2]Tabelle2!$M$2:$M$139,0), 19)</f>
        <v>53</v>
      </c>
    </row>
    <row r="51" spans="1:45" x14ac:dyDescent="0.3">
      <c r="A51" t="s">
        <v>584</v>
      </c>
      <c r="B51" t="s">
        <v>261</v>
      </c>
      <c r="C51" t="s">
        <v>261</v>
      </c>
      <c r="D51" s="129" t="s">
        <v>585</v>
      </c>
      <c r="F51" t="s">
        <v>586</v>
      </c>
      <c r="G51" s="4">
        <v>43617</v>
      </c>
      <c r="H51" s="154">
        <v>2019</v>
      </c>
      <c r="I51" t="s">
        <v>410</v>
      </c>
      <c r="J51">
        <v>20</v>
      </c>
      <c r="K51" s="5">
        <v>200</v>
      </c>
      <c r="L51" s="5">
        <f t="shared" si="0"/>
        <v>50</v>
      </c>
      <c r="M51" t="s">
        <v>587</v>
      </c>
      <c r="N51" s="129" t="s">
        <v>589</v>
      </c>
      <c r="O51">
        <v>0</v>
      </c>
      <c r="P51">
        <v>0</v>
      </c>
      <c r="Q51" s="152" t="s">
        <v>38</v>
      </c>
      <c r="R51" s="5"/>
      <c r="S51" s="5">
        <v>3.9238492243336522</v>
      </c>
      <c r="T51" s="152">
        <v>3.7777258960335569</v>
      </c>
      <c r="U51" s="5">
        <v>13.910983265669897</v>
      </c>
      <c r="V51" s="5"/>
      <c r="W51" s="5"/>
      <c r="X51" s="5">
        <v>9.189473684210526</v>
      </c>
      <c r="Y51" s="5">
        <v>0.51087586755177972</v>
      </c>
      <c r="Z51" s="5">
        <v>8.8630974779823859</v>
      </c>
      <c r="AA51" s="5">
        <v>8.3000000000000007</v>
      </c>
      <c r="AB51" s="5">
        <v>10.1</v>
      </c>
      <c r="AC51" s="5">
        <v>7.06</v>
      </c>
      <c r="AD51" s="5">
        <v>0.27466087542864209</v>
      </c>
      <c r="AE51" s="5">
        <v>6.8648128502802228</v>
      </c>
      <c r="AF51" s="5">
        <v>6.5</v>
      </c>
      <c r="AG51" s="5">
        <v>7.5</v>
      </c>
      <c r="AH51" s="6">
        <v>428.57142857142856</v>
      </c>
      <c r="AI51" s="6">
        <v>392.85714285714289</v>
      </c>
      <c r="AJ51" s="5">
        <v>0</v>
      </c>
      <c r="AK51" s="6">
        <v>0</v>
      </c>
      <c r="AL51" s="5">
        <v>0</v>
      </c>
      <c r="AM51" s="5">
        <v>0</v>
      </c>
      <c r="AN51" s="5">
        <v>0</v>
      </c>
      <c r="AO51" s="5">
        <v>1</v>
      </c>
      <c r="AP51">
        <f>IFERROR(Tabelle23[[#This Row],[Vol_ha_19]]*0.537836177777778*1.15,0)</f>
        <v>8.6041045790493094</v>
      </c>
      <c r="AQ51">
        <v>1</v>
      </c>
      <c r="AR51">
        <f>INDEX([2]Tabelle2!$A$2:$AU$139,MATCH(Tabelle23[[#This Row],[plot_id]],[2]Tabelle2!$M$2:$M$139,0),20)</f>
        <v>1000</v>
      </c>
      <c r="AS51">
        <f>INDEX([2]Tabelle2!$A$2:$AU$139, MATCH(Tabelle23[[#This Row],[plot_id]],[2]Tabelle2!$M$2:$M$139,0), 19)</f>
        <v>53</v>
      </c>
    </row>
    <row r="52" spans="1:45" x14ac:dyDescent="0.3">
      <c r="A52" t="s">
        <v>584</v>
      </c>
      <c r="B52" t="s">
        <v>261</v>
      </c>
      <c r="C52" t="s">
        <v>261</v>
      </c>
      <c r="D52" s="129" t="s">
        <v>585</v>
      </c>
      <c r="F52" t="s">
        <v>586</v>
      </c>
      <c r="G52" s="4">
        <v>43617</v>
      </c>
      <c r="H52" s="154">
        <v>2019</v>
      </c>
      <c r="I52" t="s">
        <v>409</v>
      </c>
      <c r="J52">
        <v>20</v>
      </c>
      <c r="K52" s="5">
        <v>200</v>
      </c>
      <c r="L52" s="5">
        <f t="shared" si="0"/>
        <v>50</v>
      </c>
      <c r="M52" t="s">
        <v>587</v>
      </c>
      <c r="N52" s="129" t="s">
        <v>589</v>
      </c>
      <c r="O52">
        <v>0</v>
      </c>
      <c r="P52">
        <v>0</v>
      </c>
      <c r="Q52" s="152" t="s">
        <v>38</v>
      </c>
      <c r="R52" s="5"/>
      <c r="S52" s="5">
        <v>3.9727009900969721</v>
      </c>
      <c r="T52" s="152">
        <v>3.9727009900969721</v>
      </c>
      <c r="U52" s="5">
        <v>15.547462440869717</v>
      </c>
      <c r="V52" s="5"/>
      <c r="W52" s="5"/>
      <c r="X52" s="5">
        <v>9.7388888888888872</v>
      </c>
      <c r="Y52" s="5">
        <v>0.50775038898689173</v>
      </c>
      <c r="Z52" s="5">
        <v>9.7839369736269877</v>
      </c>
      <c r="AA52" s="5">
        <v>9.1</v>
      </c>
      <c r="AB52" s="5">
        <v>10.7</v>
      </c>
      <c r="AC52" s="5">
        <v>7.4777777777777779</v>
      </c>
      <c r="AD52" s="5">
        <v>0.54939063093529095</v>
      </c>
      <c r="AE52" s="5">
        <v>7.5535526471867449</v>
      </c>
      <c r="AF52" s="5">
        <v>6.4</v>
      </c>
      <c r="AG52" s="5">
        <v>8.6</v>
      </c>
      <c r="AH52" s="6">
        <v>464.28571428571428</v>
      </c>
      <c r="AI52" s="6">
        <v>464.28571428571428</v>
      </c>
      <c r="AJ52" s="5">
        <v>0</v>
      </c>
      <c r="AK52" s="6">
        <v>0</v>
      </c>
      <c r="AL52" s="5">
        <v>0</v>
      </c>
      <c r="AM52" s="5">
        <v>0</v>
      </c>
      <c r="AN52" s="5">
        <v>0</v>
      </c>
      <c r="AO52" s="5">
        <v>1</v>
      </c>
      <c r="AP52">
        <f>IFERROR(Tabelle23[[#This Row],[Vol_ha_19]]*0.537836177777778*1.15,0)</f>
        <v>9.6162859393420703</v>
      </c>
      <c r="AQ52">
        <v>1</v>
      </c>
      <c r="AR52">
        <f>INDEX([2]Tabelle2!$A$2:$AU$139,MATCH(Tabelle23[[#This Row],[plot_id]],[2]Tabelle2!$M$2:$M$139,0),20)</f>
        <v>1000</v>
      </c>
      <c r="AS52">
        <f>INDEX([2]Tabelle2!$A$2:$AU$139, MATCH(Tabelle23[[#This Row],[plot_id]],[2]Tabelle2!$M$2:$M$139,0), 19)</f>
        <v>53</v>
      </c>
    </row>
    <row r="53" spans="1:45" x14ac:dyDescent="0.3">
      <c r="A53" t="s">
        <v>584</v>
      </c>
      <c r="B53" t="s">
        <v>261</v>
      </c>
      <c r="C53" t="s">
        <v>261</v>
      </c>
      <c r="D53" s="129" t="s">
        <v>585</v>
      </c>
      <c r="F53" t="s">
        <v>586</v>
      </c>
      <c r="G53" s="4">
        <v>43617</v>
      </c>
      <c r="H53" s="154">
        <v>2019</v>
      </c>
      <c r="I53" t="s">
        <v>406</v>
      </c>
      <c r="J53">
        <v>20</v>
      </c>
      <c r="K53" s="5">
        <v>200</v>
      </c>
      <c r="L53" s="152">
        <f t="shared" si="0"/>
        <v>50</v>
      </c>
      <c r="M53" t="s">
        <v>587</v>
      </c>
      <c r="O53" s="5"/>
      <c r="P53" s="5"/>
      <c r="Q53" s="152"/>
      <c r="R53" s="152"/>
      <c r="S53" s="5">
        <v>4.4736279387118651</v>
      </c>
      <c r="T53" s="152">
        <v>4.4736279387118651</v>
      </c>
      <c r="U53" s="5">
        <v>17.346990274790855</v>
      </c>
      <c r="V53" s="5"/>
      <c r="W53" s="5"/>
      <c r="X53" s="5">
        <v>9.43</v>
      </c>
      <c r="Y53" s="152">
        <v>1.2802549088283013</v>
      </c>
      <c r="Z53" s="152">
        <v>9.6940282654494379</v>
      </c>
      <c r="AA53" s="152">
        <v>4.9000000000000004</v>
      </c>
      <c r="AB53" s="152">
        <v>10.5</v>
      </c>
      <c r="AC53" s="5">
        <v>7.4700000000000006</v>
      </c>
      <c r="AD53" s="152">
        <v>1.1045837510835852</v>
      </c>
      <c r="AE53" s="152">
        <v>7.737482443820225</v>
      </c>
      <c r="AF53" s="152">
        <v>3.9</v>
      </c>
      <c r="AG53" s="152">
        <v>9.1</v>
      </c>
      <c r="AH53" s="153"/>
      <c r="AI53" s="6"/>
      <c r="AJ53" s="5"/>
      <c r="AK53" s="153"/>
      <c r="AL53" s="5"/>
      <c r="AM53" s="5"/>
      <c r="AN53" s="152"/>
      <c r="AO53" s="152"/>
      <c r="AP53">
        <f>IFERROR(Tabelle23[[#This Row],[Vol_ha_19]]*0.537836177777778*1.15,0)</f>
        <v>10.729314787143069</v>
      </c>
      <c r="AQ53">
        <f>IF(Tabelle23[[#This Row],[Year of planting ]]=2015,1,IF(Tabelle23[[#This Row],[Year of planting ]]=2016,2,IF(Tabelle23[[#This Row],[Year of planting ]]=2017,3,IF(Tabelle23[[#This Row],[Year of planting ]]=2018,4,5))))</f>
        <v>5</v>
      </c>
      <c r="AR53">
        <f>INDEX([2]Tabelle2!$A$2:$AU$139,MATCH(Tabelle23[[#This Row],[plot_id]],[2]Tabelle2!$M$2:$M$139,0),20)</f>
        <v>1000</v>
      </c>
      <c r="AS53">
        <f>INDEX([2]Tabelle2!$A$2:$AU$139, MATCH(Tabelle23[[#This Row],[plot_id]],[2]Tabelle2!$M$2:$M$139,0), 19)</f>
        <v>53</v>
      </c>
    </row>
    <row r="54" spans="1:45" x14ac:dyDescent="0.3">
      <c r="A54" t="s">
        <v>584</v>
      </c>
      <c r="B54" t="s">
        <v>255</v>
      </c>
      <c r="C54" t="s">
        <v>255</v>
      </c>
      <c r="D54" s="129" t="s">
        <v>585</v>
      </c>
      <c r="F54" t="s">
        <v>599</v>
      </c>
      <c r="G54" s="4">
        <v>43647</v>
      </c>
      <c r="H54" s="154">
        <v>2019</v>
      </c>
      <c r="I54" t="s">
        <v>399</v>
      </c>
      <c r="J54">
        <v>20</v>
      </c>
      <c r="K54" s="5">
        <v>200</v>
      </c>
      <c r="L54" s="5">
        <f t="shared" si="0"/>
        <v>50</v>
      </c>
      <c r="M54" t="s">
        <v>601</v>
      </c>
      <c r="N54" t="s">
        <v>588</v>
      </c>
      <c r="O54">
        <v>0</v>
      </c>
      <c r="P54">
        <v>0</v>
      </c>
      <c r="Q54" s="152" t="s">
        <v>38</v>
      </c>
      <c r="R54" s="5"/>
      <c r="S54" s="5">
        <v>2.7602818452603319</v>
      </c>
      <c r="T54" s="152">
        <v>2.6414903730464676</v>
      </c>
      <c r="U54" s="5">
        <v>7.3097871005380259</v>
      </c>
      <c r="V54" s="5"/>
      <c r="W54" s="5"/>
      <c r="X54" s="5">
        <v>6.6470588235294121</v>
      </c>
      <c r="Y54" s="5">
        <v>0.86249467176529315</v>
      </c>
      <c r="Z54" s="5">
        <v>6.6205078958600083</v>
      </c>
      <c r="AA54" s="5">
        <v>5.0999999999999996</v>
      </c>
      <c r="AB54" s="5">
        <v>8.6</v>
      </c>
      <c r="AC54" s="5">
        <v>6.1555555555555559</v>
      </c>
      <c r="AD54" s="5">
        <v>1.1294194239936293</v>
      </c>
      <c r="AE54" s="5">
        <v>6.3048527528809215</v>
      </c>
      <c r="AF54" s="5">
        <v>4.2</v>
      </c>
      <c r="AG54" s="5">
        <v>9.1</v>
      </c>
      <c r="AH54" s="6">
        <v>428.57142857142856</v>
      </c>
      <c r="AI54" s="6">
        <v>428.57142857142856</v>
      </c>
      <c r="AJ54" s="5">
        <v>0</v>
      </c>
      <c r="AK54" s="6">
        <v>0</v>
      </c>
      <c r="AL54" s="5">
        <v>0</v>
      </c>
      <c r="AM54" s="5">
        <v>0</v>
      </c>
      <c r="AN54" s="5">
        <v>0</v>
      </c>
      <c r="AO54" s="5">
        <v>1</v>
      </c>
      <c r="AP54">
        <f>IFERROR(Tabelle23[[#This Row],[Vol_ha_19]]*0.537836177777778*1.15,0)</f>
        <v>4.5211881477010794</v>
      </c>
      <c r="AQ54">
        <v>1</v>
      </c>
      <c r="AR54">
        <f>INDEX([2]Tabelle2!$A$2:$AU$139,MATCH(Tabelle23[[#This Row],[plot_id]],[2]Tabelle2!$M$2:$M$139,0),20)</f>
        <v>1000</v>
      </c>
      <c r="AS54">
        <f>INDEX([2]Tabelle2!$A$2:$AU$139, MATCH(Tabelle23[[#This Row],[plot_id]],[2]Tabelle2!$M$2:$M$139,0), 19)</f>
        <v>54</v>
      </c>
    </row>
    <row r="55" spans="1:45" x14ac:dyDescent="0.3">
      <c r="A55" t="s">
        <v>584</v>
      </c>
      <c r="B55" t="s">
        <v>255</v>
      </c>
      <c r="C55" t="s">
        <v>255</v>
      </c>
      <c r="D55" s="129" t="s">
        <v>585</v>
      </c>
      <c r="F55" t="s">
        <v>599</v>
      </c>
      <c r="G55" s="4">
        <v>43647</v>
      </c>
      <c r="H55" s="154">
        <v>2019</v>
      </c>
      <c r="I55" t="s">
        <v>257</v>
      </c>
      <c r="J55">
        <v>20</v>
      </c>
      <c r="K55" s="5">
        <v>200</v>
      </c>
      <c r="L55" s="5">
        <f t="shared" si="0"/>
        <v>50</v>
      </c>
      <c r="M55" t="s">
        <v>601</v>
      </c>
      <c r="N55" s="129" t="s">
        <v>589</v>
      </c>
      <c r="O55">
        <v>0</v>
      </c>
      <c r="P55">
        <v>0</v>
      </c>
      <c r="Q55" s="152" t="s">
        <v>38</v>
      </c>
      <c r="R55" s="5"/>
      <c r="S55" s="5">
        <v>3.9900582895080561</v>
      </c>
      <c r="T55" s="152">
        <v>3.6958481374993726</v>
      </c>
      <c r="U55" s="5">
        <v>12.827070968328345</v>
      </c>
      <c r="V55" s="5"/>
      <c r="W55" s="5"/>
      <c r="X55" s="5">
        <v>8.6333333333333329</v>
      </c>
      <c r="Y55" s="5">
        <v>0.34127787539671256</v>
      </c>
      <c r="Z55" s="5">
        <v>8.036894474735746</v>
      </c>
      <c r="AA55" s="5">
        <v>8</v>
      </c>
      <c r="AB55" s="5">
        <v>9.6</v>
      </c>
      <c r="AC55" s="5">
        <v>7.0900000000000007</v>
      </c>
      <c r="AD55" s="5">
        <v>0.6868512982315409</v>
      </c>
      <c r="AE55" s="5">
        <v>6.7846544495403824</v>
      </c>
      <c r="AF55" s="5">
        <v>6.1</v>
      </c>
      <c r="AG55" s="5">
        <v>8.5</v>
      </c>
      <c r="AH55" s="6">
        <v>428.57142857142856</v>
      </c>
      <c r="AI55" s="6">
        <v>428.57142857142856</v>
      </c>
      <c r="AJ55" s="5">
        <v>0</v>
      </c>
      <c r="AK55" s="6">
        <v>0</v>
      </c>
      <c r="AL55" s="5">
        <v>0</v>
      </c>
      <c r="AM55" s="5">
        <v>0</v>
      </c>
      <c r="AN55" s="5">
        <v>0</v>
      </c>
      <c r="AO55" s="5">
        <v>1</v>
      </c>
      <c r="AP55">
        <f>IFERROR(Tabelle23[[#This Row],[Vol_ha_19]]*0.537836177777778*1.15,0)</f>
        <v>7.9336922449435221</v>
      </c>
      <c r="AQ55">
        <v>1</v>
      </c>
      <c r="AR55">
        <f>INDEX([2]Tabelle2!$A$2:$AU$139,MATCH(Tabelle23[[#This Row],[plot_id]],[2]Tabelle2!$M$2:$M$139,0),20)</f>
        <v>1000</v>
      </c>
      <c r="AS55">
        <f>INDEX([2]Tabelle2!$A$2:$AU$139, MATCH(Tabelle23[[#This Row],[plot_id]],[2]Tabelle2!$M$2:$M$139,0), 19)</f>
        <v>54</v>
      </c>
    </row>
    <row r="56" spans="1:45" x14ac:dyDescent="0.3">
      <c r="A56" t="s">
        <v>584</v>
      </c>
      <c r="B56" t="s">
        <v>257</v>
      </c>
      <c r="C56" t="s">
        <v>257</v>
      </c>
      <c r="D56" s="129" t="s">
        <v>585</v>
      </c>
      <c r="F56" t="s">
        <v>586</v>
      </c>
      <c r="G56" s="4">
        <v>43647</v>
      </c>
      <c r="H56" s="154">
        <v>2019</v>
      </c>
      <c r="I56" t="s">
        <v>397</v>
      </c>
      <c r="J56">
        <v>20</v>
      </c>
      <c r="K56" s="5">
        <v>200</v>
      </c>
      <c r="L56" s="5">
        <f t="shared" si="0"/>
        <v>50</v>
      </c>
      <c r="M56" t="s">
        <v>587</v>
      </c>
      <c r="N56" s="129" t="s">
        <v>589</v>
      </c>
      <c r="O56">
        <v>0</v>
      </c>
      <c r="P56">
        <v>0</v>
      </c>
      <c r="Q56" s="152" t="s">
        <v>38</v>
      </c>
      <c r="R56" s="5"/>
      <c r="S56" s="5">
        <v>2.8899510820372512</v>
      </c>
      <c r="T56" s="152">
        <v>2.8899510820372512</v>
      </c>
      <c r="U56" s="5">
        <v>9.0083959828515709</v>
      </c>
      <c r="V56" s="5"/>
      <c r="W56" s="5"/>
      <c r="X56" s="5">
        <v>7.4399999999999986</v>
      </c>
      <c r="Y56" s="5">
        <v>1.0735787947661086</v>
      </c>
      <c r="Z56" s="5">
        <v>7.7928619958691137</v>
      </c>
      <c r="AA56" s="5">
        <v>6</v>
      </c>
      <c r="AB56" s="5">
        <v>9.1</v>
      </c>
      <c r="AC56" s="5">
        <v>6.8800000000000008</v>
      </c>
      <c r="AD56" s="5">
        <v>1.3602520774789155</v>
      </c>
      <c r="AE56" s="5">
        <v>7.3981845852810091</v>
      </c>
      <c r="AF56" s="5">
        <v>4.9000000000000004</v>
      </c>
      <c r="AG56" s="5">
        <v>9.5</v>
      </c>
      <c r="AH56" s="6">
        <v>464.28571428571428</v>
      </c>
      <c r="AI56" s="6">
        <v>464.28571428571428</v>
      </c>
      <c r="AJ56" s="5">
        <v>0</v>
      </c>
      <c r="AK56" s="6">
        <v>0</v>
      </c>
      <c r="AL56" s="5">
        <v>0</v>
      </c>
      <c r="AM56" s="5">
        <v>0</v>
      </c>
      <c r="AN56" s="5">
        <v>0</v>
      </c>
      <c r="AO56" s="5">
        <v>1</v>
      </c>
      <c r="AP56">
        <f>IFERROR(Tabelle23[[#This Row],[Vol_ha_19]]*0.537836177777778*1.15,0)</f>
        <v>5.5717974528244154</v>
      </c>
      <c r="AQ56">
        <v>1</v>
      </c>
      <c r="AR56">
        <f>INDEX([2]Tabelle2!$A$2:$AU$139,MATCH(Tabelle23[[#This Row],[plot_id]],[2]Tabelle2!$M$2:$M$139,0),20)</f>
        <v>1000</v>
      </c>
      <c r="AS56">
        <f>INDEX([2]Tabelle2!$A$2:$AU$139, MATCH(Tabelle23[[#This Row],[plot_id]],[2]Tabelle2!$M$2:$M$139,0), 19)</f>
        <v>4</v>
      </c>
    </row>
    <row r="57" spans="1:45" x14ac:dyDescent="0.3">
      <c r="A57" t="s">
        <v>584</v>
      </c>
      <c r="B57" t="s">
        <v>255</v>
      </c>
      <c r="C57" t="s">
        <v>255</v>
      </c>
      <c r="D57" s="129" t="s">
        <v>585</v>
      </c>
      <c r="F57" t="s">
        <v>599</v>
      </c>
      <c r="G57" s="4">
        <v>43647</v>
      </c>
      <c r="H57" s="154">
        <v>2019</v>
      </c>
      <c r="I57" t="s">
        <v>398</v>
      </c>
      <c r="J57">
        <v>20</v>
      </c>
      <c r="K57" s="5">
        <v>200</v>
      </c>
      <c r="L57" s="5">
        <f t="shared" si="0"/>
        <v>50</v>
      </c>
      <c r="M57" t="s">
        <v>601</v>
      </c>
      <c r="N57" s="129" t="s">
        <v>589</v>
      </c>
      <c r="O57">
        <v>0</v>
      </c>
      <c r="P57">
        <v>0</v>
      </c>
      <c r="Q57" s="152" t="s">
        <v>38</v>
      </c>
      <c r="R57" s="5"/>
      <c r="S57" s="5">
        <v>3.9972446827031431</v>
      </c>
      <c r="T57" s="152">
        <v>3.7012281149186448</v>
      </c>
      <c r="U57" s="5">
        <v>12.858219859488685</v>
      </c>
      <c r="V57" s="5"/>
      <c r="W57" s="5"/>
      <c r="X57" s="5">
        <v>8.6125000000000007</v>
      </c>
      <c r="Y57" s="5">
        <v>0.78644770964127064</v>
      </c>
      <c r="Z57" s="5">
        <v>8.0419269272711205</v>
      </c>
      <c r="AA57" s="5">
        <v>7.3</v>
      </c>
      <c r="AB57" s="5">
        <v>10</v>
      </c>
      <c r="AC57" s="5">
        <v>7.4722222222222223</v>
      </c>
      <c r="AD57" s="5">
        <v>0.55493993668984865</v>
      </c>
      <c r="AE57" s="5">
        <v>7.1581555963807473</v>
      </c>
      <c r="AF57" s="5">
        <v>6.8</v>
      </c>
      <c r="AG57" s="5">
        <v>8.5</v>
      </c>
      <c r="AH57" s="6">
        <v>464.28571428571428</v>
      </c>
      <c r="AI57" s="6">
        <v>464.28571428571428</v>
      </c>
      <c r="AJ57" s="5">
        <v>0</v>
      </c>
      <c r="AK57" s="6">
        <v>0</v>
      </c>
      <c r="AL57" s="5">
        <v>0</v>
      </c>
      <c r="AM57" s="5">
        <v>0</v>
      </c>
      <c r="AN57" s="5">
        <v>0</v>
      </c>
      <c r="AO57" s="5">
        <v>1</v>
      </c>
      <c r="AP57">
        <f>IFERROR(Tabelle23[[#This Row],[Vol_ha_19]]*0.537836177777778*1.15,0)</f>
        <v>7.9529581955917683</v>
      </c>
      <c r="AQ57">
        <v>1</v>
      </c>
      <c r="AR57">
        <f>INDEX([2]Tabelle2!$A$2:$AU$139,MATCH(Tabelle23[[#This Row],[plot_id]],[2]Tabelle2!$M$2:$M$139,0),20)</f>
        <v>1000</v>
      </c>
      <c r="AS57">
        <f>INDEX([2]Tabelle2!$A$2:$AU$139, MATCH(Tabelle23[[#This Row],[plot_id]],[2]Tabelle2!$M$2:$M$139,0), 19)</f>
        <v>54</v>
      </c>
    </row>
    <row r="58" spans="1:45" x14ac:dyDescent="0.3">
      <c r="A58" t="s">
        <v>584</v>
      </c>
      <c r="B58" t="s">
        <v>255</v>
      </c>
      <c r="C58" t="s">
        <v>255</v>
      </c>
      <c r="D58" s="129" t="s">
        <v>585</v>
      </c>
      <c r="F58" t="s">
        <v>599</v>
      </c>
      <c r="G58" s="4">
        <v>43647</v>
      </c>
      <c r="H58" s="154">
        <v>2019</v>
      </c>
      <c r="I58" t="s">
        <v>396</v>
      </c>
      <c r="J58">
        <v>20</v>
      </c>
      <c r="K58" s="5">
        <v>200</v>
      </c>
      <c r="L58" s="5">
        <f t="shared" si="0"/>
        <v>50</v>
      </c>
      <c r="M58" t="s">
        <v>601</v>
      </c>
      <c r="N58" s="129" t="s">
        <v>589</v>
      </c>
      <c r="O58">
        <v>0</v>
      </c>
      <c r="P58">
        <v>0</v>
      </c>
      <c r="Q58" s="152" t="s">
        <v>38</v>
      </c>
      <c r="R58" s="5"/>
      <c r="S58" s="5">
        <v>3.6423625225720055</v>
      </c>
      <c r="T58" s="152">
        <v>3.3627215064943443</v>
      </c>
      <c r="U58" s="5">
        <v>11.424665578562186</v>
      </c>
      <c r="V58" s="5"/>
      <c r="W58" s="5"/>
      <c r="X58" s="5">
        <v>8.3333333333333339</v>
      </c>
      <c r="Y58" s="5">
        <v>0.783459969500372</v>
      </c>
      <c r="Z58" s="5">
        <v>7.841521476625843</v>
      </c>
      <c r="AA58" s="5">
        <v>7</v>
      </c>
      <c r="AB58" s="5">
        <v>9.6</v>
      </c>
      <c r="AC58" s="5">
        <v>7.0444444444444434</v>
      </c>
      <c r="AD58" s="5">
        <v>0.94717625452862653</v>
      </c>
      <c r="AE58" s="5">
        <v>7.1286581421424868</v>
      </c>
      <c r="AF58" s="5">
        <v>6</v>
      </c>
      <c r="AG58" s="5">
        <v>8.9</v>
      </c>
      <c r="AH58" s="6">
        <v>464.28571428571428</v>
      </c>
      <c r="AI58" s="6">
        <v>464.28571428571428</v>
      </c>
      <c r="AJ58" s="5">
        <v>0</v>
      </c>
      <c r="AK58" s="6">
        <v>0</v>
      </c>
      <c r="AL58" s="5">
        <v>0</v>
      </c>
      <c r="AM58" s="5">
        <v>0</v>
      </c>
      <c r="AN58" s="5">
        <v>0</v>
      </c>
      <c r="AO58" s="5">
        <v>1</v>
      </c>
      <c r="AP58">
        <f>IFERROR(Tabelle23[[#This Row],[Vol_ha_19]]*0.537836177777778*1.15,0)</f>
        <v>7.0662882372377167</v>
      </c>
      <c r="AQ58">
        <v>1</v>
      </c>
      <c r="AR58">
        <f>INDEX([2]Tabelle2!$A$2:$AU$139,MATCH(Tabelle23[[#This Row],[plot_id]],[2]Tabelle2!$M$2:$M$139,0),20)</f>
        <v>1000</v>
      </c>
      <c r="AS58">
        <f>INDEX([2]Tabelle2!$A$2:$AU$139, MATCH(Tabelle23[[#This Row],[plot_id]],[2]Tabelle2!$M$2:$M$139,0), 19)</f>
        <v>54</v>
      </c>
    </row>
    <row r="59" spans="1:45" x14ac:dyDescent="0.3">
      <c r="A59" t="s">
        <v>584</v>
      </c>
      <c r="B59" t="s">
        <v>255</v>
      </c>
      <c r="C59" t="s">
        <v>255</v>
      </c>
      <c r="D59" s="129" t="s">
        <v>585</v>
      </c>
      <c r="F59" t="s">
        <v>599</v>
      </c>
      <c r="G59" s="4">
        <v>43647</v>
      </c>
      <c r="H59" s="154">
        <v>2019</v>
      </c>
      <c r="I59" t="s">
        <v>395</v>
      </c>
      <c r="J59">
        <v>20</v>
      </c>
      <c r="K59" s="5">
        <v>200</v>
      </c>
      <c r="L59" s="152">
        <f t="shared" si="0"/>
        <v>50</v>
      </c>
      <c r="M59" t="s">
        <v>601</v>
      </c>
      <c r="O59" s="5"/>
      <c r="P59" s="5"/>
      <c r="Q59" s="152"/>
      <c r="R59" s="152"/>
      <c r="S59" s="5">
        <v>4.0850129274628086</v>
      </c>
      <c r="T59" s="152">
        <v>3.7869935943616464</v>
      </c>
      <c r="U59" s="5">
        <v>14.229118216531985</v>
      </c>
      <c r="V59" s="5"/>
      <c r="W59" s="5"/>
      <c r="X59" s="5">
        <v>9.2750000000000004</v>
      </c>
      <c r="Y59" s="152">
        <v>0.69041050590693276</v>
      </c>
      <c r="Z59" s="152">
        <v>8.708123125432591</v>
      </c>
      <c r="AA59" s="152">
        <v>8.1999999999999993</v>
      </c>
      <c r="AB59" s="152">
        <v>10.7</v>
      </c>
      <c r="AC59" s="5">
        <v>7.5444444444444452</v>
      </c>
      <c r="AD59" s="152">
        <v>0.85962685703351527</v>
      </c>
      <c r="AE59" s="152">
        <v>7.3261660770591392</v>
      </c>
      <c r="AF59" s="152">
        <v>6.5</v>
      </c>
      <c r="AG59" s="152">
        <v>9.3000000000000007</v>
      </c>
      <c r="AH59" s="153"/>
      <c r="AI59" s="6"/>
      <c r="AJ59" s="5"/>
      <c r="AK59" s="153"/>
      <c r="AL59" s="5"/>
      <c r="AM59" s="5"/>
      <c r="AN59" s="152"/>
      <c r="AO59" s="152"/>
      <c r="AP59">
        <f>IFERROR(Tabelle23[[#This Row],[Vol_ha_19]]*0.537836177777778*1.15,0)</f>
        <v>8.8008747379368728</v>
      </c>
      <c r="AQ59">
        <f>IF(Tabelle23[[#This Row],[Year of planting ]]=2015,1,IF(Tabelle23[[#This Row],[Year of planting ]]=2016,2,IF(Tabelle23[[#This Row],[Year of planting ]]=2017,3,IF(Tabelle23[[#This Row],[Year of planting ]]=2018,4,5))))</f>
        <v>5</v>
      </c>
      <c r="AR59">
        <f>INDEX([2]Tabelle2!$A$2:$AU$139,MATCH(Tabelle23[[#This Row],[plot_id]],[2]Tabelle2!$M$2:$M$139,0),20)</f>
        <v>1000</v>
      </c>
      <c r="AS59">
        <f>INDEX([2]Tabelle2!$A$2:$AU$139, MATCH(Tabelle23[[#This Row],[plot_id]],[2]Tabelle2!$M$2:$M$139,0), 19)</f>
        <v>54</v>
      </c>
    </row>
    <row r="60" spans="1:45" x14ac:dyDescent="0.3">
      <c r="A60" t="s">
        <v>584</v>
      </c>
      <c r="B60" t="s">
        <v>255</v>
      </c>
      <c r="C60" t="s">
        <v>255</v>
      </c>
      <c r="D60" s="129" t="s">
        <v>585</v>
      </c>
      <c r="F60" t="s">
        <v>599</v>
      </c>
      <c r="G60" s="4">
        <v>43647</v>
      </c>
      <c r="H60" s="154">
        <v>2019</v>
      </c>
      <c r="I60" t="s">
        <v>400</v>
      </c>
      <c r="J60">
        <v>20</v>
      </c>
      <c r="K60" s="5">
        <v>200</v>
      </c>
      <c r="L60" s="5">
        <f t="shared" si="0"/>
        <v>50</v>
      </c>
      <c r="M60" t="s">
        <v>601</v>
      </c>
      <c r="N60" t="s">
        <v>588</v>
      </c>
      <c r="O60">
        <v>0</v>
      </c>
      <c r="P60">
        <v>0</v>
      </c>
      <c r="Q60" s="152" t="s">
        <v>38</v>
      </c>
      <c r="R60" s="5"/>
      <c r="S60" s="5">
        <v>3.1762679825037901</v>
      </c>
      <c r="T60" s="152">
        <v>3.1762679825037901</v>
      </c>
      <c r="U60" s="5">
        <v>9.9100409284134745</v>
      </c>
      <c r="V60" s="5"/>
      <c r="W60" s="5"/>
      <c r="X60" s="5">
        <v>7.5375000000000005</v>
      </c>
      <c r="Y60" s="5">
        <v>1.2344364436184292</v>
      </c>
      <c r="Z60" s="5">
        <v>7.800066763102258</v>
      </c>
      <c r="AA60" s="5">
        <v>3.8</v>
      </c>
      <c r="AB60" s="5">
        <v>9</v>
      </c>
      <c r="AC60" s="5">
        <v>6.9937499999999995</v>
      </c>
      <c r="AD60" s="5">
        <v>1.3223558522576291</v>
      </c>
      <c r="AE60" s="5">
        <v>7.4359667668113216</v>
      </c>
      <c r="AF60" s="5">
        <v>4.2</v>
      </c>
      <c r="AG60" s="5">
        <v>9.3000000000000007</v>
      </c>
      <c r="AH60" s="6">
        <v>464.28571428571428</v>
      </c>
      <c r="AI60" s="6">
        <v>464.28571428571428</v>
      </c>
      <c r="AJ60" s="5">
        <v>0</v>
      </c>
      <c r="AK60" s="6">
        <v>0</v>
      </c>
      <c r="AL60" s="5">
        <v>0</v>
      </c>
      <c r="AM60" s="5">
        <v>0</v>
      </c>
      <c r="AN60" s="5">
        <v>0</v>
      </c>
      <c r="AO60" s="5">
        <v>1</v>
      </c>
      <c r="AP60">
        <f>IFERROR(Tabelle23[[#This Row],[Vol_ha_19]]*0.537836177777778*1.15,0)</f>
        <v>6.1294753147431331</v>
      </c>
      <c r="AQ60">
        <v>1</v>
      </c>
      <c r="AR60">
        <f>INDEX([2]Tabelle2!$A$2:$AU$139,MATCH(Tabelle23[[#This Row],[plot_id]],[2]Tabelle2!$M$2:$M$139,0),20)</f>
        <v>1000</v>
      </c>
      <c r="AS60">
        <f>INDEX([2]Tabelle2!$A$2:$AU$139, MATCH(Tabelle23[[#This Row],[plot_id]],[2]Tabelle2!$M$2:$M$139,0), 19)</f>
        <v>54</v>
      </c>
    </row>
    <row r="61" spans="1:45" x14ac:dyDescent="0.3">
      <c r="A61" t="s">
        <v>584</v>
      </c>
      <c r="B61" t="s">
        <v>247</v>
      </c>
      <c r="C61" t="s">
        <v>247</v>
      </c>
      <c r="D61" s="129" t="s">
        <v>585</v>
      </c>
      <c r="F61" t="s">
        <v>586</v>
      </c>
      <c r="G61" s="4">
        <v>43647</v>
      </c>
      <c r="H61" s="154">
        <v>2019</v>
      </c>
      <c r="I61" t="s">
        <v>391</v>
      </c>
      <c r="J61">
        <v>20</v>
      </c>
      <c r="K61" s="5">
        <v>200</v>
      </c>
      <c r="L61" s="152">
        <f t="shared" si="0"/>
        <v>50</v>
      </c>
      <c r="M61" t="s">
        <v>587</v>
      </c>
      <c r="O61" s="5"/>
      <c r="P61" s="5"/>
      <c r="Q61" s="152"/>
      <c r="R61" s="152"/>
      <c r="S61" s="5">
        <v>4.3268370219728816</v>
      </c>
      <c r="T61" s="152">
        <v>4.2394614762949159</v>
      </c>
      <c r="U61" s="5">
        <v>16.145287102495605</v>
      </c>
      <c r="V61" s="5"/>
      <c r="W61" s="5"/>
      <c r="X61" s="5">
        <v>9.4722222222222214</v>
      </c>
      <c r="Y61" s="152">
        <v>0.60663542259557524</v>
      </c>
      <c r="Z61" s="152">
        <v>9.328573632716779</v>
      </c>
      <c r="AA61" s="152">
        <v>7.7</v>
      </c>
      <c r="AB61" s="152">
        <v>10.5</v>
      </c>
      <c r="AC61" s="5">
        <v>7.2799999999999994</v>
      </c>
      <c r="AD61" s="152">
        <v>0.52221874564271786</v>
      </c>
      <c r="AE61" s="152">
        <v>7.6365731244667954</v>
      </c>
      <c r="AF61" s="152">
        <v>6.8</v>
      </c>
      <c r="AG61" s="152">
        <v>8.5</v>
      </c>
      <c r="AH61" s="153"/>
      <c r="AI61" s="6"/>
      <c r="AJ61" s="5"/>
      <c r="AK61" s="153"/>
      <c r="AL61" s="5"/>
      <c r="AM61" s="5"/>
      <c r="AN61" s="152"/>
      <c r="AO61" s="152"/>
      <c r="AP61">
        <f>IFERROR(Tabelle23[[#This Row],[Vol_ha_19]]*0.537836177777778*1.15,0)</f>
        <v>9.986047429980756</v>
      </c>
      <c r="AQ61">
        <f>IF(Tabelle23[[#This Row],[Year of planting ]]=2015,1,IF(Tabelle23[[#This Row],[Year of planting ]]=2016,2,IF(Tabelle23[[#This Row],[Year of planting ]]=2017,3,IF(Tabelle23[[#This Row],[Year of planting ]]=2018,4,5))))</f>
        <v>5</v>
      </c>
      <c r="AR61">
        <f>INDEX([2]Tabelle2!$A$2:$AU$139,MATCH(Tabelle23[[#This Row],[plot_id]],[2]Tabelle2!$M$2:$M$139,0),20)</f>
        <v>1000</v>
      </c>
      <c r="AS61">
        <f>INDEX([2]Tabelle2!$A$2:$AU$139, MATCH(Tabelle23[[#This Row],[plot_id]],[2]Tabelle2!$M$2:$M$139,0), 19)</f>
        <v>51</v>
      </c>
    </row>
    <row r="62" spans="1:45" x14ac:dyDescent="0.3">
      <c r="A62" t="s">
        <v>584</v>
      </c>
      <c r="B62" t="s">
        <v>247</v>
      </c>
      <c r="C62" t="s">
        <v>247</v>
      </c>
      <c r="D62" s="129" t="s">
        <v>585</v>
      </c>
      <c r="F62" t="s">
        <v>586</v>
      </c>
      <c r="G62" s="4">
        <v>43647</v>
      </c>
      <c r="H62" s="154">
        <v>2019</v>
      </c>
      <c r="I62" t="s">
        <v>253</v>
      </c>
      <c r="J62">
        <v>20</v>
      </c>
      <c r="K62" s="5">
        <v>200</v>
      </c>
      <c r="L62" s="5">
        <f t="shared" si="0"/>
        <v>50</v>
      </c>
      <c r="M62" t="s">
        <v>587</v>
      </c>
      <c r="N62" s="129" t="s">
        <v>589</v>
      </c>
      <c r="O62">
        <v>0</v>
      </c>
      <c r="P62">
        <v>0</v>
      </c>
      <c r="Q62" s="152" t="s">
        <v>38</v>
      </c>
      <c r="R62" s="5"/>
      <c r="S62" s="5">
        <v>3.6962015666729013</v>
      </c>
      <c r="T62" s="152">
        <v>3.4993415170173305</v>
      </c>
      <c r="U62" s="5">
        <v>13.741038811073953</v>
      </c>
      <c r="V62" s="5"/>
      <c r="W62" s="5"/>
      <c r="X62" s="5">
        <v>9.8000000000000007</v>
      </c>
      <c r="Y62" s="5">
        <v>0.48107023544236377</v>
      </c>
      <c r="Z62" s="5">
        <v>9.2940269647163838</v>
      </c>
      <c r="AA62" s="5">
        <v>8.9</v>
      </c>
      <c r="AB62" s="5">
        <v>10.5</v>
      </c>
      <c r="AC62" s="5">
        <v>6.7315789473684218</v>
      </c>
      <c r="AD62" s="5">
        <v>0.48471886795582958</v>
      </c>
      <c r="AE62" s="5">
        <v>7.3365213603476311</v>
      </c>
      <c r="AF62" s="5">
        <v>6.8</v>
      </c>
      <c r="AG62" s="5">
        <v>8.3000000000000007</v>
      </c>
      <c r="AH62" s="6">
        <v>428.57142857142856</v>
      </c>
      <c r="AI62" s="6">
        <v>392.85714285714289</v>
      </c>
      <c r="AJ62" s="5">
        <v>0</v>
      </c>
      <c r="AK62" s="6">
        <v>0</v>
      </c>
      <c r="AL62" s="5">
        <v>0</v>
      </c>
      <c r="AM62" s="5">
        <v>0</v>
      </c>
      <c r="AN62" s="5">
        <v>0</v>
      </c>
      <c r="AO62" s="5">
        <v>1</v>
      </c>
      <c r="AP62">
        <f>IFERROR(Tabelle23[[#This Row],[Vol_ha_19]]*0.537836177777778*1.15,0)</f>
        <v>8.4989919617707361</v>
      </c>
      <c r="AQ62">
        <v>1</v>
      </c>
      <c r="AR62">
        <f>INDEX([2]Tabelle2!$A$2:$AU$139,MATCH(Tabelle23[[#This Row],[plot_id]],[2]Tabelle2!$M$2:$M$139,0),20)</f>
        <v>1000</v>
      </c>
      <c r="AS62">
        <f>INDEX([2]Tabelle2!$A$2:$AU$139, MATCH(Tabelle23[[#This Row],[plot_id]],[2]Tabelle2!$M$2:$M$139,0), 19)</f>
        <v>51</v>
      </c>
    </row>
    <row r="63" spans="1:45" x14ac:dyDescent="0.3">
      <c r="A63" t="s">
        <v>584</v>
      </c>
      <c r="B63" t="s">
        <v>253</v>
      </c>
      <c r="C63" t="s">
        <v>253</v>
      </c>
      <c r="D63" s="129" t="s">
        <v>585</v>
      </c>
      <c r="F63" t="s">
        <v>599</v>
      </c>
      <c r="G63" s="4">
        <v>43647</v>
      </c>
      <c r="H63" s="154">
        <v>2019</v>
      </c>
      <c r="I63" t="s">
        <v>388</v>
      </c>
      <c r="J63">
        <v>20</v>
      </c>
      <c r="K63" s="5">
        <v>200</v>
      </c>
      <c r="L63" s="5">
        <f t="shared" si="0"/>
        <v>50</v>
      </c>
      <c r="M63" t="s">
        <v>601</v>
      </c>
      <c r="N63" s="129" t="s">
        <v>589</v>
      </c>
      <c r="O63">
        <v>0</v>
      </c>
      <c r="P63">
        <v>0</v>
      </c>
      <c r="Q63" s="152" t="s">
        <v>38</v>
      </c>
      <c r="R63" s="5"/>
      <c r="S63" s="5">
        <v>3.8578757786082654</v>
      </c>
      <c r="T63" s="152">
        <v>3.3934698445913547</v>
      </c>
      <c r="U63" s="5">
        <v>12.819278247751113</v>
      </c>
      <c r="V63" s="5"/>
      <c r="W63" s="5"/>
      <c r="X63" s="5">
        <v>9.4333333333333336</v>
      </c>
      <c r="Y63" s="5">
        <v>0.45617456975947029</v>
      </c>
      <c r="Z63" s="5">
        <v>8.3072129478827375</v>
      </c>
      <c r="AA63" s="5">
        <v>8.3000000000000007</v>
      </c>
      <c r="AB63" s="5">
        <v>10.199999999999999</v>
      </c>
      <c r="AC63" s="5">
        <v>7.3555555555555543</v>
      </c>
      <c r="AD63" s="5">
        <v>0.52162748978101037</v>
      </c>
      <c r="AE63" s="5">
        <v>6.7216388436482104</v>
      </c>
      <c r="AF63" s="5">
        <v>6.7</v>
      </c>
      <c r="AG63" s="5">
        <v>8.6999999999999993</v>
      </c>
      <c r="AH63" s="6">
        <v>428.57142857142856</v>
      </c>
      <c r="AI63" s="6">
        <v>428.57142857142856</v>
      </c>
      <c r="AJ63" s="5">
        <v>0</v>
      </c>
      <c r="AK63" s="6">
        <v>0</v>
      </c>
      <c r="AL63" s="5">
        <v>0</v>
      </c>
      <c r="AM63" s="5">
        <v>0</v>
      </c>
      <c r="AN63" s="5">
        <v>0</v>
      </c>
      <c r="AO63" s="5">
        <v>1</v>
      </c>
      <c r="AP63">
        <f>IFERROR(Tabelle23[[#This Row],[Vol_ha_19]]*0.537836177777778*1.15,0)</f>
        <v>7.92887235683631</v>
      </c>
      <c r="AQ63">
        <v>1</v>
      </c>
      <c r="AR63">
        <f>INDEX([2]Tabelle2!$A$2:$AU$139,MATCH(Tabelle23[[#This Row],[plot_id]],[2]Tabelle2!$M$2:$M$139,0),20)</f>
        <v>1000</v>
      </c>
      <c r="AS63">
        <f>INDEX([2]Tabelle2!$A$2:$AU$139, MATCH(Tabelle23[[#This Row],[plot_id]],[2]Tabelle2!$M$2:$M$139,0), 19)</f>
        <v>3.5</v>
      </c>
    </row>
    <row r="64" spans="1:45" x14ac:dyDescent="0.3">
      <c r="A64" t="s">
        <v>584</v>
      </c>
      <c r="B64" t="s">
        <v>247</v>
      </c>
      <c r="C64" t="s">
        <v>247</v>
      </c>
      <c r="D64" s="129" t="s">
        <v>585</v>
      </c>
      <c r="F64" t="s">
        <v>586</v>
      </c>
      <c r="G64" s="4">
        <v>43647</v>
      </c>
      <c r="H64" s="154">
        <v>2019</v>
      </c>
      <c r="I64" t="s">
        <v>378</v>
      </c>
      <c r="J64">
        <v>20</v>
      </c>
      <c r="K64" s="5">
        <v>200</v>
      </c>
      <c r="L64" s="5">
        <f t="shared" si="0"/>
        <v>50</v>
      </c>
      <c r="M64" t="s">
        <v>587</v>
      </c>
      <c r="N64" s="129" t="s">
        <v>589</v>
      </c>
      <c r="O64">
        <v>0</v>
      </c>
      <c r="P64">
        <v>0</v>
      </c>
      <c r="Q64" s="152" t="s">
        <v>38</v>
      </c>
      <c r="R64" s="5"/>
      <c r="S64" s="5">
        <v>3.8709526580288331</v>
      </c>
      <c r="T64" s="152">
        <v>3.8255566441844606</v>
      </c>
      <c r="U64" s="5">
        <v>14.212992421441115</v>
      </c>
      <c r="V64" s="5"/>
      <c r="W64" s="5"/>
      <c r="X64" s="5">
        <v>9.2388888888888907</v>
      </c>
      <c r="Y64" s="5">
        <v>0.65272180263415991</v>
      </c>
      <c r="Z64" s="5">
        <v>9.1792600407819585</v>
      </c>
      <c r="AA64" s="5">
        <v>7.6</v>
      </c>
      <c r="AB64" s="5">
        <v>10.3</v>
      </c>
      <c r="AC64" s="5">
        <v>7.1315789473684212</v>
      </c>
      <c r="AD64" s="5">
        <v>0.52596006210367774</v>
      </c>
      <c r="AE64" s="5">
        <v>7.322480801030709</v>
      </c>
      <c r="AF64" s="5">
        <v>6.5</v>
      </c>
      <c r="AG64" s="5">
        <v>8.1999999999999993</v>
      </c>
      <c r="AH64" s="6">
        <v>392.85714285714289</v>
      </c>
      <c r="AI64" s="6">
        <v>392.85714285714289</v>
      </c>
      <c r="AJ64" s="5">
        <v>0</v>
      </c>
      <c r="AK64" s="6">
        <v>0</v>
      </c>
      <c r="AL64" s="5">
        <v>0</v>
      </c>
      <c r="AM64" s="5">
        <v>0</v>
      </c>
      <c r="AN64" s="5">
        <v>0</v>
      </c>
      <c r="AO64" s="5">
        <v>1</v>
      </c>
      <c r="AP64">
        <f>IFERROR(Tabelle23[[#This Row],[Vol_ha_19]]*0.537836177777778*1.15,0)</f>
        <v>8.7909007465422775</v>
      </c>
      <c r="AQ64">
        <v>1</v>
      </c>
      <c r="AR64">
        <f>INDEX([2]Tabelle2!$A$2:$AU$139,MATCH(Tabelle23[[#This Row],[plot_id]],[2]Tabelle2!$M$2:$M$139,0),20)</f>
        <v>1000</v>
      </c>
      <c r="AS64">
        <f>INDEX([2]Tabelle2!$A$2:$AU$139, MATCH(Tabelle23[[#This Row],[plot_id]],[2]Tabelle2!$M$2:$M$139,0), 19)</f>
        <v>51</v>
      </c>
    </row>
    <row r="65" spans="1:45" x14ac:dyDescent="0.3">
      <c r="A65" t="s">
        <v>584</v>
      </c>
      <c r="B65" t="s">
        <v>247</v>
      </c>
      <c r="C65" t="s">
        <v>247</v>
      </c>
      <c r="D65" s="129" t="s">
        <v>585</v>
      </c>
      <c r="F65" t="s">
        <v>586</v>
      </c>
      <c r="G65" s="4">
        <v>43647</v>
      </c>
      <c r="H65" s="154">
        <v>2019</v>
      </c>
      <c r="I65" t="s">
        <v>392</v>
      </c>
      <c r="J65">
        <v>20</v>
      </c>
      <c r="K65" s="5">
        <v>200</v>
      </c>
      <c r="L65" s="152">
        <f t="shared" si="0"/>
        <v>50</v>
      </c>
      <c r="M65" t="s">
        <v>587</v>
      </c>
      <c r="O65" s="5"/>
      <c r="P65" s="5"/>
      <c r="Q65" s="152"/>
      <c r="R65" s="152"/>
      <c r="S65" s="5">
        <v>4.5896312474456691</v>
      </c>
      <c r="T65" s="152">
        <v>4.4914564770209875</v>
      </c>
      <c r="U65" s="5">
        <v>17.453991349775794</v>
      </c>
      <c r="V65" s="5"/>
      <c r="W65" s="5"/>
      <c r="X65" s="5">
        <v>9.7157894736842092</v>
      </c>
      <c r="Y65" s="152">
        <v>0.39618059559686325</v>
      </c>
      <c r="Z65" s="152">
        <v>9.5072950356794479</v>
      </c>
      <c r="AA65" s="152">
        <v>9</v>
      </c>
      <c r="AB65" s="152">
        <v>10.5</v>
      </c>
      <c r="AC65" s="5">
        <v>7.6099999999999994</v>
      </c>
      <c r="AD65" s="152">
        <v>0.42994627707376504</v>
      </c>
      <c r="AE65" s="152">
        <v>7.6254855656518981</v>
      </c>
      <c r="AF65" s="152">
        <v>7</v>
      </c>
      <c r="AG65" s="152">
        <v>8.4</v>
      </c>
      <c r="AH65" s="153"/>
      <c r="AI65" s="6"/>
      <c r="AJ65" s="5"/>
      <c r="AK65" s="153"/>
      <c r="AL65" s="5"/>
      <c r="AM65" s="5"/>
      <c r="AN65" s="152"/>
      <c r="AO65" s="152"/>
      <c r="AP65">
        <f>IFERROR(Tabelle23[[#This Row],[Vol_ha_19]]*0.537836177777778*1.15,0)</f>
        <v>10.795496193709285</v>
      </c>
      <c r="AQ65">
        <f>IF(Tabelle23[[#This Row],[Year of planting ]]=2015,1,IF(Tabelle23[[#This Row],[Year of planting ]]=2016,2,IF(Tabelle23[[#This Row],[Year of planting ]]=2017,3,IF(Tabelle23[[#This Row],[Year of planting ]]=2018,4,5))))</f>
        <v>5</v>
      </c>
      <c r="AR65">
        <f>INDEX([2]Tabelle2!$A$2:$AU$139,MATCH(Tabelle23[[#This Row],[plot_id]],[2]Tabelle2!$M$2:$M$139,0),20)</f>
        <v>1000</v>
      </c>
      <c r="AS65">
        <f>INDEX([2]Tabelle2!$A$2:$AU$139, MATCH(Tabelle23[[#This Row],[plot_id]],[2]Tabelle2!$M$2:$M$139,0), 19)</f>
        <v>51</v>
      </c>
    </row>
    <row r="66" spans="1:45" x14ac:dyDescent="0.3">
      <c r="A66" t="s">
        <v>584</v>
      </c>
      <c r="B66" t="s">
        <v>247</v>
      </c>
      <c r="C66" t="s">
        <v>247</v>
      </c>
      <c r="D66" s="129" t="s">
        <v>585</v>
      </c>
      <c r="F66" t="s">
        <v>586</v>
      </c>
      <c r="G66" s="4">
        <v>43647</v>
      </c>
      <c r="H66" s="154">
        <v>2019</v>
      </c>
      <c r="I66" t="s">
        <v>394</v>
      </c>
      <c r="J66">
        <v>20</v>
      </c>
      <c r="K66" s="5">
        <v>200</v>
      </c>
      <c r="L66" s="5">
        <f t="shared" si="0"/>
        <v>50</v>
      </c>
      <c r="M66" t="s">
        <v>587</v>
      </c>
      <c r="N66" t="s">
        <v>588</v>
      </c>
      <c r="O66">
        <v>0</v>
      </c>
      <c r="P66">
        <v>0</v>
      </c>
      <c r="Q66" s="152" t="s">
        <v>38</v>
      </c>
      <c r="R66" s="5"/>
      <c r="S66" s="5">
        <v>3.8246141663883839</v>
      </c>
      <c r="T66" s="152">
        <v>3.6571672779520483</v>
      </c>
      <c r="U66" s="5">
        <v>14.289931596323852</v>
      </c>
      <c r="V66" s="5"/>
      <c r="W66" s="5"/>
      <c r="X66" s="5">
        <v>9.3812499999999996</v>
      </c>
      <c r="Y66" s="5">
        <v>1.5258740664506592</v>
      </c>
      <c r="Z66" s="5">
        <v>9.340766790221064</v>
      </c>
      <c r="AA66" s="5">
        <v>4.0999999999999996</v>
      </c>
      <c r="AB66" s="5">
        <v>10.6</v>
      </c>
      <c r="AC66" s="5">
        <v>7.094444444444445</v>
      </c>
      <c r="AD66" s="5">
        <v>1.7835241330952982</v>
      </c>
      <c r="AE66" s="5">
        <v>7.5679124783095304</v>
      </c>
      <c r="AF66" s="5">
        <v>1</v>
      </c>
      <c r="AG66" s="5">
        <v>8.9</v>
      </c>
      <c r="AH66" s="6">
        <v>500</v>
      </c>
      <c r="AI66" s="6">
        <v>500</v>
      </c>
      <c r="AJ66" s="5">
        <v>0</v>
      </c>
      <c r="AK66" s="6">
        <v>0</v>
      </c>
      <c r="AL66" s="5">
        <v>0</v>
      </c>
      <c r="AM66" s="5">
        <v>0</v>
      </c>
      <c r="AN66" s="5">
        <v>0</v>
      </c>
      <c r="AO66" s="5">
        <v>1</v>
      </c>
      <c r="AP66">
        <f>IFERROR(Tabelle23[[#This Row],[Vol_ha_19]]*0.537836177777778*1.15,0)</f>
        <v>8.8384885190436311</v>
      </c>
      <c r="AQ66">
        <v>1</v>
      </c>
      <c r="AR66">
        <f>INDEX([2]Tabelle2!$A$2:$AU$139,MATCH(Tabelle23[[#This Row],[plot_id]],[2]Tabelle2!$M$2:$M$139,0),20)</f>
        <v>1000</v>
      </c>
      <c r="AS66">
        <f>INDEX([2]Tabelle2!$A$2:$AU$139, MATCH(Tabelle23[[#This Row],[plot_id]],[2]Tabelle2!$M$2:$M$139,0), 19)</f>
        <v>51</v>
      </c>
    </row>
    <row r="67" spans="1:45" x14ac:dyDescent="0.3">
      <c r="A67" t="s">
        <v>584</v>
      </c>
      <c r="B67" t="s">
        <v>247</v>
      </c>
      <c r="C67" t="s">
        <v>247</v>
      </c>
      <c r="D67" s="129" t="s">
        <v>585</v>
      </c>
      <c r="F67" t="s">
        <v>586</v>
      </c>
      <c r="G67" s="4">
        <v>43647</v>
      </c>
      <c r="H67" s="154">
        <v>2019</v>
      </c>
      <c r="I67" t="s">
        <v>393</v>
      </c>
      <c r="J67">
        <v>20</v>
      </c>
      <c r="K67" s="5">
        <v>200</v>
      </c>
      <c r="L67" s="152">
        <f t="shared" ref="L67:L130" si="1">10000/K67</f>
        <v>50</v>
      </c>
      <c r="M67" t="s">
        <v>587</v>
      </c>
      <c r="O67" s="5"/>
      <c r="P67" s="5"/>
      <c r="Q67" s="152"/>
      <c r="R67" s="152"/>
      <c r="S67" s="5">
        <v>4.3580565989679316</v>
      </c>
      <c r="T67" s="152">
        <v>4.3173337041957733</v>
      </c>
      <c r="U67" s="5">
        <v>16.984420637436379</v>
      </c>
      <c r="V67" s="5"/>
      <c r="W67" s="5"/>
      <c r="X67" s="5">
        <v>9.7666666666666675</v>
      </c>
      <c r="Y67" s="152">
        <v>0.49705012174770852</v>
      </c>
      <c r="Z67" s="152">
        <v>9.743116141182405</v>
      </c>
      <c r="AA67" s="152">
        <v>8.6999999999999993</v>
      </c>
      <c r="AB67" s="152">
        <v>10.5</v>
      </c>
      <c r="AC67" s="5">
        <v>7.2249999999999996</v>
      </c>
      <c r="AD67" s="152">
        <v>0.78632096092802417</v>
      </c>
      <c r="AE67" s="152">
        <v>7.8506122890328616</v>
      </c>
      <c r="AF67" s="152">
        <v>6.2</v>
      </c>
      <c r="AG67" s="152">
        <v>9.1</v>
      </c>
      <c r="AH67" s="153"/>
      <c r="AI67" s="6"/>
      <c r="AJ67" s="5"/>
      <c r="AK67" s="153"/>
      <c r="AL67" s="5"/>
      <c r="AM67" s="5"/>
      <c r="AN67" s="152"/>
      <c r="AO67" s="152"/>
      <c r="AP67">
        <f>IFERROR(Tabelle23[[#This Row],[Vol_ha_19]]*0.537836177777778*1.15,0)</f>
        <v>10.505061259020113</v>
      </c>
      <c r="AQ67">
        <f>IF(Tabelle23[[#This Row],[Year of planting ]]=2015,1,IF(Tabelle23[[#This Row],[Year of planting ]]=2016,2,IF(Tabelle23[[#This Row],[Year of planting ]]=2017,3,IF(Tabelle23[[#This Row],[Year of planting ]]=2018,4,5))))</f>
        <v>5</v>
      </c>
      <c r="AR67">
        <f>INDEX([2]Tabelle2!$A$2:$AU$139,MATCH(Tabelle23[[#This Row],[plot_id]],[2]Tabelle2!$M$2:$M$139,0),20)</f>
        <v>1000</v>
      </c>
      <c r="AS67">
        <f>INDEX([2]Tabelle2!$A$2:$AU$139, MATCH(Tabelle23[[#This Row],[plot_id]],[2]Tabelle2!$M$2:$M$139,0), 19)</f>
        <v>51</v>
      </c>
    </row>
    <row r="68" spans="1:45" x14ac:dyDescent="0.3">
      <c r="A68" t="s">
        <v>584</v>
      </c>
      <c r="B68" t="s">
        <v>193</v>
      </c>
      <c r="C68" t="s">
        <v>193</v>
      </c>
      <c r="D68" s="129" t="s">
        <v>585</v>
      </c>
      <c r="F68" t="s">
        <v>599</v>
      </c>
      <c r="G68" s="4">
        <v>43617</v>
      </c>
      <c r="H68" s="154">
        <v>2019</v>
      </c>
      <c r="I68" t="s">
        <v>288</v>
      </c>
      <c r="J68">
        <v>20</v>
      </c>
      <c r="K68" s="5">
        <v>200</v>
      </c>
      <c r="L68" s="152">
        <f t="shared" si="1"/>
        <v>50</v>
      </c>
      <c r="M68" t="s">
        <v>601</v>
      </c>
      <c r="O68" s="5"/>
      <c r="P68" s="5"/>
      <c r="Q68" s="152"/>
      <c r="R68" s="152"/>
      <c r="S68" s="5">
        <v>5.8442655435649229</v>
      </c>
      <c r="T68" s="152">
        <v>5.2217589592561051</v>
      </c>
      <c r="U68" s="5">
        <v>20.868423471348226</v>
      </c>
      <c r="V68" s="5"/>
      <c r="W68" s="5"/>
      <c r="X68" s="5">
        <v>9.9823529411764707</v>
      </c>
      <c r="Y68" s="152">
        <v>0.31471275418555689</v>
      </c>
      <c r="Z68" s="152">
        <v>8.9268802537242209</v>
      </c>
      <c r="AA68" s="152">
        <v>9.6</v>
      </c>
      <c r="AB68" s="152">
        <v>10.7</v>
      </c>
      <c r="AC68" s="5">
        <v>8.5849999999999991</v>
      </c>
      <c r="AD68" s="152">
        <v>0.70465886615230999</v>
      </c>
      <c r="AE68" s="152">
        <v>7.9747142578768067</v>
      </c>
      <c r="AF68" s="152">
        <v>7.8</v>
      </c>
      <c r="AG68" s="152">
        <v>10.199999999999999</v>
      </c>
      <c r="AH68" s="153"/>
      <c r="AI68" s="6"/>
      <c r="AJ68" s="5"/>
      <c r="AK68" s="153"/>
      <c r="AL68" s="5"/>
      <c r="AM68" s="5"/>
      <c r="AN68" s="152"/>
      <c r="AO68" s="152"/>
      <c r="AP68">
        <f>IFERROR(Tabelle23[[#This Row],[Vol_ha_19]]*0.537836177777778*1.15,0)</f>
        <v>12.9073620834897</v>
      </c>
      <c r="AQ68">
        <f>IF(Tabelle23[[#This Row],[Year of planting ]]=2015,1,IF(Tabelle23[[#This Row],[Year of planting ]]=2016,2,IF(Tabelle23[[#This Row],[Year of planting ]]=2017,3,IF(Tabelle23[[#This Row],[Year of planting ]]=2018,4,5))))</f>
        <v>5</v>
      </c>
      <c r="AR68">
        <f>INDEX([2]Tabelle2!$A$2:$AU$139,MATCH(Tabelle23[[#This Row],[plot_id]],[2]Tabelle2!$M$2:$M$139,0),20)</f>
        <v>1000</v>
      </c>
      <c r="AS68">
        <f>INDEX([2]Tabelle2!$A$2:$AU$139, MATCH(Tabelle23[[#This Row],[plot_id]],[2]Tabelle2!$M$2:$M$139,0), 19)</f>
        <v>69</v>
      </c>
    </row>
    <row r="69" spans="1:45" x14ac:dyDescent="0.3">
      <c r="A69" t="s">
        <v>584</v>
      </c>
      <c r="B69" t="s">
        <v>193</v>
      </c>
      <c r="C69" t="s">
        <v>193</v>
      </c>
      <c r="D69" s="129" t="s">
        <v>585</v>
      </c>
      <c r="F69" t="s">
        <v>599</v>
      </c>
      <c r="G69" s="4">
        <v>43617</v>
      </c>
      <c r="H69" s="154">
        <v>2019</v>
      </c>
      <c r="I69" t="s">
        <v>411</v>
      </c>
      <c r="J69">
        <v>20</v>
      </c>
      <c r="K69" s="5">
        <v>200</v>
      </c>
      <c r="L69" s="152">
        <f t="shared" si="1"/>
        <v>50</v>
      </c>
      <c r="M69" t="s">
        <v>601</v>
      </c>
      <c r="O69" s="5"/>
      <c r="P69" s="5"/>
      <c r="Q69" s="152"/>
      <c r="R69" s="152"/>
      <c r="S69" s="5">
        <v>4.8791290104739691</v>
      </c>
      <c r="T69" s="152">
        <v>4.2062391339832059</v>
      </c>
      <c r="U69" s="5">
        <v>15.489884901511047</v>
      </c>
      <c r="V69" s="5"/>
      <c r="W69" s="5"/>
      <c r="X69" s="5">
        <v>9.15</v>
      </c>
      <c r="Y69" s="152">
        <v>0.53166405433005015</v>
      </c>
      <c r="Z69" s="152">
        <v>7.9368084284403491</v>
      </c>
      <c r="AA69" s="152">
        <v>8.3000000000000007</v>
      </c>
      <c r="AB69" s="152">
        <v>10</v>
      </c>
      <c r="AC69" s="5">
        <v>7.8200000000000021</v>
      </c>
      <c r="AD69" s="152">
        <v>0.66929689475847221</v>
      </c>
      <c r="AE69" s="152">
        <v>7.1212489738100206</v>
      </c>
      <c r="AF69" s="152">
        <v>7</v>
      </c>
      <c r="AG69" s="152">
        <v>9.5</v>
      </c>
      <c r="AH69" s="153"/>
      <c r="AI69" s="6"/>
      <c r="AJ69" s="5"/>
      <c r="AK69" s="153"/>
      <c r="AL69" s="5"/>
      <c r="AM69" s="5"/>
      <c r="AN69" s="152"/>
      <c r="AO69" s="152"/>
      <c r="AP69">
        <f>IFERROR(Tabelle23[[#This Row],[Vol_ha_19]]*0.537836177777778*1.15,0)</f>
        <v>9.5806735630933755</v>
      </c>
      <c r="AQ69">
        <f>IF(Tabelle23[[#This Row],[Year of planting ]]=2015,1,IF(Tabelle23[[#This Row],[Year of planting ]]=2016,2,IF(Tabelle23[[#This Row],[Year of planting ]]=2017,3,IF(Tabelle23[[#This Row],[Year of planting ]]=2018,4,5))))</f>
        <v>5</v>
      </c>
      <c r="AR69">
        <f>INDEX([2]Tabelle2!$A$2:$AU$139,MATCH(Tabelle23[[#This Row],[plot_id]],[2]Tabelle2!$M$2:$M$139,0),20)</f>
        <v>1000</v>
      </c>
      <c r="AS69">
        <f>INDEX([2]Tabelle2!$A$2:$AU$139, MATCH(Tabelle23[[#This Row],[plot_id]],[2]Tabelle2!$M$2:$M$139,0), 19)</f>
        <v>69</v>
      </c>
    </row>
    <row r="70" spans="1:45" x14ac:dyDescent="0.3">
      <c r="A70" t="s">
        <v>584</v>
      </c>
      <c r="B70" t="s">
        <v>193</v>
      </c>
      <c r="C70" t="s">
        <v>193</v>
      </c>
      <c r="D70" s="129" t="s">
        <v>585</v>
      </c>
      <c r="F70" t="s">
        <v>599</v>
      </c>
      <c r="G70" s="4">
        <v>43617</v>
      </c>
      <c r="H70" s="154">
        <v>2019</v>
      </c>
      <c r="I70" t="s">
        <v>427</v>
      </c>
      <c r="J70">
        <v>20</v>
      </c>
      <c r="K70" s="5">
        <v>200</v>
      </c>
      <c r="L70" s="5">
        <f t="shared" si="1"/>
        <v>50</v>
      </c>
      <c r="M70" t="s">
        <v>601</v>
      </c>
      <c r="N70" t="s">
        <v>588</v>
      </c>
      <c r="O70">
        <v>0</v>
      </c>
      <c r="P70">
        <v>0</v>
      </c>
      <c r="Q70" s="152" t="s">
        <v>38</v>
      </c>
      <c r="R70" s="5"/>
      <c r="S70" s="5">
        <v>2.4400750140431922</v>
      </c>
      <c r="T70" s="152">
        <v>2.1917713846850888</v>
      </c>
      <c r="U70" s="5">
        <v>6.4542623059271467</v>
      </c>
      <c r="V70" s="5"/>
      <c r="W70" s="5"/>
      <c r="X70" s="5">
        <v>7.0687500000000014</v>
      </c>
      <c r="Y70" s="5">
        <v>1.2552390210633095</v>
      </c>
      <c r="Z70" s="5">
        <v>6.6127703746620314</v>
      </c>
      <c r="AA70" s="5">
        <v>4.0999999999999996</v>
      </c>
      <c r="AB70" s="5">
        <v>9.1999999999999993</v>
      </c>
      <c r="AC70" s="5">
        <v>5.6105263157894729</v>
      </c>
      <c r="AD70" s="5">
        <v>1.045765270029563</v>
      </c>
      <c r="AE70" s="5">
        <v>5.5049456031929953</v>
      </c>
      <c r="AF70" s="5">
        <v>3.3</v>
      </c>
      <c r="AG70" s="5">
        <v>7.2</v>
      </c>
      <c r="AH70" s="6">
        <v>535.71428571428578</v>
      </c>
      <c r="AI70" s="6">
        <v>535.71428571428578</v>
      </c>
      <c r="AJ70" s="5">
        <v>0</v>
      </c>
      <c r="AK70" s="6">
        <v>0</v>
      </c>
      <c r="AL70" s="5">
        <v>0</v>
      </c>
      <c r="AM70" s="5">
        <v>0</v>
      </c>
      <c r="AN70" s="5">
        <v>0</v>
      </c>
      <c r="AO70" s="5">
        <v>1</v>
      </c>
      <c r="AP70">
        <f>IFERROR(Tabelle23[[#This Row],[Vol_ha_19]]*0.537836177777778*1.15,0)</f>
        <v>3.9920361343443007</v>
      </c>
      <c r="AQ70">
        <v>1</v>
      </c>
      <c r="AR70">
        <f>INDEX([2]Tabelle2!$A$2:$AU$139,MATCH(Tabelle23[[#This Row],[plot_id]],[2]Tabelle2!$M$2:$M$139,0),20)</f>
        <v>1000</v>
      </c>
      <c r="AS70">
        <f>INDEX([2]Tabelle2!$A$2:$AU$139, MATCH(Tabelle23[[#This Row],[plot_id]],[2]Tabelle2!$M$2:$M$139,0), 19)</f>
        <v>69</v>
      </c>
    </row>
    <row r="71" spans="1:45" x14ac:dyDescent="0.3">
      <c r="A71" t="s">
        <v>584</v>
      </c>
      <c r="B71" t="s">
        <v>193</v>
      </c>
      <c r="C71" t="s">
        <v>193</v>
      </c>
      <c r="D71" s="129" t="s">
        <v>585</v>
      </c>
      <c r="F71" t="s">
        <v>599</v>
      </c>
      <c r="G71" s="4">
        <v>43617</v>
      </c>
      <c r="H71" s="154">
        <v>2019</v>
      </c>
      <c r="I71" t="s">
        <v>421</v>
      </c>
      <c r="J71">
        <v>20</v>
      </c>
      <c r="K71" s="5">
        <v>200</v>
      </c>
      <c r="L71" s="152">
        <f t="shared" si="1"/>
        <v>50</v>
      </c>
      <c r="M71" t="s">
        <v>601</v>
      </c>
      <c r="O71" s="5"/>
      <c r="P71" s="5"/>
      <c r="Q71" s="152"/>
      <c r="R71" s="152"/>
      <c r="S71" s="5">
        <v>4.6085200732753773</v>
      </c>
      <c r="T71" s="152">
        <v>3.4638807899399353</v>
      </c>
      <c r="U71" s="5">
        <v>14.51439053744121</v>
      </c>
      <c r="V71" s="5"/>
      <c r="W71" s="5"/>
      <c r="X71" s="5">
        <v>10.416666666666666</v>
      </c>
      <c r="Y71" s="152">
        <v>0.43029236008964306</v>
      </c>
      <c r="Z71" s="152">
        <v>7.8736721912146903</v>
      </c>
      <c r="AA71" s="152">
        <v>9.4</v>
      </c>
      <c r="AB71" s="152">
        <v>10.9</v>
      </c>
      <c r="AC71" s="5">
        <v>7.9611111111111121</v>
      </c>
      <c r="AD71" s="152">
        <v>1.1024421925338279</v>
      </c>
      <c r="AE71" s="152">
        <v>6.5765898342635607</v>
      </c>
      <c r="AF71" s="152">
        <v>5.9</v>
      </c>
      <c r="AG71" s="152">
        <v>9.6999999999999993</v>
      </c>
      <c r="AH71" s="153"/>
      <c r="AI71" s="6"/>
      <c r="AJ71" s="5"/>
      <c r="AK71" s="153"/>
      <c r="AL71" s="5"/>
      <c r="AM71" s="5"/>
      <c r="AN71" s="152"/>
      <c r="AO71" s="152"/>
      <c r="AP71">
        <f>IFERROR(Tabelle23[[#This Row],[Vol_ha_19]]*0.537836177777778*1.15,0)</f>
        <v>8.9773189788460286</v>
      </c>
      <c r="AQ71">
        <f>IF(Tabelle23[[#This Row],[Year of planting ]]=2015,1,IF(Tabelle23[[#This Row],[Year of planting ]]=2016,2,IF(Tabelle23[[#This Row],[Year of planting ]]=2017,3,IF(Tabelle23[[#This Row],[Year of planting ]]=2018,4,5))))</f>
        <v>5</v>
      </c>
      <c r="AR71">
        <f>INDEX([2]Tabelle2!$A$2:$AU$139,MATCH(Tabelle23[[#This Row],[plot_id]],[2]Tabelle2!$M$2:$M$139,0),20)</f>
        <v>1000</v>
      </c>
      <c r="AS71">
        <f>INDEX([2]Tabelle2!$A$2:$AU$139, MATCH(Tabelle23[[#This Row],[plot_id]],[2]Tabelle2!$M$2:$M$139,0), 19)</f>
        <v>69</v>
      </c>
    </row>
    <row r="72" spans="1:45" x14ac:dyDescent="0.3">
      <c r="A72" t="s">
        <v>584</v>
      </c>
      <c r="B72" t="s">
        <v>193</v>
      </c>
      <c r="C72" t="s">
        <v>193</v>
      </c>
      <c r="D72" s="129" t="s">
        <v>585</v>
      </c>
      <c r="F72" t="s">
        <v>599</v>
      </c>
      <c r="G72" s="4">
        <v>43617</v>
      </c>
      <c r="H72" s="154">
        <v>2019</v>
      </c>
      <c r="I72" t="s">
        <v>414</v>
      </c>
      <c r="J72">
        <v>20</v>
      </c>
      <c r="K72" s="5">
        <v>200</v>
      </c>
      <c r="L72" s="152">
        <f t="shared" si="1"/>
        <v>50</v>
      </c>
      <c r="M72" t="s">
        <v>601</v>
      </c>
      <c r="O72" s="5"/>
      <c r="P72" s="5"/>
      <c r="Q72" s="152"/>
      <c r="R72" s="152"/>
      <c r="S72" s="5">
        <v>5.3269630432431931</v>
      </c>
      <c r="T72" s="152">
        <v>4.4289387832145515</v>
      </c>
      <c r="U72" s="5">
        <v>17.519151123003905</v>
      </c>
      <c r="V72" s="5"/>
      <c r="W72" s="5"/>
      <c r="X72" s="5">
        <v>9.8600000000000012</v>
      </c>
      <c r="Y72" s="152">
        <v>0.59257308168938738</v>
      </c>
      <c r="Z72" s="152">
        <v>8.2219225949133783</v>
      </c>
      <c r="AA72" s="152">
        <v>8.5</v>
      </c>
      <c r="AB72" s="152">
        <v>10.8</v>
      </c>
      <c r="AC72" s="5">
        <v>8.06</v>
      </c>
      <c r="AD72" s="152">
        <v>0.57429045247986132</v>
      </c>
      <c r="AE72" s="152">
        <v>7.2539683007740514</v>
      </c>
      <c r="AF72" s="152">
        <v>7.5</v>
      </c>
      <c r="AG72" s="152">
        <v>10</v>
      </c>
      <c r="AH72" s="153"/>
      <c r="AI72" s="6"/>
      <c r="AJ72" s="5"/>
      <c r="AK72" s="153"/>
      <c r="AL72" s="5"/>
      <c r="AM72" s="5"/>
      <c r="AN72" s="152"/>
      <c r="AO72" s="152"/>
      <c r="AP72">
        <f>IFERROR(Tabelle23[[#This Row],[Vol_ha_19]]*0.537836177777778*1.15,0)</f>
        <v>10.835798269593839</v>
      </c>
      <c r="AQ72">
        <f>IF(Tabelle23[[#This Row],[Year of planting ]]=2015,1,IF(Tabelle23[[#This Row],[Year of planting ]]=2016,2,IF(Tabelle23[[#This Row],[Year of planting ]]=2017,3,IF(Tabelle23[[#This Row],[Year of planting ]]=2018,4,5))))</f>
        <v>5</v>
      </c>
      <c r="AR72">
        <f>INDEX([2]Tabelle2!$A$2:$AU$139,MATCH(Tabelle23[[#This Row],[plot_id]],[2]Tabelle2!$M$2:$M$139,0),20)</f>
        <v>1000</v>
      </c>
      <c r="AS72">
        <f>INDEX([2]Tabelle2!$A$2:$AU$139, MATCH(Tabelle23[[#This Row],[plot_id]],[2]Tabelle2!$M$2:$M$139,0), 19)</f>
        <v>69</v>
      </c>
    </row>
    <row r="73" spans="1:45" x14ac:dyDescent="0.3">
      <c r="A73" t="s">
        <v>584</v>
      </c>
      <c r="B73" t="s">
        <v>193</v>
      </c>
      <c r="C73" t="s">
        <v>193</v>
      </c>
      <c r="D73" s="129" t="s">
        <v>585</v>
      </c>
      <c r="F73" t="s">
        <v>599</v>
      </c>
      <c r="G73" s="4">
        <v>43617</v>
      </c>
      <c r="H73" s="154">
        <v>2019</v>
      </c>
      <c r="I73" t="s">
        <v>426</v>
      </c>
      <c r="J73">
        <v>20</v>
      </c>
      <c r="K73" s="5">
        <v>200</v>
      </c>
      <c r="L73" s="152">
        <f t="shared" si="1"/>
        <v>50</v>
      </c>
      <c r="M73" t="s">
        <v>601</v>
      </c>
      <c r="O73" s="5"/>
      <c r="P73" s="5"/>
      <c r="Q73" s="152"/>
      <c r="R73" s="152"/>
      <c r="S73" s="5">
        <v>5.8287539298378235</v>
      </c>
      <c r="T73" s="152">
        <v>5.5201709914389658</v>
      </c>
      <c r="U73" s="5">
        <v>22.573362662858752</v>
      </c>
      <c r="V73" s="5"/>
      <c r="W73" s="5"/>
      <c r="X73" s="5">
        <v>10.182352941176473</v>
      </c>
      <c r="Y73" s="152">
        <v>1.4862853419337119</v>
      </c>
      <c r="Z73" s="152">
        <v>9.6818989678497314</v>
      </c>
      <c r="AA73" s="152">
        <v>4.5999999999999996</v>
      </c>
      <c r="AB73" s="152">
        <v>11.3</v>
      </c>
      <c r="AC73" s="5">
        <v>8.6736842105263143</v>
      </c>
      <c r="AD73" s="152">
        <v>0.45993925430110733</v>
      </c>
      <c r="AE73" s="152">
        <v>8.6435861158272012</v>
      </c>
      <c r="AF73" s="152">
        <v>8.4</v>
      </c>
      <c r="AG73" s="152">
        <v>10.199999999999999</v>
      </c>
      <c r="AH73" s="153"/>
      <c r="AI73" s="6"/>
      <c r="AJ73" s="5"/>
      <c r="AK73" s="153"/>
      <c r="AL73" s="5"/>
      <c r="AM73" s="5"/>
      <c r="AN73" s="152"/>
      <c r="AO73" s="152"/>
      <c r="AP73">
        <f>IFERROR(Tabelle23[[#This Row],[Vol_ha_19]]*0.537836177777778*1.15,0)</f>
        <v>13.961886758311088</v>
      </c>
      <c r="AQ73">
        <f>IF(Tabelle23[[#This Row],[Year of planting ]]=2015,1,IF(Tabelle23[[#This Row],[Year of planting ]]=2016,2,IF(Tabelle23[[#This Row],[Year of planting ]]=2017,3,IF(Tabelle23[[#This Row],[Year of planting ]]=2018,4,5))))</f>
        <v>5</v>
      </c>
      <c r="AR73">
        <f>INDEX([2]Tabelle2!$A$2:$AU$139,MATCH(Tabelle23[[#This Row],[plot_id]],[2]Tabelle2!$M$2:$M$139,0),20)</f>
        <v>1000</v>
      </c>
      <c r="AS73">
        <f>INDEX([2]Tabelle2!$A$2:$AU$139, MATCH(Tabelle23[[#This Row],[plot_id]],[2]Tabelle2!$M$2:$M$139,0), 19)</f>
        <v>69</v>
      </c>
    </row>
    <row r="74" spans="1:45" x14ac:dyDescent="0.3">
      <c r="A74" t="s">
        <v>584</v>
      </c>
      <c r="B74" t="s">
        <v>193</v>
      </c>
      <c r="C74" t="s">
        <v>193</v>
      </c>
      <c r="D74" s="129" t="s">
        <v>585</v>
      </c>
      <c r="F74" t="s">
        <v>599</v>
      </c>
      <c r="G74" s="4">
        <v>43617</v>
      </c>
      <c r="H74" s="154">
        <v>2019</v>
      </c>
      <c r="I74" t="s">
        <v>422</v>
      </c>
      <c r="J74">
        <v>20</v>
      </c>
      <c r="K74" s="5">
        <v>200</v>
      </c>
      <c r="L74" s="152">
        <f t="shared" si="1"/>
        <v>50</v>
      </c>
      <c r="M74" t="s">
        <v>601</v>
      </c>
      <c r="O74" s="5"/>
      <c r="P74" s="5"/>
      <c r="Q74" s="152"/>
      <c r="R74" s="152"/>
      <c r="S74" s="5">
        <v>5.1081118450124929</v>
      </c>
      <c r="T74" s="152">
        <v>4.5067324712990668</v>
      </c>
      <c r="U74" s="5">
        <v>18.01683437720396</v>
      </c>
      <c r="V74" s="5"/>
      <c r="W74" s="5"/>
      <c r="X74" s="5">
        <v>9.9647058823529395</v>
      </c>
      <c r="Y74" s="152">
        <v>0.3920159060398381</v>
      </c>
      <c r="Z74" s="152">
        <v>8.8177564058211715</v>
      </c>
      <c r="AA74" s="152">
        <v>9.3000000000000007</v>
      </c>
      <c r="AB74" s="152">
        <v>10.7</v>
      </c>
      <c r="AC74" s="5">
        <v>8.0350000000000001</v>
      </c>
      <c r="AD74" s="152">
        <v>0.62196321056322756</v>
      </c>
      <c r="AE74" s="152">
        <v>7.3099802424717684</v>
      </c>
      <c r="AF74" s="152">
        <v>7.2</v>
      </c>
      <c r="AG74" s="152">
        <v>9.8000000000000007</v>
      </c>
      <c r="AH74" s="153"/>
      <c r="AI74" s="6"/>
      <c r="AJ74" s="5"/>
      <c r="AK74" s="153"/>
      <c r="AL74" s="5"/>
      <c r="AM74" s="5"/>
      <c r="AN74" s="152"/>
      <c r="AO74" s="152"/>
      <c r="AP74">
        <f>IFERROR(Tabelle23[[#This Row],[Vol_ha_19]]*0.537836177777778*1.15,0)</f>
        <v>11.143621137654248</v>
      </c>
      <c r="AQ74">
        <f>IF(Tabelle23[[#This Row],[Year of planting ]]=2015,1,IF(Tabelle23[[#This Row],[Year of planting ]]=2016,2,IF(Tabelle23[[#This Row],[Year of planting ]]=2017,3,IF(Tabelle23[[#This Row],[Year of planting ]]=2018,4,5))))</f>
        <v>5</v>
      </c>
      <c r="AR74">
        <f>INDEX([2]Tabelle2!$A$2:$AU$139,MATCH(Tabelle23[[#This Row],[plot_id]],[2]Tabelle2!$M$2:$M$139,0),20)</f>
        <v>1000</v>
      </c>
      <c r="AS74">
        <f>INDEX([2]Tabelle2!$A$2:$AU$139, MATCH(Tabelle23[[#This Row],[plot_id]],[2]Tabelle2!$M$2:$M$139,0), 19)</f>
        <v>69</v>
      </c>
    </row>
    <row r="75" spans="1:45" x14ac:dyDescent="0.3">
      <c r="A75" t="s">
        <v>584</v>
      </c>
      <c r="B75" t="s">
        <v>193</v>
      </c>
      <c r="C75" t="s">
        <v>193</v>
      </c>
      <c r="D75" s="129" t="s">
        <v>585</v>
      </c>
      <c r="F75" t="s">
        <v>599</v>
      </c>
      <c r="G75" s="4">
        <v>43617</v>
      </c>
      <c r="H75" s="154">
        <v>2019</v>
      </c>
      <c r="I75" t="s">
        <v>415</v>
      </c>
      <c r="J75">
        <v>20</v>
      </c>
      <c r="K75" s="5">
        <v>200</v>
      </c>
      <c r="L75" s="152">
        <f t="shared" si="1"/>
        <v>50</v>
      </c>
      <c r="M75" t="s">
        <v>601</v>
      </c>
      <c r="O75" s="5"/>
      <c r="P75" s="5"/>
      <c r="Q75" s="152"/>
      <c r="R75" s="152"/>
      <c r="S75" s="5">
        <v>5.8853418675106086</v>
      </c>
      <c r="T75" s="152">
        <v>5.5912495252264343</v>
      </c>
      <c r="U75" s="5">
        <v>21.304141952048884</v>
      </c>
      <c r="V75" s="5"/>
      <c r="W75" s="5"/>
      <c r="X75" s="5">
        <v>9.4444444444444446</v>
      </c>
      <c r="Y75" s="152">
        <v>1.9144104367301769</v>
      </c>
      <c r="Z75" s="152">
        <v>9.0496620381800117</v>
      </c>
      <c r="AA75" s="152">
        <v>4.0999999999999996</v>
      </c>
      <c r="AB75" s="152">
        <v>11</v>
      </c>
      <c r="AC75" s="5">
        <v>8.5550000000000033</v>
      </c>
      <c r="AD75" s="152">
        <v>0.54939063093529072</v>
      </c>
      <c r="AE75" s="152">
        <v>8.4940594786113195</v>
      </c>
      <c r="AF75" s="152">
        <v>7.9</v>
      </c>
      <c r="AG75" s="152">
        <v>9.6999999999999993</v>
      </c>
      <c r="AH75" s="153"/>
      <c r="AI75" s="6"/>
      <c r="AJ75" s="5"/>
      <c r="AK75" s="153"/>
      <c r="AL75" s="5"/>
      <c r="AM75" s="5"/>
      <c r="AN75" s="152"/>
      <c r="AO75" s="152"/>
      <c r="AP75">
        <f>IFERROR(Tabelle23[[#This Row],[Vol_ha_19]]*0.537836177777778*1.15,0)</f>
        <v>13.176859020073961</v>
      </c>
      <c r="AQ75">
        <f>IF(Tabelle23[[#This Row],[Year of planting ]]=2015,1,IF(Tabelle23[[#This Row],[Year of planting ]]=2016,2,IF(Tabelle23[[#This Row],[Year of planting ]]=2017,3,IF(Tabelle23[[#This Row],[Year of planting ]]=2018,4,5))))</f>
        <v>5</v>
      </c>
      <c r="AR75">
        <f>INDEX([2]Tabelle2!$A$2:$AU$139,MATCH(Tabelle23[[#This Row],[plot_id]],[2]Tabelle2!$M$2:$M$139,0),20)</f>
        <v>1000</v>
      </c>
      <c r="AS75">
        <f>INDEX([2]Tabelle2!$A$2:$AU$139, MATCH(Tabelle23[[#This Row],[plot_id]],[2]Tabelle2!$M$2:$M$139,0), 19)</f>
        <v>69</v>
      </c>
    </row>
    <row r="76" spans="1:45" x14ac:dyDescent="0.3">
      <c r="A76" t="s">
        <v>584</v>
      </c>
      <c r="B76" t="s">
        <v>263</v>
      </c>
      <c r="C76" t="s">
        <v>263</v>
      </c>
      <c r="D76" s="129" t="s">
        <v>585</v>
      </c>
      <c r="F76" t="s">
        <v>586</v>
      </c>
      <c r="G76" s="4">
        <v>43586</v>
      </c>
      <c r="H76" s="154">
        <v>2019</v>
      </c>
      <c r="I76" t="s">
        <v>428</v>
      </c>
      <c r="J76">
        <v>20</v>
      </c>
      <c r="K76" s="5">
        <v>200</v>
      </c>
      <c r="L76" s="152">
        <f t="shared" si="1"/>
        <v>50</v>
      </c>
      <c r="M76" t="s">
        <v>587</v>
      </c>
      <c r="O76" s="5"/>
      <c r="P76" s="5"/>
      <c r="Q76" s="152"/>
      <c r="R76" s="152"/>
      <c r="S76" s="5">
        <v>4.6448840082406804</v>
      </c>
      <c r="T76" s="152">
        <v>3.9564432481146459</v>
      </c>
      <c r="U76" s="5">
        <v>16.04705892499582</v>
      </c>
      <c r="V76" s="5"/>
      <c r="W76" s="5"/>
      <c r="X76" s="5">
        <v>10.106666666666667</v>
      </c>
      <c r="Y76" s="152">
        <v>0.60292935699284822</v>
      </c>
      <c r="Z76" s="152">
        <v>8.6369535259255485</v>
      </c>
      <c r="AA76" s="152">
        <v>9</v>
      </c>
      <c r="AB76" s="152">
        <v>11.2</v>
      </c>
      <c r="AC76" s="5">
        <v>7.4950000000000001</v>
      </c>
      <c r="AD76" s="152">
        <v>0.39436507137905807</v>
      </c>
      <c r="AE76" s="152">
        <v>7.0038586078913729</v>
      </c>
      <c r="AF76" s="152">
        <v>7.7</v>
      </c>
      <c r="AG76" s="152">
        <v>9</v>
      </c>
      <c r="AH76" s="153"/>
      <c r="AI76" s="6"/>
      <c r="AJ76" s="5"/>
      <c r="AK76" s="153"/>
      <c r="AL76" s="5"/>
      <c r="AM76" s="5"/>
      <c r="AN76" s="152"/>
      <c r="AO76" s="152"/>
      <c r="AP76">
        <f>IFERROR(Tabelle23[[#This Row],[Vol_ha_19]]*0.537836177777778*1.15,0)</f>
        <v>9.9252921623137098</v>
      </c>
      <c r="AQ76">
        <f>IF(Tabelle23[[#This Row],[Year of planting ]]=2015,1,IF(Tabelle23[[#This Row],[Year of planting ]]=2016,2,IF(Tabelle23[[#This Row],[Year of planting ]]=2017,3,IF(Tabelle23[[#This Row],[Year of planting ]]=2018,4,5))))</f>
        <v>5</v>
      </c>
      <c r="AR76">
        <f>INDEX([2]Tabelle2!$A$2:$AU$139,MATCH(Tabelle23[[#This Row],[plot_id]],[2]Tabelle2!$M$2:$M$139,0),20)</f>
        <v>1000</v>
      </c>
      <c r="AS76">
        <f>INDEX([2]Tabelle2!$A$2:$AU$139, MATCH(Tabelle23[[#This Row],[plot_id]],[2]Tabelle2!$M$2:$M$139,0), 19)</f>
        <v>54</v>
      </c>
    </row>
    <row r="77" spans="1:45" x14ac:dyDescent="0.3">
      <c r="A77" t="s">
        <v>584</v>
      </c>
      <c r="B77" t="s">
        <v>263</v>
      </c>
      <c r="C77" t="s">
        <v>263</v>
      </c>
      <c r="D77" s="129" t="s">
        <v>585</v>
      </c>
      <c r="F77" t="s">
        <v>586</v>
      </c>
      <c r="G77" s="4">
        <v>43586</v>
      </c>
      <c r="H77" s="154">
        <v>2019</v>
      </c>
      <c r="I77" t="s">
        <v>416</v>
      </c>
      <c r="J77">
        <v>20</v>
      </c>
      <c r="K77" s="5">
        <v>200</v>
      </c>
      <c r="L77" s="152">
        <f t="shared" si="1"/>
        <v>50</v>
      </c>
      <c r="M77" t="s">
        <v>587</v>
      </c>
      <c r="O77" s="5"/>
      <c r="P77" s="5"/>
      <c r="Q77" s="152"/>
      <c r="R77" s="152"/>
      <c r="S77" s="5">
        <v>5.1714542068904974</v>
      </c>
      <c r="T77" s="152">
        <v>5.1260581930461253</v>
      </c>
      <c r="U77" s="5">
        <v>21.076396905015873</v>
      </c>
      <c r="V77" s="5"/>
      <c r="W77" s="5"/>
      <c r="X77" s="5">
        <v>10.242105263157896</v>
      </c>
      <c r="Y77" s="152">
        <v>0.61762609101631516</v>
      </c>
      <c r="Z77" s="152">
        <v>10.188815399802568</v>
      </c>
      <c r="AA77" s="152">
        <v>9.4</v>
      </c>
      <c r="AB77" s="152">
        <v>11.7</v>
      </c>
      <c r="AC77" s="5">
        <v>8.0299999999999994</v>
      </c>
      <c r="AD77" s="152">
        <v>0.51190505333091885</v>
      </c>
      <c r="AE77" s="152">
        <v>8.2602126205482591</v>
      </c>
      <c r="AF77" s="152">
        <v>7.2</v>
      </c>
      <c r="AG77" s="152">
        <v>9.1999999999999993</v>
      </c>
      <c r="AH77" s="153"/>
      <c r="AI77" s="6"/>
      <c r="AJ77" s="5"/>
      <c r="AK77" s="153"/>
      <c r="AL77" s="5"/>
      <c r="AM77" s="5"/>
      <c r="AN77" s="152"/>
      <c r="AO77" s="152"/>
      <c r="AP77">
        <f>IFERROR(Tabelle23[[#This Row],[Vol_ha_19]]*0.537836177777778*1.15,0)</f>
        <v>13.035996065629295</v>
      </c>
      <c r="AQ77">
        <f>IF(Tabelle23[[#This Row],[Year of planting ]]=2015,1,IF(Tabelle23[[#This Row],[Year of planting ]]=2016,2,IF(Tabelle23[[#This Row],[Year of planting ]]=2017,3,IF(Tabelle23[[#This Row],[Year of planting ]]=2018,4,5))))</f>
        <v>5</v>
      </c>
      <c r="AR77">
        <f>INDEX([2]Tabelle2!$A$2:$AU$139,MATCH(Tabelle23[[#This Row],[plot_id]],[2]Tabelle2!$M$2:$M$139,0),20)</f>
        <v>1000</v>
      </c>
      <c r="AS77">
        <f>INDEX([2]Tabelle2!$A$2:$AU$139, MATCH(Tabelle23[[#This Row],[plot_id]],[2]Tabelle2!$M$2:$M$139,0), 19)</f>
        <v>54</v>
      </c>
    </row>
    <row r="78" spans="1:45" x14ac:dyDescent="0.3">
      <c r="A78" t="s">
        <v>584</v>
      </c>
      <c r="B78" t="s">
        <v>263</v>
      </c>
      <c r="C78" t="s">
        <v>263</v>
      </c>
      <c r="D78" s="129" t="s">
        <v>585</v>
      </c>
      <c r="F78" t="s">
        <v>586</v>
      </c>
      <c r="G78" s="4">
        <v>43586</v>
      </c>
      <c r="H78" s="154">
        <v>2019</v>
      </c>
      <c r="I78" t="s">
        <v>429</v>
      </c>
      <c r="J78">
        <v>20</v>
      </c>
      <c r="K78" s="5">
        <v>200</v>
      </c>
      <c r="L78" s="5">
        <f t="shared" si="1"/>
        <v>50</v>
      </c>
      <c r="M78" t="s">
        <v>587</v>
      </c>
      <c r="N78" s="129" t="s">
        <v>589</v>
      </c>
      <c r="O78">
        <v>0</v>
      </c>
      <c r="P78">
        <v>0</v>
      </c>
      <c r="Q78" s="152" t="s">
        <v>38</v>
      </c>
      <c r="R78" s="5"/>
      <c r="S78" s="5">
        <v>4.0170367164207592</v>
      </c>
      <c r="T78" s="152">
        <v>3.8156213574174833</v>
      </c>
      <c r="U78" s="5">
        <v>14.674932205224959</v>
      </c>
      <c r="V78" s="5"/>
      <c r="W78" s="5"/>
      <c r="X78" s="5">
        <v>9.588235294117645</v>
      </c>
      <c r="Y78" s="5">
        <v>0.50729965619589223</v>
      </c>
      <c r="Z78" s="5">
        <v>9.1329338273391141</v>
      </c>
      <c r="AA78" s="5">
        <v>9</v>
      </c>
      <c r="AB78" s="5">
        <v>10.7</v>
      </c>
      <c r="AC78" s="5">
        <v>6.9750000000000014</v>
      </c>
      <c r="AD78" s="5">
        <v>0.82479944086247059</v>
      </c>
      <c r="AE78" s="5">
        <v>7.2825159101795824</v>
      </c>
      <c r="AF78" s="5">
        <v>4.8</v>
      </c>
      <c r="AG78" s="5">
        <v>8.4</v>
      </c>
      <c r="AH78" s="6">
        <v>392.85714285714289</v>
      </c>
      <c r="AI78" s="6">
        <v>392.85714285714289</v>
      </c>
      <c r="AJ78" s="5">
        <v>0</v>
      </c>
      <c r="AK78" s="6">
        <v>0</v>
      </c>
      <c r="AL78" s="5">
        <v>0</v>
      </c>
      <c r="AM78" s="5">
        <v>0</v>
      </c>
      <c r="AN78" s="5">
        <v>0</v>
      </c>
      <c r="AO78" s="5">
        <v>1</v>
      </c>
      <c r="AP78">
        <f>IFERROR(Tabelle23[[#This Row],[Vol_ha_19]]*0.537836177777778*1.15,0)</f>
        <v>9.0766158633671434</v>
      </c>
      <c r="AQ78">
        <v>1</v>
      </c>
      <c r="AR78">
        <f>INDEX([2]Tabelle2!$A$2:$AU$139,MATCH(Tabelle23[[#This Row],[plot_id]],[2]Tabelle2!$M$2:$M$139,0),20)</f>
        <v>1000</v>
      </c>
      <c r="AS78">
        <f>INDEX([2]Tabelle2!$A$2:$AU$139, MATCH(Tabelle23[[#This Row],[plot_id]],[2]Tabelle2!$M$2:$M$139,0), 19)</f>
        <v>54</v>
      </c>
    </row>
    <row r="79" spans="1:45" x14ac:dyDescent="0.3">
      <c r="A79" t="s">
        <v>584</v>
      </c>
      <c r="B79" t="s">
        <v>263</v>
      </c>
      <c r="C79" t="s">
        <v>263</v>
      </c>
      <c r="D79" s="129" t="s">
        <v>585</v>
      </c>
      <c r="F79" t="s">
        <v>586</v>
      </c>
      <c r="G79" s="4">
        <v>43586</v>
      </c>
      <c r="H79" s="154">
        <v>2019</v>
      </c>
      <c r="I79" t="s">
        <v>419</v>
      </c>
      <c r="J79">
        <v>20</v>
      </c>
      <c r="K79" s="5">
        <v>200</v>
      </c>
      <c r="L79" s="152">
        <f t="shared" si="1"/>
        <v>50</v>
      </c>
      <c r="M79" t="s">
        <v>587</v>
      </c>
      <c r="O79" s="5"/>
      <c r="P79" s="5"/>
      <c r="Q79" s="152"/>
      <c r="R79" s="152"/>
      <c r="S79" s="5">
        <v>4.9070891850909168</v>
      </c>
      <c r="T79" s="152">
        <v>4.7609658567908211</v>
      </c>
      <c r="U79" s="5">
        <v>18.230373142257445</v>
      </c>
      <c r="V79" s="5"/>
      <c r="W79" s="5"/>
      <c r="X79" s="5">
        <v>9.215789473684211</v>
      </c>
      <c r="Y79" s="152">
        <v>1.8670425686674554</v>
      </c>
      <c r="Z79" s="152">
        <v>9.2877734918932777</v>
      </c>
      <c r="AA79" s="152">
        <v>3.7</v>
      </c>
      <c r="AB79" s="152">
        <v>10.6</v>
      </c>
      <c r="AC79" s="5">
        <v>7.83</v>
      </c>
      <c r="AD79" s="152">
        <v>1.0607015222475391</v>
      </c>
      <c r="AE79" s="152">
        <v>7.9123905632292457</v>
      </c>
      <c r="AF79" s="152">
        <v>4.9000000000000004</v>
      </c>
      <c r="AG79" s="152">
        <v>9.1999999999999993</v>
      </c>
      <c r="AH79" s="153"/>
      <c r="AI79" s="6"/>
      <c r="AJ79" s="5"/>
      <c r="AK79" s="153"/>
      <c r="AL79" s="5"/>
      <c r="AM79" s="5"/>
      <c r="AN79" s="152"/>
      <c r="AO79" s="152"/>
      <c r="AP79">
        <f>IFERROR(Tabelle23[[#This Row],[Vol_ha_19]]*0.537836177777778*1.15,0)</f>
        <v>11.275697341838564</v>
      </c>
      <c r="AQ79">
        <f>IF(Tabelle23[[#This Row],[Year of planting ]]=2015,1,IF(Tabelle23[[#This Row],[Year of planting ]]=2016,2,IF(Tabelle23[[#This Row],[Year of planting ]]=2017,3,IF(Tabelle23[[#This Row],[Year of planting ]]=2018,4,5))))</f>
        <v>5</v>
      </c>
      <c r="AR79">
        <f>INDEX([2]Tabelle2!$A$2:$AU$139,MATCH(Tabelle23[[#This Row],[plot_id]],[2]Tabelle2!$M$2:$M$139,0),20)</f>
        <v>1000</v>
      </c>
      <c r="AS79">
        <f>INDEX([2]Tabelle2!$A$2:$AU$139, MATCH(Tabelle23[[#This Row],[plot_id]],[2]Tabelle2!$M$2:$M$139,0), 19)</f>
        <v>54</v>
      </c>
    </row>
    <row r="80" spans="1:45" x14ac:dyDescent="0.3">
      <c r="A80" t="s">
        <v>584</v>
      </c>
      <c r="B80" t="s">
        <v>263</v>
      </c>
      <c r="C80" t="s">
        <v>263</v>
      </c>
      <c r="D80" s="129" t="s">
        <v>585</v>
      </c>
      <c r="F80" t="s">
        <v>586</v>
      </c>
      <c r="G80" s="4">
        <v>43586</v>
      </c>
      <c r="H80" s="154">
        <v>2019</v>
      </c>
      <c r="I80" t="s">
        <v>417</v>
      </c>
      <c r="J80">
        <v>20</v>
      </c>
      <c r="K80" s="5">
        <v>200</v>
      </c>
      <c r="L80" s="152">
        <f t="shared" si="1"/>
        <v>50</v>
      </c>
      <c r="M80" t="s">
        <v>587</v>
      </c>
      <c r="O80" s="5"/>
      <c r="P80" s="5"/>
      <c r="Q80" s="152"/>
      <c r="R80" s="152"/>
      <c r="S80" s="5">
        <v>4.3376362467195975</v>
      </c>
      <c r="T80" s="152">
        <v>3.8207657153877377</v>
      </c>
      <c r="U80" s="5">
        <v>15.063883366887948</v>
      </c>
      <c r="V80" s="5"/>
      <c r="W80" s="5"/>
      <c r="X80" s="5">
        <v>9.8466666666666658</v>
      </c>
      <c r="Y80" s="152">
        <v>0.78999698613047753</v>
      </c>
      <c r="Z80" s="152">
        <v>8.6820808097268607</v>
      </c>
      <c r="AA80" s="152">
        <v>7.9</v>
      </c>
      <c r="AB80" s="152">
        <v>11.2</v>
      </c>
      <c r="AC80" s="5">
        <v>7.4999999999999982</v>
      </c>
      <c r="AD80" s="152">
        <v>0.59361683970466372</v>
      </c>
      <c r="AE80" s="152">
        <v>7.1472817476484058</v>
      </c>
      <c r="AF80" s="152">
        <v>7.1</v>
      </c>
      <c r="AG80" s="152">
        <v>8.9</v>
      </c>
      <c r="AH80" s="153"/>
      <c r="AI80" s="6"/>
      <c r="AJ80" s="5"/>
      <c r="AK80" s="153"/>
      <c r="AL80" s="5"/>
      <c r="AM80" s="5"/>
      <c r="AN80" s="152"/>
      <c r="AO80" s="152"/>
      <c r="AP80">
        <f>IFERROR(Tabelle23[[#This Row],[Vol_ha_19]]*0.537836177777778*1.15,0)</f>
        <v>9.3171866704178488</v>
      </c>
      <c r="AQ80">
        <f>IF(Tabelle23[[#This Row],[Year of planting ]]=2015,1,IF(Tabelle23[[#This Row],[Year of planting ]]=2016,2,IF(Tabelle23[[#This Row],[Year of planting ]]=2017,3,IF(Tabelle23[[#This Row],[Year of planting ]]=2018,4,5))))</f>
        <v>5</v>
      </c>
      <c r="AR80">
        <f>INDEX([2]Tabelle2!$A$2:$AU$139,MATCH(Tabelle23[[#This Row],[plot_id]],[2]Tabelle2!$M$2:$M$139,0),20)</f>
        <v>1000</v>
      </c>
      <c r="AS80">
        <f>INDEX([2]Tabelle2!$A$2:$AU$139, MATCH(Tabelle23[[#This Row],[plot_id]],[2]Tabelle2!$M$2:$M$139,0), 19)</f>
        <v>54</v>
      </c>
    </row>
    <row r="81" spans="1:45" x14ac:dyDescent="0.3">
      <c r="A81" t="s">
        <v>584</v>
      </c>
      <c r="B81" t="s">
        <v>263</v>
      </c>
      <c r="C81" t="s">
        <v>263</v>
      </c>
      <c r="D81" s="129" t="s">
        <v>585</v>
      </c>
      <c r="F81" t="s">
        <v>586</v>
      </c>
      <c r="G81" s="4">
        <v>43586</v>
      </c>
      <c r="H81" s="154">
        <v>2019</v>
      </c>
      <c r="I81" t="s">
        <v>430</v>
      </c>
      <c r="J81">
        <v>20</v>
      </c>
      <c r="K81" s="5">
        <v>200</v>
      </c>
      <c r="L81" s="152">
        <f t="shared" si="1"/>
        <v>50</v>
      </c>
      <c r="M81" t="s">
        <v>587</v>
      </c>
      <c r="O81" s="5"/>
      <c r="P81" s="5"/>
      <c r="Q81" s="152"/>
      <c r="R81" s="152"/>
      <c r="S81" s="5">
        <v>4.9257031215634361</v>
      </c>
      <c r="T81" s="152">
        <v>4.4075759531701397</v>
      </c>
      <c r="U81" s="5">
        <v>17.495595461287284</v>
      </c>
      <c r="V81" s="5"/>
      <c r="W81" s="5"/>
      <c r="X81" s="5">
        <v>9.9312499999999986</v>
      </c>
      <c r="Y81" s="152">
        <v>0.34779064583932273</v>
      </c>
      <c r="Z81" s="152">
        <v>8.8797452005867736</v>
      </c>
      <c r="AA81" s="152">
        <v>9.3000000000000007</v>
      </c>
      <c r="AB81" s="152">
        <v>10.6</v>
      </c>
      <c r="AC81" s="5">
        <v>7.7000000000000011</v>
      </c>
      <c r="AD81" s="152">
        <v>0.94833186877449915</v>
      </c>
      <c r="AE81" s="152">
        <v>7.6478139549716184</v>
      </c>
      <c r="AF81" s="152">
        <v>7.3</v>
      </c>
      <c r="AG81" s="152">
        <v>11.3</v>
      </c>
      <c r="AH81" s="153"/>
      <c r="AI81" s="6"/>
      <c r="AJ81" s="5"/>
      <c r="AK81" s="153"/>
      <c r="AL81" s="5"/>
      <c r="AM81" s="5"/>
      <c r="AN81" s="152"/>
      <c r="AO81" s="152"/>
      <c r="AP81">
        <f>IFERROR(Tabelle23[[#This Row],[Vol_ha_19]]*0.537836177777778*1.15,0)</f>
        <v>10.821228819471742</v>
      </c>
      <c r="AQ81">
        <f>IF(Tabelle23[[#This Row],[Year of planting ]]=2015,1,IF(Tabelle23[[#This Row],[Year of planting ]]=2016,2,IF(Tabelle23[[#This Row],[Year of planting ]]=2017,3,IF(Tabelle23[[#This Row],[Year of planting ]]=2018,4,5))))</f>
        <v>5</v>
      </c>
      <c r="AR81">
        <f>INDEX([2]Tabelle2!$A$2:$AU$139,MATCH(Tabelle23[[#This Row],[plot_id]],[2]Tabelle2!$M$2:$M$139,0),20)</f>
        <v>1000</v>
      </c>
      <c r="AS81">
        <f>INDEX([2]Tabelle2!$A$2:$AU$139, MATCH(Tabelle23[[#This Row],[plot_id]],[2]Tabelle2!$M$2:$M$139,0), 19)</f>
        <v>54</v>
      </c>
    </row>
    <row r="82" spans="1:45" x14ac:dyDescent="0.3">
      <c r="A82" t="s">
        <v>584</v>
      </c>
      <c r="B82" t="s">
        <v>259</v>
      </c>
      <c r="C82" t="s">
        <v>259</v>
      </c>
      <c r="D82" s="129" t="s">
        <v>585</v>
      </c>
      <c r="F82" t="s">
        <v>592</v>
      </c>
      <c r="G82" s="4">
        <v>43586</v>
      </c>
      <c r="H82" s="154">
        <v>2019</v>
      </c>
      <c r="I82" t="s">
        <v>403</v>
      </c>
      <c r="J82">
        <v>20</v>
      </c>
      <c r="K82" s="5">
        <v>200</v>
      </c>
      <c r="L82" s="152">
        <f t="shared" si="1"/>
        <v>50</v>
      </c>
      <c r="M82" t="s">
        <v>594</v>
      </c>
      <c r="O82" s="5"/>
      <c r="P82" s="5"/>
      <c r="Q82" s="152"/>
      <c r="R82" s="152"/>
      <c r="S82" s="5">
        <v>4.8670338787576473</v>
      </c>
      <c r="T82" s="152">
        <v>4.0833635913196735</v>
      </c>
      <c r="U82" s="5">
        <v>15.413566191177392</v>
      </c>
      <c r="V82" s="5"/>
      <c r="W82" s="5"/>
      <c r="X82" s="5">
        <v>9.3466666666666676</v>
      </c>
      <c r="Y82" s="152">
        <v>0.73277034666557073</v>
      </c>
      <c r="Z82" s="152">
        <v>7.9173304394132558</v>
      </c>
      <c r="AA82" s="152">
        <v>7.4</v>
      </c>
      <c r="AB82" s="152">
        <v>10.199999999999999</v>
      </c>
      <c r="AC82" s="5">
        <v>8.0210526315789465</v>
      </c>
      <c r="AD82" s="152">
        <v>0.76201487299570914</v>
      </c>
      <c r="AE82" s="152">
        <v>7.0597927996256189</v>
      </c>
      <c r="AF82" s="152">
        <v>6.2</v>
      </c>
      <c r="AG82" s="152">
        <v>9.3000000000000007</v>
      </c>
      <c r="AH82" s="153"/>
      <c r="AI82" s="6"/>
      <c r="AJ82" s="5"/>
      <c r="AK82" s="153"/>
      <c r="AL82" s="5"/>
      <c r="AM82" s="5"/>
      <c r="AN82" s="152"/>
      <c r="AO82" s="152"/>
      <c r="AP82">
        <f>IFERROR(Tabelle23[[#This Row],[Vol_ha_19]]*0.537836177777778*1.15,0)</f>
        <v>9.5334695551157758</v>
      </c>
      <c r="AQ82">
        <f>IF(Tabelle23[[#This Row],[Year of planting ]]=2015,1,IF(Tabelle23[[#This Row],[Year of planting ]]=2016,2,IF(Tabelle23[[#This Row],[Year of planting ]]=2017,3,IF(Tabelle23[[#This Row],[Year of planting ]]=2018,4,5))))</f>
        <v>5</v>
      </c>
      <c r="AR82">
        <f>INDEX([2]Tabelle2!$A$2:$AU$139,MATCH(Tabelle23[[#This Row],[plot_id]],[2]Tabelle2!$M$2:$M$139,0),20)</f>
        <v>1000</v>
      </c>
      <c r="AS82">
        <f>INDEX([2]Tabelle2!$A$2:$AU$139, MATCH(Tabelle23[[#This Row],[plot_id]],[2]Tabelle2!$M$2:$M$139,0), 19)</f>
        <v>65.5</v>
      </c>
    </row>
    <row r="83" spans="1:45" x14ac:dyDescent="0.3">
      <c r="A83" t="s">
        <v>584</v>
      </c>
      <c r="B83" t="s">
        <v>259</v>
      </c>
      <c r="C83" t="s">
        <v>259</v>
      </c>
      <c r="D83" s="129" t="s">
        <v>585</v>
      </c>
      <c r="F83" t="s">
        <v>592</v>
      </c>
      <c r="G83" s="4">
        <v>43586</v>
      </c>
      <c r="H83" s="154">
        <v>2019</v>
      </c>
      <c r="I83" t="s">
        <v>402</v>
      </c>
      <c r="J83">
        <v>20</v>
      </c>
      <c r="K83" s="5">
        <v>200</v>
      </c>
      <c r="L83" s="152">
        <f t="shared" si="1"/>
        <v>50</v>
      </c>
      <c r="M83" t="s">
        <v>594</v>
      </c>
      <c r="O83" s="5"/>
      <c r="P83" s="5"/>
      <c r="Q83" s="152"/>
      <c r="R83" s="152"/>
      <c r="S83" s="5">
        <v>4.8672302282984967</v>
      </c>
      <c r="T83" s="152">
        <v>3.5506280170871847</v>
      </c>
      <c r="U83" s="5">
        <v>13.329758779625569</v>
      </c>
      <c r="V83" s="5"/>
      <c r="W83" s="5"/>
      <c r="X83" s="5">
        <v>9.3692307692307679</v>
      </c>
      <c r="Y83" s="152">
        <v>0.6725382459813658</v>
      </c>
      <c r="Z83" s="152">
        <v>6.8466859766182839</v>
      </c>
      <c r="AA83" s="152">
        <v>8</v>
      </c>
      <c r="AB83" s="152">
        <v>10.199999999999999</v>
      </c>
      <c r="AC83" s="5">
        <v>7.8250000000000002</v>
      </c>
      <c r="AD83" s="152">
        <v>0.5479565769807041</v>
      </c>
      <c r="AE83" s="152">
        <v>6.1193887512808303</v>
      </c>
      <c r="AF83" s="152">
        <v>7.1</v>
      </c>
      <c r="AG83" s="152">
        <v>9.1</v>
      </c>
      <c r="AH83" s="153"/>
      <c r="AI83" s="6"/>
      <c r="AJ83" s="5"/>
      <c r="AK83" s="153"/>
      <c r="AL83" s="5"/>
      <c r="AM83" s="5"/>
      <c r="AN83" s="152"/>
      <c r="AO83" s="152"/>
      <c r="AP83">
        <f>IFERROR(Tabelle23[[#This Row],[Vol_ha_19]]*0.537836177777778*1.15,0)</f>
        <v>8.2446104896436339</v>
      </c>
      <c r="AQ83">
        <f>IF(Tabelle23[[#This Row],[Year of planting ]]=2015,1,IF(Tabelle23[[#This Row],[Year of planting ]]=2016,2,IF(Tabelle23[[#This Row],[Year of planting ]]=2017,3,IF(Tabelle23[[#This Row],[Year of planting ]]=2018,4,5))))</f>
        <v>5</v>
      </c>
      <c r="AR83">
        <f>INDEX([2]Tabelle2!$A$2:$AU$139,MATCH(Tabelle23[[#This Row],[plot_id]],[2]Tabelle2!$M$2:$M$139,0),20)</f>
        <v>1000</v>
      </c>
      <c r="AS83">
        <f>INDEX([2]Tabelle2!$A$2:$AU$139, MATCH(Tabelle23[[#This Row],[plot_id]],[2]Tabelle2!$M$2:$M$139,0), 19)</f>
        <v>65.5</v>
      </c>
    </row>
    <row r="84" spans="1:45" x14ac:dyDescent="0.3">
      <c r="A84" t="s">
        <v>584</v>
      </c>
      <c r="B84" t="s">
        <v>259</v>
      </c>
      <c r="C84" t="s">
        <v>259</v>
      </c>
      <c r="D84" s="129" t="s">
        <v>585</v>
      </c>
      <c r="F84" t="s">
        <v>592</v>
      </c>
      <c r="G84" s="4">
        <v>43586</v>
      </c>
      <c r="H84" s="154">
        <v>2019</v>
      </c>
      <c r="I84" t="s">
        <v>412</v>
      </c>
      <c r="J84">
        <v>20</v>
      </c>
      <c r="K84" s="5">
        <v>200</v>
      </c>
      <c r="L84" s="152">
        <f t="shared" si="1"/>
        <v>50</v>
      </c>
      <c r="M84" t="s">
        <v>594</v>
      </c>
      <c r="O84" s="5"/>
      <c r="P84" s="5"/>
      <c r="Q84" s="152"/>
      <c r="R84" s="152"/>
      <c r="S84" s="5">
        <v>5.3734586145163208</v>
      </c>
      <c r="T84" s="152">
        <v>4.712074821119332</v>
      </c>
      <c r="U84" s="5">
        <v>17.329023506404972</v>
      </c>
      <c r="V84" s="5"/>
      <c r="W84" s="5"/>
      <c r="X84" s="5">
        <v>9.1812499999999986</v>
      </c>
      <c r="Y84" s="152">
        <v>0.76001644719045391</v>
      </c>
      <c r="Z84" s="152">
        <v>8.0623229606676716</v>
      </c>
      <c r="AA84" s="152">
        <v>7.4</v>
      </c>
      <c r="AB84" s="152">
        <v>10.3</v>
      </c>
      <c r="AC84" s="5">
        <v>8.1800000000000015</v>
      </c>
      <c r="AD84" s="152">
        <v>0.64381674411279488</v>
      </c>
      <c r="AE84" s="152">
        <v>7.6516874461025788</v>
      </c>
      <c r="AF84" s="152">
        <v>7.2</v>
      </c>
      <c r="AG84" s="152">
        <v>9.6999999999999993</v>
      </c>
      <c r="AH84" s="153"/>
      <c r="AI84" s="6"/>
      <c r="AJ84" s="5"/>
      <c r="AK84" s="153"/>
      <c r="AL84" s="5"/>
      <c r="AM84" s="5"/>
      <c r="AN84" s="152"/>
      <c r="AO84" s="152"/>
      <c r="AP84">
        <f>IFERROR(Tabelle23[[#This Row],[Vol_ha_19]]*0.537836177777778*1.15,0)</f>
        <v>10.718202132402038</v>
      </c>
      <c r="AQ84">
        <f>IF(Tabelle23[[#This Row],[Year of planting ]]=2015,1,IF(Tabelle23[[#This Row],[Year of planting ]]=2016,2,IF(Tabelle23[[#This Row],[Year of planting ]]=2017,3,IF(Tabelle23[[#This Row],[Year of planting ]]=2018,4,5))))</f>
        <v>5</v>
      </c>
      <c r="AR84">
        <f>INDEX([2]Tabelle2!$A$2:$AU$139,MATCH(Tabelle23[[#This Row],[plot_id]],[2]Tabelle2!$M$2:$M$139,0),20)</f>
        <v>1000</v>
      </c>
      <c r="AS84">
        <f>INDEX([2]Tabelle2!$A$2:$AU$139, MATCH(Tabelle23[[#This Row],[plot_id]],[2]Tabelle2!$M$2:$M$139,0), 19)</f>
        <v>65.5</v>
      </c>
    </row>
    <row r="85" spans="1:45" x14ac:dyDescent="0.3">
      <c r="A85" t="s">
        <v>584</v>
      </c>
      <c r="B85" t="s">
        <v>259</v>
      </c>
      <c r="C85" t="s">
        <v>259</v>
      </c>
      <c r="D85" s="129" t="s">
        <v>585</v>
      </c>
      <c r="F85" t="s">
        <v>592</v>
      </c>
      <c r="G85" s="4">
        <v>43586</v>
      </c>
      <c r="H85" s="154">
        <v>2019</v>
      </c>
      <c r="I85" t="s">
        <v>418</v>
      </c>
      <c r="J85">
        <v>20</v>
      </c>
      <c r="K85" s="5">
        <v>200</v>
      </c>
      <c r="L85" s="152">
        <f t="shared" si="1"/>
        <v>50</v>
      </c>
      <c r="M85" t="s">
        <v>594</v>
      </c>
      <c r="O85" s="5"/>
      <c r="P85" s="5"/>
      <c r="Q85" s="152"/>
      <c r="R85" s="152"/>
      <c r="S85" s="5">
        <v>5.3205227783033351</v>
      </c>
      <c r="T85" s="152">
        <v>4.4497518345445837</v>
      </c>
      <c r="U85" s="5">
        <v>16.352809717617461</v>
      </c>
      <c r="V85" s="5"/>
      <c r="W85" s="5"/>
      <c r="X85" s="5">
        <v>9.1066666666666656</v>
      </c>
      <c r="Y85" s="152">
        <v>0.76295166170291429</v>
      </c>
      <c r="Z85" s="152">
        <v>7.6838359682919259</v>
      </c>
      <c r="AA85" s="152">
        <v>7.8</v>
      </c>
      <c r="AB85" s="152">
        <v>10.6</v>
      </c>
      <c r="AC85" s="5">
        <v>8.129999999999999</v>
      </c>
      <c r="AD85" s="152">
        <v>0.84165370098452752</v>
      </c>
      <c r="AE85" s="152">
        <v>7.3645734614646514</v>
      </c>
      <c r="AF85" s="152">
        <v>7.4</v>
      </c>
      <c r="AG85" s="152">
        <v>10</v>
      </c>
      <c r="AH85" s="153"/>
      <c r="AI85" s="6"/>
      <c r="AJ85" s="5"/>
      <c r="AK85" s="153"/>
      <c r="AL85" s="5"/>
      <c r="AM85" s="5"/>
      <c r="AN85" s="152"/>
      <c r="AO85" s="152"/>
      <c r="AP85">
        <f>IFERROR(Tabelle23[[#This Row],[Vol_ha_19]]*0.537836177777778*1.15,0)</f>
        <v>10.114402575618282</v>
      </c>
      <c r="AQ85">
        <f>IF(Tabelle23[[#This Row],[Year of planting ]]=2015,1,IF(Tabelle23[[#This Row],[Year of planting ]]=2016,2,IF(Tabelle23[[#This Row],[Year of planting ]]=2017,3,IF(Tabelle23[[#This Row],[Year of planting ]]=2018,4,5))))</f>
        <v>5</v>
      </c>
      <c r="AR85">
        <f>INDEX([2]Tabelle2!$A$2:$AU$139,MATCH(Tabelle23[[#This Row],[plot_id]],[2]Tabelle2!$M$2:$M$139,0),20)</f>
        <v>1000</v>
      </c>
      <c r="AS85">
        <f>INDEX([2]Tabelle2!$A$2:$AU$139, MATCH(Tabelle23[[#This Row],[plot_id]],[2]Tabelle2!$M$2:$M$139,0), 19)</f>
        <v>65.5</v>
      </c>
    </row>
    <row r="86" spans="1:45" x14ac:dyDescent="0.3">
      <c r="A86" t="s">
        <v>584</v>
      </c>
      <c r="B86" t="s">
        <v>259</v>
      </c>
      <c r="C86" t="s">
        <v>259</v>
      </c>
      <c r="D86" s="129" t="s">
        <v>585</v>
      </c>
      <c r="F86" t="s">
        <v>592</v>
      </c>
      <c r="G86" s="4">
        <v>43586</v>
      </c>
      <c r="H86" s="154">
        <v>2019</v>
      </c>
      <c r="I86" t="s">
        <v>405</v>
      </c>
      <c r="J86">
        <v>20</v>
      </c>
      <c r="K86" s="5">
        <v>200</v>
      </c>
      <c r="L86" s="152">
        <f t="shared" si="1"/>
        <v>50</v>
      </c>
      <c r="M86" t="s">
        <v>594</v>
      </c>
      <c r="O86" s="5"/>
      <c r="P86" s="5"/>
      <c r="Q86" s="152"/>
      <c r="R86" s="152"/>
      <c r="S86" s="5">
        <v>4.0617651418262426</v>
      </c>
      <c r="T86" s="152">
        <v>3.4563409675713199</v>
      </c>
      <c r="U86" s="5">
        <v>10.946713097022991</v>
      </c>
      <c r="V86" s="5"/>
      <c r="W86" s="5"/>
      <c r="X86" s="5">
        <v>7.6187499999999995</v>
      </c>
      <c r="Y86" s="152">
        <v>1.1142822802144881</v>
      </c>
      <c r="Z86" s="152">
        <v>6.7376575914610592</v>
      </c>
      <c r="AA86" s="152">
        <v>5.0999999999999996</v>
      </c>
      <c r="AB86" s="152">
        <v>9.3000000000000007</v>
      </c>
      <c r="AC86" s="5">
        <v>7.0600000000000005</v>
      </c>
      <c r="AD86" s="152">
        <v>1.3897092021954305</v>
      </c>
      <c r="AE86" s="152">
        <v>6.5697511408461606</v>
      </c>
      <c r="AF86" s="152">
        <v>3.5</v>
      </c>
      <c r="AG86" s="152">
        <v>8.6999999999999993</v>
      </c>
      <c r="AH86" s="153"/>
      <c r="AI86" s="6"/>
      <c r="AJ86" s="5"/>
      <c r="AK86" s="153"/>
      <c r="AL86" s="5"/>
      <c r="AM86" s="5"/>
      <c r="AN86" s="152"/>
      <c r="AO86" s="152"/>
      <c r="AP86">
        <f>IFERROR(Tabelle23[[#This Row],[Vol_ha_19]]*0.537836177777778*1.15,0)</f>
        <v>6.7706690810327066</v>
      </c>
      <c r="AQ86">
        <f>IF(Tabelle23[[#This Row],[Year of planting ]]=2015,1,IF(Tabelle23[[#This Row],[Year of planting ]]=2016,2,IF(Tabelle23[[#This Row],[Year of planting ]]=2017,3,IF(Tabelle23[[#This Row],[Year of planting ]]=2018,4,5))))</f>
        <v>5</v>
      </c>
      <c r="AR86">
        <f>INDEX([2]Tabelle2!$A$2:$AU$139,MATCH(Tabelle23[[#This Row],[plot_id]],[2]Tabelle2!$M$2:$M$139,0),20)</f>
        <v>1000</v>
      </c>
      <c r="AS86">
        <f>INDEX([2]Tabelle2!$A$2:$AU$139, MATCH(Tabelle23[[#This Row],[plot_id]],[2]Tabelle2!$M$2:$M$139,0), 19)</f>
        <v>65.5</v>
      </c>
    </row>
    <row r="87" spans="1:45" x14ac:dyDescent="0.3">
      <c r="A87" t="s">
        <v>584</v>
      </c>
      <c r="B87" t="s">
        <v>259</v>
      </c>
      <c r="C87" t="s">
        <v>259</v>
      </c>
      <c r="D87" s="129" t="s">
        <v>585</v>
      </c>
      <c r="F87" t="s">
        <v>592</v>
      </c>
      <c r="G87" s="4">
        <v>43586</v>
      </c>
      <c r="H87" s="154">
        <v>2019</v>
      </c>
      <c r="I87" t="s">
        <v>401</v>
      </c>
      <c r="J87">
        <v>20</v>
      </c>
      <c r="K87" s="5">
        <v>200</v>
      </c>
      <c r="L87" s="152">
        <f t="shared" si="1"/>
        <v>50</v>
      </c>
      <c r="M87" t="s">
        <v>594</v>
      </c>
      <c r="O87" s="5"/>
      <c r="P87" s="5"/>
      <c r="Q87" s="152"/>
      <c r="R87" s="152"/>
      <c r="S87" s="5">
        <v>4.7508734903911645</v>
      </c>
      <c r="T87" s="152">
        <v>4.5529138833068377</v>
      </c>
      <c r="U87" s="5">
        <v>16.188683492615972</v>
      </c>
      <c r="V87" s="5"/>
      <c r="W87" s="5"/>
      <c r="X87" s="5">
        <v>8.8368421052631572</v>
      </c>
      <c r="Y87" s="152">
        <v>0.58519752250917578</v>
      </c>
      <c r="Z87" s="152">
        <v>8.5187931889568542</v>
      </c>
      <c r="AA87" s="152">
        <v>7.9</v>
      </c>
      <c r="AB87" s="152">
        <v>9.6999999999999993</v>
      </c>
      <c r="AC87" s="5">
        <v>7.76</v>
      </c>
      <c r="AD87" s="152">
        <v>0.52649119884015205</v>
      </c>
      <c r="AE87" s="152">
        <v>7.5356629194908251</v>
      </c>
      <c r="AF87" s="152">
        <v>7.1</v>
      </c>
      <c r="AG87" s="152">
        <v>9</v>
      </c>
      <c r="AH87" s="153"/>
      <c r="AI87" s="6"/>
      <c r="AJ87" s="5"/>
      <c r="AK87" s="153"/>
      <c r="AL87" s="5"/>
      <c r="AM87" s="5"/>
      <c r="AN87" s="152"/>
      <c r="AO87" s="152"/>
      <c r="AP87">
        <f>IFERROR(Tabelle23[[#This Row],[Vol_ha_19]]*0.537836177777778*1.15,0)</f>
        <v>10.012888600861201</v>
      </c>
      <c r="AQ87">
        <f>IF(Tabelle23[[#This Row],[Year of planting ]]=2015,1,IF(Tabelle23[[#This Row],[Year of planting ]]=2016,2,IF(Tabelle23[[#This Row],[Year of planting ]]=2017,3,IF(Tabelle23[[#This Row],[Year of planting ]]=2018,4,5))))</f>
        <v>5</v>
      </c>
      <c r="AR87">
        <f>INDEX([2]Tabelle2!$A$2:$AU$139,MATCH(Tabelle23[[#This Row],[plot_id]],[2]Tabelle2!$M$2:$M$139,0),20)</f>
        <v>1000</v>
      </c>
      <c r="AS87">
        <f>INDEX([2]Tabelle2!$A$2:$AU$139, MATCH(Tabelle23[[#This Row],[plot_id]],[2]Tabelle2!$M$2:$M$139,0), 19)</f>
        <v>65.5</v>
      </c>
    </row>
    <row r="88" spans="1:45" x14ac:dyDescent="0.3">
      <c r="A88" t="s">
        <v>584</v>
      </c>
      <c r="B88" t="s">
        <v>259</v>
      </c>
      <c r="C88" t="s">
        <v>259</v>
      </c>
      <c r="D88" s="129" t="s">
        <v>585</v>
      </c>
      <c r="F88" t="s">
        <v>592</v>
      </c>
      <c r="G88" s="4">
        <v>43586</v>
      </c>
      <c r="H88" s="154">
        <v>2019</v>
      </c>
      <c r="I88" t="s">
        <v>420</v>
      </c>
      <c r="J88">
        <v>20</v>
      </c>
      <c r="K88" s="5">
        <v>200</v>
      </c>
      <c r="L88" s="5">
        <f t="shared" si="1"/>
        <v>50</v>
      </c>
      <c r="M88" t="s">
        <v>594</v>
      </c>
      <c r="N88" s="129" t="s">
        <v>589</v>
      </c>
      <c r="O88">
        <v>0</v>
      </c>
      <c r="P88">
        <v>0</v>
      </c>
      <c r="Q88" s="152" t="s">
        <v>38</v>
      </c>
      <c r="R88" s="5"/>
      <c r="S88" s="5">
        <v>3.7390450364862318</v>
      </c>
      <c r="T88" s="152">
        <v>3.1671966337165491</v>
      </c>
      <c r="U88" s="5">
        <v>10.249925125216373</v>
      </c>
      <c r="V88" s="5"/>
      <c r="W88" s="5"/>
      <c r="X88" s="5">
        <v>7.8200000000000012</v>
      </c>
      <c r="Y88" s="5">
        <v>1.0758385433830486</v>
      </c>
      <c r="Z88" s="5">
        <v>6.8533041359463933</v>
      </c>
      <c r="AA88" s="5">
        <v>6.7</v>
      </c>
      <c r="AB88" s="5">
        <v>10.3</v>
      </c>
      <c r="AC88" s="5">
        <v>6.9789473684210535</v>
      </c>
      <c r="AD88" s="5">
        <v>1.1134673429470296</v>
      </c>
      <c r="AE88" s="5">
        <v>6.4187115340181071</v>
      </c>
      <c r="AF88" s="5">
        <v>5.8</v>
      </c>
      <c r="AG88" s="5">
        <v>9.1999999999999993</v>
      </c>
      <c r="AH88" s="6">
        <v>321.42857142857144</v>
      </c>
      <c r="AI88" s="6">
        <v>321.42857142857144</v>
      </c>
      <c r="AJ88" s="5">
        <v>0</v>
      </c>
      <c r="AK88" s="6">
        <v>0</v>
      </c>
      <c r="AL88" s="5">
        <v>0</v>
      </c>
      <c r="AM88" s="5">
        <v>0</v>
      </c>
      <c r="AN88" s="5">
        <v>0</v>
      </c>
      <c r="AO88" s="5">
        <v>1</v>
      </c>
      <c r="AP88">
        <f>IFERROR(Tabelle23[[#This Row],[Vol_ha_19]]*0.537836177777778*1.15,0)</f>
        <v>6.339697634633005</v>
      </c>
      <c r="AQ88">
        <v>1</v>
      </c>
      <c r="AR88">
        <f>INDEX([2]Tabelle2!$A$2:$AU$139,MATCH(Tabelle23[[#This Row],[plot_id]],[2]Tabelle2!$M$2:$M$139,0),20)</f>
        <v>1000</v>
      </c>
      <c r="AS88">
        <f>INDEX([2]Tabelle2!$A$2:$AU$139, MATCH(Tabelle23[[#This Row],[plot_id]],[2]Tabelle2!$M$2:$M$139,0), 19)</f>
        <v>65.5</v>
      </c>
    </row>
    <row r="89" spans="1:45" x14ac:dyDescent="0.3">
      <c r="A89" t="s">
        <v>584</v>
      </c>
      <c r="B89" t="s">
        <v>259</v>
      </c>
      <c r="C89" t="s">
        <v>259</v>
      </c>
      <c r="D89" s="129" t="s">
        <v>585</v>
      </c>
      <c r="F89" t="s">
        <v>592</v>
      </c>
      <c r="G89" s="4">
        <v>43586</v>
      </c>
      <c r="H89" s="154">
        <v>2019</v>
      </c>
      <c r="I89" t="s">
        <v>413</v>
      </c>
      <c r="J89">
        <v>20</v>
      </c>
      <c r="K89" s="5">
        <v>200</v>
      </c>
      <c r="L89" s="152">
        <f t="shared" si="1"/>
        <v>50</v>
      </c>
      <c r="M89" t="s">
        <v>594</v>
      </c>
      <c r="O89" s="5"/>
      <c r="P89" s="5"/>
      <c r="Q89" s="152"/>
      <c r="R89" s="152"/>
      <c r="S89" s="5">
        <v>5.2363280951871269</v>
      </c>
      <c r="T89" s="152">
        <v>4.6661290285605794</v>
      </c>
      <c r="U89" s="5">
        <v>17.723200707447212</v>
      </c>
      <c r="V89" s="5"/>
      <c r="W89" s="5"/>
      <c r="X89" s="5">
        <v>9.4588235294117649</v>
      </c>
      <c r="Y89" s="152">
        <v>0.63152476547777969</v>
      </c>
      <c r="Z89" s="152">
        <v>8.461654992425494</v>
      </c>
      <c r="AA89" s="152">
        <v>8.4</v>
      </c>
      <c r="AB89" s="152">
        <v>10.5</v>
      </c>
      <c r="AC89" s="5">
        <v>8.11</v>
      </c>
      <c r="AD89" s="152">
        <v>0.58315823702642211</v>
      </c>
      <c r="AE89" s="152">
        <v>7.5010499317544364</v>
      </c>
      <c r="AF89" s="152">
        <v>7.4</v>
      </c>
      <c r="AG89" s="152">
        <v>9.4</v>
      </c>
      <c r="AH89" s="153"/>
      <c r="AI89" s="6"/>
      <c r="AJ89" s="5"/>
      <c r="AK89" s="153"/>
      <c r="AL89" s="5"/>
      <c r="AM89" s="5"/>
      <c r="AN89" s="152"/>
      <c r="AO89" s="152"/>
      <c r="AP89">
        <f>IFERROR(Tabelle23[[#This Row],[Vol_ha_19]]*0.537836177777778*1.15,0)</f>
        <v>10.962005305454092</v>
      </c>
      <c r="AQ89">
        <f>IF(Tabelle23[[#This Row],[Year of planting ]]=2015,1,IF(Tabelle23[[#This Row],[Year of planting ]]=2016,2,IF(Tabelle23[[#This Row],[Year of planting ]]=2017,3,IF(Tabelle23[[#This Row],[Year of planting ]]=2018,4,5))))</f>
        <v>5</v>
      </c>
      <c r="AR89">
        <f>INDEX([2]Tabelle2!$A$2:$AU$139,MATCH(Tabelle23[[#This Row],[plot_id]],[2]Tabelle2!$M$2:$M$139,0),20)</f>
        <v>1000</v>
      </c>
      <c r="AS89">
        <f>INDEX([2]Tabelle2!$A$2:$AU$139, MATCH(Tabelle23[[#This Row],[plot_id]],[2]Tabelle2!$M$2:$M$139,0), 19)</f>
        <v>65.5</v>
      </c>
    </row>
    <row r="90" spans="1:45" x14ac:dyDescent="0.3">
      <c r="A90" t="s">
        <v>584</v>
      </c>
      <c r="B90" t="s">
        <v>218</v>
      </c>
      <c r="C90" t="s">
        <v>218</v>
      </c>
      <c r="D90" s="129" t="s">
        <v>585</v>
      </c>
      <c r="F90" t="s">
        <v>590</v>
      </c>
      <c r="G90" s="4">
        <v>43739</v>
      </c>
      <c r="H90" s="154">
        <v>2019</v>
      </c>
      <c r="I90" t="s">
        <v>331</v>
      </c>
      <c r="J90">
        <v>20</v>
      </c>
      <c r="K90" s="5">
        <v>279.99999999999994</v>
      </c>
      <c r="L90" s="5">
        <f t="shared" si="1"/>
        <v>35.714285714285722</v>
      </c>
      <c r="M90" t="s">
        <v>591</v>
      </c>
      <c r="N90" t="s">
        <v>588</v>
      </c>
      <c r="O90">
        <v>0</v>
      </c>
      <c r="P90">
        <v>0</v>
      </c>
      <c r="Q90" s="152" t="s">
        <v>38</v>
      </c>
      <c r="R90" s="5"/>
      <c r="S90" s="5">
        <v>1.3664806045739324</v>
      </c>
      <c r="T90" s="152">
        <v>1.3664806045739324</v>
      </c>
      <c r="U90" s="5">
        <v>3.3625206689639908</v>
      </c>
      <c r="V90" s="5"/>
      <c r="W90" s="5"/>
      <c r="X90" s="5">
        <v>5.5733333333333341</v>
      </c>
      <c r="Y90" s="5">
        <v>1.2831137721889432</v>
      </c>
      <c r="Z90" s="5">
        <v>6.151789966335496</v>
      </c>
      <c r="AA90" s="5">
        <v>3.6</v>
      </c>
      <c r="AB90" s="5">
        <v>7.3</v>
      </c>
      <c r="AC90" s="5">
        <v>5.4933333333333332</v>
      </c>
      <c r="AD90" s="5">
        <v>1.5700166817433472</v>
      </c>
      <c r="AE90" s="5">
        <v>6.2312423023236709</v>
      </c>
      <c r="AF90" s="5">
        <v>3.2</v>
      </c>
      <c r="AG90" s="5">
        <v>7.5</v>
      </c>
      <c r="AH90" s="6">
        <v>428.57142857142856</v>
      </c>
      <c r="AI90" s="6">
        <v>428.57142857142856</v>
      </c>
      <c r="AJ90" s="5">
        <v>0</v>
      </c>
      <c r="AK90" s="6">
        <v>0</v>
      </c>
      <c r="AL90" s="5">
        <v>0</v>
      </c>
      <c r="AM90" s="5">
        <v>0</v>
      </c>
      <c r="AN90" s="5">
        <v>0</v>
      </c>
      <c r="AO90" s="5">
        <v>1</v>
      </c>
      <c r="AP90">
        <f>IFERROR(Tabelle23[[#This Row],[Vol_ha_19]]*0.537836177777778*1.15,0)</f>
        <v>2.0797580539385252</v>
      </c>
      <c r="AQ90">
        <v>1</v>
      </c>
      <c r="AR90">
        <f>INDEX([2]Tabelle2!$A$2:$AU$139,MATCH(Tabelle23[[#This Row],[plot_id]],[2]Tabelle2!$M$2:$M$139,0),20)</f>
        <v>714</v>
      </c>
      <c r="AS90">
        <f>INDEX([2]Tabelle2!$A$2:$AU$139, MATCH(Tabelle23[[#This Row],[plot_id]],[2]Tabelle2!$M$2:$M$139,0), 19)</f>
        <v>37.5</v>
      </c>
    </row>
    <row r="91" spans="1:45" x14ac:dyDescent="0.3">
      <c r="A91" t="s">
        <v>584</v>
      </c>
      <c r="B91" t="s">
        <v>218</v>
      </c>
      <c r="C91" t="s">
        <v>218</v>
      </c>
      <c r="D91" s="129" t="s">
        <v>585</v>
      </c>
      <c r="F91" t="s">
        <v>590</v>
      </c>
      <c r="G91" s="4">
        <v>43739</v>
      </c>
      <c r="H91" s="154">
        <v>2019</v>
      </c>
      <c r="I91" t="s">
        <v>216</v>
      </c>
      <c r="J91">
        <v>20</v>
      </c>
      <c r="K91" s="5">
        <v>279.99999999999994</v>
      </c>
      <c r="L91" s="5">
        <f t="shared" si="1"/>
        <v>35.714285714285722</v>
      </c>
      <c r="M91" t="s">
        <v>591</v>
      </c>
      <c r="N91" t="s">
        <v>588</v>
      </c>
      <c r="O91">
        <v>0</v>
      </c>
      <c r="P91">
        <v>0</v>
      </c>
      <c r="Q91" s="152" t="s">
        <v>38</v>
      </c>
      <c r="R91" s="5"/>
      <c r="S91" s="5">
        <v>0.95524051623214656</v>
      </c>
      <c r="T91" s="152">
        <v>0.84671532001126348</v>
      </c>
      <c r="U91" s="5">
        <v>2.2741046741540445</v>
      </c>
      <c r="V91" s="5"/>
      <c r="W91" s="5"/>
      <c r="X91" s="5">
        <v>6.4444444444444446</v>
      </c>
      <c r="Y91" s="5">
        <v>1.0771619088037721</v>
      </c>
      <c r="Z91" s="5">
        <v>5.9516546762589941</v>
      </c>
      <c r="AA91" s="5">
        <v>4.8</v>
      </c>
      <c r="AB91" s="5">
        <v>8.1</v>
      </c>
      <c r="AC91" s="5">
        <v>5.4454545454545453</v>
      </c>
      <c r="AD91" s="5">
        <v>1.1504829903614915</v>
      </c>
      <c r="AE91" s="5">
        <v>5.3811187784466314</v>
      </c>
      <c r="AF91" s="5">
        <v>3.8</v>
      </c>
      <c r="AG91" s="5">
        <v>7.2</v>
      </c>
      <c r="AH91" s="6">
        <v>392.85714285714289</v>
      </c>
      <c r="AI91" s="6">
        <v>392.85714285714289</v>
      </c>
      <c r="AJ91" s="5">
        <v>0</v>
      </c>
      <c r="AK91" s="6">
        <v>0</v>
      </c>
      <c r="AL91" s="5">
        <v>0</v>
      </c>
      <c r="AM91" s="5">
        <v>0</v>
      </c>
      <c r="AN91" s="5">
        <v>0</v>
      </c>
      <c r="AO91" s="5">
        <v>1</v>
      </c>
      <c r="AP91">
        <f>IFERROR(Tabelle23[[#This Row],[Vol_ha_19]]*0.537836177777778*1.15,0)</f>
        <v>1.406560130685629</v>
      </c>
      <c r="AQ91">
        <v>1</v>
      </c>
      <c r="AR91">
        <f>INDEX([2]Tabelle2!$A$2:$AU$139,MATCH(Tabelle23[[#This Row],[plot_id]],[2]Tabelle2!$M$2:$M$139,0),20)</f>
        <v>714</v>
      </c>
      <c r="AS91">
        <f>INDEX([2]Tabelle2!$A$2:$AU$139, MATCH(Tabelle23[[#This Row],[plot_id]],[2]Tabelle2!$M$2:$M$139,0), 19)</f>
        <v>37.5</v>
      </c>
    </row>
    <row r="92" spans="1:45" x14ac:dyDescent="0.3">
      <c r="A92" t="s">
        <v>584</v>
      </c>
      <c r="B92" t="s">
        <v>216</v>
      </c>
      <c r="C92" t="s">
        <v>216</v>
      </c>
      <c r="D92" s="129" t="s">
        <v>585</v>
      </c>
      <c r="F92" t="s">
        <v>599</v>
      </c>
      <c r="G92" s="4">
        <v>43739</v>
      </c>
      <c r="H92" s="154">
        <v>2019</v>
      </c>
      <c r="I92" t="s">
        <v>326</v>
      </c>
      <c r="J92">
        <v>20</v>
      </c>
      <c r="K92" s="5">
        <v>279.99999999999994</v>
      </c>
      <c r="L92" s="5">
        <f t="shared" si="1"/>
        <v>35.714285714285722</v>
      </c>
      <c r="M92" t="s">
        <v>601</v>
      </c>
      <c r="N92" s="129" t="s">
        <v>589</v>
      </c>
      <c r="O92">
        <v>0</v>
      </c>
      <c r="P92">
        <v>0</v>
      </c>
      <c r="Q92" s="152" t="s">
        <v>38</v>
      </c>
      <c r="R92" s="5"/>
      <c r="S92" s="5">
        <v>1.8107074157784102</v>
      </c>
      <c r="T92" s="152">
        <v>1.8107074157784102</v>
      </c>
      <c r="U92" s="5">
        <v>5.1771797595016675</v>
      </c>
      <c r="V92" s="5"/>
      <c r="W92" s="5"/>
      <c r="X92" s="5">
        <v>7.0866666666666678</v>
      </c>
      <c r="Y92" s="5">
        <v>0.61046430417074082</v>
      </c>
      <c r="Z92" s="5">
        <v>7.1480070639629449</v>
      </c>
      <c r="AA92" s="5">
        <v>5.8</v>
      </c>
      <c r="AB92" s="5">
        <v>8</v>
      </c>
      <c r="AC92" s="5">
        <v>6.5400000000000018</v>
      </c>
      <c r="AD92" s="5">
        <v>0.53157448073758062</v>
      </c>
      <c r="AE92" s="5">
        <v>6.6199882267284247</v>
      </c>
      <c r="AF92" s="5">
        <v>5.5</v>
      </c>
      <c r="AG92" s="5">
        <v>7.6</v>
      </c>
      <c r="AH92" s="6">
        <v>392.85714285714289</v>
      </c>
      <c r="AI92" s="6">
        <v>392.85714285714289</v>
      </c>
      <c r="AJ92" s="5">
        <v>0</v>
      </c>
      <c r="AK92" s="6">
        <v>0</v>
      </c>
      <c r="AL92" s="5">
        <v>0</v>
      </c>
      <c r="AM92" s="5">
        <v>0</v>
      </c>
      <c r="AN92" s="5">
        <v>0</v>
      </c>
      <c r="AO92" s="5">
        <v>1</v>
      </c>
      <c r="AP92">
        <f>IFERROR(Tabelle23[[#This Row],[Vol_ha_19]]*0.537836177777778*1.15,0)</f>
        <v>3.2021457595466809</v>
      </c>
      <c r="AQ92">
        <v>1</v>
      </c>
      <c r="AR92">
        <f>INDEX([2]Tabelle2!$A$2:$AU$139,MATCH(Tabelle23[[#This Row],[plot_id]],[2]Tabelle2!$M$2:$M$139,0),20)</f>
        <v>714</v>
      </c>
      <c r="AS92">
        <f>INDEX([2]Tabelle2!$A$2:$AU$139, MATCH(Tabelle23[[#This Row],[plot_id]],[2]Tabelle2!$M$2:$M$139,0), 19)</f>
        <v>50</v>
      </c>
    </row>
    <row r="93" spans="1:45" x14ac:dyDescent="0.3">
      <c r="A93" t="s">
        <v>584</v>
      </c>
      <c r="B93" t="s">
        <v>216</v>
      </c>
      <c r="C93" t="s">
        <v>216</v>
      </c>
      <c r="D93" s="129" t="s">
        <v>585</v>
      </c>
      <c r="F93" t="s">
        <v>599</v>
      </c>
      <c r="G93" s="4">
        <v>43739</v>
      </c>
      <c r="H93" s="154">
        <v>2019</v>
      </c>
      <c r="I93" t="s">
        <v>321</v>
      </c>
      <c r="J93">
        <v>20</v>
      </c>
      <c r="K93" s="5">
        <v>279.99999999999994</v>
      </c>
      <c r="L93" s="5">
        <f t="shared" si="1"/>
        <v>35.714285714285722</v>
      </c>
      <c r="M93" t="s">
        <v>601</v>
      </c>
      <c r="N93" s="129" t="s">
        <v>589</v>
      </c>
      <c r="O93">
        <v>0</v>
      </c>
      <c r="P93">
        <v>0</v>
      </c>
      <c r="Q93" s="152" t="s">
        <v>38</v>
      </c>
      <c r="R93" s="5"/>
      <c r="S93" s="5">
        <v>1.5688889312552172</v>
      </c>
      <c r="T93" s="152">
        <v>1.5688889312552172</v>
      </c>
      <c r="U93" s="5">
        <v>4.1038938993108838</v>
      </c>
      <c r="V93" s="5"/>
      <c r="W93" s="5"/>
      <c r="X93" s="5">
        <v>6.3411764705882359</v>
      </c>
      <c r="Y93" s="5">
        <v>0.91450726044780928</v>
      </c>
      <c r="Z93" s="5">
        <v>6.5394908102696139</v>
      </c>
      <c r="AA93" s="5">
        <v>3.9</v>
      </c>
      <c r="AB93" s="5">
        <v>7.5</v>
      </c>
      <c r="AC93" s="5">
        <v>5.6705882352941179</v>
      </c>
      <c r="AD93" s="5">
        <v>0.8900594824802095</v>
      </c>
      <c r="AE93" s="5">
        <v>5.8900736608739193</v>
      </c>
      <c r="AF93" s="5">
        <v>2.8</v>
      </c>
      <c r="AG93" s="5">
        <v>6.7</v>
      </c>
      <c r="AH93" s="6">
        <v>357.14285714285717</v>
      </c>
      <c r="AI93" s="6">
        <v>357.14285714285717</v>
      </c>
      <c r="AJ93" s="5">
        <v>0.7</v>
      </c>
      <c r="AK93" s="6">
        <v>70</v>
      </c>
      <c r="AL93" s="5">
        <v>0</v>
      </c>
      <c r="AM93" s="5">
        <v>0</v>
      </c>
      <c r="AN93" s="5">
        <v>0</v>
      </c>
      <c r="AO93" s="5">
        <v>1</v>
      </c>
      <c r="AP93">
        <f>IFERROR(Tabelle23[[#This Row],[Vol_ha_19]]*0.537836177777778*1.15,0)</f>
        <v>2.5383060001325433</v>
      </c>
      <c r="AQ93">
        <v>1</v>
      </c>
      <c r="AR93">
        <f>INDEX([2]Tabelle2!$A$2:$AU$139,MATCH(Tabelle23[[#This Row],[plot_id]],[2]Tabelle2!$M$2:$M$139,0),20)</f>
        <v>714</v>
      </c>
      <c r="AS93">
        <f>INDEX([2]Tabelle2!$A$2:$AU$139, MATCH(Tabelle23[[#This Row],[plot_id]],[2]Tabelle2!$M$2:$M$139,0), 19)</f>
        <v>50</v>
      </c>
    </row>
    <row r="94" spans="1:45" x14ac:dyDescent="0.3">
      <c r="A94" t="s">
        <v>584</v>
      </c>
      <c r="B94" t="s">
        <v>216</v>
      </c>
      <c r="C94" t="s">
        <v>216</v>
      </c>
      <c r="D94" s="129" t="s">
        <v>585</v>
      </c>
      <c r="F94" t="s">
        <v>599</v>
      </c>
      <c r="G94" s="4">
        <v>43739</v>
      </c>
      <c r="H94" s="154">
        <v>2019</v>
      </c>
      <c r="I94" t="s">
        <v>320</v>
      </c>
      <c r="J94">
        <v>20</v>
      </c>
      <c r="K94" s="5">
        <v>279.99999999999994</v>
      </c>
      <c r="L94" s="5">
        <f t="shared" si="1"/>
        <v>35.714285714285722</v>
      </c>
      <c r="M94" t="s">
        <v>601</v>
      </c>
      <c r="N94" t="s">
        <v>588</v>
      </c>
      <c r="O94">
        <v>0</v>
      </c>
      <c r="P94">
        <v>0</v>
      </c>
      <c r="Q94" s="152" t="s">
        <v>38</v>
      </c>
      <c r="R94" s="5"/>
      <c r="S94" s="5">
        <v>1.3814592695472976</v>
      </c>
      <c r="T94" s="152">
        <v>1.3814592695472976</v>
      </c>
      <c r="U94" s="5">
        <v>3.3267581245923759</v>
      </c>
      <c r="V94" s="5"/>
      <c r="W94" s="5"/>
      <c r="X94" s="5">
        <v>5.919999999999999</v>
      </c>
      <c r="Y94" s="5">
        <v>0.63155137784439619</v>
      </c>
      <c r="Z94" s="5">
        <v>6.0203695431472095</v>
      </c>
      <c r="AA94" s="5">
        <v>4.5</v>
      </c>
      <c r="AB94" s="5">
        <v>6.7</v>
      </c>
      <c r="AC94" s="5">
        <v>5.6933333333333325</v>
      </c>
      <c r="AD94" s="5">
        <v>0.67025226238939561</v>
      </c>
      <c r="AE94" s="5">
        <v>5.8333928934010162</v>
      </c>
      <c r="AF94" s="5">
        <v>4.4000000000000004</v>
      </c>
      <c r="AG94" s="5">
        <v>6.5</v>
      </c>
      <c r="AH94" s="6">
        <v>500</v>
      </c>
      <c r="AI94" s="6">
        <v>500</v>
      </c>
      <c r="AJ94" s="5">
        <v>0</v>
      </c>
      <c r="AK94" s="6">
        <v>0</v>
      </c>
      <c r="AL94" s="5">
        <v>0</v>
      </c>
      <c r="AM94" s="5">
        <v>0</v>
      </c>
      <c r="AN94" s="5">
        <v>0</v>
      </c>
      <c r="AO94" s="5">
        <v>1</v>
      </c>
      <c r="AP94">
        <f>IFERROR(Tabelle23[[#This Row],[Vol_ha_19]]*0.537836177777778*1.15,0)</f>
        <v>2.057638505240222</v>
      </c>
      <c r="AQ94">
        <v>1</v>
      </c>
      <c r="AR94">
        <f>INDEX([2]Tabelle2!$A$2:$AU$139,MATCH(Tabelle23[[#This Row],[plot_id]],[2]Tabelle2!$M$2:$M$139,0),20)</f>
        <v>714</v>
      </c>
      <c r="AS94">
        <f>INDEX([2]Tabelle2!$A$2:$AU$139, MATCH(Tabelle23[[#This Row],[plot_id]],[2]Tabelle2!$M$2:$M$139,0), 19)</f>
        <v>50</v>
      </c>
    </row>
    <row r="95" spans="1:45" x14ac:dyDescent="0.3">
      <c r="A95" t="s">
        <v>584</v>
      </c>
      <c r="B95" t="s">
        <v>216</v>
      </c>
      <c r="C95" t="s">
        <v>216</v>
      </c>
      <c r="D95" s="129" t="s">
        <v>585</v>
      </c>
      <c r="F95" t="s">
        <v>599</v>
      </c>
      <c r="G95" s="4">
        <v>43739</v>
      </c>
      <c r="H95" s="154">
        <v>2019</v>
      </c>
      <c r="I95" t="s">
        <v>322</v>
      </c>
      <c r="J95">
        <v>20</v>
      </c>
      <c r="K95" s="5">
        <v>279.99999999999994</v>
      </c>
      <c r="L95" s="5">
        <f t="shared" si="1"/>
        <v>35.714285714285722</v>
      </c>
      <c r="M95" t="s">
        <v>601</v>
      </c>
      <c r="N95" s="129" t="s">
        <v>589</v>
      </c>
      <c r="O95">
        <v>0</v>
      </c>
      <c r="P95">
        <v>0</v>
      </c>
      <c r="Q95" s="152" t="s">
        <v>38</v>
      </c>
      <c r="R95" s="5"/>
      <c r="S95" s="5">
        <v>1.7432473235294506</v>
      </c>
      <c r="T95" s="152">
        <v>1.5081327733295429</v>
      </c>
      <c r="U95" s="5">
        <v>4.2762125003550358</v>
      </c>
      <c r="V95" s="5"/>
      <c r="W95" s="5"/>
      <c r="X95" s="5">
        <v>6.7714285714285705</v>
      </c>
      <c r="Y95" s="5">
        <v>0.99647731181750665</v>
      </c>
      <c r="Z95" s="5">
        <v>6.1325384565875014</v>
      </c>
      <c r="AA95" s="5">
        <v>4.8</v>
      </c>
      <c r="AB95" s="5">
        <v>8.5</v>
      </c>
      <c r="AC95" s="5">
        <v>5.7444444444444445</v>
      </c>
      <c r="AD95" s="5">
        <v>1.2139301353975704</v>
      </c>
      <c r="AE95" s="5">
        <v>5.6179764433288293</v>
      </c>
      <c r="AF95" s="5">
        <v>3.5</v>
      </c>
      <c r="AG95" s="5">
        <v>7.6</v>
      </c>
      <c r="AH95" s="6">
        <v>464.28571428571428</v>
      </c>
      <c r="AI95" s="6">
        <v>464.28571428571428</v>
      </c>
      <c r="AJ95" s="5">
        <v>0</v>
      </c>
      <c r="AK95" s="6">
        <v>0</v>
      </c>
      <c r="AL95" s="5">
        <v>0</v>
      </c>
      <c r="AM95" s="5">
        <v>0</v>
      </c>
      <c r="AN95" s="5">
        <v>0</v>
      </c>
      <c r="AO95" s="5">
        <v>1</v>
      </c>
      <c r="AP95">
        <f>IFERROR(Tabelle23[[#This Row],[Vol_ha_19]]*0.537836177777778*1.15,0)</f>
        <v>2.6448870545399834</v>
      </c>
      <c r="AQ95">
        <v>1</v>
      </c>
      <c r="AR95">
        <f>INDEX([2]Tabelle2!$A$2:$AU$139,MATCH(Tabelle23[[#This Row],[plot_id]],[2]Tabelle2!$M$2:$M$139,0),20)</f>
        <v>714</v>
      </c>
      <c r="AS95">
        <f>INDEX([2]Tabelle2!$A$2:$AU$139, MATCH(Tabelle23[[#This Row],[plot_id]],[2]Tabelle2!$M$2:$M$139,0), 19)</f>
        <v>50</v>
      </c>
    </row>
    <row r="96" spans="1:45" x14ac:dyDescent="0.3">
      <c r="A96" t="s">
        <v>584</v>
      </c>
      <c r="B96" t="s">
        <v>216</v>
      </c>
      <c r="C96" t="s">
        <v>216</v>
      </c>
      <c r="D96" s="129" t="s">
        <v>585</v>
      </c>
      <c r="F96" t="s">
        <v>599</v>
      </c>
      <c r="G96" s="4">
        <v>43739</v>
      </c>
      <c r="H96" s="154">
        <v>2019</v>
      </c>
      <c r="I96" t="s">
        <v>324</v>
      </c>
      <c r="J96">
        <v>20</v>
      </c>
      <c r="K96" s="5">
        <v>279.99999999999994</v>
      </c>
      <c r="L96" s="5">
        <f t="shared" si="1"/>
        <v>35.714285714285722</v>
      </c>
      <c r="M96" t="s">
        <v>601</v>
      </c>
      <c r="N96" s="129" t="s">
        <v>589</v>
      </c>
      <c r="O96">
        <v>0</v>
      </c>
      <c r="P96">
        <v>0</v>
      </c>
      <c r="Q96" s="152" t="s">
        <v>38</v>
      </c>
      <c r="R96" s="5"/>
      <c r="S96" s="5">
        <v>1.7557295443405894</v>
      </c>
      <c r="T96" s="152">
        <v>1.7557295443405894</v>
      </c>
      <c r="U96" s="5">
        <v>5.4695004679286923</v>
      </c>
      <c r="V96" s="5"/>
      <c r="W96" s="5"/>
      <c r="X96" s="5">
        <v>7.6999999999999993</v>
      </c>
      <c r="Y96" s="5">
        <v>0.72111025509279802</v>
      </c>
      <c r="Z96" s="5">
        <v>7.7880737462655549</v>
      </c>
      <c r="AA96" s="5">
        <v>6.5</v>
      </c>
      <c r="AB96" s="5">
        <v>9</v>
      </c>
      <c r="AC96" s="5">
        <v>6.9153846153846157</v>
      </c>
      <c r="AD96" s="5">
        <v>0.59420276259617222</v>
      </c>
      <c r="AE96" s="5">
        <v>7.009443548000573</v>
      </c>
      <c r="AF96" s="5">
        <v>6</v>
      </c>
      <c r="AG96" s="5">
        <v>8</v>
      </c>
      <c r="AH96" s="6">
        <v>464.28571428571428</v>
      </c>
      <c r="AI96" s="6">
        <v>464.28571428571428</v>
      </c>
      <c r="AJ96" s="5">
        <v>0</v>
      </c>
      <c r="AK96" s="6">
        <v>0</v>
      </c>
      <c r="AL96" s="5">
        <v>0</v>
      </c>
      <c r="AM96" s="5">
        <v>0</v>
      </c>
      <c r="AN96" s="5">
        <v>0</v>
      </c>
      <c r="AO96" s="5">
        <v>1</v>
      </c>
      <c r="AP96">
        <f>IFERROR(Tabelle23[[#This Row],[Vol_ha_19]]*0.537836177777778*1.15,0)</f>
        <v>3.3829495099282165</v>
      </c>
      <c r="AQ96">
        <v>1</v>
      </c>
      <c r="AR96">
        <f>INDEX([2]Tabelle2!$A$2:$AU$139,MATCH(Tabelle23[[#This Row],[plot_id]],[2]Tabelle2!$M$2:$M$139,0),20)</f>
        <v>714</v>
      </c>
      <c r="AS96">
        <f>INDEX([2]Tabelle2!$A$2:$AU$139, MATCH(Tabelle23[[#This Row],[plot_id]],[2]Tabelle2!$M$2:$M$139,0), 19)</f>
        <v>50</v>
      </c>
    </row>
    <row r="97" spans="1:45" x14ac:dyDescent="0.3">
      <c r="A97" t="s">
        <v>584</v>
      </c>
      <c r="B97" t="s">
        <v>218</v>
      </c>
      <c r="C97" t="s">
        <v>218</v>
      </c>
      <c r="D97" s="129" t="s">
        <v>585</v>
      </c>
      <c r="F97" t="s">
        <v>590</v>
      </c>
      <c r="G97" s="4">
        <v>43739</v>
      </c>
      <c r="H97" s="154">
        <v>2019</v>
      </c>
      <c r="I97" t="s">
        <v>221</v>
      </c>
      <c r="J97">
        <v>20</v>
      </c>
      <c r="K97" s="5">
        <v>279.99999999999994</v>
      </c>
      <c r="L97" s="5">
        <f t="shared" si="1"/>
        <v>35.714285714285722</v>
      </c>
      <c r="M97" t="s">
        <v>591</v>
      </c>
      <c r="N97" s="129" t="s">
        <v>589</v>
      </c>
      <c r="O97">
        <v>0</v>
      </c>
      <c r="P97">
        <v>0</v>
      </c>
      <c r="Q97" s="152" t="s">
        <v>38</v>
      </c>
      <c r="R97" s="5"/>
      <c r="S97" s="5">
        <v>0.63987510369366396</v>
      </c>
      <c r="T97" s="152">
        <v>0.63987510369366396</v>
      </c>
      <c r="U97" s="5">
        <v>1.0807303127824146</v>
      </c>
      <c r="V97" s="5"/>
      <c r="W97" s="5"/>
      <c r="X97" s="5">
        <v>3.8400000000000003</v>
      </c>
      <c r="Y97" s="5">
        <v>0.97379962738014691</v>
      </c>
      <c r="Z97" s="5">
        <v>4.2224267929160106</v>
      </c>
      <c r="AA97" s="5">
        <v>1.6</v>
      </c>
      <c r="AB97" s="5">
        <v>5.5</v>
      </c>
      <c r="AC97" s="5">
        <v>3.7733333333333334</v>
      </c>
      <c r="AD97" s="5">
        <v>1.0194302797337818</v>
      </c>
      <c r="AE97" s="5">
        <v>4.198509556373839</v>
      </c>
      <c r="AF97" s="5">
        <v>1.1000000000000001</v>
      </c>
      <c r="AG97" s="5">
        <v>5.3</v>
      </c>
      <c r="AH97" s="6">
        <v>500</v>
      </c>
      <c r="AI97" s="6">
        <v>500</v>
      </c>
      <c r="AJ97" s="5">
        <v>0</v>
      </c>
      <c r="AK97" s="6">
        <v>0</v>
      </c>
      <c r="AL97" s="5">
        <v>0</v>
      </c>
      <c r="AM97" s="5">
        <v>0</v>
      </c>
      <c r="AN97" s="5">
        <v>0</v>
      </c>
      <c r="AO97" s="5">
        <v>1</v>
      </c>
      <c r="AP97">
        <f>IFERROR(Tabelle23[[#This Row],[Vol_ha_19]]*0.537836177777778*1.15,0)</f>
        <v>0.66844423973079781</v>
      </c>
      <c r="AQ97">
        <v>1</v>
      </c>
      <c r="AR97">
        <f>INDEX([2]Tabelle2!$A$2:$AU$139,MATCH(Tabelle23[[#This Row],[plot_id]],[2]Tabelle2!$M$2:$M$139,0),20)</f>
        <v>714</v>
      </c>
      <c r="AS97">
        <f>INDEX([2]Tabelle2!$A$2:$AU$139, MATCH(Tabelle23[[#This Row],[plot_id]],[2]Tabelle2!$M$2:$M$139,0), 19)</f>
        <v>37.5</v>
      </c>
    </row>
    <row r="98" spans="1:45" x14ac:dyDescent="0.3">
      <c r="A98" t="s">
        <v>584</v>
      </c>
      <c r="B98" t="s">
        <v>218</v>
      </c>
      <c r="C98" t="s">
        <v>218</v>
      </c>
      <c r="D98" s="129" t="s">
        <v>585</v>
      </c>
      <c r="F98" t="s">
        <v>590</v>
      </c>
      <c r="G98" s="4">
        <v>43739</v>
      </c>
      <c r="H98" s="154">
        <v>2019</v>
      </c>
      <c r="I98" t="s">
        <v>323</v>
      </c>
      <c r="J98">
        <v>20</v>
      </c>
      <c r="K98" s="5">
        <v>279.99999999999994</v>
      </c>
      <c r="L98" s="5">
        <f t="shared" si="1"/>
        <v>35.714285714285722</v>
      </c>
      <c r="M98" t="s">
        <v>591</v>
      </c>
      <c r="N98" s="129" t="s">
        <v>589</v>
      </c>
      <c r="O98">
        <v>0</v>
      </c>
      <c r="P98">
        <v>0</v>
      </c>
      <c r="Q98" s="152" t="s">
        <v>38</v>
      </c>
      <c r="R98" s="5"/>
      <c r="S98" s="5">
        <v>1.1378455892220536</v>
      </c>
      <c r="T98" s="152">
        <v>1.1378455892220536</v>
      </c>
      <c r="U98" s="5">
        <v>2.7913521966043362</v>
      </c>
      <c r="V98" s="5"/>
      <c r="W98" s="5"/>
      <c r="X98" s="5">
        <v>5.8454545454545448</v>
      </c>
      <c r="Y98" s="5">
        <v>1.0093202032691502</v>
      </c>
      <c r="Z98" s="5">
        <v>6.1329767040552188</v>
      </c>
      <c r="AA98" s="5">
        <v>4</v>
      </c>
      <c r="AB98" s="5">
        <v>7.2</v>
      </c>
      <c r="AC98" s="5">
        <v>5.9727272727272718</v>
      </c>
      <c r="AD98" s="5">
        <v>1.1507309929700469</v>
      </c>
      <c r="AE98" s="5">
        <v>6.3394773819795383</v>
      </c>
      <c r="AF98" s="5">
        <v>4</v>
      </c>
      <c r="AG98" s="5">
        <v>7.3</v>
      </c>
      <c r="AH98" s="6">
        <v>428.57142857142856</v>
      </c>
      <c r="AI98" s="6">
        <v>428.57142857142856</v>
      </c>
      <c r="AJ98" s="5">
        <v>0</v>
      </c>
      <c r="AK98" s="6">
        <v>0</v>
      </c>
      <c r="AL98" s="5">
        <v>0</v>
      </c>
      <c r="AM98" s="5">
        <v>0</v>
      </c>
      <c r="AN98" s="5">
        <v>0</v>
      </c>
      <c r="AO98" s="5">
        <v>1</v>
      </c>
      <c r="AP98">
        <f>IFERROR(Tabelle23[[#This Row],[Vol_ha_19]]*0.537836177777778*1.15,0)</f>
        <v>1.7264837256912731</v>
      </c>
      <c r="AQ98">
        <v>1</v>
      </c>
      <c r="AR98">
        <f>INDEX([2]Tabelle2!$A$2:$AU$139,MATCH(Tabelle23[[#This Row],[plot_id]],[2]Tabelle2!$M$2:$M$139,0),20)</f>
        <v>714</v>
      </c>
      <c r="AS98">
        <f>INDEX([2]Tabelle2!$A$2:$AU$139, MATCH(Tabelle23[[#This Row],[plot_id]],[2]Tabelle2!$M$2:$M$139,0), 19)</f>
        <v>37.5</v>
      </c>
    </row>
    <row r="99" spans="1:45" x14ac:dyDescent="0.3">
      <c r="A99" t="s">
        <v>584</v>
      </c>
      <c r="B99" t="s">
        <v>218</v>
      </c>
      <c r="C99" t="s">
        <v>218</v>
      </c>
      <c r="D99" s="129" t="s">
        <v>585</v>
      </c>
      <c r="F99" t="s">
        <v>590</v>
      </c>
      <c r="G99" s="4">
        <v>43739</v>
      </c>
      <c r="H99" s="154">
        <v>2019</v>
      </c>
      <c r="I99" t="s">
        <v>325</v>
      </c>
      <c r="J99">
        <v>20</v>
      </c>
      <c r="K99" s="5">
        <v>279.99999999999994</v>
      </c>
      <c r="L99" s="5">
        <f t="shared" si="1"/>
        <v>35.714285714285722</v>
      </c>
      <c r="M99" t="s">
        <v>591</v>
      </c>
      <c r="N99" t="s">
        <v>588</v>
      </c>
      <c r="O99">
        <v>0</v>
      </c>
      <c r="P99">
        <v>0</v>
      </c>
      <c r="Q99" s="152" t="s">
        <v>38</v>
      </c>
      <c r="R99" s="5"/>
      <c r="S99" s="5">
        <v>2.4294609188635645</v>
      </c>
      <c r="T99" s="152">
        <v>2.4294609188635645</v>
      </c>
      <c r="U99" s="5">
        <v>7.0614756171982886</v>
      </c>
      <c r="V99" s="5"/>
      <c r="W99" s="5"/>
      <c r="X99" s="5">
        <v>7.0941176470588241</v>
      </c>
      <c r="Y99" s="5">
        <v>0.78140145590734378</v>
      </c>
      <c r="Z99" s="5">
        <v>7.2665046413891847</v>
      </c>
      <c r="AA99" s="5">
        <v>5.7</v>
      </c>
      <c r="AB99" s="5">
        <v>8.1</v>
      </c>
      <c r="AC99" s="5">
        <v>7.0588235294117663</v>
      </c>
      <c r="AD99" s="5">
        <v>1.091477681591221</v>
      </c>
      <c r="AE99" s="5">
        <v>7.3560545882787611</v>
      </c>
      <c r="AF99" s="5">
        <v>5</v>
      </c>
      <c r="AG99" s="5">
        <v>8.6999999999999993</v>
      </c>
      <c r="AH99" s="6">
        <v>357.14285714285717</v>
      </c>
      <c r="AI99" s="6">
        <v>357.14285714285717</v>
      </c>
      <c r="AJ99" s="5">
        <v>0</v>
      </c>
      <c r="AK99" s="6">
        <v>0</v>
      </c>
      <c r="AL99" s="5">
        <v>0</v>
      </c>
      <c r="AM99" s="5">
        <v>0</v>
      </c>
      <c r="AN99" s="5">
        <v>0</v>
      </c>
      <c r="AO99" s="5">
        <v>1</v>
      </c>
      <c r="AP99">
        <f>IFERROR(Tabelle23[[#This Row],[Vol_ha_19]]*0.537836177777778*1.15,0)</f>
        <v>4.3676046137386386</v>
      </c>
      <c r="AQ99">
        <v>1</v>
      </c>
      <c r="AR99">
        <f>INDEX([2]Tabelle2!$A$2:$AU$139,MATCH(Tabelle23[[#This Row],[plot_id]],[2]Tabelle2!$M$2:$M$139,0),20)</f>
        <v>714</v>
      </c>
      <c r="AS99">
        <f>INDEX([2]Tabelle2!$A$2:$AU$139, MATCH(Tabelle23[[#This Row],[plot_id]],[2]Tabelle2!$M$2:$M$139,0), 19)</f>
        <v>37.5</v>
      </c>
    </row>
    <row r="100" spans="1:45" x14ac:dyDescent="0.3">
      <c r="A100" t="s">
        <v>584</v>
      </c>
      <c r="B100" t="s">
        <v>223</v>
      </c>
      <c r="C100" t="s">
        <v>223</v>
      </c>
      <c r="D100" s="129" t="s">
        <v>585</v>
      </c>
      <c r="F100" t="s">
        <v>599</v>
      </c>
      <c r="G100" s="4">
        <v>43556</v>
      </c>
      <c r="H100" s="154">
        <v>2019</v>
      </c>
      <c r="I100" t="s">
        <v>334</v>
      </c>
      <c r="J100">
        <v>20</v>
      </c>
      <c r="K100" s="5">
        <v>279.99999999999994</v>
      </c>
      <c r="L100" s="5">
        <f t="shared" si="1"/>
        <v>35.714285714285722</v>
      </c>
      <c r="M100" t="s">
        <v>601</v>
      </c>
      <c r="N100" s="129" t="s">
        <v>589</v>
      </c>
      <c r="O100">
        <v>0</v>
      </c>
      <c r="P100">
        <v>0</v>
      </c>
      <c r="Q100" s="152" t="s">
        <v>38</v>
      </c>
      <c r="R100" s="5"/>
      <c r="S100" s="5">
        <v>2.84213155386011</v>
      </c>
      <c r="T100" s="152">
        <v>2.7720067178424803</v>
      </c>
      <c r="U100" s="5">
        <v>9.4677661682442533</v>
      </c>
      <c r="V100" s="5"/>
      <c r="W100" s="5"/>
      <c r="X100" s="5">
        <v>8.3933333333333326</v>
      </c>
      <c r="Y100" s="5">
        <v>0.85395438709458915</v>
      </c>
      <c r="Z100" s="5">
        <v>8.3280506099245972</v>
      </c>
      <c r="AA100" s="5">
        <v>7</v>
      </c>
      <c r="AB100" s="5">
        <v>9.8000000000000007</v>
      </c>
      <c r="AC100" s="5">
        <v>7.875</v>
      </c>
      <c r="AD100" s="5">
        <v>0.93248260548055606</v>
      </c>
      <c r="AE100" s="5">
        <v>8.0568591843985633</v>
      </c>
      <c r="AF100" s="5">
        <v>6.1</v>
      </c>
      <c r="AG100" s="5">
        <v>9.6999999999999993</v>
      </c>
      <c r="AH100" s="6">
        <v>500</v>
      </c>
      <c r="AI100" s="6">
        <v>500</v>
      </c>
      <c r="AJ100" s="5">
        <v>0</v>
      </c>
      <c r="AK100" s="6">
        <v>0</v>
      </c>
      <c r="AL100" s="5">
        <v>0</v>
      </c>
      <c r="AM100" s="5">
        <v>0</v>
      </c>
      <c r="AN100" s="5">
        <v>0</v>
      </c>
      <c r="AO100" s="5">
        <v>1</v>
      </c>
      <c r="AP100">
        <f>IFERROR(Tabelle23[[#This Row],[Vol_ha_19]]*0.537836177777778*1.15,0)</f>
        <v>5.8559232432255861</v>
      </c>
      <c r="AQ100">
        <v>1</v>
      </c>
      <c r="AR100">
        <f>INDEX([2]Tabelle2!$A$2:$AU$139,MATCH(Tabelle23[[#This Row],[plot_id]],[2]Tabelle2!$M$2:$M$139,0),20)</f>
        <v>714</v>
      </c>
      <c r="AS100">
        <f>INDEX([2]Tabelle2!$A$2:$AU$139, MATCH(Tabelle23[[#This Row],[plot_id]],[2]Tabelle2!$M$2:$M$139,0), 19)</f>
        <v>13.5</v>
      </c>
    </row>
    <row r="101" spans="1:45" x14ac:dyDescent="0.3">
      <c r="A101" t="s">
        <v>584</v>
      </c>
      <c r="B101" t="s">
        <v>229</v>
      </c>
      <c r="C101" t="s">
        <v>229</v>
      </c>
      <c r="D101" s="129" t="s">
        <v>585</v>
      </c>
      <c r="F101" t="s">
        <v>586</v>
      </c>
      <c r="G101" s="4">
        <v>43405</v>
      </c>
      <c r="H101" s="129">
        <v>2018</v>
      </c>
      <c r="I101" t="s">
        <v>347</v>
      </c>
      <c r="J101">
        <v>20</v>
      </c>
      <c r="K101" s="5">
        <v>279.99999999999994</v>
      </c>
      <c r="L101" s="5">
        <f t="shared" si="1"/>
        <v>35.714285714285722</v>
      </c>
      <c r="M101" t="s">
        <v>587</v>
      </c>
      <c r="N101" s="129" t="s">
        <v>589</v>
      </c>
      <c r="O101">
        <v>0</v>
      </c>
      <c r="P101">
        <v>0</v>
      </c>
      <c r="Q101" s="152" t="s">
        <v>38</v>
      </c>
      <c r="R101" s="5"/>
      <c r="S101" s="5">
        <v>1.5700950784347207</v>
      </c>
      <c r="T101" s="152">
        <v>1.54650508359839</v>
      </c>
      <c r="U101" s="5">
        <v>4.5230126532289212</v>
      </c>
      <c r="V101" s="5"/>
      <c r="W101" s="5"/>
      <c r="X101" s="5">
        <v>6.7105263157894726</v>
      </c>
      <c r="Y101" s="5">
        <v>2.2528734088916837</v>
      </c>
      <c r="Z101" s="5">
        <v>7.2018133095131747</v>
      </c>
      <c r="AA101" s="5">
        <v>2.8</v>
      </c>
      <c r="AB101" s="5">
        <v>10.6</v>
      </c>
      <c r="AC101" s="5">
        <v>5.1150000000000002</v>
      </c>
      <c r="AD101" s="5">
        <v>1.3191127622505072</v>
      </c>
      <c r="AE101" s="5">
        <v>5.7459651630192061</v>
      </c>
      <c r="AF101" s="5">
        <v>2.8</v>
      </c>
      <c r="AG101" s="5">
        <v>8</v>
      </c>
      <c r="AH101" s="6">
        <v>392.85714285714289</v>
      </c>
      <c r="AI101" s="6">
        <v>392.85714285714289</v>
      </c>
      <c r="AJ101" s="5">
        <v>1</v>
      </c>
      <c r="AK101" s="6">
        <v>100</v>
      </c>
      <c r="AL101" s="5">
        <v>0</v>
      </c>
      <c r="AM101" s="5">
        <v>0</v>
      </c>
      <c r="AN101" s="5">
        <v>0</v>
      </c>
      <c r="AO101" s="5">
        <v>1</v>
      </c>
      <c r="AP101">
        <f>IFERROR(Tabelle23[[#This Row],[Vol_ha_19]]*0.537836177777778*1.15,0)</f>
        <v>2.7975358130711445</v>
      </c>
      <c r="AQ101">
        <v>1</v>
      </c>
      <c r="AR101">
        <f>INDEX([2]Tabelle2!$A$2:$AU$139,MATCH(Tabelle23[[#This Row],[plot_id]],[2]Tabelle2!$M$2:$M$139,0),20)</f>
        <v>714</v>
      </c>
      <c r="AS101">
        <f>INDEX([2]Tabelle2!$A$2:$AU$139, MATCH(Tabelle23[[#This Row],[plot_id]],[2]Tabelle2!$M$2:$M$139,0), 19)</f>
        <v>28</v>
      </c>
    </row>
    <row r="102" spans="1:45" x14ac:dyDescent="0.3">
      <c r="A102" t="s">
        <v>584</v>
      </c>
      <c r="B102" t="s">
        <v>229</v>
      </c>
      <c r="C102" t="s">
        <v>229</v>
      </c>
      <c r="D102" s="129" t="s">
        <v>585</v>
      </c>
      <c r="F102" t="s">
        <v>586</v>
      </c>
      <c r="G102" s="4">
        <v>43405</v>
      </c>
      <c r="H102" s="129">
        <v>2018</v>
      </c>
      <c r="I102" t="s">
        <v>345</v>
      </c>
      <c r="J102">
        <v>20</v>
      </c>
      <c r="K102" s="5">
        <v>279.99999999999994</v>
      </c>
      <c r="L102" s="5">
        <f t="shared" si="1"/>
        <v>35.714285714285722</v>
      </c>
      <c r="M102" t="s">
        <v>587</v>
      </c>
      <c r="N102" s="129" t="s">
        <v>589</v>
      </c>
      <c r="O102">
        <v>0</v>
      </c>
      <c r="P102">
        <v>0</v>
      </c>
      <c r="Q102" s="152" t="s">
        <v>38</v>
      </c>
      <c r="R102" s="5"/>
      <c r="S102" s="5">
        <v>1.6943282379235527</v>
      </c>
      <c r="T102" s="152">
        <v>1.6943282379235527</v>
      </c>
      <c r="U102" s="5">
        <v>5.2298463163443465</v>
      </c>
      <c r="V102" s="5"/>
      <c r="W102" s="5"/>
      <c r="X102" s="5">
        <v>7.1599999999999993</v>
      </c>
      <c r="Y102" s="5">
        <v>1.3978931515526869</v>
      </c>
      <c r="Z102" s="5">
        <v>7.7166959141778682</v>
      </c>
      <c r="AA102" s="5">
        <v>5</v>
      </c>
      <c r="AB102" s="5">
        <v>9.6</v>
      </c>
      <c r="AC102" s="5">
        <v>5.3699999999999992</v>
      </c>
      <c r="AD102" s="5">
        <v>1.1987273953743911</v>
      </c>
      <c r="AE102" s="5">
        <v>5.8642341566783651</v>
      </c>
      <c r="AF102" s="5">
        <v>3.7</v>
      </c>
      <c r="AG102" s="5">
        <v>7.8</v>
      </c>
      <c r="AH102" s="6">
        <v>464.28571428571428</v>
      </c>
      <c r="AI102" s="6">
        <v>464.28571428571428</v>
      </c>
      <c r="AJ102" s="5">
        <v>0</v>
      </c>
      <c r="AK102" s="6">
        <v>0</v>
      </c>
      <c r="AL102" s="5">
        <v>7.6923076923076927E-2</v>
      </c>
      <c r="AM102" s="5">
        <v>0</v>
      </c>
      <c r="AN102" s="5">
        <v>0</v>
      </c>
      <c r="AO102" s="5">
        <v>1</v>
      </c>
      <c r="AP102">
        <f>IFERROR(Tabelle23[[#This Row],[Vol_ha_19]]*0.537836177777778*1.15,0)</f>
        <v>3.2347206361200107</v>
      </c>
      <c r="AQ102">
        <v>1</v>
      </c>
      <c r="AR102">
        <f>INDEX([2]Tabelle2!$A$2:$AU$139,MATCH(Tabelle23[[#This Row],[plot_id]],[2]Tabelle2!$M$2:$M$139,0),20)</f>
        <v>714</v>
      </c>
      <c r="AS102">
        <f>INDEX([2]Tabelle2!$A$2:$AU$139, MATCH(Tabelle23[[#This Row],[plot_id]],[2]Tabelle2!$M$2:$M$139,0), 19)</f>
        <v>28</v>
      </c>
    </row>
    <row r="103" spans="1:45" x14ac:dyDescent="0.3">
      <c r="A103" t="s">
        <v>584</v>
      </c>
      <c r="B103" t="s">
        <v>229</v>
      </c>
      <c r="C103" t="s">
        <v>229</v>
      </c>
      <c r="D103" s="129" t="s">
        <v>585</v>
      </c>
      <c r="F103" t="s">
        <v>586</v>
      </c>
      <c r="G103" s="4">
        <v>43405</v>
      </c>
      <c r="H103" s="129">
        <v>2018</v>
      </c>
      <c r="I103" t="s">
        <v>348</v>
      </c>
      <c r="J103">
        <v>20</v>
      </c>
      <c r="K103" s="5">
        <v>279.99999999999994</v>
      </c>
      <c r="L103" s="5">
        <f t="shared" si="1"/>
        <v>35.714285714285722</v>
      </c>
      <c r="M103" t="s">
        <v>587</v>
      </c>
      <c r="N103" s="129" t="s">
        <v>589</v>
      </c>
      <c r="O103">
        <v>0</v>
      </c>
      <c r="P103">
        <v>0</v>
      </c>
      <c r="Q103" s="152" t="s">
        <v>38</v>
      </c>
      <c r="R103" s="5"/>
      <c r="S103" s="5">
        <v>1.4474327152726834</v>
      </c>
      <c r="T103" s="152">
        <v>1.3763822314196212</v>
      </c>
      <c r="U103" s="5">
        <v>3.8622560563652724</v>
      </c>
      <c r="V103" s="5"/>
      <c r="W103" s="5"/>
      <c r="X103" s="5">
        <v>6.35</v>
      </c>
      <c r="Y103" s="5">
        <v>1.550426886187078</v>
      </c>
      <c r="Z103" s="5">
        <v>6.6708732219681419</v>
      </c>
      <c r="AA103" s="5">
        <v>3.4</v>
      </c>
      <c r="AB103" s="5">
        <v>8.8000000000000007</v>
      </c>
      <c r="AC103" s="5">
        <v>4.8500000000000005</v>
      </c>
      <c r="AD103" s="5">
        <v>1.5659885891787035</v>
      </c>
      <c r="AE103" s="5">
        <v>5.5691891787140042</v>
      </c>
      <c r="AF103" s="5">
        <v>2.2999999999999998</v>
      </c>
      <c r="AG103" s="5">
        <v>7.8</v>
      </c>
      <c r="AH103" s="6">
        <v>321.42857142857144</v>
      </c>
      <c r="AI103" s="6">
        <v>321.42857142857144</v>
      </c>
      <c r="AJ103" s="5">
        <v>0</v>
      </c>
      <c r="AK103" s="6">
        <v>0</v>
      </c>
      <c r="AL103" s="5">
        <v>0</v>
      </c>
      <c r="AM103" s="5">
        <v>0</v>
      </c>
      <c r="AN103" s="5">
        <v>0</v>
      </c>
      <c r="AO103" s="5">
        <v>1</v>
      </c>
      <c r="AP103">
        <f>IFERROR(Tabelle23[[#This Row],[Vol_ha_19]]*0.537836177777778*1.15,0)</f>
        <v>2.3888501901977581</v>
      </c>
      <c r="AQ103">
        <v>1</v>
      </c>
      <c r="AR103">
        <f>INDEX([2]Tabelle2!$A$2:$AU$139,MATCH(Tabelle23[[#This Row],[plot_id]],[2]Tabelle2!$M$2:$M$139,0),20)</f>
        <v>714</v>
      </c>
      <c r="AS103">
        <f>INDEX([2]Tabelle2!$A$2:$AU$139, MATCH(Tabelle23[[#This Row],[plot_id]],[2]Tabelle2!$M$2:$M$139,0), 19)</f>
        <v>28</v>
      </c>
    </row>
    <row r="104" spans="1:45" x14ac:dyDescent="0.3">
      <c r="A104" t="s">
        <v>584</v>
      </c>
      <c r="B104" t="s">
        <v>229</v>
      </c>
      <c r="C104" t="s">
        <v>229</v>
      </c>
      <c r="D104" s="129" t="s">
        <v>585</v>
      </c>
      <c r="F104" t="s">
        <v>586</v>
      </c>
      <c r="G104" s="4">
        <v>43405</v>
      </c>
      <c r="H104" s="129">
        <v>2018</v>
      </c>
      <c r="I104" t="s">
        <v>346</v>
      </c>
      <c r="J104">
        <v>20</v>
      </c>
      <c r="K104" s="5">
        <v>279.99999999999994</v>
      </c>
      <c r="L104" s="5">
        <f t="shared" si="1"/>
        <v>35.714285714285722</v>
      </c>
      <c r="M104" t="s">
        <v>587</v>
      </c>
      <c r="N104" s="129" t="s">
        <v>589</v>
      </c>
      <c r="O104">
        <v>0</v>
      </c>
      <c r="P104">
        <v>0</v>
      </c>
      <c r="Q104" s="152" t="s">
        <v>38</v>
      </c>
      <c r="R104" s="5"/>
      <c r="S104" s="5">
        <v>1.8528384172578021</v>
      </c>
      <c r="T104" s="152">
        <v>1.7774121436372399</v>
      </c>
      <c r="U104" s="5">
        <v>5.1849338833691512</v>
      </c>
      <c r="V104" s="5"/>
      <c r="W104" s="5"/>
      <c r="X104" s="5">
        <v>7.0117647058823529</v>
      </c>
      <c r="Y104" s="5">
        <v>1.2931948581619335</v>
      </c>
      <c r="Z104" s="5">
        <v>6.9959336916206176</v>
      </c>
      <c r="AA104" s="5">
        <v>5</v>
      </c>
      <c r="AB104" s="5">
        <v>9.4</v>
      </c>
      <c r="AC104" s="5">
        <v>5.784210526315789</v>
      </c>
      <c r="AD104" s="5">
        <v>0.94996129952132191</v>
      </c>
      <c r="AE104" s="5">
        <v>6.0554537885095749</v>
      </c>
      <c r="AF104" s="5">
        <v>4.4000000000000004</v>
      </c>
      <c r="AG104" s="5">
        <v>7.8</v>
      </c>
      <c r="AH104" s="6">
        <v>500</v>
      </c>
      <c r="AI104" s="6">
        <v>500</v>
      </c>
      <c r="AJ104" s="5">
        <v>0</v>
      </c>
      <c r="AK104" s="6">
        <v>0</v>
      </c>
      <c r="AL104" s="5">
        <v>0</v>
      </c>
      <c r="AM104" s="5">
        <v>0</v>
      </c>
      <c r="AN104" s="5">
        <v>0</v>
      </c>
      <c r="AO104" s="5">
        <v>1</v>
      </c>
      <c r="AP104">
        <f>IFERROR(Tabelle23[[#This Row],[Vol_ha_19]]*0.537836177777778*1.15,0)</f>
        <v>3.206941775141019</v>
      </c>
      <c r="AQ104">
        <v>1</v>
      </c>
      <c r="AR104">
        <f>INDEX([2]Tabelle2!$A$2:$AU$139,MATCH(Tabelle23[[#This Row],[plot_id]],[2]Tabelle2!$M$2:$M$139,0),20)</f>
        <v>714</v>
      </c>
      <c r="AS104">
        <f>INDEX([2]Tabelle2!$A$2:$AU$139, MATCH(Tabelle23[[#This Row],[plot_id]],[2]Tabelle2!$M$2:$M$139,0), 19)</f>
        <v>28</v>
      </c>
    </row>
    <row r="105" spans="1:45" x14ac:dyDescent="0.3">
      <c r="A105" t="s">
        <v>584</v>
      </c>
      <c r="B105" t="s">
        <v>214</v>
      </c>
      <c r="C105" t="s">
        <v>214</v>
      </c>
      <c r="D105" s="129" t="s">
        <v>585</v>
      </c>
      <c r="F105" t="s">
        <v>590</v>
      </c>
      <c r="G105" s="4">
        <v>43374</v>
      </c>
      <c r="H105" s="129">
        <v>2018</v>
      </c>
      <c r="I105" t="s">
        <v>330</v>
      </c>
      <c r="J105">
        <v>20</v>
      </c>
      <c r="K105" s="5">
        <v>279.99999999999994</v>
      </c>
      <c r="L105" s="152">
        <f t="shared" si="1"/>
        <v>35.714285714285722</v>
      </c>
      <c r="M105" t="s">
        <v>591</v>
      </c>
      <c r="O105" s="5"/>
      <c r="P105" s="5"/>
      <c r="Q105" s="152"/>
      <c r="R105" s="152"/>
      <c r="S105" s="5">
        <v>8.9171582978049653</v>
      </c>
      <c r="T105" s="152">
        <v>8.5199431766667075</v>
      </c>
      <c r="U105" s="5">
        <v>50.74960300735227</v>
      </c>
      <c r="V105" s="5"/>
      <c r="W105" s="5"/>
      <c r="X105" s="5">
        <v>14.742105263157896</v>
      </c>
      <c r="Y105" s="152">
        <v>1.4104041144586437</v>
      </c>
      <c r="Z105" s="152">
        <v>14.228076174178918</v>
      </c>
      <c r="AA105" s="152">
        <v>11.3</v>
      </c>
      <c r="AB105" s="152">
        <v>17.899999999999999</v>
      </c>
      <c r="AC105" s="5">
        <v>12.535000000000002</v>
      </c>
      <c r="AD105" s="152">
        <v>1.4158046913245355</v>
      </c>
      <c r="AE105" s="152">
        <v>12.290484833424033</v>
      </c>
      <c r="AF105" s="152">
        <v>10</v>
      </c>
      <c r="AG105" s="152">
        <v>15</v>
      </c>
      <c r="AH105" s="153"/>
      <c r="AI105" s="6"/>
      <c r="AJ105" s="5"/>
      <c r="AK105" s="153"/>
      <c r="AL105" s="5"/>
      <c r="AM105" s="5"/>
      <c r="AN105" s="152"/>
      <c r="AO105" s="152"/>
      <c r="AP105">
        <f>IFERROR(Tabelle23[[#This Row],[Vol_ha_19]]*0.537836177777778*1.15,0)</f>
        <v>31.389218380996066</v>
      </c>
      <c r="AQ105">
        <f>IF(Tabelle23[[#This Row],[Year of planting ]]=2015,1,IF(Tabelle23[[#This Row],[Year of planting ]]=2016,2,IF(Tabelle23[[#This Row],[Year of planting ]]=2017,3,IF(Tabelle23[[#This Row],[Year of planting ]]=2018,4,5))))</f>
        <v>4</v>
      </c>
      <c r="AR105">
        <f>INDEX([2]Tabelle2!$A$2:$AU$139,MATCH(Tabelle23[[#This Row],[plot_id]],[2]Tabelle2!$M$2:$M$139,0),20)</f>
        <v>714</v>
      </c>
      <c r="AS105">
        <f>INDEX([2]Tabelle2!$A$2:$AU$139, MATCH(Tabelle23[[#This Row],[plot_id]],[2]Tabelle2!$M$2:$M$139,0), 19)</f>
        <v>33</v>
      </c>
    </row>
    <row r="106" spans="1:45" x14ac:dyDescent="0.3">
      <c r="A106" t="s">
        <v>584</v>
      </c>
      <c r="B106" t="s">
        <v>214</v>
      </c>
      <c r="C106" t="s">
        <v>214</v>
      </c>
      <c r="D106" s="129" t="s">
        <v>585</v>
      </c>
      <c r="F106" t="s">
        <v>590</v>
      </c>
      <c r="G106" s="4">
        <v>43374</v>
      </c>
      <c r="H106" s="129">
        <v>2018</v>
      </c>
      <c r="I106" t="s">
        <v>332</v>
      </c>
      <c r="J106">
        <v>20</v>
      </c>
      <c r="K106" s="5">
        <v>279.99999999999994</v>
      </c>
      <c r="L106" s="152">
        <f t="shared" si="1"/>
        <v>35.714285714285722</v>
      </c>
      <c r="M106" t="s">
        <v>591</v>
      </c>
      <c r="O106" s="5"/>
      <c r="P106" s="5"/>
      <c r="Q106" s="152"/>
      <c r="R106" s="152"/>
      <c r="S106" s="5">
        <v>7.2630817157555327</v>
      </c>
      <c r="T106" s="152">
        <v>7.2630817157555327</v>
      </c>
      <c r="U106" s="5">
        <v>37.930227594628363</v>
      </c>
      <c r="V106" s="5"/>
      <c r="W106" s="5"/>
      <c r="X106" s="5">
        <v>12.989473684210523</v>
      </c>
      <c r="Y106" s="152">
        <v>0.87679640158052741</v>
      </c>
      <c r="Z106" s="152">
        <v>13.055831215676582</v>
      </c>
      <c r="AA106" s="152">
        <v>10.9</v>
      </c>
      <c r="AB106" s="152">
        <v>14.2</v>
      </c>
      <c r="AC106" s="5">
        <v>11.65263157894737</v>
      </c>
      <c r="AD106" s="152">
        <v>0.72446794350722699</v>
      </c>
      <c r="AE106" s="152">
        <v>11.738952010937153</v>
      </c>
      <c r="AF106" s="152">
        <v>10.4</v>
      </c>
      <c r="AG106" s="152">
        <v>13</v>
      </c>
      <c r="AH106" s="153"/>
      <c r="AI106" s="6"/>
      <c r="AJ106" s="5"/>
      <c r="AK106" s="153"/>
      <c r="AL106" s="5"/>
      <c r="AM106" s="5"/>
      <c r="AN106" s="152"/>
      <c r="AO106" s="152"/>
      <c r="AP106">
        <f>IFERROR(Tabelle23[[#This Row],[Vol_ha_19]]*0.537836177777778*1.15,0)</f>
        <v>23.460285926496539</v>
      </c>
      <c r="AQ106">
        <f>IF(Tabelle23[[#This Row],[Year of planting ]]=2015,1,IF(Tabelle23[[#This Row],[Year of planting ]]=2016,2,IF(Tabelle23[[#This Row],[Year of planting ]]=2017,3,IF(Tabelle23[[#This Row],[Year of planting ]]=2018,4,5))))</f>
        <v>4</v>
      </c>
      <c r="AR106">
        <f>INDEX([2]Tabelle2!$A$2:$AU$139,MATCH(Tabelle23[[#This Row],[plot_id]],[2]Tabelle2!$M$2:$M$139,0),20)</f>
        <v>714</v>
      </c>
      <c r="AS106">
        <f>INDEX([2]Tabelle2!$A$2:$AU$139, MATCH(Tabelle23[[#This Row],[plot_id]],[2]Tabelle2!$M$2:$M$139,0), 19)</f>
        <v>33</v>
      </c>
    </row>
    <row r="107" spans="1:45" x14ac:dyDescent="0.3">
      <c r="A107" t="s">
        <v>584</v>
      </c>
      <c r="B107" t="s">
        <v>214</v>
      </c>
      <c r="C107" t="s">
        <v>214</v>
      </c>
      <c r="D107" s="129" t="s">
        <v>585</v>
      </c>
      <c r="F107" t="s">
        <v>590</v>
      </c>
      <c r="G107" s="4">
        <v>43374</v>
      </c>
      <c r="H107" s="129">
        <v>2018</v>
      </c>
      <c r="I107" t="s">
        <v>319</v>
      </c>
      <c r="J107">
        <v>20</v>
      </c>
      <c r="K107" s="5">
        <v>279.99999999999994</v>
      </c>
      <c r="L107" s="152">
        <f t="shared" si="1"/>
        <v>35.714285714285722</v>
      </c>
      <c r="M107" t="s">
        <v>591</v>
      </c>
      <c r="O107" s="5"/>
      <c r="P107" s="5"/>
      <c r="Q107" s="152"/>
      <c r="R107" s="152"/>
      <c r="S107" s="5">
        <v>7.1250199386040229</v>
      </c>
      <c r="T107" s="152">
        <v>6.9078012465558141</v>
      </c>
      <c r="U107" s="5">
        <v>35.250198855701356</v>
      </c>
      <c r="V107" s="5"/>
      <c r="W107" s="5"/>
      <c r="X107" s="5">
        <v>12.7</v>
      </c>
      <c r="Y107" s="152">
        <v>0.75571893658364231</v>
      </c>
      <c r="Z107" s="152">
        <v>12.368456214667026</v>
      </c>
      <c r="AA107" s="152">
        <v>10.7</v>
      </c>
      <c r="AB107" s="152">
        <v>13.7</v>
      </c>
      <c r="AC107" s="5">
        <v>11.23</v>
      </c>
      <c r="AD107" s="152">
        <v>0.80437400744905307</v>
      </c>
      <c r="AE107" s="152">
        <v>11.115222902854988</v>
      </c>
      <c r="AF107" s="152">
        <v>9.8000000000000007</v>
      </c>
      <c r="AG107" s="152">
        <v>12.8</v>
      </c>
      <c r="AH107" s="153"/>
      <c r="AI107" s="6"/>
      <c r="AJ107" s="5"/>
      <c r="AK107" s="153"/>
      <c r="AL107" s="5"/>
      <c r="AM107" s="5"/>
      <c r="AN107" s="152"/>
      <c r="AO107" s="152"/>
      <c r="AP107">
        <f>IFERROR(Tabelle23[[#This Row],[Vol_ha_19]]*0.537836177777778*1.15,0)</f>
        <v>21.802657051225573</v>
      </c>
      <c r="AQ107">
        <f>IF(Tabelle23[[#This Row],[Year of planting ]]=2015,1,IF(Tabelle23[[#This Row],[Year of planting ]]=2016,2,IF(Tabelle23[[#This Row],[Year of planting ]]=2017,3,IF(Tabelle23[[#This Row],[Year of planting ]]=2018,4,5))))</f>
        <v>4</v>
      </c>
      <c r="AR107">
        <f>INDEX([2]Tabelle2!$A$2:$AU$139,MATCH(Tabelle23[[#This Row],[plot_id]],[2]Tabelle2!$M$2:$M$139,0),20)</f>
        <v>714</v>
      </c>
      <c r="AS107">
        <f>INDEX([2]Tabelle2!$A$2:$AU$139, MATCH(Tabelle23[[#This Row],[plot_id]],[2]Tabelle2!$M$2:$M$139,0), 19)</f>
        <v>33</v>
      </c>
    </row>
    <row r="108" spans="1:45" x14ac:dyDescent="0.3">
      <c r="A108" t="s">
        <v>584</v>
      </c>
      <c r="B108" t="s">
        <v>214</v>
      </c>
      <c r="C108" t="s">
        <v>214</v>
      </c>
      <c r="D108" s="129" t="s">
        <v>585</v>
      </c>
      <c r="F108" t="s">
        <v>590</v>
      </c>
      <c r="G108" s="4">
        <v>43374</v>
      </c>
      <c r="H108" s="129">
        <v>2018</v>
      </c>
      <c r="I108" t="s">
        <v>329</v>
      </c>
      <c r="J108">
        <v>20</v>
      </c>
      <c r="K108" s="5">
        <v>279.99999999999994</v>
      </c>
      <c r="L108" s="152">
        <f t="shared" si="1"/>
        <v>35.714285714285722</v>
      </c>
      <c r="M108" t="s">
        <v>591</v>
      </c>
      <c r="O108" s="5"/>
      <c r="P108" s="5"/>
      <c r="Q108" s="152"/>
      <c r="R108" s="152"/>
      <c r="S108" s="5">
        <v>7.5783349285563864</v>
      </c>
      <c r="T108" s="152">
        <v>7.3708776136818308</v>
      </c>
      <c r="U108" s="5">
        <v>42.068520811498679</v>
      </c>
      <c r="V108" s="5"/>
      <c r="W108" s="5"/>
      <c r="X108" s="5">
        <v>14.194117647058825</v>
      </c>
      <c r="Y108" s="152">
        <v>0.67125869476239741</v>
      </c>
      <c r="Z108" s="152">
        <v>13.877890462777556</v>
      </c>
      <c r="AA108" s="152">
        <v>12.8</v>
      </c>
      <c r="AB108" s="152">
        <v>15.7</v>
      </c>
      <c r="AC108" s="5">
        <v>12.183333333333332</v>
      </c>
      <c r="AD108" s="152">
        <v>1.0102416717271754</v>
      </c>
      <c r="AE108" s="152">
        <v>12.207063252064417</v>
      </c>
      <c r="AF108" s="152">
        <v>11</v>
      </c>
      <c r="AG108" s="152">
        <v>14</v>
      </c>
      <c r="AH108" s="153"/>
      <c r="AI108" s="6"/>
      <c r="AJ108" s="5"/>
      <c r="AK108" s="153"/>
      <c r="AL108" s="5"/>
      <c r="AM108" s="5"/>
      <c r="AN108" s="152"/>
      <c r="AO108" s="152"/>
      <c r="AP108">
        <f>IFERROR(Tabelle23[[#This Row],[Vol_ha_19]]*0.537836177777778*1.15,0)</f>
        <v>26.019868303724561</v>
      </c>
      <c r="AQ108">
        <f>IF(Tabelle23[[#This Row],[Year of planting ]]=2015,1,IF(Tabelle23[[#This Row],[Year of planting ]]=2016,2,IF(Tabelle23[[#This Row],[Year of planting ]]=2017,3,IF(Tabelle23[[#This Row],[Year of planting ]]=2018,4,5))))</f>
        <v>4</v>
      </c>
      <c r="AR108">
        <f>INDEX([2]Tabelle2!$A$2:$AU$139,MATCH(Tabelle23[[#This Row],[plot_id]],[2]Tabelle2!$M$2:$M$139,0),20)</f>
        <v>714</v>
      </c>
      <c r="AS108">
        <f>INDEX([2]Tabelle2!$A$2:$AU$139, MATCH(Tabelle23[[#This Row],[plot_id]],[2]Tabelle2!$M$2:$M$139,0), 19)</f>
        <v>33</v>
      </c>
    </row>
    <row r="109" spans="1:45" x14ac:dyDescent="0.3">
      <c r="A109" t="s">
        <v>584</v>
      </c>
      <c r="B109" t="s">
        <v>231</v>
      </c>
      <c r="C109" t="s">
        <v>231</v>
      </c>
      <c r="D109" s="129" t="s">
        <v>585</v>
      </c>
      <c r="F109" t="s">
        <v>592</v>
      </c>
      <c r="G109" s="4">
        <v>43678</v>
      </c>
      <c r="H109" s="154">
        <v>2019</v>
      </c>
      <c r="I109" t="s">
        <v>350</v>
      </c>
      <c r="J109">
        <v>20</v>
      </c>
      <c r="K109" s="5">
        <v>279.99999999999994</v>
      </c>
      <c r="L109" s="5">
        <f t="shared" si="1"/>
        <v>35.714285714285722</v>
      </c>
      <c r="M109" t="s">
        <v>594</v>
      </c>
      <c r="N109" t="s">
        <v>588</v>
      </c>
      <c r="O109">
        <v>0</v>
      </c>
      <c r="P109">
        <v>0</v>
      </c>
      <c r="Q109" s="152" t="s">
        <v>38</v>
      </c>
      <c r="R109" s="5"/>
      <c r="S109" s="5">
        <v>1.1572280938973261</v>
      </c>
      <c r="T109" s="152">
        <v>1.0451686059411545</v>
      </c>
      <c r="U109" s="5">
        <v>2.2235609363472899</v>
      </c>
      <c r="V109" s="5"/>
      <c r="W109" s="5"/>
      <c r="X109" s="5">
        <v>5.2266666666666683</v>
      </c>
      <c r="Y109" s="5">
        <v>0.86558540609120604</v>
      </c>
      <c r="Z109" s="5">
        <v>4.8036358347876673</v>
      </c>
      <c r="AA109" s="5">
        <v>4.0999999999999996</v>
      </c>
      <c r="AB109" s="5">
        <v>6.7</v>
      </c>
      <c r="AC109" s="5">
        <v>4.5684210526315798</v>
      </c>
      <c r="AD109" s="5">
        <v>0.57179749995289197</v>
      </c>
      <c r="AE109" s="5">
        <v>4.5783716307930966</v>
      </c>
      <c r="AF109" s="5">
        <v>3.7</v>
      </c>
      <c r="AG109" s="5">
        <v>5.7</v>
      </c>
      <c r="AH109" s="6">
        <v>500</v>
      </c>
      <c r="AI109" s="6">
        <v>500</v>
      </c>
      <c r="AJ109" s="5">
        <v>0</v>
      </c>
      <c r="AK109" s="6">
        <v>0</v>
      </c>
      <c r="AL109" s="5">
        <v>0</v>
      </c>
      <c r="AM109" s="5">
        <v>0</v>
      </c>
      <c r="AN109" s="5">
        <v>0</v>
      </c>
      <c r="AO109" s="5">
        <v>1</v>
      </c>
      <c r="AP109">
        <f>IFERROR(Tabelle23[[#This Row],[Vol_ha_19]]*0.537836177777778*1.15,0)</f>
        <v>1.3752982423201541</v>
      </c>
      <c r="AQ109">
        <v>1</v>
      </c>
      <c r="AR109">
        <f>INDEX([2]Tabelle2!$A$2:$AU$139,MATCH(Tabelle23[[#This Row],[plot_id]],[2]Tabelle2!$M$2:$M$139,0),20)</f>
        <v>714</v>
      </c>
      <c r="AS109">
        <f>INDEX([2]Tabelle2!$A$2:$AU$139, MATCH(Tabelle23[[#This Row],[plot_id]],[2]Tabelle2!$M$2:$M$139,0), 19)</f>
        <v>23</v>
      </c>
    </row>
    <row r="110" spans="1:45" x14ac:dyDescent="0.3">
      <c r="A110" t="s">
        <v>584</v>
      </c>
      <c r="B110" t="s">
        <v>231</v>
      </c>
      <c r="C110" t="s">
        <v>231</v>
      </c>
      <c r="D110" s="129" t="s">
        <v>585</v>
      </c>
      <c r="F110" t="s">
        <v>592</v>
      </c>
      <c r="G110" s="4">
        <v>43678</v>
      </c>
      <c r="H110" s="154">
        <v>2019</v>
      </c>
      <c r="I110" t="s">
        <v>351</v>
      </c>
      <c r="J110">
        <v>20</v>
      </c>
      <c r="K110" s="5">
        <v>279.99999999999994</v>
      </c>
      <c r="L110" s="5">
        <f t="shared" si="1"/>
        <v>35.714285714285722</v>
      </c>
      <c r="M110" t="s">
        <v>594</v>
      </c>
      <c r="N110" t="s">
        <v>588</v>
      </c>
      <c r="O110">
        <v>0</v>
      </c>
      <c r="P110">
        <v>0</v>
      </c>
      <c r="Q110" s="152" t="s">
        <v>38</v>
      </c>
      <c r="R110" s="5"/>
      <c r="S110" s="5">
        <v>1.2273809798493625</v>
      </c>
      <c r="T110" s="152">
        <v>1.1865963752215092</v>
      </c>
      <c r="U110" s="5">
        <v>2.5906751118746536</v>
      </c>
      <c r="V110" s="5"/>
      <c r="W110" s="5"/>
      <c r="X110" s="5">
        <v>5.3733333333333331</v>
      </c>
      <c r="Y110" s="5">
        <v>0.74303111515954823</v>
      </c>
      <c r="Z110" s="5">
        <v>5.2768357062869953</v>
      </c>
      <c r="AA110" s="5">
        <v>4.3</v>
      </c>
      <c r="AB110" s="5">
        <v>6.8</v>
      </c>
      <c r="AC110" s="5">
        <v>4.6833333333333336</v>
      </c>
      <c r="AD110" s="5">
        <v>1.0107988354337809</v>
      </c>
      <c r="AE110" s="5">
        <v>5.3984848138583539</v>
      </c>
      <c r="AF110" s="5">
        <v>3.8</v>
      </c>
      <c r="AG110" s="5">
        <v>7.3</v>
      </c>
      <c r="AH110" s="6">
        <v>428.57142857142856</v>
      </c>
      <c r="AI110" s="6">
        <v>428.57142857142856</v>
      </c>
      <c r="AJ110" s="5">
        <v>0.66666666666666663</v>
      </c>
      <c r="AK110" s="6">
        <v>66.666666666666657</v>
      </c>
      <c r="AL110" s="5">
        <v>0</v>
      </c>
      <c r="AM110" s="5">
        <v>0</v>
      </c>
      <c r="AN110" s="5">
        <v>0</v>
      </c>
      <c r="AO110" s="5">
        <v>1</v>
      </c>
      <c r="AP110">
        <f>IFERROR(Tabelle23[[#This Row],[Vol_ha_19]]*0.537836177777778*1.15,0)</f>
        <v>1.6023626200398833</v>
      </c>
      <c r="AQ110">
        <v>1</v>
      </c>
      <c r="AR110">
        <f>INDEX([2]Tabelle2!$A$2:$AU$139,MATCH(Tabelle23[[#This Row],[plot_id]],[2]Tabelle2!$M$2:$M$139,0),20)</f>
        <v>714</v>
      </c>
      <c r="AS110">
        <f>INDEX([2]Tabelle2!$A$2:$AU$139, MATCH(Tabelle23[[#This Row],[plot_id]],[2]Tabelle2!$M$2:$M$139,0), 19)</f>
        <v>23</v>
      </c>
    </row>
    <row r="111" spans="1:45" x14ac:dyDescent="0.3">
      <c r="A111" t="s">
        <v>584</v>
      </c>
      <c r="B111" t="s">
        <v>231</v>
      </c>
      <c r="C111" t="s">
        <v>231</v>
      </c>
      <c r="D111" s="129" t="s">
        <v>585</v>
      </c>
      <c r="F111" t="s">
        <v>592</v>
      </c>
      <c r="G111" s="4">
        <v>43678</v>
      </c>
      <c r="H111" s="154">
        <v>2019</v>
      </c>
      <c r="I111" t="s">
        <v>349</v>
      </c>
      <c r="J111">
        <v>20</v>
      </c>
      <c r="K111" s="5">
        <v>279.99999999999994</v>
      </c>
      <c r="L111" s="5">
        <f t="shared" si="1"/>
        <v>35.714285714285722</v>
      </c>
      <c r="M111" t="s">
        <v>594</v>
      </c>
      <c r="N111" t="s">
        <v>588</v>
      </c>
      <c r="O111">
        <v>0</v>
      </c>
      <c r="P111">
        <v>0</v>
      </c>
      <c r="Q111" s="152" t="s">
        <v>38</v>
      </c>
      <c r="R111" s="5"/>
      <c r="S111" s="5">
        <v>0.90146879197382868</v>
      </c>
      <c r="T111" s="152">
        <v>0.89597100483004655</v>
      </c>
      <c r="U111" s="5">
        <v>1.9349652592095212</v>
      </c>
      <c r="V111" s="5"/>
      <c r="W111" s="5"/>
      <c r="X111" s="5">
        <v>5.2944444444444452</v>
      </c>
      <c r="Y111" s="5">
        <v>1.1321360457753211</v>
      </c>
      <c r="Z111" s="5">
        <v>5.3661459953948603</v>
      </c>
      <c r="AA111" s="5">
        <v>3.7</v>
      </c>
      <c r="AB111" s="5">
        <v>7.5</v>
      </c>
      <c r="AC111" s="5">
        <v>4.0105263157894733</v>
      </c>
      <c r="AD111" s="5">
        <v>0.71061052642177902</v>
      </c>
      <c r="AE111" s="5">
        <v>4.3490136287261176</v>
      </c>
      <c r="AF111" s="5">
        <v>2.9</v>
      </c>
      <c r="AG111" s="5">
        <v>5.5</v>
      </c>
      <c r="AH111" s="6">
        <v>392.85714285714289</v>
      </c>
      <c r="AI111" s="6">
        <v>392.85714285714289</v>
      </c>
      <c r="AJ111" s="5">
        <v>1</v>
      </c>
      <c r="AK111" s="6">
        <v>100</v>
      </c>
      <c r="AL111" s="5">
        <v>0</v>
      </c>
      <c r="AM111" s="5">
        <v>0</v>
      </c>
      <c r="AN111" s="5">
        <v>0</v>
      </c>
      <c r="AO111" s="5">
        <v>1</v>
      </c>
      <c r="AP111">
        <f>IFERROR(Tabelle23[[#This Row],[Vol_ha_19]]*0.537836177777778*1.15,0)</f>
        <v>1.1967984670179419</v>
      </c>
      <c r="AQ111">
        <v>1</v>
      </c>
      <c r="AR111">
        <f>INDEX([2]Tabelle2!$A$2:$AU$139,MATCH(Tabelle23[[#This Row],[plot_id]],[2]Tabelle2!$M$2:$M$139,0),20)</f>
        <v>714</v>
      </c>
      <c r="AS111">
        <f>INDEX([2]Tabelle2!$A$2:$AU$139, MATCH(Tabelle23[[#This Row],[plot_id]],[2]Tabelle2!$M$2:$M$139,0), 19)</f>
        <v>23</v>
      </c>
    </row>
    <row r="112" spans="1:45" x14ac:dyDescent="0.3">
      <c r="A112" t="s">
        <v>584</v>
      </c>
      <c r="B112" t="s">
        <v>197</v>
      </c>
      <c r="C112" t="s">
        <v>197</v>
      </c>
      <c r="D112" s="129" t="s">
        <v>585</v>
      </c>
      <c r="F112" t="s">
        <v>586</v>
      </c>
      <c r="G112" s="4">
        <v>43800</v>
      </c>
      <c r="H112" s="154">
        <v>2019</v>
      </c>
      <c r="I112" t="s">
        <v>296</v>
      </c>
      <c r="J112">
        <v>20</v>
      </c>
      <c r="K112" s="5">
        <v>400</v>
      </c>
      <c r="L112" s="5">
        <f t="shared" si="1"/>
        <v>25</v>
      </c>
      <c r="M112" t="s">
        <v>587</v>
      </c>
      <c r="N112" s="129" t="s">
        <v>589</v>
      </c>
      <c r="O112">
        <v>0</v>
      </c>
      <c r="P112">
        <v>0</v>
      </c>
      <c r="Q112" s="152" t="s">
        <v>38</v>
      </c>
      <c r="R112" s="5"/>
      <c r="S112" s="5">
        <v>1.4442686826715676</v>
      </c>
      <c r="T112" s="152">
        <v>1.4442686826715676</v>
      </c>
      <c r="U112" s="5">
        <v>4.4676856162076</v>
      </c>
      <c r="V112" s="5"/>
      <c r="W112" s="5"/>
      <c r="X112" s="5">
        <v>7.5666666666666664</v>
      </c>
      <c r="Y112" s="5">
        <v>1.0803049678351975</v>
      </c>
      <c r="Z112" s="5">
        <v>7.7334738158681828</v>
      </c>
      <c r="AA112" s="5">
        <v>5.2</v>
      </c>
      <c r="AB112" s="5">
        <v>9.1</v>
      </c>
      <c r="AC112" s="5">
        <v>6.3555555555555561</v>
      </c>
      <c r="AD112" s="5">
        <v>0.70645945907762697</v>
      </c>
      <c r="AE112" s="5">
        <v>6.4957746478873233</v>
      </c>
      <c r="AF112" s="5">
        <v>4.5</v>
      </c>
      <c r="AG112" s="5">
        <v>7.5</v>
      </c>
      <c r="AH112" s="6">
        <v>392.85714285714289</v>
      </c>
      <c r="AI112" s="6">
        <v>392.85714285714289</v>
      </c>
      <c r="AJ112" s="5">
        <v>0</v>
      </c>
      <c r="AK112" s="6">
        <v>0</v>
      </c>
      <c r="AL112" s="5">
        <v>0</v>
      </c>
      <c r="AM112" s="5">
        <v>0</v>
      </c>
      <c r="AN112" s="5">
        <v>0</v>
      </c>
      <c r="AO112" s="5">
        <v>1</v>
      </c>
      <c r="AP112">
        <f>IFERROR(Tabelle23[[#This Row],[Vol_ha_19]]*0.537836177777778*1.15,0)</f>
        <v>2.7633153986339303</v>
      </c>
      <c r="AQ112">
        <v>1</v>
      </c>
      <c r="AR112">
        <f>INDEX([2]Tabelle2!$A$2:$AU$139,MATCH(Tabelle23[[#This Row],[plot_id]],[2]Tabelle2!$M$2:$M$139,0),20)</f>
        <v>500</v>
      </c>
      <c r="AS112">
        <f>INDEX([2]Tabelle2!$A$2:$AU$139, MATCH(Tabelle23[[#This Row],[plot_id]],[2]Tabelle2!$M$2:$M$139,0), 19)</f>
        <v>7</v>
      </c>
    </row>
    <row r="113" spans="1:45" x14ac:dyDescent="0.3">
      <c r="A113" t="s">
        <v>584</v>
      </c>
      <c r="B113" t="s">
        <v>197</v>
      </c>
      <c r="C113" t="s">
        <v>197</v>
      </c>
      <c r="D113" s="129" t="s">
        <v>585</v>
      </c>
      <c r="F113" t="s">
        <v>586</v>
      </c>
      <c r="G113" s="4">
        <v>43800</v>
      </c>
      <c r="H113" s="154">
        <v>2019</v>
      </c>
      <c r="I113" t="s">
        <v>297</v>
      </c>
      <c r="J113">
        <v>20</v>
      </c>
      <c r="K113" s="5">
        <v>400</v>
      </c>
      <c r="L113" s="5">
        <f t="shared" si="1"/>
        <v>25</v>
      </c>
      <c r="M113" t="s">
        <v>587</v>
      </c>
      <c r="N113" t="s">
        <v>588</v>
      </c>
      <c r="O113">
        <v>0</v>
      </c>
      <c r="P113">
        <v>0</v>
      </c>
      <c r="Q113" s="152" t="s">
        <v>38</v>
      </c>
      <c r="R113" s="5"/>
      <c r="S113" s="5">
        <v>1.2294819199364504</v>
      </c>
      <c r="T113" s="152">
        <v>1.2054291011824037</v>
      </c>
      <c r="U113" s="5">
        <v>3.5497766454780608</v>
      </c>
      <c r="V113" s="5"/>
      <c r="W113" s="5"/>
      <c r="X113" s="5">
        <v>7.26</v>
      </c>
      <c r="Y113" s="5">
        <v>0.94173092911784673</v>
      </c>
      <c r="Z113" s="5">
        <v>7.2180334413977016</v>
      </c>
      <c r="AA113" s="5">
        <v>5.4</v>
      </c>
      <c r="AB113" s="5">
        <v>8.6</v>
      </c>
      <c r="AC113" s="5">
        <v>6.1812499999999995</v>
      </c>
      <c r="AD113" s="5">
        <v>0.71594093930395664</v>
      </c>
      <c r="AE113" s="5">
        <v>6.3749556829614962</v>
      </c>
      <c r="AF113" s="5">
        <v>4.9000000000000004</v>
      </c>
      <c r="AG113" s="5">
        <v>7.3</v>
      </c>
      <c r="AH113" s="6">
        <v>428.57142857142856</v>
      </c>
      <c r="AI113" s="6">
        <v>428.57142857142856</v>
      </c>
      <c r="AJ113" s="5">
        <v>0.83333333333333337</v>
      </c>
      <c r="AK113" s="6">
        <v>83.333333333333343</v>
      </c>
      <c r="AL113" s="5">
        <v>0</v>
      </c>
      <c r="AM113" s="5">
        <v>0</v>
      </c>
      <c r="AN113" s="5">
        <v>0</v>
      </c>
      <c r="AO113" s="5">
        <v>1</v>
      </c>
      <c r="AP113">
        <f>IFERROR(Tabelle23[[#This Row],[Vol_ha_19]]*0.537836177777778*1.15,0)</f>
        <v>2.1955780484140544</v>
      </c>
      <c r="AQ113">
        <v>1</v>
      </c>
      <c r="AR113">
        <f>INDEX([2]Tabelle2!$A$2:$AU$139,MATCH(Tabelle23[[#This Row],[plot_id]],[2]Tabelle2!$M$2:$M$139,0),20)</f>
        <v>500</v>
      </c>
      <c r="AS113">
        <f>INDEX([2]Tabelle2!$A$2:$AU$139, MATCH(Tabelle23[[#This Row],[plot_id]],[2]Tabelle2!$M$2:$M$139,0), 19)</f>
        <v>7</v>
      </c>
    </row>
    <row r="114" spans="1:45" x14ac:dyDescent="0.3">
      <c r="A114" t="s">
        <v>584</v>
      </c>
      <c r="B114" t="s">
        <v>197</v>
      </c>
      <c r="C114" t="s">
        <v>197</v>
      </c>
      <c r="D114" s="129" t="s">
        <v>585</v>
      </c>
      <c r="F114" t="s">
        <v>586</v>
      </c>
      <c r="G114" s="4">
        <v>43800</v>
      </c>
      <c r="H114" s="154">
        <v>2019</v>
      </c>
      <c r="I114" t="s">
        <v>291</v>
      </c>
      <c r="J114">
        <v>20</v>
      </c>
      <c r="K114" s="5">
        <v>400</v>
      </c>
      <c r="L114" s="5">
        <f t="shared" si="1"/>
        <v>25</v>
      </c>
      <c r="M114" t="s">
        <v>587</v>
      </c>
      <c r="N114" t="s">
        <v>588</v>
      </c>
      <c r="O114">
        <v>0</v>
      </c>
      <c r="P114">
        <v>0</v>
      </c>
      <c r="Q114" s="152" t="s">
        <v>38</v>
      </c>
      <c r="R114" s="5"/>
      <c r="S114" s="5">
        <v>1.0543970343610738</v>
      </c>
      <c r="T114" s="152">
        <v>1.0543970343610738</v>
      </c>
      <c r="U114" s="5">
        <v>2.6909735989331605</v>
      </c>
      <c r="V114" s="5"/>
      <c r="W114" s="5"/>
      <c r="X114" s="5">
        <v>6.1473684210526303</v>
      </c>
      <c r="Y114" s="5">
        <v>0.89403481230545434</v>
      </c>
      <c r="Z114" s="5">
        <v>6.3803612662942308</v>
      </c>
      <c r="AA114" s="5">
        <v>4.3</v>
      </c>
      <c r="AB114" s="5">
        <v>7.4</v>
      </c>
      <c r="AC114" s="5">
        <v>5.2315789473684209</v>
      </c>
      <c r="AD114" s="5">
        <v>0.97128359034089573</v>
      </c>
      <c r="AE114" s="5">
        <v>5.5661638733705807</v>
      </c>
      <c r="AF114" s="5">
        <v>3.5</v>
      </c>
      <c r="AG114" s="5">
        <v>7</v>
      </c>
      <c r="AH114" s="6">
        <v>500</v>
      </c>
      <c r="AI114" s="6">
        <v>500</v>
      </c>
      <c r="AJ114" s="5">
        <v>0</v>
      </c>
      <c r="AK114" s="6">
        <v>0</v>
      </c>
      <c r="AL114" s="5">
        <v>0</v>
      </c>
      <c r="AM114" s="5">
        <v>0</v>
      </c>
      <c r="AN114" s="5">
        <v>0</v>
      </c>
      <c r="AO114" s="5">
        <v>1</v>
      </c>
      <c r="AP114">
        <f>IFERROR(Tabelle23[[#This Row],[Vol_ha_19]]*0.537836177777778*1.15,0)</f>
        <v>1.6643983981937907</v>
      </c>
      <c r="AQ114">
        <v>1</v>
      </c>
      <c r="AR114">
        <f>INDEX([2]Tabelle2!$A$2:$AU$139,MATCH(Tabelle23[[#This Row],[plot_id]],[2]Tabelle2!$M$2:$M$139,0),20)</f>
        <v>500</v>
      </c>
      <c r="AS114">
        <f>INDEX([2]Tabelle2!$A$2:$AU$139, MATCH(Tabelle23[[#This Row],[plot_id]],[2]Tabelle2!$M$2:$M$139,0), 19)</f>
        <v>7</v>
      </c>
    </row>
    <row r="115" spans="1:45" x14ac:dyDescent="0.3">
      <c r="A115" t="s">
        <v>584</v>
      </c>
      <c r="B115" t="s">
        <v>201</v>
      </c>
      <c r="C115" t="s">
        <v>201</v>
      </c>
      <c r="D115" s="129" t="s">
        <v>585</v>
      </c>
      <c r="F115" t="s">
        <v>586</v>
      </c>
      <c r="G115" s="4">
        <v>43800</v>
      </c>
      <c r="H115" s="154">
        <v>2019</v>
      </c>
      <c r="I115" t="s">
        <v>299</v>
      </c>
      <c r="J115">
        <v>20</v>
      </c>
      <c r="K115" s="5">
        <v>400</v>
      </c>
      <c r="L115" s="5">
        <f t="shared" si="1"/>
        <v>25</v>
      </c>
      <c r="M115" t="s">
        <v>587</v>
      </c>
      <c r="N115" t="s">
        <v>588</v>
      </c>
      <c r="O115">
        <v>0</v>
      </c>
      <c r="P115">
        <v>0</v>
      </c>
      <c r="Q115" s="152" t="s">
        <v>38</v>
      </c>
      <c r="R115" s="5"/>
      <c r="S115" s="5">
        <v>1.0874230271319372</v>
      </c>
      <c r="T115" s="152">
        <v>1.0383356419195966</v>
      </c>
      <c r="U115" s="5">
        <v>3.0052129749048069</v>
      </c>
      <c r="V115" s="5"/>
      <c r="W115" s="5"/>
      <c r="X115" s="5">
        <v>6.9750000000000005</v>
      </c>
      <c r="Y115" s="5">
        <v>1.0506491499847272</v>
      </c>
      <c r="Z115" s="5">
        <v>6.9090245928279934</v>
      </c>
      <c r="AA115" s="5">
        <v>4.9000000000000004</v>
      </c>
      <c r="AB115" s="5">
        <v>8.1999999999999993</v>
      </c>
      <c r="AC115" s="5">
        <v>6.0571428571428578</v>
      </c>
      <c r="AD115" s="5">
        <v>1.489864748793313</v>
      </c>
      <c r="AE115" s="5">
        <v>6.6699505254414779</v>
      </c>
      <c r="AF115" s="5">
        <v>3.2</v>
      </c>
      <c r="AG115" s="5">
        <v>7.8</v>
      </c>
      <c r="AH115" s="6">
        <v>464.28571428571428</v>
      </c>
      <c r="AI115" s="6">
        <v>464.28571428571428</v>
      </c>
      <c r="AJ115" s="5">
        <v>0</v>
      </c>
      <c r="AK115" s="6">
        <v>0</v>
      </c>
      <c r="AL115" s="5">
        <v>0</v>
      </c>
      <c r="AM115" s="5">
        <v>0</v>
      </c>
      <c r="AN115" s="5">
        <v>0</v>
      </c>
      <c r="AO115" s="5">
        <v>1</v>
      </c>
      <c r="AP115">
        <f>IFERROR(Tabelle23[[#This Row],[Vol_ha_19]]*0.537836177777778*1.15,0)</f>
        <v>1.8587590988056348</v>
      </c>
      <c r="AQ115">
        <v>1</v>
      </c>
      <c r="AR115">
        <f>INDEX([2]Tabelle2!$A$2:$AU$139,MATCH(Tabelle23[[#This Row],[plot_id]],[2]Tabelle2!$M$2:$M$139,0),20)</f>
        <v>500</v>
      </c>
      <c r="AS115">
        <f>INDEX([2]Tabelle2!$A$2:$AU$139, MATCH(Tabelle23[[#This Row],[plot_id]],[2]Tabelle2!$M$2:$M$139,0), 19)</f>
        <v>11.5</v>
      </c>
    </row>
    <row r="116" spans="1:45" x14ac:dyDescent="0.3">
      <c r="A116" t="s">
        <v>584</v>
      </c>
      <c r="B116" t="s">
        <v>201</v>
      </c>
      <c r="C116" t="s">
        <v>201</v>
      </c>
      <c r="D116" s="129" t="s">
        <v>585</v>
      </c>
      <c r="F116" t="s">
        <v>586</v>
      </c>
      <c r="G116" s="4">
        <v>43800</v>
      </c>
      <c r="H116" s="154">
        <v>2019</v>
      </c>
      <c r="I116" t="s">
        <v>300</v>
      </c>
      <c r="J116">
        <v>20</v>
      </c>
      <c r="K116" s="5">
        <v>400</v>
      </c>
      <c r="L116" s="5">
        <f t="shared" si="1"/>
        <v>25</v>
      </c>
      <c r="M116" t="s">
        <v>587</v>
      </c>
      <c r="N116" s="129" t="s">
        <v>589</v>
      </c>
      <c r="O116">
        <v>0</v>
      </c>
      <c r="P116">
        <v>0</v>
      </c>
      <c r="Q116" s="152" t="s">
        <v>38</v>
      </c>
      <c r="R116" s="5"/>
      <c r="S116" s="5">
        <v>1.1314249592362791</v>
      </c>
      <c r="T116" s="152">
        <v>1.1045447070940013</v>
      </c>
      <c r="U116" s="5">
        <v>3.2560235952004746</v>
      </c>
      <c r="V116" s="5"/>
      <c r="W116" s="5"/>
      <c r="X116" s="5">
        <v>6.9750000000000005</v>
      </c>
      <c r="Y116" s="5">
        <v>1.324889932535279</v>
      </c>
      <c r="Z116" s="5">
        <v>7.1945195494854488</v>
      </c>
      <c r="AA116" s="5">
        <v>4.3</v>
      </c>
      <c r="AB116" s="5">
        <v>9.5</v>
      </c>
      <c r="AC116" s="5">
        <v>5.6882352941176473</v>
      </c>
      <c r="AD116" s="5">
        <v>1.2104406910983585</v>
      </c>
      <c r="AE116" s="5">
        <v>6.1034691008798578</v>
      </c>
      <c r="AF116" s="5">
        <v>3.3</v>
      </c>
      <c r="AG116" s="5">
        <v>7.6</v>
      </c>
      <c r="AH116" s="6">
        <v>500</v>
      </c>
      <c r="AI116" s="6">
        <v>500</v>
      </c>
      <c r="AJ116" s="5">
        <v>0</v>
      </c>
      <c r="AK116" s="6">
        <v>0</v>
      </c>
      <c r="AL116" s="5">
        <v>0</v>
      </c>
      <c r="AM116" s="5">
        <v>0</v>
      </c>
      <c r="AN116" s="5">
        <v>0</v>
      </c>
      <c r="AO116" s="5">
        <v>1</v>
      </c>
      <c r="AP116">
        <f>IFERROR(Tabelle23[[#This Row],[Vol_ha_19]]*0.537836177777778*1.15,0)</f>
        <v>2.0138883779764147</v>
      </c>
      <c r="AQ116">
        <v>1</v>
      </c>
      <c r="AR116">
        <f>INDEX([2]Tabelle2!$A$2:$AU$139,MATCH(Tabelle23[[#This Row],[plot_id]],[2]Tabelle2!$M$2:$M$139,0),20)</f>
        <v>500</v>
      </c>
      <c r="AS116">
        <f>INDEX([2]Tabelle2!$A$2:$AU$139, MATCH(Tabelle23[[#This Row],[plot_id]],[2]Tabelle2!$M$2:$M$139,0), 19)</f>
        <v>11.5</v>
      </c>
    </row>
    <row r="117" spans="1:45" x14ac:dyDescent="0.3">
      <c r="A117" t="s">
        <v>584</v>
      </c>
      <c r="B117" t="s">
        <v>201</v>
      </c>
      <c r="C117" t="s">
        <v>201</v>
      </c>
      <c r="D117" s="129" t="s">
        <v>585</v>
      </c>
      <c r="F117" t="s">
        <v>586</v>
      </c>
      <c r="G117" s="4">
        <v>43800</v>
      </c>
      <c r="H117" s="154">
        <v>2019</v>
      </c>
      <c r="I117" t="s">
        <v>298</v>
      </c>
      <c r="J117">
        <v>20</v>
      </c>
      <c r="K117" s="5">
        <v>400</v>
      </c>
      <c r="L117" s="5">
        <f t="shared" si="1"/>
        <v>25</v>
      </c>
      <c r="M117" t="s">
        <v>587</v>
      </c>
      <c r="N117" t="s">
        <v>588</v>
      </c>
      <c r="O117">
        <v>0</v>
      </c>
      <c r="P117">
        <v>0</v>
      </c>
      <c r="Q117" s="152" t="s">
        <v>38</v>
      </c>
      <c r="R117" s="5"/>
      <c r="S117" s="5">
        <v>1.0442850330073321</v>
      </c>
      <c r="T117" s="152">
        <v>1.0260441606624264</v>
      </c>
      <c r="U117" s="5">
        <v>3.1892600389227108</v>
      </c>
      <c r="V117" s="5"/>
      <c r="W117" s="5"/>
      <c r="X117" s="5">
        <v>7.2538461538461529</v>
      </c>
      <c r="Y117" s="5">
        <v>1.5554288715203306</v>
      </c>
      <c r="Z117" s="5">
        <v>7.6350324339569431</v>
      </c>
      <c r="AA117" s="5">
        <v>4.3</v>
      </c>
      <c r="AB117" s="5">
        <v>9.6</v>
      </c>
      <c r="AC117" s="5">
        <v>5.5933333333333328</v>
      </c>
      <c r="AD117" s="5">
        <v>1.7117991734594378</v>
      </c>
      <c r="AE117" s="5">
        <v>6.8406956848735554</v>
      </c>
      <c r="AF117" s="5">
        <v>3.3</v>
      </c>
      <c r="AG117" s="5">
        <v>9.4</v>
      </c>
      <c r="AH117" s="6">
        <v>428.57142857142856</v>
      </c>
      <c r="AI117" s="6">
        <v>428.57142857142856</v>
      </c>
      <c r="AJ117" s="5">
        <v>0</v>
      </c>
      <c r="AK117" s="6">
        <v>0</v>
      </c>
      <c r="AL117" s="5">
        <v>0</v>
      </c>
      <c r="AM117" s="5">
        <v>0</v>
      </c>
      <c r="AN117" s="5">
        <v>0</v>
      </c>
      <c r="AO117" s="5">
        <v>1</v>
      </c>
      <c r="AP117">
        <f>IFERROR(Tabelle23[[#This Row],[Vol_ha_19]]*0.537836177777778*1.15,0)</f>
        <v>1.972594343664638</v>
      </c>
      <c r="AQ117">
        <v>1</v>
      </c>
      <c r="AR117">
        <f>INDEX([2]Tabelle2!$A$2:$AU$139,MATCH(Tabelle23[[#This Row],[plot_id]],[2]Tabelle2!$M$2:$M$139,0),20)</f>
        <v>500</v>
      </c>
      <c r="AS117">
        <f>INDEX([2]Tabelle2!$A$2:$AU$139, MATCH(Tabelle23[[#This Row],[plot_id]],[2]Tabelle2!$M$2:$M$139,0), 19)</f>
        <v>11.5</v>
      </c>
    </row>
    <row r="118" spans="1:45" x14ac:dyDescent="0.3">
      <c r="A118" t="s">
        <v>584</v>
      </c>
      <c r="B118" t="s">
        <v>199</v>
      </c>
      <c r="C118" t="s">
        <v>199</v>
      </c>
      <c r="D118" s="129" t="s">
        <v>585</v>
      </c>
      <c r="F118" t="s">
        <v>606</v>
      </c>
      <c r="G118" s="4">
        <v>43800</v>
      </c>
      <c r="H118" s="154">
        <v>2019</v>
      </c>
      <c r="I118" t="s">
        <v>294</v>
      </c>
      <c r="J118">
        <v>20</v>
      </c>
      <c r="K118" s="5">
        <v>400</v>
      </c>
      <c r="L118" s="5">
        <f t="shared" si="1"/>
        <v>25</v>
      </c>
      <c r="M118" t="s">
        <v>607</v>
      </c>
      <c r="N118" t="s">
        <v>588</v>
      </c>
      <c r="O118">
        <v>0</v>
      </c>
      <c r="P118">
        <v>0</v>
      </c>
      <c r="Q118" s="152" t="s">
        <v>38</v>
      </c>
      <c r="R118" s="5"/>
      <c r="S118" s="5">
        <v>0.38044687034972391</v>
      </c>
      <c r="T118" s="152">
        <v>0.36762524533226054</v>
      </c>
      <c r="U118" s="5">
        <v>0.66339755428794245</v>
      </c>
      <c r="V118" s="5"/>
      <c r="W118" s="5"/>
      <c r="X118" s="5">
        <v>4.2687499999999998</v>
      </c>
      <c r="Y118" s="5">
        <v>0.66304223093254089</v>
      </c>
      <c r="Z118" s="5">
        <v>4.3593311312964493</v>
      </c>
      <c r="AA118" s="5">
        <v>3.3</v>
      </c>
      <c r="AB118" s="5">
        <v>5.4</v>
      </c>
      <c r="AC118" s="5">
        <v>3.1444444444444448</v>
      </c>
      <c r="AD118" s="5">
        <v>0.8565191182921692</v>
      </c>
      <c r="AE118" s="5">
        <v>3.6130522295623457</v>
      </c>
      <c r="AF118" s="5">
        <v>2</v>
      </c>
      <c r="AG118" s="5">
        <v>5.5</v>
      </c>
      <c r="AH118" s="6">
        <v>357.14285714285717</v>
      </c>
      <c r="AI118" s="6">
        <v>357.14285714285717</v>
      </c>
      <c r="AJ118" s="5">
        <v>0</v>
      </c>
      <c r="AK118" s="6">
        <v>0</v>
      </c>
      <c r="AL118" s="5">
        <v>0</v>
      </c>
      <c r="AM118" s="5">
        <v>0</v>
      </c>
      <c r="AN118" s="5">
        <v>0</v>
      </c>
      <c r="AO118" s="5">
        <v>1</v>
      </c>
      <c r="AP118">
        <f>IFERROR(Tabelle23[[#This Row],[Vol_ha_19]]*0.537836177777778*1.15,0)</f>
        <v>0.41031908568715586</v>
      </c>
      <c r="AQ118">
        <v>1</v>
      </c>
      <c r="AR118">
        <f>INDEX([2]Tabelle2!$A$2:$AU$139,MATCH(Tabelle23[[#This Row],[plot_id]],[2]Tabelle2!$M$2:$M$139,0),20)</f>
        <v>500</v>
      </c>
      <c r="AS118">
        <f>INDEX([2]Tabelle2!$A$2:$AU$139, MATCH(Tabelle23[[#This Row],[plot_id]],[2]Tabelle2!$M$2:$M$139,0), 19)</f>
        <v>7</v>
      </c>
    </row>
    <row r="119" spans="1:45" x14ac:dyDescent="0.3">
      <c r="A119" t="s">
        <v>584</v>
      </c>
      <c r="B119" t="s">
        <v>199</v>
      </c>
      <c r="C119" t="s">
        <v>199</v>
      </c>
      <c r="D119" s="129" t="s">
        <v>585</v>
      </c>
      <c r="F119" t="s">
        <v>606</v>
      </c>
      <c r="G119" s="4">
        <v>43800</v>
      </c>
      <c r="H119" s="154">
        <v>2019</v>
      </c>
      <c r="I119" t="s">
        <v>293</v>
      </c>
      <c r="J119">
        <v>20</v>
      </c>
      <c r="K119" s="5">
        <v>400</v>
      </c>
      <c r="L119" s="5">
        <f t="shared" si="1"/>
        <v>25</v>
      </c>
      <c r="M119" t="s">
        <v>607</v>
      </c>
      <c r="N119" t="s">
        <v>588</v>
      </c>
      <c r="O119">
        <v>0</v>
      </c>
      <c r="P119">
        <v>0</v>
      </c>
      <c r="Q119" s="152" t="s">
        <v>38</v>
      </c>
      <c r="R119" s="5"/>
      <c r="S119" s="5">
        <v>0.30995738518480298</v>
      </c>
      <c r="T119" s="152">
        <v>0.3027120871274615</v>
      </c>
      <c r="U119" s="5">
        <v>0.50801909403037149</v>
      </c>
      <c r="V119" s="5"/>
      <c r="W119" s="5"/>
      <c r="X119" s="5">
        <v>3.8785714285714286</v>
      </c>
      <c r="Y119" s="5">
        <v>0.81729250147485988</v>
      </c>
      <c r="Z119" s="5">
        <v>4.0974914481185847</v>
      </c>
      <c r="AA119" s="5">
        <v>2.5</v>
      </c>
      <c r="AB119" s="5">
        <v>5.6</v>
      </c>
      <c r="AC119" s="5">
        <v>3.0000000000000004</v>
      </c>
      <c r="AD119" s="5">
        <v>0.76420611683693285</v>
      </c>
      <c r="AE119" s="5">
        <v>3.4940896997339408</v>
      </c>
      <c r="AF119" s="5">
        <v>2.1</v>
      </c>
      <c r="AG119" s="5">
        <v>4.7</v>
      </c>
      <c r="AH119" s="6">
        <v>500</v>
      </c>
      <c r="AI119" s="6">
        <v>500</v>
      </c>
      <c r="AJ119" s="5">
        <v>0</v>
      </c>
      <c r="AK119" s="6">
        <v>0</v>
      </c>
      <c r="AL119" s="5">
        <v>0</v>
      </c>
      <c r="AM119" s="5">
        <v>0</v>
      </c>
      <c r="AN119" s="5">
        <v>0</v>
      </c>
      <c r="AO119" s="5">
        <v>1</v>
      </c>
      <c r="AP119">
        <f>IFERROR(Tabelle23[[#This Row],[Vol_ha_19]]*0.537836177777778*1.15,0)</f>
        <v>0.31421570493713824</v>
      </c>
      <c r="AQ119">
        <v>1</v>
      </c>
      <c r="AR119">
        <f>INDEX([2]Tabelle2!$A$2:$AU$139,MATCH(Tabelle23[[#This Row],[plot_id]],[2]Tabelle2!$M$2:$M$139,0),20)</f>
        <v>500</v>
      </c>
      <c r="AS119">
        <f>INDEX([2]Tabelle2!$A$2:$AU$139, MATCH(Tabelle23[[#This Row],[plot_id]],[2]Tabelle2!$M$2:$M$139,0), 19)</f>
        <v>7</v>
      </c>
    </row>
    <row r="120" spans="1:45" x14ac:dyDescent="0.3">
      <c r="A120" t="s">
        <v>584</v>
      </c>
      <c r="B120" t="s">
        <v>199</v>
      </c>
      <c r="C120" t="s">
        <v>199</v>
      </c>
      <c r="D120" s="129" t="s">
        <v>585</v>
      </c>
      <c r="F120" t="s">
        <v>606</v>
      </c>
      <c r="G120" s="4">
        <v>43800</v>
      </c>
      <c r="H120" s="154">
        <v>2019</v>
      </c>
      <c r="I120" t="s">
        <v>295</v>
      </c>
      <c r="J120">
        <v>20</v>
      </c>
      <c r="K120" s="5">
        <v>400</v>
      </c>
      <c r="L120" s="5">
        <f t="shared" si="1"/>
        <v>25</v>
      </c>
      <c r="M120" t="s">
        <v>607</v>
      </c>
      <c r="N120" t="s">
        <v>588</v>
      </c>
      <c r="O120">
        <v>0</v>
      </c>
      <c r="P120">
        <v>0</v>
      </c>
      <c r="Q120" s="152" t="s">
        <v>38</v>
      </c>
      <c r="R120" s="5"/>
      <c r="S120" s="5">
        <v>0.2838036263436679</v>
      </c>
      <c r="T120" s="152">
        <v>0.27433957847472867</v>
      </c>
      <c r="U120" s="5">
        <v>0.49297714840498352</v>
      </c>
      <c r="V120" s="5"/>
      <c r="W120" s="5"/>
      <c r="X120" s="5">
        <v>4.41</v>
      </c>
      <c r="Y120" s="5">
        <v>0.50651313463281011</v>
      </c>
      <c r="Z120" s="5">
        <v>4.3425902864259038</v>
      </c>
      <c r="AA120" s="5">
        <v>3.8</v>
      </c>
      <c r="AB120" s="5">
        <v>5.2</v>
      </c>
      <c r="AC120" s="5">
        <v>3.3333333333333339</v>
      </c>
      <c r="AD120" s="5">
        <v>0.55976185412488821</v>
      </c>
      <c r="AE120" s="5">
        <v>3.7302476823024771</v>
      </c>
      <c r="AF120" s="5">
        <v>3</v>
      </c>
      <c r="AG120" s="5">
        <v>4.8</v>
      </c>
      <c r="AH120" s="6">
        <v>357.14285714285717</v>
      </c>
      <c r="AI120" s="6">
        <v>357.14285714285717</v>
      </c>
      <c r="AJ120" s="5">
        <v>0</v>
      </c>
      <c r="AK120" s="6">
        <v>0</v>
      </c>
      <c r="AL120" s="5">
        <v>0</v>
      </c>
      <c r="AM120" s="5">
        <v>0</v>
      </c>
      <c r="AN120" s="5">
        <v>0</v>
      </c>
      <c r="AO120" s="5">
        <v>1</v>
      </c>
      <c r="AP120">
        <f>IFERROR(Tabelle23[[#This Row],[Vol_ha_19]]*0.537836177777778*1.15,0)</f>
        <v>0.30491208701441347</v>
      </c>
      <c r="AQ120">
        <v>1</v>
      </c>
      <c r="AR120">
        <f>INDEX([2]Tabelle2!$A$2:$AU$139,MATCH(Tabelle23[[#This Row],[plot_id]],[2]Tabelle2!$M$2:$M$139,0),20)</f>
        <v>500</v>
      </c>
      <c r="AS120">
        <f>INDEX([2]Tabelle2!$A$2:$AU$139, MATCH(Tabelle23[[#This Row],[plot_id]],[2]Tabelle2!$M$2:$M$139,0), 19)</f>
        <v>7</v>
      </c>
    </row>
    <row r="121" spans="1:45" x14ac:dyDescent="0.3">
      <c r="A121" t="s">
        <v>584</v>
      </c>
      <c r="B121" t="s">
        <v>195</v>
      </c>
      <c r="C121" t="s">
        <v>195</v>
      </c>
      <c r="D121" s="129" t="s">
        <v>585</v>
      </c>
      <c r="F121" t="s">
        <v>586</v>
      </c>
      <c r="G121" s="4">
        <v>43800</v>
      </c>
      <c r="H121" s="154">
        <v>2019</v>
      </c>
      <c r="I121" t="s">
        <v>292</v>
      </c>
      <c r="J121">
        <v>20</v>
      </c>
      <c r="K121" s="5">
        <v>400</v>
      </c>
      <c r="L121" s="5">
        <f t="shared" si="1"/>
        <v>25</v>
      </c>
      <c r="M121" t="s">
        <v>587</v>
      </c>
      <c r="N121" s="129" t="s">
        <v>589</v>
      </c>
      <c r="O121">
        <v>0</v>
      </c>
      <c r="P121">
        <v>0</v>
      </c>
      <c r="Q121" s="152" t="s">
        <v>38</v>
      </c>
      <c r="R121" s="5"/>
      <c r="S121" s="5">
        <v>1.5321547371557422</v>
      </c>
      <c r="T121" s="152">
        <v>1.5321547371557422</v>
      </c>
      <c r="U121" s="5">
        <v>4.2272493202522492</v>
      </c>
      <c r="V121" s="5"/>
      <c r="W121" s="5"/>
      <c r="X121" s="5">
        <v>6.87</v>
      </c>
      <c r="Y121" s="5">
        <v>0.57956426463516986</v>
      </c>
      <c r="Z121" s="5">
        <v>6.8975561308181268</v>
      </c>
      <c r="AA121" s="5">
        <v>5.6</v>
      </c>
      <c r="AB121" s="5">
        <v>7.8</v>
      </c>
      <c r="AC121" s="5">
        <v>6.22</v>
      </c>
      <c r="AD121" s="5">
        <v>0.58723258191551164</v>
      </c>
      <c r="AE121" s="5">
        <v>6.3243541111338955</v>
      </c>
      <c r="AF121" s="5">
        <v>5.0999999999999996</v>
      </c>
      <c r="AG121" s="5">
        <v>7.2</v>
      </c>
      <c r="AH121" s="6">
        <v>464.28571428571428</v>
      </c>
      <c r="AI121" s="6">
        <v>464.28571428571428</v>
      </c>
      <c r="AJ121" s="5">
        <v>0.61538461538461542</v>
      </c>
      <c r="AK121" s="6">
        <v>61.53846153846154</v>
      </c>
      <c r="AL121" s="5">
        <v>0</v>
      </c>
      <c r="AM121" s="5">
        <v>0</v>
      </c>
      <c r="AN121" s="5">
        <v>0</v>
      </c>
      <c r="AO121" s="5">
        <v>1</v>
      </c>
      <c r="AP121">
        <f>IFERROR(Tabelle23[[#This Row],[Vol_ha_19]]*0.537836177777778*1.15,0)</f>
        <v>2.6146027594559067</v>
      </c>
      <c r="AQ121">
        <v>1</v>
      </c>
      <c r="AR121">
        <f>INDEX([2]Tabelle2!$A$2:$AU$139,MATCH(Tabelle23[[#This Row],[plot_id]],[2]Tabelle2!$M$2:$M$139,0),20)</f>
        <v>500</v>
      </c>
      <c r="AS121">
        <f>INDEX([2]Tabelle2!$A$2:$AU$139, MATCH(Tabelle23[[#This Row],[plot_id]],[2]Tabelle2!$M$2:$M$139,0), 19)</f>
        <v>15.5</v>
      </c>
    </row>
    <row r="122" spans="1:45" x14ac:dyDescent="0.3">
      <c r="A122" t="s">
        <v>584</v>
      </c>
      <c r="B122" t="s">
        <v>195</v>
      </c>
      <c r="C122" t="s">
        <v>195</v>
      </c>
      <c r="D122" s="129" t="s">
        <v>585</v>
      </c>
      <c r="F122" t="s">
        <v>586</v>
      </c>
      <c r="G122" s="4">
        <v>43800</v>
      </c>
      <c r="H122" s="154">
        <v>2019</v>
      </c>
      <c r="I122" t="s">
        <v>290</v>
      </c>
      <c r="J122">
        <v>20</v>
      </c>
      <c r="K122" s="5">
        <v>400</v>
      </c>
      <c r="L122" s="5">
        <f t="shared" si="1"/>
        <v>25</v>
      </c>
      <c r="M122" t="s">
        <v>587</v>
      </c>
      <c r="N122" t="s">
        <v>588</v>
      </c>
      <c r="O122">
        <v>0</v>
      </c>
      <c r="P122">
        <v>0</v>
      </c>
      <c r="Q122" s="152" t="s">
        <v>38</v>
      </c>
      <c r="R122" s="5"/>
      <c r="S122" s="5">
        <v>1.0071160649245479</v>
      </c>
      <c r="T122" s="152">
        <v>0.90960888293875475</v>
      </c>
      <c r="U122" s="5">
        <v>2.2922190973946419</v>
      </c>
      <c r="V122" s="5"/>
      <c r="W122" s="5"/>
      <c r="X122" s="5">
        <v>6.223529411764706</v>
      </c>
      <c r="Y122" s="5">
        <v>0.67872068239142569</v>
      </c>
      <c r="Z122" s="5">
        <v>5.6900569289557819</v>
      </c>
      <c r="AA122" s="5">
        <v>5.3</v>
      </c>
      <c r="AB122" s="5">
        <v>7.6</v>
      </c>
      <c r="AC122" s="5">
        <v>5.01</v>
      </c>
      <c r="AD122" s="5">
        <v>0.69509838491100195</v>
      </c>
      <c r="AE122" s="5">
        <v>4.8312524370272163</v>
      </c>
      <c r="AF122" s="5">
        <v>4</v>
      </c>
      <c r="AG122" s="5">
        <v>6.4</v>
      </c>
      <c r="AH122" s="6">
        <v>428.57142857142856</v>
      </c>
      <c r="AI122" s="6">
        <v>428.57142857142856</v>
      </c>
      <c r="AJ122" s="5">
        <v>0</v>
      </c>
      <c r="AK122" s="6">
        <v>0</v>
      </c>
      <c r="AL122" s="5">
        <v>0</v>
      </c>
      <c r="AM122" s="5">
        <v>0</v>
      </c>
      <c r="AN122" s="5">
        <v>0</v>
      </c>
      <c r="AO122" s="5">
        <v>1</v>
      </c>
      <c r="AP122">
        <f>IFERROR(Tabelle23[[#This Row],[Vol_ha_19]]*0.537836177777778*1.15,0)</f>
        <v>1.4177641116677568</v>
      </c>
      <c r="AQ122">
        <v>1</v>
      </c>
      <c r="AR122">
        <f>INDEX([2]Tabelle2!$A$2:$AU$139,MATCH(Tabelle23[[#This Row],[plot_id]],[2]Tabelle2!$M$2:$M$139,0),20)</f>
        <v>500</v>
      </c>
      <c r="AS122">
        <f>INDEX([2]Tabelle2!$A$2:$AU$139, MATCH(Tabelle23[[#This Row],[plot_id]],[2]Tabelle2!$M$2:$M$139,0), 19)</f>
        <v>15.5</v>
      </c>
    </row>
    <row r="123" spans="1:45" x14ac:dyDescent="0.3">
      <c r="A123" t="s">
        <v>584</v>
      </c>
      <c r="B123" t="s">
        <v>195</v>
      </c>
      <c r="C123" t="s">
        <v>195</v>
      </c>
      <c r="D123" s="129" t="s">
        <v>585</v>
      </c>
      <c r="F123" t="s">
        <v>586</v>
      </c>
      <c r="G123" s="4">
        <v>43800</v>
      </c>
      <c r="H123" s="154">
        <v>2019</v>
      </c>
      <c r="I123" t="s">
        <v>289</v>
      </c>
      <c r="J123">
        <v>20</v>
      </c>
      <c r="K123" s="5">
        <v>400</v>
      </c>
      <c r="L123" s="5">
        <f t="shared" si="1"/>
        <v>25</v>
      </c>
      <c r="M123" t="s">
        <v>587</v>
      </c>
      <c r="N123" t="s">
        <v>588</v>
      </c>
      <c r="O123">
        <v>0</v>
      </c>
      <c r="P123">
        <v>0</v>
      </c>
      <c r="Q123" s="152" t="s">
        <v>38</v>
      </c>
      <c r="R123" s="5"/>
      <c r="S123" s="5">
        <v>1.2408112884434586</v>
      </c>
      <c r="T123" s="152">
        <v>1.2408112884434586</v>
      </c>
      <c r="U123" s="5">
        <v>3.5510914020035886</v>
      </c>
      <c r="V123" s="5"/>
      <c r="W123" s="5"/>
      <c r="X123" s="5">
        <v>7.0799999999999992</v>
      </c>
      <c r="Y123" s="5">
        <v>0.65378021645547757</v>
      </c>
      <c r="Z123" s="5">
        <v>7.1547773522802798</v>
      </c>
      <c r="AA123" s="5">
        <v>6.2</v>
      </c>
      <c r="AB123" s="5">
        <v>8.1</v>
      </c>
      <c r="AC123" s="5">
        <v>6.4666666666666659</v>
      </c>
      <c r="AD123" s="5">
        <v>0.57776251506092358</v>
      </c>
      <c r="AE123" s="5">
        <v>6.5617811817577625</v>
      </c>
      <c r="AF123" s="5">
        <v>5.5</v>
      </c>
      <c r="AG123" s="5">
        <v>7.5</v>
      </c>
      <c r="AH123" s="6">
        <v>464.28571428571428</v>
      </c>
      <c r="AI123" s="6">
        <v>428.57142857142856</v>
      </c>
      <c r="AJ123" s="5">
        <v>0</v>
      </c>
      <c r="AK123" s="6">
        <v>0</v>
      </c>
      <c r="AL123" s="5">
        <v>0</v>
      </c>
      <c r="AM123" s="5">
        <v>0</v>
      </c>
      <c r="AN123" s="5">
        <v>0</v>
      </c>
      <c r="AO123" s="5">
        <v>1</v>
      </c>
      <c r="AP123">
        <f>IFERROR(Tabelle23[[#This Row],[Vol_ha_19]]*0.537836177777778*1.15,0)</f>
        <v>2.1963912405821122</v>
      </c>
      <c r="AQ123">
        <v>1</v>
      </c>
      <c r="AR123">
        <f>INDEX([2]Tabelle2!$A$2:$AU$139,MATCH(Tabelle23[[#This Row],[plot_id]],[2]Tabelle2!$M$2:$M$139,0),20)</f>
        <v>500</v>
      </c>
      <c r="AS123">
        <f>INDEX([2]Tabelle2!$A$2:$AU$139, MATCH(Tabelle23[[#This Row],[plot_id]],[2]Tabelle2!$M$2:$M$139,0), 19)</f>
        <v>15.5</v>
      </c>
    </row>
    <row r="124" spans="1:45" x14ac:dyDescent="0.3">
      <c r="A124" t="s">
        <v>584</v>
      </c>
      <c r="B124" t="s">
        <v>209</v>
      </c>
      <c r="C124" t="s">
        <v>209</v>
      </c>
      <c r="D124" s="129" t="s">
        <v>585</v>
      </c>
      <c r="F124" t="s">
        <v>590</v>
      </c>
      <c r="G124" s="4">
        <v>43374</v>
      </c>
      <c r="H124" s="129">
        <v>2018</v>
      </c>
      <c r="I124" t="s">
        <v>314</v>
      </c>
      <c r="J124">
        <v>20</v>
      </c>
      <c r="K124" s="5">
        <v>280.1120448179272</v>
      </c>
      <c r="L124" s="5">
        <f t="shared" si="1"/>
        <v>35.699999999999996</v>
      </c>
      <c r="M124" t="s">
        <v>591</v>
      </c>
      <c r="N124" s="129" t="s">
        <v>589</v>
      </c>
      <c r="O124">
        <v>0</v>
      </c>
      <c r="P124">
        <v>0</v>
      </c>
      <c r="Q124" s="152" t="s">
        <v>38</v>
      </c>
      <c r="R124" s="5"/>
      <c r="S124" s="5">
        <v>3.8953625187879597</v>
      </c>
      <c r="T124" s="152">
        <v>3.6263590925149862</v>
      </c>
      <c r="U124" s="5">
        <v>14.971652898170898</v>
      </c>
      <c r="V124" s="5"/>
      <c r="W124" s="5"/>
      <c r="X124" s="5">
        <v>9.8470588235294123</v>
      </c>
      <c r="Y124" s="5">
        <v>1.5342415255830877</v>
      </c>
      <c r="Z124" s="5">
        <v>9.6086390072555563</v>
      </c>
      <c r="AA124" s="5">
        <v>6.8</v>
      </c>
      <c r="AB124" s="5">
        <v>12.6</v>
      </c>
      <c r="AC124" s="5">
        <v>8.3789473684210538</v>
      </c>
      <c r="AD124" s="5">
        <v>1.763206470843256</v>
      </c>
      <c r="AE124" s="5">
        <v>8.568857249798457</v>
      </c>
      <c r="AF124" s="5">
        <v>5.5</v>
      </c>
      <c r="AG124" s="5">
        <v>11.1</v>
      </c>
      <c r="AH124" s="6">
        <v>464.28571428571428</v>
      </c>
      <c r="AI124" s="6">
        <v>464.28571428571428</v>
      </c>
      <c r="AJ124" s="5">
        <v>0</v>
      </c>
      <c r="AK124" s="6">
        <v>0</v>
      </c>
      <c r="AL124" s="5">
        <v>0</v>
      </c>
      <c r="AM124" s="5">
        <v>0</v>
      </c>
      <c r="AN124" s="5">
        <v>0</v>
      </c>
      <c r="AO124" s="5">
        <v>1</v>
      </c>
      <c r="AP124">
        <f>IFERROR(Tabelle23[[#This Row],[Vol_ha_19]]*0.537836177777778*1.15,0)</f>
        <v>9.260141055233003</v>
      </c>
      <c r="AQ124">
        <v>1</v>
      </c>
      <c r="AR124">
        <f>INDEX([2]Tabelle2!$A$2:$AU$139,MATCH(Tabelle23[[#This Row],[plot_id]],[2]Tabelle2!$M$2:$M$139,0),20)</f>
        <v>714</v>
      </c>
      <c r="AS124">
        <f>INDEX([2]Tabelle2!$A$2:$AU$139, MATCH(Tabelle23[[#This Row],[plot_id]],[2]Tabelle2!$M$2:$M$139,0), 19)</f>
        <v>25</v>
      </c>
    </row>
    <row r="125" spans="1:45" x14ac:dyDescent="0.3">
      <c r="A125" t="s">
        <v>584</v>
      </c>
      <c r="B125" t="s">
        <v>209</v>
      </c>
      <c r="C125" t="s">
        <v>209</v>
      </c>
      <c r="D125" s="129" t="s">
        <v>585</v>
      </c>
      <c r="F125" t="s">
        <v>590</v>
      </c>
      <c r="G125" s="4">
        <v>43374</v>
      </c>
      <c r="H125" s="129">
        <v>2018</v>
      </c>
      <c r="I125" t="s">
        <v>315</v>
      </c>
      <c r="J125">
        <v>20</v>
      </c>
      <c r="K125" s="5">
        <v>280.1120448179272</v>
      </c>
      <c r="L125" s="152">
        <f t="shared" si="1"/>
        <v>35.699999999999996</v>
      </c>
      <c r="M125" t="s">
        <v>591</v>
      </c>
      <c r="O125" s="5"/>
      <c r="P125" s="5"/>
      <c r="Q125" s="152"/>
      <c r="R125" s="152"/>
      <c r="S125" s="5">
        <v>5.4195316729699066</v>
      </c>
      <c r="T125" s="152">
        <v>5.4195316729699066</v>
      </c>
      <c r="U125" s="5">
        <v>25.501084247442563</v>
      </c>
      <c r="V125" s="5"/>
      <c r="W125" s="5"/>
      <c r="X125" s="5">
        <v>11.626315789473686</v>
      </c>
      <c r="Y125" s="152">
        <v>1.9142280443687809</v>
      </c>
      <c r="Z125" s="152">
        <v>11.763509185964383</v>
      </c>
      <c r="AA125" s="152">
        <v>8.8000000000000007</v>
      </c>
      <c r="AB125" s="152">
        <v>18.8</v>
      </c>
      <c r="AC125" s="5">
        <v>10.058473684210528</v>
      </c>
      <c r="AD125" s="152">
        <v>0.76701284709080286</v>
      </c>
      <c r="AE125" s="152">
        <v>10.1630994720588</v>
      </c>
      <c r="AF125" s="152">
        <v>7.8</v>
      </c>
      <c r="AG125" s="152">
        <v>11</v>
      </c>
      <c r="AH125" s="153"/>
      <c r="AI125" s="6"/>
      <c r="AJ125" s="5"/>
      <c r="AK125" s="153"/>
      <c r="AL125" s="5"/>
      <c r="AM125" s="5"/>
      <c r="AN125" s="152"/>
      <c r="AO125" s="152"/>
      <c r="AP125">
        <f>IFERROR(Tabelle23[[#This Row],[Vol_ha_19]]*0.537836177777778*1.15,0)</f>
        <v>15.772716532958654</v>
      </c>
      <c r="AQ125">
        <f>IF(Tabelle23[[#This Row],[Year of planting ]]=2015,1,IF(Tabelle23[[#This Row],[Year of planting ]]=2016,2,IF(Tabelle23[[#This Row],[Year of planting ]]=2017,3,IF(Tabelle23[[#This Row],[Year of planting ]]=2018,4,5))))</f>
        <v>4</v>
      </c>
      <c r="AR125">
        <f>INDEX([2]Tabelle2!$A$2:$AU$139,MATCH(Tabelle23[[#This Row],[plot_id]],[2]Tabelle2!$M$2:$M$139,0),20)</f>
        <v>714</v>
      </c>
      <c r="AS125">
        <f>INDEX([2]Tabelle2!$A$2:$AU$139, MATCH(Tabelle23[[#This Row],[plot_id]],[2]Tabelle2!$M$2:$M$139,0), 19)</f>
        <v>25</v>
      </c>
    </row>
    <row r="126" spans="1:45" x14ac:dyDescent="0.3">
      <c r="A126" t="s">
        <v>584</v>
      </c>
      <c r="B126" t="s">
        <v>209</v>
      </c>
      <c r="C126" t="s">
        <v>209</v>
      </c>
      <c r="D126" s="129" t="s">
        <v>585</v>
      </c>
      <c r="F126" t="s">
        <v>590</v>
      </c>
      <c r="G126" s="4">
        <v>43374</v>
      </c>
      <c r="H126" s="129">
        <v>2018</v>
      </c>
      <c r="I126" t="s">
        <v>313</v>
      </c>
      <c r="J126">
        <v>20</v>
      </c>
      <c r="K126" s="5">
        <v>280.1120448179272</v>
      </c>
      <c r="L126" s="152">
        <f t="shared" si="1"/>
        <v>35.699999999999996</v>
      </c>
      <c r="M126" t="s">
        <v>591</v>
      </c>
      <c r="O126" s="5"/>
      <c r="P126" s="5"/>
      <c r="Q126" s="152"/>
      <c r="R126" s="152"/>
      <c r="S126" s="5">
        <v>5.68557835792459</v>
      </c>
      <c r="T126" s="152">
        <v>5.3524503917426847</v>
      </c>
      <c r="U126" s="5">
        <v>24.202086291947225</v>
      </c>
      <c r="V126" s="5"/>
      <c r="W126" s="5"/>
      <c r="X126" s="5">
        <v>11.2</v>
      </c>
      <c r="Y126" s="152">
        <v>0.97256483225601809</v>
      </c>
      <c r="Z126" s="152">
        <v>10.641875271235255</v>
      </c>
      <c r="AA126" s="152">
        <v>9.6999999999999993</v>
      </c>
      <c r="AB126" s="152">
        <v>13.3</v>
      </c>
      <c r="AC126" s="5">
        <v>10.305263157894736</v>
      </c>
      <c r="AD126" s="152">
        <v>0.75209945803147726</v>
      </c>
      <c r="AE126" s="152">
        <v>9.7685500256440605</v>
      </c>
      <c r="AF126" s="152">
        <v>8.9</v>
      </c>
      <c r="AG126" s="152">
        <v>12</v>
      </c>
      <c r="AH126" s="153"/>
      <c r="AI126" s="6"/>
      <c r="AJ126" s="5"/>
      <c r="AK126" s="153"/>
      <c r="AL126" s="5"/>
      <c r="AM126" s="5"/>
      <c r="AN126" s="152"/>
      <c r="AO126" s="152"/>
      <c r="AP126">
        <f>IFERROR(Tabelle23[[#This Row],[Vol_ha_19]]*0.537836177777778*1.15,0)</f>
        <v>14.969271223335179</v>
      </c>
      <c r="AQ126">
        <f>IF(Tabelle23[[#This Row],[Year of planting ]]=2015,1,IF(Tabelle23[[#This Row],[Year of planting ]]=2016,2,IF(Tabelle23[[#This Row],[Year of planting ]]=2017,3,IF(Tabelle23[[#This Row],[Year of planting ]]=2018,4,5))))</f>
        <v>4</v>
      </c>
      <c r="AR126">
        <f>INDEX([2]Tabelle2!$A$2:$AU$139,MATCH(Tabelle23[[#This Row],[plot_id]],[2]Tabelle2!$M$2:$M$139,0),20)</f>
        <v>714</v>
      </c>
      <c r="AS126">
        <f>INDEX([2]Tabelle2!$A$2:$AU$139, MATCH(Tabelle23[[#This Row],[plot_id]],[2]Tabelle2!$M$2:$M$139,0), 19)</f>
        <v>25</v>
      </c>
    </row>
    <row r="127" spans="1:45" x14ac:dyDescent="0.3">
      <c r="A127" t="s">
        <v>584</v>
      </c>
      <c r="B127" t="s">
        <v>209</v>
      </c>
      <c r="C127" t="s">
        <v>209</v>
      </c>
      <c r="D127" s="129" t="s">
        <v>585</v>
      </c>
      <c r="F127" t="s">
        <v>590</v>
      </c>
      <c r="G127" s="4">
        <v>43374</v>
      </c>
      <c r="H127" s="129">
        <v>2018</v>
      </c>
      <c r="I127" t="s">
        <v>312</v>
      </c>
      <c r="J127">
        <v>20</v>
      </c>
      <c r="K127" s="5">
        <v>280.1120448179272</v>
      </c>
      <c r="L127" s="152">
        <f t="shared" si="1"/>
        <v>35.699999999999996</v>
      </c>
      <c r="M127" t="s">
        <v>591</v>
      </c>
      <c r="O127" s="5"/>
      <c r="P127" s="5"/>
      <c r="Q127" s="152"/>
      <c r="R127" s="152"/>
      <c r="S127" s="5">
        <v>5.5680400670202417</v>
      </c>
      <c r="T127" s="152">
        <v>5.5680400670202417</v>
      </c>
      <c r="U127" s="5">
        <v>26.679280916511008</v>
      </c>
      <c r="V127" s="5"/>
      <c r="W127" s="5"/>
      <c r="X127" s="5">
        <v>11.916666666666666</v>
      </c>
      <c r="Y127" s="152">
        <v>1.1703443434959391</v>
      </c>
      <c r="Z127" s="152">
        <v>11.978757603835152</v>
      </c>
      <c r="AA127" s="152">
        <v>10</v>
      </c>
      <c r="AB127" s="152">
        <v>14</v>
      </c>
      <c r="AC127" s="5">
        <v>10.466666666666667</v>
      </c>
      <c r="AD127" s="152">
        <v>0.90488868343667817</v>
      </c>
      <c r="AE127" s="152">
        <v>10.615728356765905</v>
      </c>
      <c r="AF127" s="152">
        <v>9.1999999999999993</v>
      </c>
      <c r="AG127" s="152">
        <v>12.3</v>
      </c>
      <c r="AH127" s="153"/>
      <c r="AI127" s="6"/>
      <c r="AJ127" s="5"/>
      <c r="AK127" s="153"/>
      <c r="AL127" s="5"/>
      <c r="AM127" s="5"/>
      <c r="AN127" s="152"/>
      <c r="AO127" s="152"/>
      <c r="AP127">
        <f>IFERROR(Tabelle23[[#This Row],[Vol_ha_19]]*0.537836177777778*1.15,0)</f>
        <v>16.501444845095278</v>
      </c>
      <c r="AQ127">
        <f>IF(Tabelle23[[#This Row],[Year of planting ]]=2015,1,IF(Tabelle23[[#This Row],[Year of planting ]]=2016,2,IF(Tabelle23[[#This Row],[Year of planting ]]=2017,3,IF(Tabelle23[[#This Row],[Year of planting ]]=2018,4,5))))</f>
        <v>4</v>
      </c>
      <c r="AR127">
        <f>INDEX([2]Tabelle2!$A$2:$AU$139,MATCH(Tabelle23[[#This Row],[plot_id]],[2]Tabelle2!$M$2:$M$139,0),20)</f>
        <v>714</v>
      </c>
      <c r="AS127">
        <f>INDEX([2]Tabelle2!$A$2:$AU$139, MATCH(Tabelle23[[#This Row],[plot_id]],[2]Tabelle2!$M$2:$M$139,0), 19)</f>
        <v>25</v>
      </c>
    </row>
    <row r="128" spans="1:45" x14ac:dyDescent="0.3">
      <c r="A128" t="s">
        <v>584</v>
      </c>
      <c r="B128" t="s">
        <v>211</v>
      </c>
      <c r="C128" t="s">
        <v>211</v>
      </c>
      <c r="D128" s="129" t="s">
        <v>585</v>
      </c>
      <c r="F128" t="s">
        <v>590</v>
      </c>
      <c r="G128" s="4">
        <v>43800</v>
      </c>
      <c r="H128" s="154">
        <v>2019</v>
      </c>
      <c r="I128" t="s">
        <v>317</v>
      </c>
      <c r="J128">
        <v>20</v>
      </c>
      <c r="K128" s="5">
        <v>280.1120448179272</v>
      </c>
      <c r="L128" s="5">
        <f t="shared" si="1"/>
        <v>35.699999999999996</v>
      </c>
      <c r="M128" t="s">
        <v>591</v>
      </c>
      <c r="N128" t="s">
        <v>588</v>
      </c>
      <c r="O128">
        <v>0</v>
      </c>
      <c r="P128">
        <v>0</v>
      </c>
      <c r="Q128" s="152" t="s">
        <v>38</v>
      </c>
      <c r="R128" s="5"/>
      <c r="S128" s="5">
        <v>1.1913930149848782</v>
      </c>
      <c r="T128" s="152">
        <v>1.1842151040899562</v>
      </c>
      <c r="U128" s="5">
        <v>3.1774727330209598</v>
      </c>
      <c r="V128" s="5"/>
      <c r="W128" s="5"/>
      <c r="X128" s="5">
        <v>6.3999999999999995</v>
      </c>
      <c r="Y128" s="5">
        <v>1.0000000000000044</v>
      </c>
      <c r="Z128" s="5">
        <v>6.6675578357769902</v>
      </c>
      <c r="AA128" s="5">
        <v>3.8</v>
      </c>
      <c r="AB128" s="5">
        <v>7.9</v>
      </c>
      <c r="AC128" s="5">
        <v>5.126666666666666</v>
      </c>
      <c r="AD128" s="5">
        <v>1.1550415053671803</v>
      </c>
      <c r="AE128" s="5">
        <v>5.7331552564072412</v>
      </c>
      <c r="AF128" s="5">
        <v>2.5</v>
      </c>
      <c r="AG128" s="5">
        <v>6.8</v>
      </c>
      <c r="AH128" s="6">
        <v>464.28571428571428</v>
      </c>
      <c r="AI128" s="6">
        <v>464.28571428571428</v>
      </c>
      <c r="AJ128" s="5">
        <v>0</v>
      </c>
      <c r="AK128" s="6">
        <v>0</v>
      </c>
      <c r="AL128" s="5">
        <v>0</v>
      </c>
      <c r="AM128" s="5">
        <v>0</v>
      </c>
      <c r="AN128" s="5">
        <v>0</v>
      </c>
      <c r="AO128" s="5">
        <v>1</v>
      </c>
      <c r="AP128">
        <f>IFERROR(Tabelle23[[#This Row],[Vol_ha_19]]*0.537836177777778*1.15,0)</f>
        <v>1.9653037581792683</v>
      </c>
      <c r="AQ128">
        <v>1</v>
      </c>
      <c r="AR128">
        <f>INDEX([2]Tabelle2!$A$2:$AU$139,MATCH(Tabelle23[[#This Row],[plot_id]],[2]Tabelle2!$M$2:$M$139,0),20)</f>
        <v>714</v>
      </c>
      <c r="AS128">
        <f>INDEX([2]Tabelle2!$A$2:$AU$139, MATCH(Tabelle23[[#This Row],[plot_id]],[2]Tabelle2!$M$2:$M$139,0), 19)</f>
        <v>6</v>
      </c>
    </row>
    <row r="129" spans="1:45" x14ac:dyDescent="0.3">
      <c r="A129" t="s">
        <v>584</v>
      </c>
      <c r="B129" t="s">
        <v>211</v>
      </c>
      <c r="C129" t="s">
        <v>211</v>
      </c>
      <c r="D129" s="129" t="s">
        <v>585</v>
      </c>
      <c r="F129" t="s">
        <v>590</v>
      </c>
      <c r="G129" s="4">
        <v>43800</v>
      </c>
      <c r="H129" s="154">
        <v>2019</v>
      </c>
      <c r="I129" t="s">
        <v>318</v>
      </c>
      <c r="J129">
        <v>20</v>
      </c>
      <c r="K129" s="5">
        <v>280.1120448179272</v>
      </c>
      <c r="L129" s="5">
        <f t="shared" si="1"/>
        <v>35.699999999999996</v>
      </c>
      <c r="M129" t="s">
        <v>591</v>
      </c>
      <c r="N129" s="129" t="s">
        <v>589</v>
      </c>
      <c r="O129">
        <v>0</v>
      </c>
      <c r="P129">
        <v>0</v>
      </c>
      <c r="Q129" s="152" t="s">
        <v>38</v>
      </c>
      <c r="R129" s="5"/>
      <c r="S129" s="5">
        <v>0.7738124409299072</v>
      </c>
      <c r="T129" s="152">
        <v>0.54078268527484297</v>
      </c>
      <c r="U129" s="5">
        <v>1.4888299407903618</v>
      </c>
      <c r="V129" s="5"/>
      <c r="W129" s="5"/>
      <c r="X129" s="5">
        <v>6.7624999999999993</v>
      </c>
      <c r="Y129" s="5">
        <v>0.70292755164180543</v>
      </c>
      <c r="Z129" s="5">
        <v>4.8100478295528655</v>
      </c>
      <c r="AA129" s="5">
        <v>5.5</v>
      </c>
      <c r="AB129" s="5">
        <v>7.9</v>
      </c>
      <c r="AC129" s="5">
        <v>4.3285714285714283</v>
      </c>
      <c r="AD129" s="5">
        <v>0.72886898685566537</v>
      </c>
      <c r="AE129" s="5">
        <v>3.5288173056018546</v>
      </c>
      <c r="AF129" s="5">
        <v>3.9</v>
      </c>
      <c r="AG129" s="5">
        <v>5.8</v>
      </c>
      <c r="AH129" s="6">
        <v>392.85714285714289</v>
      </c>
      <c r="AI129" s="6">
        <v>392.85714285714289</v>
      </c>
      <c r="AJ129" s="5">
        <v>0</v>
      </c>
      <c r="AK129" s="6">
        <v>0</v>
      </c>
      <c r="AL129" s="5">
        <v>0</v>
      </c>
      <c r="AM129" s="5">
        <v>0</v>
      </c>
      <c r="AN129" s="5">
        <v>0</v>
      </c>
      <c r="AO129" s="5">
        <v>1</v>
      </c>
      <c r="AP129">
        <f>IFERROR(Tabelle23[[#This Row],[Vol_ha_19]]*0.537836177777778*1.15,0)</f>
        <v>0.92085859542317416</v>
      </c>
      <c r="AQ129">
        <v>1</v>
      </c>
      <c r="AR129">
        <f>INDEX([2]Tabelle2!$A$2:$AU$139,MATCH(Tabelle23[[#This Row],[plot_id]],[2]Tabelle2!$M$2:$M$139,0),20)</f>
        <v>714</v>
      </c>
      <c r="AS129">
        <f>INDEX([2]Tabelle2!$A$2:$AU$139, MATCH(Tabelle23[[#This Row],[plot_id]],[2]Tabelle2!$M$2:$M$139,0), 19)</f>
        <v>6</v>
      </c>
    </row>
    <row r="130" spans="1:45" x14ac:dyDescent="0.3">
      <c r="A130" t="s">
        <v>584</v>
      </c>
      <c r="B130" t="s">
        <v>211</v>
      </c>
      <c r="C130" t="s">
        <v>211</v>
      </c>
      <c r="D130" s="129" t="s">
        <v>585</v>
      </c>
      <c r="F130" t="s">
        <v>590</v>
      </c>
      <c r="G130" s="4">
        <v>43800</v>
      </c>
      <c r="H130" s="154">
        <v>2019</v>
      </c>
      <c r="I130" t="s">
        <v>316</v>
      </c>
      <c r="J130">
        <v>20</v>
      </c>
      <c r="K130" s="5">
        <v>280.1120448179272</v>
      </c>
      <c r="L130" s="5">
        <f t="shared" si="1"/>
        <v>35.699999999999996</v>
      </c>
      <c r="M130" t="s">
        <v>591</v>
      </c>
      <c r="N130" t="s">
        <v>588</v>
      </c>
      <c r="O130">
        <v>0</v>
      </c>
      <c r="P130">
        <v>0</v>
      </c>
      <c r="Q130" s="152" t="s">
        <v>38</v>
      </c>
      <c r="R130" s="5"/>
      <c r="S130" s="5">
        <v>0.40302848126409457</v>
      </c>
      <c r="T130" s="152">
        <v>0.33811885735103081</v>
      </c>
      <c r="U130" s="5">
        <v>0.63695547578102396</v>
      </c>
      <c r="V130" s="5"/>
      <c r="W130" s="5"/>
      <c r="X130" s="5">
        <v>4.3666666666666671</v>
      </c>
      <c r="Y130" s="5">
        <v>0.88034084308295169</v>
      </c>
      <c r="Z130" s="5">
        <v>3.9510574648671208</v>
      </c>
      <c r="AA130" s="5">
        <v>3.1</v>
      </c>
      <c r="AB130" s="5">
        <v>5.7</v>
      </c>
      <c r="AC130" s="5">
        <v>3.3666666666666667</v>
      </c>
      <c r="AD130" s="5">
        <v>0.8732124598286527</v>
      </c>
      <c r="AE130" s="5">
        <v>3.284951996660638</v>
      </c>
      <c r="AF130" s="5">
        <v>2.2999999999999998</v>
      </c>
      <c r="AG130" s="5">
        <v>4.5999999999999996</v>
      </c>
      <c r="AH130" s="6">
        <v>392.85714285714289</v>
      </c>
      <c r="AI130" s="6">
        <v>392.85714285714289</v>
      </c>
      <c r="AJ130" s="5">
        <v>0</v>
      </c>
      <c r="AK130" s="6">
        <v>0</v>
      </c>
      <c r="AL130" s="5">
        <v>0</v>
      </c>
      <c r="AM130" s="5">
        <v>0</v>
      </c>
      <c r="AN130" s="5">
        <v>0</v>
      </c>
      <c r="AO130" s="5">
        <v>1</v>
      </c>
      <c r="AP130">
        <f>IFERROR(Tabelle23[[#This Row],[Vol_ha_19]]*0.537836177777778*1.15,0)</f>
        <v>0.39396435328499579</v>
      </c>
      <c r="AQ130">
        <v>1</v>
      </c>
      <c r="AR130">
        <f>INDEX([2]Tabelle2!$A$2:$AU$139,MATCH(Tabelle23[[#This Row],[plot_id]],[2]Tabelle2!$M$2:$M$139,0),20)</f>
        <v>714</v>
      </c>
      <c r="AS130">
        <f>INDEX([2]Tabelle2!$A$2:$AU$139, MATCH(Tabelle23[[#This Row],[plot_id]],[2]Tabelle2!$M$2:$M$139,0), 19)</f>
        <v>6</v>
      </c>
    </row>
    <row r="131" spans="1:45" x14ac:dyDescent="0.3">
      <c r="A131" t="s">
        <v>584</v>
      </c>
      <c r="B131" t="s">
        <v>235</v>
      </c>
      <c r="C131" t="s">
        <v>235</v>
      </c>
      <c r="D131" s="129" t="s">
        <v>585</v>
      </c>
      <c r="F131" t="s">
        <v>590</v>
      </c>
      <c r="G131" s="4">
        <v>43709</v>
      </c>
      <c r="H131" s="154">
        <v>2019</v>
      </c>
      <c r="I131" t="s">
        <v>353</v>
      </c>
      <c r="J131">
        <v>20</v>
      </c>
      <c r="K131" s="5">
        <v>280.1120448179272</v>
      </c>
      <c r="L131" s="5">
        <f t="shared" ref="L131:L140" si="2">10000/K131</f>
        <v>35.699999999999996</v>
      </c>
      <c r="M131" t="s">
        <v>591</v>
      </c>
      <c r="N131" s="129" t="s">
        <v>589</v>
      </c>
      <c r="O131">
        <v>0</v>
      </c>
      <c r="P131">
        <v>0</v>
      </c>
      <c r="Q131" s="152" t="s">
        <v>38</v>
      </c>
      <c r="R131" s="5"/>
      <c r="S131" s="5">
        <v>1.1161931828747977</v>
      </c>
      <c r="T131" s="152">
        <v>1.0790138475362567</v>
      </c>
      <c r="U131" s="5">
        <v>2.2425947009004674</v>
      </c>
      <c r="V131" s="5"/>
      <c r="W131" s="5"/>
      <c r="X131" s="5">
        <v>5.1357142857142861</v>
      </c>
      <c r="Y131" s="5">
        <v>0.7918888255859603</v>
      </c>
      <c r="Z131" s="5">
        <v>5.0228641764425142</v>
      </c>
      <c r="AA131" s="5">
        <v>3.1</v>
      </c>
      <c r="AB131" s="5">
        <v>6.4</v>
      </c>
      <c r="AC131" s="5">
        <v>4.6411764705882357</v>
      </c>
      <c r="AD131" s="5">
        <v>0.74983514671742724</v>
      </c>
      <c r="AE131" s="5">
        <v>5.196817302620012</v>
      </c>
      <c r="AF131" s="5">
        <v>3.5</v>
      </c>
      <c r="AG131" s="5">
        <v>6.2</v>
      </c>
      <c r="AH131" s="6">
        <v>392.85714285714289</v>
      </c>
      <c r="AI131" s="6">
        <v>392.85714285714289</v>
      </c>
      <c r="AJ131" s="5">
        <v>0</v>
      </c>
      <c r="AK131" s="6">
        <v>0</v>
      </c>
      <c r="AL131" s="5">
        <v>0</v>
      </c>
      <c r="AM131" s="5">
        <v>0</v>
      </c>
      <c r="AN131" s="5">
        <v>0</v>
      </c>
      <c r="AO131" s="5">
        <v>1</v>
      </c>
      <c r="AP131">
        <f>IFERROR(Tabelle23[[#This Row],[Vol_ha_19]]*0.537836177777778*1.15,0)</f>
        <v>1.3870708465725576</v>
      </c>
      <c r="AQ131">
        <v>1</v>
      </c>
      <c r="AR131">
        <f>INDEX([2]Tabelle2!$A$2:$AU$139,MATCH(Tabelle23[[#This Row],[plot_id]],[2]Tabelle2!$M$2:$M$139,0),20)</f>
        <v>714</v>
      </c>
      <c r="AS131">
        <f>INDEX([2]Tabelle2!$A$2:$AU$139, MATCH(Tabelle23[[#This Row],[plot_id]],[2]Tabelle2!$M$2:$M$139,0), 19)</f>
        <v>13.5</v>
      </c>
    </row>
    <row r="132" spans="1:45" x14ac:dyDescent="0.3">
      <c r="A132" t="s">
        <v>584</v>
      </c>
      <c r="B132" t="s">
        <v>235</v>
      </c>
      <c r="C132" t="s">
        <v>235</v>
      </c>
      <c r="D132" s="129" t="s">
        <v>585</v>
      </c>
      <c r="F132" t="s">
        <v>590</v>
      </c>
      <c r="G132" s="4">
        <v>43709</v>
      </c>
      <c r="H132" s="154">
        <v>2019</v>
      </c>
      <c r="I132" t="s">
        <v>355</v>
      </c>
      <c r="J132">
        <v>20</v>
      </c>
      <c r="K132" s="5">
        <v>280.1120448179272</v>
      </c>
      <c r="L132" s="5">
        <f t="shared" si="2"/>
        <v>35.699999999999996</v>
      </c>
      <c r="M132" t="s">
        <v>591</v>
      </c>
      <c r="N132" t="s">
        <v>588</v>
      </c>
      <c r="O132">
        <v>0</v>
      </c>
      <c r="P132">
        <v>0</v>
      </c>
      <c r="Q132" s="152" t="s">
        <v>38</v>
      </c>
      <c r="R132" s="5"/>
      <c r="S132" s="5">
        <v>1.3705884389280281</v>
      </c>
      <c r="T132" s="152">
        <v>1.3705884389280281</v>
      </c>
      <c r="U132" s="5">
        <v>3.6413530754453323</v>
      </c>
      <c r="V132" s="5"/>
      <c r="W132" s="5"/>
      <c r="X132" s="5">
        <v>6.5</v>
      </c>
      <c r="Y132" s="5">
        <v>0.84745608628519276</v>
      </c>
      <c r="Z132" s="5">
        <v>6.6419520477885499</v>
      </c>
      <c r="AA132" s="5">
        <v>4.7</v>
      </c>
      <c r="AB132" s="5">
        <v>7.9</v>
      </c>
      <c r="AC132" s="5">
        <v>6.3166666666666664</v>
      </c>
      <c r="AD132" s="5">
        <v>0.95425681061549905</v>
      </c>
      <c r="AE132" s="5">
        <v>6.5870054416758732</v>
      </c>
      <c r="AF132" s="5">
        <v>5.0999999999999996</v>
      </c>
      <c r="AG132" s="5">
        <v>7.9</v>
      </c>
      <c r="AH132" s="6">
        <v>392.85714285714289</v>
      </c>
      <c r="AI132" s="6">
        <v>392.85714285714289</v>
      </c>
      <c r="AJ132" s="5">
        <v>0</v>
      </c>
      <c r="AK132" s="6">
        <v>0</v>
      </c>
      <c r="AL132" s="5">
        <v>0</v>
      </c>
      <c r="AM132" s="5">
        <v>0</v>
      </c>
      <c r="AN132" s="5">
        <v>0</v>
      </c>
      <c r="AO132" s="5">
        <v>1</v>
      </c>
      <c r="AP132">
        <f>IFERROR(Tabelle23[[#This Row],[Vol_ha_19]]*0.537836177777778*1.15,0)</f>
        <v>2.2522191330424057</v>
      </c>
      <c r="AQ132">
        <v>1</v>
      </c>
      <c r="AR132">
        <f>INDEX([2]Tabelle2!$A$2:$AU$139,MATCH(Tabelle23[[#This Row],[plot_id]],[2]Tabelle2!$M$2:$M$139,0),20)</f>
        <v>714</v>
      </c>
      <c r="AS132">
        <f>INDEX([2]Tabelle2!$A$2:$AU$139, MATCH(Tabelle23[[#This Row],[plot_id]],[2]Tabelle2!$M$2:$M$139,0), 19)</f>
        <v>13.5</v>
      </c>
    </row>
    <row r="133" spans="1:45" x14ac:dyDescent="0.3">
      <c r="A133" t="s">
        <v>584</v>
      </c>
      <c r="B133" t="s">
        <v>235</v>
      </c>
      <c r="C133" t="s">
        <v>235</v>
      </c>
      <c r="D133" s="129" t="s">
        <v>585</v>
      </c>
      <c r="F133" t="s">
        <v>590</v>
      </c>
      <c r="G133" s="4">
        <v>43709</v>
      </c>
      <c r="H133" s="154">
        <v>2019</v>
      </c>
      <c r="I133" t="s">
        <v>354</v>
      </c>
      <c r="J133">
        <v>20</v>
      </c>
      <c r="K133" s="5">
        <v>280.1120448179272</v>
      </c>
      <c r="L133" s="5">
        <f t="shared" si="2"/>
        <v>35.699999999999996</v>
      </c>
      <c r="M133" t="s">
        <v>591</v>
      </c>
      <c r="N133" s="129" t="s">
        <v>589</v>
      </c>
      <c r="O133">
        <v>0</v>
      </c>
      <c r="P133">
        <v>0</v>
      </c>
      <c r="Q133" s="152" t="s">
        <v>38</v>
      </c>
      <c r="R133" s="5"/>
      <c r="S133" s="5">
        <v>1.7853090641108045</v>
      </c>
      <c r="T133" s="152">
        <v>1.7565974205311166</v>
      </c>
      <c r="U133" s="5">
        <v>4.9676896937061672</v>
      </c>
      <c r="V133" s="5"/>
      <c r="W133" s="5"/>
      <c r="X133" s="5">
        <v>7</v>
      </c>
      <c r="Y133" s="5">
        <v>0.57445626465380295</v>
      </c>
      <c r="Z133" s="5">
        <v>6.9563441333061098</v>
      </c>
      <c r="AA133" s="5">
        <v>5.6</v>
      </c>
      <c r="AB133" s="5">
        <v>7.9</v>
      </c>
      <c r="AC133" s="5">
        <v>6.21875</v>
      </c>
      <c r="AD133" s="5">
        <v>0.76737027754347698</v>
      </c>
      <c r="AE133" s="5">
        <v>6.4661677634162027</v>
      </c>
      <c r="AF133" s="5">
        <v>4.3</v>
      </c>
      <c r="AG133" s="5">
        <v>7.2</v>
      </c>
      <c r="AH133" s="6">
        <v>392.85714285714289</v>
      </c>
      <c r="AI133" s="6">
        <v>392.85714285714289</v>
      </c>
      <c r="AJ133" s="5">
        <v>0</v>
      </c>
      <c r="AK133" s="6">
        <v>0</v>
      </c>
      <c r="AL133" s="5">
        <v>0</v>
      </c>
      <c r="AM133" s="5">
        <v>0</v>
      </c>
      <c r="AN133" s="5">
        <v>0</v>
      </c>
      <c r="AO133" s="5">
        <v>1</v>
      </c>
      <c r="AP133">
        <f>IFERROR(Tabelle23[[#This Row],[Vol_ha_19]]*0.537836177777778*1.15,0)</f>
        <v>3.0725737228363337</v>
      </c>
      <c r="AQ133">
        <v>1</v>
      </c>
      <c r="AR133">
        <f>INDEX([2]Tabelle2!$A$2:$AU$139,MATCH(Tabelle23[[#This Row],[plot_id]],[2]Tabelle2!$M$2:$M$139,0),20)</f>
        <v>714</v>
      </c>
      <c r="AS133">
        <f>INDEX([2]Tabelle2!$A$2:$AU$139, MATCH(Tabelle23[[#This Row],[plot_id]],[2]Tabelle2!$M$2:$M$139,0), 19)</f>
        <v>13.5</v>
      </c>
    </row>
    <row r="134" spans="1:45" x14ac:dyDescent="0.3">
      <c r="A134" t="s">
        <v>584</v>
      </c>
      <c r="B134" t="s">
        <v>233</v>
      </c>
      <c r="C134" t="s">
        <v>233</v>
      </c>
      <c r="D134" s="129" t="s">
        <v>585</v>
      </c>
      <c r="F134" t="s">
        <v>590</v>
      </c>
      <c r="G134" s="4">
        <v>43556</v>
      </c>
      <c r="H134" s="154">
        <v>2019</v>
      </c>
      <c r="I134" t="s">
        <v>360</v>
      </c>
      <c r="J134">
        <v>20</v>
      </c>
      <c r="K134" s="5">
        <v>280.1120448179272</v>
      </c>
      <c r="L134" s="5">
        <f t="shared" si="2"/>
        <v>35.699999999999996</v>
      </c>
      <c r="M134" t="s">
        <v>591</v>
      </c>
      <c r="N134" s="129" t="s">
        <v>589</v>
      </c>
      <c r="O134">
        <v>0</v>
      </c>
      <c r="P134">
        <v>0</v>
      </c>
      <c r="Q134" s="152" t="s">
        <v>38</v>
      </c>
      <c r="R134" s="5"/>
      <c r="S134" s="5">
        <v>1.4435171351690126</v>
      </c>
      <c r="T134" s="152">
        <v>1.3236516309667026</v>
      </c>
      <c r="U134" s="5">
        <v>3.5249610071870188</v>
      </c>
      <c r="V134" s="5"/>
      <c r="W134" s="5"/>
      <c r="X134" s="5">
        <v>5.8199999999999994</v>
      </c>
      <c r="Y134" s="5">
        <v>1.6415149796975463</v>
      </c>
      <c r="Z134" s="5">
        <v>6.1048132393217172</v>
      </c>
      <c r="AA134" s="5">
        <v>2.7</v>
      </c>
      <c r="AB134" s="5">
        <v>8.5</v>
      </c>
      <c r="AC134" s="5">
        <v>5.0166666666666675</v>
      </c>
      <c r="AD134" s="5">
        <v>1.8835629864194929</v>
      </c>
      <c r="AE134" s="5">
        <v>5.8246100654585007</v>
      </c>
      <c r="AF134" s="5">
        <v>1.9</v>
      </c>
      <c r="AG134" s="5">
        <v>8.5</v>
      </c>
      <c r="AH134" s="6">
        <v>428.57142857142856</v>
      </c>
      <c r="AI134" s="6">
        <v>428.57142857142856</v>
      </c>
      <c r="AJ134" s="5">
        <v>0</v>
      </c>
      <c r="AK134" s="6">
        <v>0</v>
      </c>
      <c r="AL134" s="5">
        <v>0</v>
      </c>
      <c r="AM134" s="5">
        <v>0</v>
      </c>
      <c r="AN134" s="5">
        <v>0</v>
      </c>
      <c r="AO134" s="5">
        <v>1</v>
      </c>
      <c r="AP134">
        <f>IFERROR(Tabelle23[[#This Row],[Vol_ha_19]]*0.537836177777778*1.15,0)</f>
        <v>2.1802292881593486</v>
      </c>
      <c r="AQ134">
        <v>1</v>
      </c>
      <c r="AR134">
        <f>INDEX([2]Tabelle2!$A$2:$AU$139,MATCH(Tabelle23[[#This Row],[plot_id]],[2]Tabelle2!$M$2:$M$139,0),20)</f>
        <v>714</v>
      </c>
      <c r="AS134">
        <f>INDEX([2]Tabelle2!$A$2:$AU$139, MATCH(Tabelle23[[#This Row],[plot_id]],[2]Tabelle2!$M$2:$M$139,0), 19)</f>
        <v>47</v>
      </c>
    </row>
    <row r="135" spans="1:45" x14ac:dyDescent="0.3">
      <c r="A135" t="s">
        <v>584</v>
      </c>
      <c r="B135" t="s">
        <v>233</v>
      </c>
      <c r="C135" t="s">
        <v>233</v>
      </c>
      <c r="D135" s="129" t="s">
        <v>585</v>
      </c>
      <c r="F135" t="s">
        <v>590</v>
      </c>
      <c r="G135" s="4">
        <v>43556</v>
      </c>
      <c r="H135" s="154">
        <v>2019</v>
      </c>
      <c r="I135" t="s">
        <v>359</v>
      </c>
      <c r="J135">
        <v>20</v>
      </c>
      <c r="K135" s="5">
        <v>280.1120448179272</v>
      </c>
      <c r="L135" s="152">
        <f t="shared" si="2"/>
        <v>35.699999999999996</v>
      </c>
      <c r="M135" t="s">
        <v>591</v>
      </c>
      <c r="O135" s="5"/>
      <c r="P135" s="5"/>
      <c r="Q135" s="152"/>
      <c r="R135" s="152"/>
      <c r="S135" s="5">
        <v>5.2634555121314257</v>
      </c>
      <c r="T135" s="152">
        <v>5.2634555121314257</v>
      </c>
      <c r="U135" s="5">
        <v>22.866404930940057</v>
      </c>
      <c r="V135" s="5"/>
      <c r="W135" s="5"/>
      <c r="X135" s="5">
        <v>10.844999999999999</v>
      </c>
      <c r="Y135" s="152">
        <v>0.50520970111950847</v>
      </c>
      <c r="Z135" s="152">
        <v>10.860928185978125</v>
      </c>
      <c r="AA135" s="152">
        <v>9.8000000000000007</v>
      </c>
      <c r="AB135" s="152">
        <v>11.7</v>
      </c>
      <c r="AC135" s="5">
        <v>9.6750000000000007</v>
      </c>
      <c r="AD135" s="152">
        <v>0.51796667236822347</v>
      </c>
      <c r="AE135" s="152">
        <v>9.7287714214179548</v>
      </c>
      <c r="AF135" s="152">
        <v>9</v>
      </c>
      <c r="AG135" s="152">
        <v>10.9</v>
      </c>
      <c r="AH135" s="153"/>
      <c r="AI135" s="6"/>
      <c r="AJ135" s="5"/>
      <c r="AK135" s="153"/>
      <c r="AL135" s="5"/>
      <c r="AM135" s="5"/>
      <c r="AN135" s="152"/>
      <c r="AO135" s="152"/>
      <c r="AP135">
        <f>IFERROR(Tabelle23[[#This Row],[Vol_ha_19]]*0.537836177777778*1.15,0)</f>
        <v>14.143136801712096</v>
      </c>
      <c r="AQ135">
        <f>IF(Tabelle23[[#This Row],[Year of planting ]]=2015,1,IF(Tabelle23[[#This Row],[Year of planting ]]=2016,2,IF(Tabelle23[[#This Row],[Year of planting ]]=2017,3,IF(Tabelle23[[#This Row],[Year of planting ]]=2018,4,5))))</f>
        <v>5</v>
      </c>
      <c r="AR135">
        <f>INDEX([2]Tabelle2!$A$2:$AU$139,MATCH(Tabelle23[[#This Row],[plot_id]],[2]Tabelle2!$M$2:$M$139,0),20)</f>
        <v>714</v>
      </c>
      <c r="AS135">
        <f>INDEX([2]Tabelle2!$A$2:$AU$139, MATCH(Tabelle23[[#This Row],[plot_id]],[2]Tabelle2!$M$2:$M$139,0), 19)</f>
        <v>47</v>
      </c>
    </row>
    <row r="136" spans="1:45" x14ac:dyDescent="0.3">
      <c r="A136" t="s">
        <v>584</v>
      </c>
      <c r="B136" t="s">
        <v>233</v>
      </c>
      <c r="C136" t="s">
        <v>233</v>
      </c>
      <c r="D136" s="129" t="s">
        <v>585</v>
      </c>
      <c r="F136" t="s">
        <v>590</v>
      </c>
      <c r="G136" s="4">
        <v>43556</v>
      </c>
      <c r="H136" s="154">
        <v>2019</v>
      </c>
      <c r="I136" t="s">
        <v>357</v>
      </c>
      <c r="J136">
        <v>20</v>
      </c>
      <c r="K136" s="5">
        <v>280.1120448179272</v>
      </c>
      <c r="L136" s="152">
        <f t="shared" si="2"/>
        <v>35.699999999999996</v>
      </c>
      <c r="M136" t="s">
        <v>591</v>
      </c>
      <c r="O136" s="5"/>
      <c r="P136" s="5"/>
      <c r="Q136" s="152"/>
      <c r="R136" s="152"/>
      <c r="S136" s="5">
        <v>4.9399728637145719</v>
      </c>
      <c r="T136" s="152">
        <v>4.9399728637145719</v>
      </c>
      <c r="U136" s="5">
        <v>20.386468120104684</v>
      </c>
      <c r="V136" s="5"/>
      <c r="W136" s="5"/>
      <c r="X136" s="5">
        <v>10.242105263157896</v>
      </c>
      <c r="Y136" s="152">
        <v>0.56106623640834663</v>
      </c>
      <c r="Z136" s="152">
        <v>10.317095195931527</v>
      </c>
      <c r="AA136" s="152">
        <v>9.4</v>
      </c>
      <c r="AB136" s="152">
        <v>11.6</v>
      </c>
      <c r="AC136" s="5">
        <v>9.5789473684210549</v>
      </c>
      <c r="AD136" s="152">
        <v>1.0130147236883316</v>
      </c>
      <c r="AE136" s="152">
        <v>9.7781682786178052</v>
      </c>
      <c r="AF136" s="152">
        <v>7.8</v>
      </c>
      <c r="AG136" s="152">
        <v>11</v>
      </c>
      <c r="AH136" s="153"/>
      <c r="AI136" s="6"/>
      <c r="AJ136" s="5"/>
      <c r="AK136" s="153"/>
      <c r="AL136" s="5"/>
      <c r="AM136" s="5"/>
      <c r="AN136" s="152"/>
      <c r="AO136" s="152"/>
      <c r="AP136">
        <f>IFERROR(Tabelle23[[#This Row],[Vol_ha_19]]*0.537836177777778*1.15,0)</f>
        <v>12.609267105921472</v>
      </c>
      <c r="AQ136">
        <f>IF(Tabelle23[[#This Row],[Year of planting ]]=2015,1,IF(Tabelle23[[#This Row],[Year of planting ]]=2016,2,IF(Tabelle23[[#This Row],[Year of planting ]]=2017,3,IF(Tabelle23[[#This Row],[Year of planting ]]=2018,4,5))))</f>
        <v>5</v>
      </c>
      <c r="AR136">
        <f>INDEX([2]Tabelle2!$A$2:$AU$139,MATCH(Tabelle23[[#This Row],[plot_id]],[2]Tabelle2!$M$2:$M$139,0),20)</f>
        <v>714</v>
      </c>
      <c r="AS136">
        <f>INDEX([2]Tabelle2!$A$2:$AU$139, MATCH(Tabelle23[[#This Row],[plot_id]],[2]Tabelle2!$M$2:$M$139,0), 19)</f>
        <v>47</v>
      </c>
    </row>
    <row r="137" spans="1:45" x14ac:dyDescent="0.3">
      <c r="A137" t="s">
        <v>584</v>
      </c>
      <c r="B137" t="s">
        <v>233</v>
      </c>
      <c r="C137" t="s">
        <v>233</v>
      </c>
      <c r="D137" s="129" t="s">
        <v>585</v>
      </c>
      <c r="F137" t="s">
        <v>590</v>
      </c>
      <c r="G137" s="4">
        <v>43556</v>
      </c>
      <c r="H137" s="154">
        <v>2019</v>
      </c>
      <c r="I137" t="s">
        <v>358</v>
      </c>
      <c r="J137">
        <v>20</v>
      </c>
      <c r="K137" s="5">
        <v>280.1120448179272</v>
      </c>
      <c r="L137" s="152">
        <f t="shared" si="2"/>
        <v>35.699999999999996</v>
      </c>
      <c r="M137" t="s">
        <v>591</v>
      </c>
      <c r="O137" s="5"/>
      <c r="P137" s="5"/>
      <c r="Q137" s="152"/>
      <c r="R137" s="152"/>
      <c r="S137" s="5">
        <v>4.9389634699949729</v>
      </c>
      <c r="T137" s="152">
        <v>4.7595156976219233</v>
      </c>
      <c r="U137" s="5">
        <v>20.253564613690894</v>
      </c>
      <c r="V137" s="5"/>
      <c r="W137" s="5"/>
      <c r="X137" s="5">
        <v>10.52222222222222</v>
      </c>
      <c r="Y137" s="152">
        <v>0.88354603432489121</v>
      </c>
      <c r="Z137" s="152">
        <v>10.251930762767673</v>
      </c>
      <c r="AA137" s="152">
        <v>9</v>
      </c>
      <c r="AB137" s="152">
        <v>12.4</v>
      </c>
      <c r="AC137" s="5">
        <v>9.5789473684210531</v>
      </c>
      <c r="AD137" s="152">
        <v>0.95424747067734883</v>
      </c>
      <c r="AE137" s="152">
        <v>9.490145786497715</v>
      </c>
      <c r="AF137" s="152">
        <v>8.1999999999999993</v>
      </c>
      <c r="AG137" s="152">
        <v>12</v>
      </c>
      <c r="AH137" s="153"/>
      <c r="AI137" s="6"/>
      <c r="AJ137" s="5"/>
      <c r="AK137" s="153"/>
      <c r="AL137" s="5"/>
      <c r="AM137" s="5"/>
      <c r="AN137" s="152"/>
      <c r="AO137" s="152"/>
      <c r="AP137">
        <f>IFERROR(Tabelle23[[#This Row],[Vol_ha_19]]*0.537836177777778*1.15,0)</f>
        <v>12.527064744933186</v>
      </c>
      <c r="AQ137">
        <f>IF(Tabelle23[[#This Row],[Year of planting ]]=2015,1,IF(Tabelle23[[#This Row],[Year of planting ]]=2016,2,IF(Tabelle23[[#This Row],[Year of planting ]]=2017,3,IF(Tabelle23[[#This Row],[Year of planting ]]=2018,4,5))))</f>
        <v>5</v>
      </c>
      <c r="AR137">
        <f>INDEX([2]Tabelle2!$A$2:$AU$139,MATCH(Tabelle23[[#This Row],[plot_id]],[2]Tabelle2!$M$2:$M$139,0),20)</f>
        <v>714</v>
      </c>
      <c r="AS137">
        <f>INDEX([2]Tabelle2!$A$2:$AU$139, MATCH(Tabelle23[[#This Row],[plot_id]],[2]Tabelle2!$M$2:$M$139,0), 19)</f>
        <v>47</v>
      </c>
    </row>
    <row r="138" spans="1:45" x14ac:dyDescent="0.3">
      <c r="A138" t="s">
        <v>584</v>
      </c>
      <c r="B138" t="s">
        <v>233</v>
      </c>
      <c r="C138" t="s">
        <v>233</v>
      </c>
      <c r="D138" s="129" t="s">
        <v>585</v>
      </c>
      <c r="F138" t="s">
        <v>590</v>
      </c>
      <c r="G138" s="4">
        <v>43556</v>
      </c>
      <c r="H138" s="154">
        <v>2019</v>
      </c>
      <c r="I138" t="s">
        <v>361</v>
      </c>
      <c r="J138">
        <v>20</v>
      </c>
      <c r="K138" s="5">
        <v>280.1120448179272</v>
      </c>
      <c r="L138" s="5">
        <f t="shared" si="2"/>
        <v>35.699999999999996</v>
      </c>
      <c r="M138" t="s">
        <v>591</v>
      </c>
      <c r="N138" s="129" t="s">
        <v>589</v>
      </c>
      <c r="O138">
        <v>0</v>
      </c>
      <c r="P138">
        <v>0</v>
      </c>
      <c r="Q138" s="152" t="s">
        <v>38</v>
      </c>
      <c r="R138" s="5"/>
      <c r="S138" s="5">
        <v>3.9537110835236335</v>
      </c>
      <c r="T138" s="152">
        <v>3.871950192236163</v>
      </c>
      <c r="U138" s="5">
        <v>15.033796783292265</v>
      </c>
      <c r="V138" s="5"/>
      <c r="W138" s="5"/>
      <c r="X138" s="5">
        <v>9.6315789473684212</v>
      </c>
      <c r="Y138" s="5">
        <v>0.70950110138427336</v>
      </c>
      <c r="Z138" s="5">
        <v>9.5061301051705929</v>
      </c>
      <c r="AA138" s="5">
        <v>8.1</v>
      </c>
      <c r="AB138" s="5">
        <v>10.5</v>
      </c>
      <c r="AC138" s="5">
        <v>8.3450000000000024</v>
      </c>
      <c r="AD138" s="5">
        <v>0.67412494720522298</v>
      </c>
      <c r="AE138" s="5">
        <v>8.4227992539483303</v>
      </c>
      <c r="AF138" s="5">
        <v>7.3</v>
      </c>
      <c r="AG138" s="5">
        <v>9.5</v>
      </c>
      <c r="AH138" s="6">
        <v>428.57142857142856</v>
      </c>
      <c r="AI138" s="6">
        <v>428.57142857142856</v>
      </c>
      <c r="AJ138" s="5">
        <v>0</v>
      </c>
      <c r="AK138" s="6">
        <v>0</v>
      </c>
      <c r="AL138" s="5">
        <v>0</v>
      </c>
      <c r="AM138" s="5">
        <v>0</v>
      </c>
      <c r="AN138" s="5">
        <v>0</v>
      </c>
      <c r="AO138" s="5">
        <v>1</v>
      </c>
      <c r="AP138">
        <f>IFERROR(Tabelle23[[#This Row],[Vol_ha_19]]*0.537836177777778*1.15,0)</f>
        <v>9.2985777693258314</v>
      </c>
      <c r="AQ138">
        <v>1</v>
      </c>
      <c r="AR138">
        <f>INDEX([2]Tabelle2!$A$2:$AU$139,MATCH(Tabelle23[[#This Row],[plot_id]],[2]Tabelle2!$M$2:$M$139,0),20)</f>
        <v>714</v>
      </c>
      <c r="AS138">
        <f>INDEX([2]Tabelle2!$A$2:$AU$139, MATCH(Tabelle23[[#This Row],[plot_id]],[2]Tabelle2!$M$2:$M$139,0), 19)</f>
        <v>47</v>
      </c>
    </row>
    <row r="139" spans="1:45" x14ac:dyDescent="0.3">
      <c r="A139" t="s">
        <v>584</v>
      </c>
      <c r="B139" t="s">
        <v>233</v>
      </c>
      <c r="C139" t="s">
        <v>233</v>
      </c>
      <c r="D139" s="129" t="s">
        <v>585</v>
      </c>
      <c r="F139" t="s">
        <v>590</v>
      </c>
      <c r="G139" s="4">
        <v>43556</v>
      </c>
      <c r="H139" s="154">
        <v>2019</v>
      </c>
      <c r="I139" t="s">
        <v>356</v>
      </c>
      <c r="J139">
        <v>20</v>
      </c>
      <c r="K139" s="5">
        <v>280.1120448179272</v>
      </c>
      <c r="L139" s="5">
        <f t="shared" si="2"/>
        <v>35.699999999999996</v>
      </c>
      <c r="M139" t="s">
        <v>591</v>
      </c>
      <c r="N139" t="s">
        <v>588</v>
      </c>
      <c r="O139">
        <v>0</v>
      </c>
      <c r="P139">
        <v>0</v>
      </c>
      <c r="Q139" s="152" t="s">
        <v>38</v>
      </c>
      <c r="R139" s="5"/>
      <c r="S139" s="5">
        <v>3.178104164869997</v>
      </c>
      <c r="T139" s="152">
        <v>3.0169937117363186</v>
      </c>
      <c r="U139" s="5">
        <v>10.923978474838428</v>
      </c>
      <c r="V139" s="5"/>
      <c r="W139" s="5"/>
      <c r="X139" s="5">
        <v>8.6312499999999996</v>
      </c>
      <c r="Y139" s="5">
        <v>1.42301030682611</v>
      </c>
      <c r="Z139" s="5">
        <v>8.5931564134913145</v>
      </c>
      <c r="AA139" s="5">
        <v>4.5</v>
      </c>
      <c r="AB139" s="5">
        <v>10.6</v>
      </c>
      <c r="AC139" s="5">
        <v>7.7277777777777761</v>
      </c>
      <c r="AD139" s="5">
        <v>1.7125881972422128</v>
      </c>
      <c r="AE139" s="5">
        <v>8.1499369193714877</v>
      </c>
      <c r="AF139" s="5">
        <v>3.2</v>
      </c>
      <c r="AG139" s="5">
        <v>9.8000000000000007</v>
      </c>
      <c r="AH139" s="6">
        <v>428.57142857142856</v>
      </c>
      <c r="AI139" s="6">
        <v>428.57142857142856</v>
      </c>
      <c r="AJ139" s="5">
        <v>0</v>
      </c>
      <c r="AK139" s="6">
        <v>0</v>
      </c>
      <c r="AL139" s="5">
        <v>0</v>
      </c>
      <c r="AM139" s="5">
        <v>0</v>
      </c>
      <c r="AN139" s="5">
        <v>0</v>
      </c>
      <c r="AO139" s="5">
        <v>1</v>
      </c>
      <c r="AP139">
        <f>IFERROR(Tabelle23[[#This Row],[Vol_ha_19]]*0.537836177777778*1.15,0)</f>
        <v>6.7566074533888933</v>
      </c>
      <c r="AQ139">
        <v>1</v>
      </c>
      <c r="AR139">
        <f>INDEX([2]Tabelle2!$A$2:$AU$139,MATCH(Tabelle23[[#This Row],[plot_id]],[2]Tabelle2!$M$2:$M$139,0),20)</f>
        <v>714</v>
      </c>
      <c r="AS139">
        <f>INDEX([2]Tabelle2!$A$2:$AU$139, MATCH(Tabelle23[[#This Row],[plot_id]],[2]Tabelle2!$M$2:$M$139,0), 19)</f>
        <v>47</v>
      </c>
    </row>
    <row r="140" spans="1:45" x14ac:dyDescent="0.3">
      <c r="A140" t="s">
        <v>584</v>
      </c>
      <c r="B140" t="s">
        <v>233</v>
      </c>
      <c r="C140" t="s">
        <v>233</v>
      </c>
      <c r="D140" s="129" t="s">
        <v>585</v>
      </c>
      <c r="F140" t="s">
        <v>590</v>
      </c>
      <c r="G140" s="4">
        <v>43556</v>
      </c>
      <c r="H140" s="154">
        <v>2019</v>
      </c>
      <c r="I140" t="s">
        <v>352</v>
      </c>
      <c r="J140">
        <v>20</v>
      </c>
      <c r="K140" s="5">
        <v>280.1120448179272</v>
      </c>
      <c r="L140" s="152">
        <f t="shared" si="2"/>
        <v>35.699999999999996</v>
      </c>
      <c r="M140" t="s">
        <v>591</v>
      </c>
      <c r="O140" s="5"/>
      <c r="P140" s="5"/>
      <c r="Q140" s="152"/>
      <c r="R140" s="152"/>
      <c r="S140" s="5">
        <v>4.2330888341369253</v>
      </c>
      <c r="T140" s="152">
        <v>4.0956991334138095</v>
      </c>
      <c r="U140" s="5">
        <v>15.651816032893626</v>
      </c>
      <c r="V140" s="5"/>
      <c r="W140" s="5"/>
      <c r="X140" s="5">
        <v>9.466666666666665</v>
      </c>
      <c r="Y140" s="152">
        <v>0.70042004204200015</v>
      </c>
      <c r="Z140" s="152">
        <v>9.2437323229981523</v>
      </c>
      <c r="AA140" s="152">
        <v>8.4</v>
      </c>
      <c r="AB140" s="152">
        <v>11</v>
      </c>
      <c r="AC140" s="5">
        <v>8.8684210526315788</v>
      </c>
      <c r="AD140" s="152">
        <v>0.83017046835932917</v>
      </c>
      <c r="AE140" s="152">
        <v>8.818549674445098</v>
      </c>
      <c r="AF140" s="152">
        <v>7.6</v>
      </c>
      <c r="AG140" s="152">
        <v>10.1</v>
      </c>
      <c r="AH140" s="153"/>
      <c r="AI140" s="6"/>
      <c r="AJ140" s="5"/>
      <c r="AK140" s="153"/>
      <c r="AL140" s="5"/>
      <c r="AM140" s="5"/>
      <c r="AN140" s="152"/>
      <c r="AO140" s="152"/>
      <c r="AP140">
        <f>IFERROR(Tabelle23[[#This Row],[Vol_ha_19]]*0.537836177777778*1.15,0)</f>
        <v>9.6808298469743193</v>
      </c>
      <c r="AQ140">
        <f>IF(Tabelle23[[#This Row],[Year of planting ]]=2015,1,IF(Tabelle23[[#This Row],[Year of planting ]]=2016,2,IF(Tabelle23[[#This Row],[Year of planting ]]=2017,3,IF(Tabelle23[[#This Row],[Year of planting ]]=2018,4,5))))</f>
        <v>5</v>
      </c>
      <c r="AR140">
        <f>INDEX([2]Tabelle2!$A$2:$AU$139,MATCH(Tabelle23[[#This Row],[plot_id]],[2]Tabelle2!$M$2:$M$139,0),20)</f>
        <v>714</v>
      </c>
      <c r="AS140">
        <f>INDEX([2]Tabelle2!$A$2:$AU$139, MATCH(Tabelle23[[#This Row],[plot_id]],[2]Tabelle2!$M$2:$M$139,0), 19)</f>
        <v>47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O201"/>
  <sheetViews>
    <sheetView showGridLines="0" tabSelected="1" topLeftCell="C1" zoomScale="55" zoomScaleNormal="55" workbookViewId="0">
      <selection activeCell="AL22" sqref="D22:AL22"/>
    </sheetView>
  </sheetViews>
  <sheetFormatPr defaultColWidth="9.21875" defaultRowHeight="14.4" x14ac:dyDescent="0.3"/>
  <cols>
    <col min="1" max="1" width="18.5546875" style="8" bestFit="1" customWidth="1"/>
    <col min="2" max="2" width="26.77734375" style="8" bestFit="1" customWidth="1"/>
    <col min="3" max="3" width="20.5546875" style="8" bestFit="1" customWidth="1"/>
    <col min="4" max="4" width="15.109375" style="8" bestFit="1" customWidth="1"/>
    <col min="5" max="5" width="27.5546875" style="8" bestFit="1" customWidth="1"/>
    <col min="6" max="6" width="20.77734375" style="8" customWidth="1"/>
    <col min="7" max="8" width="15.77734375" style="8" customWidth="1"/>
    <col min="9" max="9" width="9.21875" style="8"/>
    <col min="10" max="10" width="17.77734375" style="8" bestFit="1" customWidth="1"/>
    <col min="11" max="11" width="30.21875" style="8" bestFit="1" customWidth="1"/>
    <col min="12" max="12" width="17.88671875" style="8" customWidth="1"/>
    <col min="13" max="13" width="13.33203125" style="8" hidden="1" customWidth="1"/>
    <col min="14" max="15" width="16.88671875" style="8" hidden="1" customWidth="1"/>
    <col min="16" max="16" width="12.5546875" style="8" customWidth="1"/>
    <col min="17" max="19" width="20.21875" style="8" customWidth="1"/>
    <col min="20" max="20" width="10.6640625" style="8" customWidth="1"/>
    <col min="21" max="21" width="7" style="8" customWidth="1"/>
    <col min="22" max="22" width="5.77734375" style="8" customWidth="1"/>
    <col min="23" max="23" width="10.21875" style="8" customWidth="1"/>
    <col min="24" max="24" width="11.77734375" style="8" customWidth="1"/>
    <col min="25" max="25" width="7.21875" style="8" customWidth="1"/>
    <col min="26" max="26" width="9.21875" style="8" customWidth="1"/>
    <col min="27" max="27" width="6.88671875" style="8" customWidth="1"/>
    <col min="28" max="30" width="5.77734375" style="8" customWidth="1"/>
    <col min="31" max="16384" width="9.21875" style="8"/>
  </cols>
  <sheetData>
    <row r="1" spans="1:67" x14ac:dyDescent="0.3">
      <c r="R1" s="98">
        <v>417</v>
      </c>
      <c r="S1" s="98">
        <v>714</v>
      </c>
      <c r="T1" s="98">
        <v>1000</v>
      </c>
      <c r="U1" s="98">
        <v>476</v>
      </c>
    </row>
    <row r="2" spans="1:67" x14ac:dyDescent="0.3">
      <c r="A2" s="9"/>
      <c r="B2" s="10" t="s">
        <v>41</v>
      </c>
      <c r="C2" s="10" t="s">
        <v>42</v>
      </c>
      <c r="D2" s="10"/>
      <c r="E2" s="10"/>
      <c r="F2" s="10"/>
      <c r="G2" s="10"/>
      <c r="H2" s="10"/>
      <c r="K2" s="11" t="s">
        <v>43</v>
      </c>
      <c r="L2" s="12" t="s">
        <v>44</v>
      </c>
      <c r="M2" s="13"/>
      <c r="Q2" s="8">
        <v>1312</v>
      </c>
      <c r="S2" s="8">
        <v>866.5</v>
      </c>
      <c r="T2" s="8">
        <v>445.5</v>
      </c>
      <c r="U2" s="8">
        <v>0</v>
      </c>
      <c r="AM2" t="s">
        <v>672</v>
      </c>
      <c r="AN2"/>
      <c r="AO2"/>
      <c r="AP2"/>
      <c r="AQ2"/>
      <c r="AR2"/>
      <c r="AS2"/>
      <c r="AT2"/>
      <c r="AU2"/>
      <c r="AV2"/>
      <c r="AW2"/>
      <c r="AX2"/>
      <c r="AY2"/>
      <c r="AZ2"/>
      <c r="BA2"/>
      <c r="BB2"/>
      <c r="BC2"/>
      <c r="BD2"/>
      <c r="BE2"/>
      <c r="BF2"/>
      <c r="BG2"/>
      <c r="BH2"/>
      <c r="BI2"/>
      <c r="BJ2"/>
      <c r="BK2"/>
      <c r="BL2"/>
      <c r="BM2"/>
      <c r="BN2"/>
      <c r="BO2"/>
    </row>
    <row r="3" spans="1:67" x14ac:dyDescent="0.3">
      <c r="A3" s="9"/>
      <c r="B3" s="10"/>
      <c r="C3" s="10"/>
      <c r="D3" s="10"/>
      <c r="E3" s="10">
        <v>0.58904511999999998</v>
      </c>
      <c r="F3" s="10"/>
      <c r="G3" s="10"/>
      <c r="H3" s="10"/>
      <c r="K3" s="14">
        <v>2018</v>
      </c>
      <c r="L3" s="29"/>
      <c r="M3" s="20"/>
      <c r="Q3" s="8">
        <v>385.5</v>
      </c>
      <c r="S3" s="8">
        <v>199.5</v>
      </c>
      <c r="T3" s="8">
        <v>186</v>
      </c>
      <c r="U3" s="8">
        <v>0</v>
      </c>
      <c r="Y3" s="8" t="s">
        <v>143</v>
      </c>
      <c r="AM3" s="188" t="s">
        <v>639</v>
      </c>
      <c r="AN3" s="253" t="s">
        <v>640</v>
      </c>
      <c r="AO3" s="253"/>
      <c r="AP3" s="253"/>
      <c r="AQ3" s="253"/>
      <c r="AR3" s="253"/>
      <c r="AS3" s="253" t="s">
        <v>641</v>
      </c>
      <c r="AT3" s="253"/>
      <c r="AU3" s="253"/>
      <c r="AV3" s="253"/>
      <c r="AW3" s="253"/>
      <c r="AX3" s="253" t="s">
        <v>642</v>
      </c>
      <c r="AY3" s="253"/>
      <c r="AZ3" s="253"/>
      <c r="BA3" s="253"/>
      <c r="BB3" s="253"/>
      <c r="BC3" s="253" t="s">
        <v>643</v>
      </c>
      <c r="BD3" s="253"/>
      <c r="BE3" s="253"/>
      <c r="BF3" s="253"/>
      <c r="BG3" s="253"/>
      <c r="BH3" s="253" t="s">
        <v>644</v>
      </c>
      <c r="BI3" s="253"/>
      <c r="BJ3" s="253"/>
      <c r="BK3" s="253"/>
      <c r="BL3" s="253"/>
      <c r="BM3"/>
      <c r="BN3"/>
      <c r="BO3"/>
    </row>
    <row r="4" spans="1:67" x14ac:dyDescent="0.3">
      <c r="B4" s="8" t="s">
        <v>45</v>
      </c>
      <c r="C4" s="8" t="s">
        <v>46</v>
      </c>
      <c r="D4" s="8" t="s">
        <v>47</v>
      </c>
      <c r="K4" s="14">
        <v>2019</v>
      </c>
      <c r="L4" s="29"/>
      <c r="M4" s="16"/>
      <c r="N4" s="17" t="s">
        <v>48</v>
      </c>
      <c r="O4" s="13">
        <v>0.9</v>
      </c>
      <c r="Q4" s="8">
        <v>1748</v>
      </c>
      <c r="S4" s="8">
        <v>1748</v>
      </c>
      <c r="T4" s="8">
        <v>0</v>
      </c>
      <c r="U4" s="8">
        <v>0</v>
      </c>
      <c r="W4" s="8" t="s">
        <v>476</v>
      </c>
      <c r="X4" s="8" t="s">
        <v>463</v>
      </c>
      <c r="Y4" s="8" t="s">
        <v>570</v>
      </c>
      <c r="Z4" s="8" t="s">
        <v>572</v>
      </c>
      <c r="AE4" s="188">
        <v>1000</v>
      </c>
      <c r="AF4" s="188">
        <v>800</v>
      </c>
      <c r="AG4" s="188">
        <v>714</v>
      </c>
      <c r="AH4" s="188">
        <v>500</v>
      </c>
      <c r="AI4" s="188">
        <v>476</v>
      </c>
      <c r="AM4" s="188"/>
      <c r="AN4" s="188">
        <v>1000</v>
      </c>
      <c r="AO4" s="188">
        <v>800</v>
      </c>
      <c r="AP4" s="188">
        <v>714</v>
      </c>
      <c r="AQ4" s="188">
        <v>500</v>
      </c>
      <c r="AR4" s="188">
        <v>476</v>
      </c>
      <c r="AS4" s="188">
        <v>1000</v>
      </c>
      <c r="AT4" s="188">
        <v>800</v>
      </c>
      <c r="AU4" s="188">
        <v>714</v>
      </c>
      <c r="AV4" s="188">
        <v>500</v>
      </c>
      <c r="AW4" s="188">
        <v>476</v>
      </c>
      <c r="AX4" s="188">
        <v>1000</v>
      </c>
      <c r="AY4" s="188">
        <v>800</v>
      </c>
      <c r="AZ4" s="188">
        <v>714</v>
      </c>
      <c r="BA4" s="188">
        <v>500</v>
      </c>
      <c r="BB4" s="188">
        <v>476</v>
      </c>
      <c r="BC4" s="188">
        <v>1000</v>
      </c>
      <c r="BD4" s="188">
        <v>800</v>
      </c>
      <c r="BE4" s="188">
        <v>714</v>
      </c>
      <c r="BF4" s="188">
        <v>500</v>
      </c>
      <c r="BG4" s="188">
        <v>476</v>
      </c>
      <c r="BH4" s="188">
        <v>1000</v>
      </c>
      <c r="BI4" s="188">
        <v>800</v>
      </c>
      <c r="BJ4" s="188">
        <v>714</v>
      </c>
      <c r="BK4" s="188">
        <v>500</v>
      </c>
      <c r="BL4" s="188">
        <v>476</v>
      </c>
      <c r="BM4" s="188" t="s">
        <v>645</v>
      </c>
      <c r="BN4" s="188" t="s">
        <v>72</v>
      </c>
      <c r="BO4"/>
    </row>
    <row r="5" spans="1:67" x14ac:dyDescent="0.3">
      <c r="K5" s="14">
        <v>2020</v>
      </c>
      <c r="L5" s="29"/>
      <c r="M5" s="16"/>
      <c r="N5" s="18" t="s">
        <v>49</v>
      </c>
      <c r="O5" s="19">
        <f>_xlfn.T.INV.2T(0.1,N32)</f>
        <v>1.6529991125717423</v>
      </c>
      <c r="Q5" s="8">
        <v>422</v>
      </c>
      <c r="S5" s="8">
        <v>422</v>
      </c>
      <c r="T5" s="8">
        <v>0</v>
      </c>
      <c r="U5" s="8">
        <v>0</v>
      </c>
      <c r="W5" s="8">
        <v>2018</v>
      </c>
      <c r="X5" s="8">
        <v>714</v>
      </c>
      <c r="Y5" s="8">
        <v>161.17000000000002</v>
      </c>
      <c r="Z5" s="8">
        <v>161</v>
      </c>
      <c r="AB5" s="8">
        <f>+Z5+Z6</f>
        <v>345.5</v>
      </c>
      <c r="AD5" s="8">
        <v>2018</v>
      </c>
      <c r="AE5" s="100">
        <f>+AN5+AS5+AX5+BC5+BH5</f>
        <v>186</v>
      </c>
      <c r="AF5" s="100">
        <f t="shared" ref="AF5:AI5" si="0">+AO5+AT5+AY5+BD5+BI5</f>
        <v>0</v>
      </c>
      <c r="AG5" s="100">
        <f t="shared" si="0"/>
        <v>159</v>
      </c>
      <c r="AH5" s="100">
        <f t="shared" si="0"/>
        <v>0</v>
      </c>
      <c r="AI5" s="100">
        <f t="shared" si="0"/>
        <v>0</v>
      </c>
      <c r="AJ5" s="10">
        <f>+AH5+AF5+AE5+AG5+AI5</f>
        <v>345</v>
      </c>
      <c r="AM5" s="188">
        <v>2018</v>
      </c>
      <c r="AN5" s="189">
        <v>0</v>
      </c>
      <c r="AO5" s="189">
        <v>0</v>
      </c>
      <c r="AP5" s="189">
        <v>2</v>
      </c>
      <c r="AQ5" s="189">
        <v>0</v>
      </c>
      <c r="AR5" s="189">
        <v>0</v>
      </c>
      <c r="AS5" s="189">
        <v>0</v>
      </c>
      <c r="AT5" s="189">
        <v>0</v>
      </c>
      <c r="AU5" s="189">
        <v>27.5</v>
      </c>
      <c r="AV5" s="189">
        <v>0</v>
      </c>
      <c r="AW5" s="189">
        <v>0</v>
      </c>
      <c r="AX5" s="189">
        <v>0</v>
      </c>
      <c r="AY5" s="189">
        <v>0</v>
      </c>
      <c r="AZ5" s="189">
        <v>0</v>
      </c>
      <c r="BA5" s="189">
        <v>0</v>
      </c>
      <c r="BB5" s="189">
        <v>0</v>
      </c>
      <c r="BC5" s="189">
        <v>186</v>
      </c>
      <c r="BD5" s="189">
        <v>0</v>
      </c>
      <c r="BE5" s="189">
        <v>0</v>
      </c>
      <c r="BF5" s="189">
        <v>0</v>
      </c>
      <c r="BG5" s="189">
        <v>0</v>
      </c>
      <c r="BH5" s="189">
        <v>0</v>
      </c>
      <c r="BI5" s="189">
        <v>0</v>
      </c>
      <c r="BJ5" s="189">
        <v>129.5</v>
      </c>
      <c r="BK5" s="189">
        <v>0</v>
      </c>
      <c r="BL5" s="189">
        <v>0</v>
      </c>
      <c r="BM5" s="189">
        <v>0</v>
      </c>
      <c r="BN5" s="201">
        <v>345</v>
      </c>
      <c r="BO5">
        <v>0.5</v>
      </c>
    </row>
    <row r="6" spans="1:67" x14ac:dyDescent="0.3">
      <c r="K6" s="14">
        <v>2017</v>
      </c>
      <c r="L6" s="29"/>
      <c r="M6" s="16"/>
      <c r="Q6" s="8">
        <v>22</v>
      </c>
      <c r="S6" s="8">
        <v>0</v>
      </c>
      <c r="T6" s="8">
        <v>0</v>
      </c>
      <c r="U6" s="8">
        <v>22</v>
      </c>
      <c r="X6" s="8">
        <v>1000</v>
      </c>
      <c r="Y6" s="8">
        <v>184.19000000000003</v>
      </c>
      <c r="Z6" s="8">
        <v>184.5</v>
      </c>
      <c r="AB6" s="8">
        <f>+Z7+Z8+Z9</f>
        <v>591.5</v>
      </c>
      <c r="AD6" s="8">
        <v>2019</v>
      </c>
      <c r="AE6" s="100">
        <f t="shared" ref="AE6:AE7" si="1">+AN6+AS6+AX6+BC6+BH6</f>
        <v>353</v>
      </c>
      <c r="AF6" s="100">
        <f t="shared" ref="AF6:AF7" si="2">+AO6+AT6+AY6+BD6+BI6</f>
        <v>0</v>
      </c>
      <c r="AG6" s="100">
        <f t="shared" ref="AG6:AG7" si="3">+AP6+AU6+AZ6+BE6+BJ6</f>
        <v>252</v>
      </c>
      <c r="AH6" s="100">
        <f t="shared" ref="AH6:AH7" si="4">+AQ6+AV6+BA6+BF6+BK6</f>
        <v>41</v>
      </c>
      <c r="AI6" s="100">
        <f t="shared" ref="AI6:AI7" si="5">+AR6+AW6+BB6+BG6+BL6</f>
        <v>0</v>
      </c>
      <c r="AJ6" s="10">
        <f t="shared" ref="AJ6:AJ7" si="6">+AH6+AF6+AE6+AG6+AI6</f>
        <v>646</v>
      </c>
      <c r="AM6" s="188">
        <v>2019</v>
      </c>
      <c r="AN6" s="189">
        <v>1</v>
      </c>
      <c r="AO6" s="189">
        <v>0</v>
      </c>
      <c r="AP6" s="189">
        <v>0</v>
      </c>
      <c r="AQ6" s="189">
        <v>0</v>
      </c>
      <c r="AR6" s="189">
        <v>0</v>
      </c>
      <c r="AS6" s="189">
        <v>0</v>
      </c>
      <c r="AT6" s="189">
        <v>0</v>
      </c>
      <c r="AU6" s="189">
        <v>70</v>
      </c>
      <c r="AV6" s="189">
        <v>0</v>
      </c>
      <c r="AW6" s="189">
        <v>0</v>
      </c>
      <c r="AX6" s="189">
        <v>0</v>
      </c>
      <c r="AY6" s="189">
        <v>0</v>
      </c>
      <c r="AZ6" s="189">
        <v>19</v>
      </c>
      <c r="BA6" s="189">
        <v>41</v>
      </c>
      <c r="BB6" s="189">
        <v>0</v>
      </c>
      <c r="BC6" s="189">
        <v>352</v>
      </c>
      <c r="BD6" s="189">
        <v>0</v>
      </c>
      <c r="BE6" s="189">
        <v>0</v>
      </c>
      <c r="BF6" s="189">
        <v>0</v>
      </c>
      <c r="BG6" s="189">
        <v>0</v>
      </c>
      <c r="BH6" s="189">
        <v>0</v>
      </c>
      <c r="BI6" s="189">
        <v>0</v>
      </c>
      <c r="BJ6" s="189">
        <v>163</v>
      </c>
      <c r="BK6" s="189">
        <v>0</v>
      </c>
      <c r="BL6" s="189">
        <v>0</v>
      </c>
      <c r="BM6" s="189">
        <v>0</v>
      </c>
      <c r="BN6" s="201">
        <v>646</v>
      </c>
      <c r="BO6">
        <v>0.5</v>
      </c>
    </row>
    <row r="7" spans="1:67" x14ac:dyDescent="0.3">
      <c r="A7" s="9"/>
      <c r="K7" s="14">
        <v>2018</v>
      </c>
      <c r="L7" s="29"/>
      <c r="M7" s="20"/>
      <c r="Q7" s="8">
        <v>129</v>
      </c>
      <c r="R7" s="8">
        <v>129</v>
      </c>
      <c r="S7" s="8">
        <v>0</v>
      </c>
      <c r="T7" s="8">
        <v>0</v>
      </c>
      <c r="U7" s="8">
        <v>0</v>
      </c>
      <c r="W7" s="8">
        <v>2019</v>
      </c>
      <c r="X7" s="8">
        <v>500</v>
      </c>
      <c r="Y7" s="8">
        <v>41.209999999999994</v>
      </c>
      <c r="Z7" s="8">
        <v>40.5</v>
      </c>
      <c r="AB7" s="8">
        <f>+Z10+Z11</f>
        <v>13</v>
      </c>
      <c r="AD7" s="8">
        <v>2020</v>
      </c>
      <c r="AE7" s="100">
        <f t="shared" si="1"/>
        <v>87.5</v>
      </c>
      <c r="AF7" s="100">
        <f t="shared" si="2"/>
        <v>108</v>
      </c>
      <c r="AG7" s="100">
        <f t="shared" si="3"/>
        <v>0</v>
      </c>
      <c r="AH7" s="100">
        <f t="shared" si="4"/>
        <v>9.5</v>
      </c>
      <c r="AI7" s="100">
        <f t="shared" si="5"/>
        <v>104</v>
      </c>
      <c r="AJ7" s="10">
        <f t="shared" si="6"/>
        <v>309</v>
      </c>
      <c r="AM7" s="188">
        <v>2020</v>
      </c>
      <c r="AN7" s="189">
        <v>0</v>
      </c>
      <c r="AO7" s="189">
        <v>0</v>
      </c>
      <c r="AP7" s="189">
        <v>0</v>
      </c>
      <c r="AQ7" s="189">
        <v>0</v>
      </c>
      <c r="AR7" s="189">
        <v>3</v>
      </c>
      <c r="AS7" s="189">
        <v>0</v>
      </c>
      <c r="AT7" s="189">
        <v>0</v>
      </c>
      <c r="AU7" s="189">
        <v>0</v>
      </c>
      <c r="AV7" s="189">
        <v>0</v>
      </c>
      <c r="AW7" s="189">
        <v>0.5</v>
      </c>
      <c r="AX7" s="189">
        <v>0</v>
      </c>
      <c r="AY7" s="189">
        <v>0</v>
      </c>
      <c r="AZ7" s="189">
        <v>0</v>
      </c>
      <c r="BA7" s="189">
        <v>9.5</v>
      </c>
      <c r="BB7" s="189">
        <v>97.5</v>
      </c>
      <c r="BC7" s="189">
        <v>87.5</v>
      </c>
      <c r="BD7" s="189">
        <v>108</v>
      </c>
      <c r="BE7" s="189">
        <v>0</v>
      </c>
      <c r="BF7" s="189">
        <v>0</v>
      </c>
      <c r="BG7" s="189">
        <v>0</v>
      </c>
      <c r="BH7" s="189">
        <v>0</v>
      </c>
      <c r="BI7" s="189">
        <v>0</v>
      </c>
      <c r="BJ7" s="189">
        <v>0</v>
      </c>
      <c r="BK7" s="189">
        <v>0</v>
      </c>
      <c r="BL7" s="189">
        <v>3</v>
      </c>
      <c r="BM7" s="189">
        <v>0</v>
      </c>
      <c r="BN7" s="189">
        <v>309</v>
      </c>
      <c r="BO7">
        <v>4.5</v>
      </c>
    </row>
    <row r="8" spans="1:67" x14ac:dyDescent="0.3">
      <c r="A8" s="9"/>
      <c r="K8" s="97">
        <v>2019</v>
      </c>
      <c r="L8" s="29"/>
      <c r="M8" s="20"/>
      <c r="X8" s="8">
        <v>714</v>
      </c>
      <c r="Y8" s="8">
        <v>253.02999999999994</v>
      </c>
      <c r="Z8" s="8">
        <v>252</v>
      </c>
      <c r="AE8" s="100">
        <f t="shared" ref="AE8:AH8" si="7">+AE7+AE6+AE5</f>
        <v>626.5</v>
      </c>
      <c r="AF8" s="100">
        <f t="shared" si="7"/>
        <v>108</v>
      </c>
      <c r="AG8" s="100">
        <f t="shared" si="7"/>
        <v>411</v>
      </c>
      <c r="AH8" s="100">
        <f t="shared" si="7"/>
        <v>50.5</v>
      </c>
      <c r="AI8" s="100">
        <f>+AI7+AI6+AI5</f>
        <v>104</v>
      </c>
      <c r="AM8"/>
      <c r="AN8"/>
      <c r="AO8"/>
      <c r="AP8"/>
      <c r="AQ8"/>
      <c r="AR8"/>
      <c r="AS8"/>
      <c r="AT8"/>
      <c r="AU8"/>
      <c r="AV8"/>
      <c r="AW8"/>
      <c r="AX8"/>
      <c r="AY8"/>
      <c r="AZ8"/>
      <c r="BA8"/>
      <c r="BB8"/>
      <c r="BC8"/>
      <c r="BD8"/>
      <c r="BE8"/>
      <c r="BF8"/>
      <c r="BG8"/>
      <c r="BH8"/>
      <c r="BI8"/>
      <c r="BJ8"/>
      <c r="BK8"/>
      <c r="BL8"/>
      <c r="BM8"/>
      <c r="BN8" s="190">
        <v>1300</v>
      </c>
      <c r="BO8" s="190" t="s">
        <v>107</v>
      </c>
    </row>
    <row r="9" spans="1:67" x14ac:dyDescent="0.3">
      <c r="A9" s="9"/>
      <c r="K9" s="97">
        <v>2020</v>
      </c>
      <c r="L9" s="29"/>
      <c r="M9" s="20"/>
      <c r="Q9" s="8" t="s">
        <v>157</v>
      </c>
      <c r="R9" s="8">
        <v>1.1499999999999999</v>
      </c>
      <c r="X9" s="8">
        <v>1000</v>
      </c>
      <c r="Y9" s="8">
        <v>354.37</v>
      </c>
      <c r="Z9" s="8">
        <v>299</v>
      </c>
    </row>
    <row r="10" spans="1:67" x14ac:dyDescent="0.3">
      <c r="A10" s="9"/>
      <c r="L10" s="29"/>
      <c r="W10" s="8">
        <v>2020</v>
      </c>
      <c r="X10" s="8">
        <v>500</v>
      </c>
      <c r="Y10" s="8">
        <v>10.45</v>
      </c>
      <c r="Z10" s="8">
        <v>10</v>
      </c>
      <c r="AE10" s="8">
        <v>1000</v>
      </c>
      <c r="AF10" s="8">
        <v>800</v>
      </c>
      <c r="AG10" s="8">
        <v>714</v>
      </c>
      <c r="AH10" s="8">
        <v>500</v>
      </c>
      <c r="AI10" s="8">
        <v>476</v>
      </c>
    </row>
    <row r="11" spans="1:67" x14ac:dyDescent="0.3">
      <c r="A11" s="21"/>
      <c r="X11" s="8">
        <v>714</v>
      </c>
      <c r="Y11" s="8">
        <v>3.2</v>
      </c>
      <c r="Z11" s="8">
        <v>3</v>
      </c>
      <c r="AD11" s="8">
        <v>2018</v>
      </c>
      <c r="AE11" s="8">
        <v>186</v>
      </c>
      <c r="AF11" s="8">
        <v>0</v>
      </c>
      <c r="AG11" s="8">
        <v>159</v>
      </c>
      <c r="AH11" s="8">
        <v>0</v>
      </c>
      <c r="AI11" s="8">
        <v>0</v>
      </c>
      <c r="AJ11" s="8">
        <v>345</v>
      </c>
    </row>
    <row r="12" spans="1:67" ht="62.4" x14ac:dyDescent="0.3">
      <c r="A12" s="22" t="s">
        <v>50</v>
      </c>
      <c r="B12" s="22" t="s">
        <v>41</v>
      </c>
      <c r="C12" s="22" t="s">
        <v>42</v>
      </c>
      <c r="D12" s="22"/>
      <c r="E12" s="22"/>
      <c r="F12" s="22" t="s">
        <v>51</v>
      </c>
      <c r="G12" s="22" t="s">
        <v>52</v>
      </c>
      <c r="H12" s="22" t="s">
        <v>53</v>
      </c>
      <c r="X12" s="8">
        <v>1000</v>
      </c>
      <c r="Y12" s="8">
        <v>55.62</v>
      </c>
      <c r="Z12" s="8">
        <v>27</v>
      </c>
      <c r="AD12" s="8">
        <v>2019</v>
      </c>
      <c r="AE12" s="8">
        <v>353</v>
      </c>
      <c r="AF12" s="8">
        <v>0</v>
      </c>
      <c r="AG12" s="8">
        <v>252</v>
      </c>
      <c r="AH12" s="8">
        <v>41</v>
      </c>
      <c r="AI12" s="8">
        <v>0</v>
      </c>
      <c r="AJ12" s="8">
        <v>646</v>
      </c>
    </row>
    <row r="13" spans="1:67" x14ac:dyDescent="0.3">
      <c r="A13" s="23" t="s">
        <v>64</v>
      </c>
      <c r="B13" t="s">
        <v>65</v>
      </c>
      <c r="C13" t="s">
        <v>66</v>
      </c>
      <c r="D13" t="s">
        <v>670</v>
      </c>
      <c r="E13" t="s">
        <v>671</v>
      </c>
      <c r="F13" s="25" t="s">
        <v>67</v>
      </c>
      <c r="G13" s="25" t="s">
        <v>68</v>
      </c>
      <c r="H13" s="25" t="s">
        <v>69</v>
      </c>
      <c r="X13" s="8">
        <v>800</v>
      </c>
      <c r="Y13" s="8">
        <v>139.4</v>
      </c>
      <c r="Z13" s="8">
        <v>107</v>
      </c>
      <c r="AD13" s="8">
        <v>2020</v>
      </c>
      <c r="AE13" s="8">
        <v>87.5</v>
      </c>
      <c r="AF13" s="8">
        <v>108</v>
      </c>
      <c r="AG13" s="8">
        <v>0</v>
      </c>
      <c r="AH13" s="8">
        <v>9.5</v>
      </c>
      <c r="AI13" s="8">
        <v>104</v>
      </c>
      <c r="AJ13" s="8">
        <v>309</v>
      </c>
    </row>
    <row r="14" spans="1:67" x14ac:dyDescent="0.3">
      <c r="A14" s="28" t="s">
        <v>275</v>
      </c>
      <c r="B14">
        <v>20</v>
      </c>
      <c r="C14">
        <v>46.34392180094504</v>
      </c>
      <c r="D14">
        <v>2020</v>
      </c>
      <c r="E14">
        <v>476</v>
      </c>
      <c r="F14" s="10">
        <f t="shared" ref="F14:F77" si="8">IF(C14=0,0,(EXP(-1.085+0.9256*LN(C14)))/C14)</f>
        <v>0.25400403991966924</v>
      </c>
      <c r="G14" s="10">
        <f t="shared" ref="G14:G77" si="9">(1+F14)*C14</f>
        <v>58.115465164106311</v>
      </c>
      <c r="H14" s="10">
        <f t="shared" ref="H14:H77" si="10">44/12*0.47*G14</f>
        <v>100.15231829947653</v>
      </c>
      <c r="X14" s="8">
        <v>476</v>
      </c>
      <c r="Y14" s="8">
        <v>107.52</v>
      </c>
      <c r="Z14" s="8">
        <v>108</v>
      </c>
      <c r="AE14" s="8">
        <v>626.5</v>
      </c>
      <c r="AF14" s="8">
        <v>108</v>
      </c>
      <c r="AG14" s="8">
        <v>411</v>
      </c>
      <c r="AH14" s="8">
        <v>50.5</v>
      </c>
      <c r="AI14" s="8">
        <v>104</v>
      </c>
    </row>
    <row r="15" spans="1:67" x14ac:dyDescent="0.3">
      <c r="A15" s="28" t="s">
        <v>276</v>
      </c>
      <c r="B15">
        <v>20</v>
      </c>
      <c r="C15">
        <v>36.614006448058738</v>
      </c>
      <c r="D15">
        <v>2020</v>
      </c>
      <c r="E15">
        <v>476</v>
      </c>
      <c r="F15" s="10">
        <f t="shared" si="8"/>
        <v>0.25849677633640422</v>
      </c>
      <c r="G15" s="10">
        <f t="shared" si="9"/>
        <v>46.078609083642235</v>
      </c>
      <c r="H15" s="10">
        <f t="shared" si="10"/>
        <v>79.408802987476776</v>
      </c>
      <c r="W15" s="8" t="s">
        <v>70</v>
      </c>
    </row>
    <row r="16" spans="1:67" x14ac:dyDescent="0.3">
      <c r="A16" s="28" t="s">
        <v>277</v>
      </c>
      <c r="B16">
        <v>20</v>
      </c>
      <c r="C16">
        <v>5.2206252825478625</v>
      </c>
      <c r="D16">
        <v>2020</v>
      </c>
      <c r="E16">
        <v>476</v>
      </c>
      <c r="F16" s="10">
        <f t="shared" si="8"/>
        <v>0.29880780101779791</v>
      </c>
      <c r="G16" s="10">
        <f t="shared" si="9"/>
        <v>6.7805888431639092</v>
      </c>
      <c r="H16" s="10">
        <f t="shared" si="10"/>
        <v>11.685214773052468</v>
      </c>
    </row>
    <row r="17" spans="1:34" x14ac:dyDescent="0.3">
      <c r="A17" s="28" t="s">
        <v>278</v>
      </c>
      <c r="B17">
        <v>20</v>
      </c>
      <c r="C17">
        <v>39.238642906714752</v>
      </c>
      <c r="D17">
        <v>2020</v>
      </c>
      <c r="E17">
        <v>476</v>
      </c>
      <c r="F17" s="10">
        <f t="shared" si="8"/>
        <v>0.25716873412836599</v>
      </c>
      <c r="G17" s="10">
        <f t="shared" si="9"/>
        <v>49.329595031949573</v>
      </c>
      <c r="H17" s="10">
        <f t="shared" si="10"/>
        <v>85.01133543839309</v>
      </c>
      <c r="J17"/>
      <c r="K17"/>
      <c r="L17"/>
      <c r="M17"/>
      <c r="N17"/>
      <c r="O17" s="15"/>
      <c r="P17" s="27"/>
      <c r="Q17" s="10"/>
      <c r="R17" s="29"/>
      <c r="S17" s="29"/>
      <c r="T17" s="30"/>
    </row>
    <row r="18" spans="1:34" x14ac:dyDescent="0.3">
      <c r="A18" s="28" t="s">
        <v>279</v>
      </c>
      <c r="B18">
        <v>20</v>
      </c>
      <c r="C18">
        <v>3.4034655027810472</v>
      </c>
      <c r="D18">
        <v>2020</v>
      </c>
      <c r="E18">
        <v>476</v>
      </c>
      <c r="F18" s="10">
        <f t="shared" si="8"/>
        <v>0.30847185028606894</v>
      </c>
      <c r="G18" s="10">
        <f t="shared" si="9"/>
        <v>4.4533388038087232</v>
      </c>
      <c r="H18" s="10">
        <f t="shared" si="10"/>
        <v>7.6745872052303659</v>
      </c>
      <c r="J18"/>
      <c r="K18"/>
      <c r="L18"/>
      <c r="M18"/>
      <c r="N18"/>
    </row>
    <row r="19" spans="1:34" x14ac:dyDescent="0.3">
      <c r="A19" s="28" t="s">
        <v>280</v>
      </c>
      <c r="B19">
        <v>20</v>
      </c>
      <c r="C19">
        <v>41.867596514518631</v>
      </c>
      <c r="D19">
        <v>2020</v>
      </c>
      <c r="E19">
        <v>476</v>
      </c>
      <c r="F19" s="10">
        <f t="shared" si="8"/>
        <v>0.25593092226685399</v>
      </c>
      <c r="G19" s="10">
        <f t="shared" si="9"/>
        <v>52.582809103575904</v>
      </c>
      <c r="H19" s="10">
        <f t="shared" si="10"/>
        <v>90.617707688495798</v>
      </c>
    </row>
    <row r="20" spans="1:34" x14ac:dyDescent="0.3">
      <c r="A20" s="28" t="s">
        <v>281</v>
      </c>
      <c r="B20">
        <v>20</v>
      </c>
      <c r="C20">
        <v>54.984918008314054</v>
      </c>
      <c r="D20">
        <v>2020</v>
      </c>
      <c r="E20">
        <v>476</v>
      </c>
      <c r="F20" s="10">
        <f t="shared" si="8"/>
        <v>0.25079355097694028</v>
      </c>
      <c r="G20" s="10">
        <f t="shared" si="9"/>
        <v>68.77478084579505</v>
      </c>
      <c r="H20" s="10">
        <f t="shared" si="10"/>
        <v>118.52187232425345</v>
      </c>
    </row>
    <row r="21" spans="1:34" x14ac:dyDescent="0.3">
      <c r="A21" s="28" t="s">
        <v>282</v>
      </c>
      <c r="B21">
        <v>20</v>
      </c>
      <c r="C21">
        <v>43.281420814024493</v>
      </c>
      <c r="D21">
        <v>2020</v>
      </c>
      <c r="E21">
        <v>476</v>
      </c>
      <c r="F21" s="10">
        <f t="shared" si="8"/>
        <v>0.25529931812797441</v>
      </c>
      <c r="G21" s="10">
        <f t="shared" si="9"/>
        <v>54.331138035454863</v>
      </c>
      <c r="H21" s="10">
        <f t="shared" si="10"/>
        <v>93.630661214433871</v>
      </c>
      <c r="J21"/>
      <c r="K21"/>
      <c r="L21" s="23" t="s">
        <v>143</v>
      </c>
      <c r="M21"/>
      <c r="N21"/>
      <c r="O21"/>
    </row>
    <row r="22" spans="1:34" ht="58.2" thickBot="1" x14ac:dyDescent="0.35">
      <c r="A22" s="28" t="s">
        <v>283</v>
      </c>
      <c r="B22">
        <v>20</v>
      </c>
      <c r="C22">
        <v>21.314243947273123</v>
      </c>
      <c r="D22">
        <v>2020</v>
      </c>
      <c r="E22">
        <v>476</v>
      </c>
      <c r="F22" s="10">
        <f t="shared" si="8"/>
        <v>0.26911471429558531</v>
      </c>
      <c r="G22" s="10">
        <f t="shared" si="9"/>
        <v>27.050220617569941</v>
      </c>
      <c r="H22" s="10">
        <f t="shared" si="10"/>
        <v>46.61654686427886</v>
      </c>
      <c r="J22" s="23" t="s">
        <v>670</v>
      </c>
      <c r="K22" s="23" t="s">
        <v>671</v>
      </c>
      <c r="L22" t="s">
        <v>54</v>
      </c>
      <c r="M22" t="s">
        <v>55</v>
      </c>
      <c r="N22" t="s">
        <v>56</v>
      </c>
      <c r="O22" t="s">
        <v>57</v>
      </c>
      <c r="P22" s="93" t="s">
        <v>148</v>
      </c>
      <c r="Q22" s="93" t="s">
        <v>149</v>
      </c>
      <c r="R22" s="93" t="s">
        <v>150</v>
      </c>
      <c r="S22" s="8" t="s">
        <v>155</v>
      </c>
      <c r="T22" s="24" t="s">
        <v>58</v>
      </c>
      <c r="U22" s="24" t="s">
        <v>59</v>
      </c>
      <c r="V22" s="24" t="s">
        <v>60</v>
      </c>
      <c r="W22" s="24" t="s">
        <v>61</v>
      </c>
      <c r="X22" s="24" t="s">
        <v>62</v>
      </c>
      <c r="Y22" s="24" t="s">
        <v>63</v>
      </c>
    </row>
    <row r="23" spans="1:34" ht="55.2" x14ac:dyDescent="0.3">
      <c r="A23" s="28" t="s">
        <v>284</v>
      </c>
      <c r="B23">
        <v>20</v>
      </c>
      <c r="C23">
        <v>40.870266715830269</v>
      </c>
      <c r="D23">
        <v>2020</v>
      </c>
      <c r="E23">
        <v>476</v>
      </c>
      <c r="F23" s="10">
        <f t="shared" si="8"/>
        <v>0.25639040668281754</v>
      </c>
      <c r="G23" s="10">
        <f t="shared" si="9"/>
        <v>51.349011020337215</v>
      </c>
      <c r="H23" s="10">
        <f t="shared" si="10"/>
        <v>88.491462325047792</v>
      </c>
      <c r="J23">
        <v>2018</v>
      </c>
      <c r="K23">
        <v>714</v>
      </c>
      <c r="L23" s="26">
        <v>45.38756765596996</v>
      </c>
      <c r="M23" s="26">
        <v>450.11742992869222</v>
      </c>
      <c r="N23">
        <v>25</v>
      </c>
      <c r="O23" s="26">
        <v>21.215971105011718</v>
      </c>
      <c r="P23" s="105">
        <f>L23*44/12*0.47</f>
        <v>78.217908260454891</v>
      </c>
      <c r="Q23" s="105">
        <f>+T36</f>
        <v>190.20009379675648</v>
      </c>
      <c r="R23" s="105">
        <f>+Q23-P23</f>
        <v>111.98218553630159</v>
      </c>
      <c r="S23" s="100">
        <f>+L23</f>
        <v>45.38756765596996</v>
      </c>
      <c r="T23" s="100">
        <f>+AG5</f>
        <v>159</v>
      </c>
      <c r="U23" s="99">
        <f t="shared" ref="U23:U32" si="11">T23/$T$32</f>
        <v>0.12230769230769231</v>
      </c>
      <c r="AC23" s="141" t="s">
        <v>146</v>
      </c>
      <c r="AD23" s="142" t="s">
        <v>147</v>
      </c>
      <c r="AE23" s="142" t="s">
        <v>573</v>
      </c>
      <c r="AF23" s="142" t="s">
        <v>574</v>
      </c>
      <c r="AG23" s="142" t="s">
        <v>149</v>
      </c>
      <c r="AH23" s="143" t="s">
        <v>150</v>
      </c>
    </row>
    <row r="24" spans="1:34" x14ac:dyDescent="0.3">
      <c r="A24" s="28" t="s">
        <v>285</v>
      </c>
      <c r="B24">
        <v>20</v>
      </c>
      <c r="C24">
        <v>40.908032700401385</v>
      </c>
      <c r="D24">
        <v>2020</v>
      </c>
      <c r="E24">
        <v>476</v>
      </c>
      <c r="F24" s="10">
        <f t="shared" si="8"/>
        <v>0.25637278884742831</v>
      </c>
      <c r="G24" s="10">
        <f t="shared" si="9"/>
        <v>51.395739130065081</v>
      </c>
      <c r="H24" s="10">
        <f t="shared" si="10"/>
        <v>88.571990434145476</v>
      </c>
      <c r="J24"/>
      <c r="K24">
        <v>1000</v>
      </c>
      <c r="L24" s="26">
        <v>47.242415542412019</v>
      </c>
      <c r="M24" s="26">
        <v>664.86851685469446</v>
      </c>
      <c r="N24">
        <v>26</v>
      </c>
      <c r="O24" s="26">
        <v>25.785044441588511</v>
      </c>
      <c r="P24" s="105">
        <f t="shared" ref="P24:P31" si="12">L24*44/12*0.47</f>
        <v>81.414429451423374</v>
      </c>
      <c r="Q24" s="105">
        <f>+T37</f>
        <v>213.04223085933029</v>
      </c>
      <c r="R24" s="105">
        <f t="shared" ref="R24:R31" si="13">+Q24-P24</f>
        <v>131.62780140790693</v>
      </c>
      <c r="S24" s="100">
        <f t="shared" ref="S24:S31" si="14">+L24</f>
        <v>47.242415542412019</v>
      </c>
      <c r="T24" s="100">
        <f>+AE5</f>
        <v>186</v>
      </c>
      <c r="U24" s="99">
        <f t="shared" si="11"/>
        <v>0.14307692307692307</v>
      </c>
      <c r="AC24" s="144">
        <f>+J23</f>
        <v>2018</v>
      </c>
      <c r="AD24" s="138">
        <f>+K23</f>
        <v>714</v>
      </c>
      <c r="AE24" s="151">
        <v>33.799999999999997</v>
      </c>
      <c r="AF24" s="139">
        <f>+P23</f>
        <v>78.217908260454891</v>
      </c>
      <c r="AG24" s="139">
        <f>+T36</f>
        <v>190.20009379675648</v>
      </c>
      <c r="AH24" s="145">
        <f>+AG24-AF24</f>
        <v>111.98218553630159</v>
      </c>
    </row>
    <row r="25" spans="1:34" x14ac:dyDescent="0.3">
      <c r="A25" s="28" t="s">
        <v>286</v>
      </c>
      <c r="B25">
        <v>20</v>
      </c>
      <c r="C25">
        <v>40.457113977545539</v>
      </c>
      <c r="D25">
        <v>2020</v>
      </c>
      <c r="E25">
        <v>476</v>
      </c>
      <c r="F25" s="10">
        <f t="shared" si="8"/>
        <v>0.25658429268098837</v>
      </c>
      <c r="G25" s="10">
        <f t="shared" si="9"/>
        <v>50.837773951388193</v>
      </c>
      <c r="H25" s="10">
        <f t="shared" si="10"/>
        <v>87.610430442892309</v>
      </c>
      <c r="J25">
        <v>2019</v>
      </c>
      <c r="K25">
        <v>500</v>
      </c>
      <c r="L25" s="26">
        <v>35.179252756646214</v>
      </c>
      <c r="M25" s="26">
        <v>144.225620750697</v>
      </c>
      <c r="N25">
        <v>12</v>
      </c>
      <c r="O25" s="26">
        <v>12.009397185150345</v>
      </c>
      <c r="P25" s="105">
        <f t="shared" si="12"/>
        <v>60.625578917286965</v>
      </c>
      <c r="Q25" s="105">
        <f>+T38</f>
        <v>180.45982883711341</v>
      </c>
      <c r="R25" s="105">
        <f t="shared" si="13"/>
        <v>119.83424991982645</v>
      </c>
      <c r="S25" s="100">
        <f t="shared" si="14"/>
        <v>35.179252756646214</v>
      </c>
      <c r="T25" s="100">
        <f>+AH6</f>
        <v>41</v>
      </c>
      <c r="U25" s="99">
        <f t="shared" si="11"/>
        <v>3.1538461538461536E-2</v>
      </c>
      <c r="AC25" s="144">
        <f t="shared" ref="AC25:AC32" si="15">+J24</f>
        <v>0</v>
      </c>
      <c r="AD25" s="138">
        <f t="shared" ref="AD25:AD32" si="16">+K24</f>
        <v>1000</v>
      </c>
      <c r="AE25" s="151">
        <v>63.6</v>
      </c>
      <c r="AF25" s="139">
        <f t="shared" ref="AF25:AF32" si="17">+P24</f>
        <v>81.414429451423374</v>
      </c>
      <c r="AG25" s="139">
        <f>+T37</f>
        <v>213.04223085933029</v>
      </c>
      <c r="AH25" s="145">
        <f t="shared" ref="AH25:AH32" si="18">+AG25-AF25</f>
        <v>131.62780140790693</v>
      </c>
    </row>
    <row r="26" spans="1:34" x14ac:dyDescent="0.3">
      <c r="A26" s="28" t="s">
        <v>287</v>
      </c>
      <c r="B26">
        <v>20</v>
      </c>
      <c r="C26">
        <v>3.2050557085110309</v>
      </c>
      <c r="D26">
        <v>2018</v>
      </c>
      <c r="E26">
        <v>714</v>
      </c>
      <c r="F26" s="10">
        <f t="shared" si="8"/>
        <v>0.30985343838092633</v>
      </c>
      <c r="G26" s="10">
        <f t="shared" si="9"/>
        <v>4.1981532399955901</v>
      </c>
      <c r="H26" s="10">
        <f t="shared" si="10"/>
        <v>7.2348174169257327</v>
      </c>
      <c r="J26"/>
      <c r="K26">
        <v>714</v>
      </c>
      <c r="L26" s="26">
        <v>41.843378604660124</v>
      </c>
      <c r="M26" s="26">
        <v>426.35988677873524</v>
      </c>
      <c r="N26">
        <v>38</v>
      </c>
      <c r="O26" s="26">
        <v>20.6484838857175</v>
      </c>
      <c r="P26" s="105">
        <f t="shared" si="12"/>
        <v>72.110089128697609</v>
      </c>
      <c r="Q26" s="105">
        <f>+T36</f>
        <v>190.20009379675648</v>
      </c>
      <c r="R26" s="105">
        <f t="shared" si="13"/>
        <v>118.09000466805887</v>
      </c>
      <c r="S26" s="100">
        <f t="shared" si="14"/>
        <v>41.843378604660124</v>
      </c>
      <c r="T26" s="100">
        <f>+AG6</f>
        <v>252</v>
      </c>
      <c r="U26" s="99">
        <f t="shared" si="11"/>
        <v>0.19384615384615383</v>
      </c>
      <c r="V26" s="10"/>
      <c r="W26" s="29"/>
      <c r="X26" s="29"/>
      <c r="Y26" s="30"/>
      <c r="AC26" s="144">
        <f t="shared" si="15"/>
        <v>2019</v>
      </c>
      <c r="AD26" s="138">
        <f t="shared" si="16"/>
        <v>500</v>
      </c>
      <c r="AE26" s="151">
        <v>3.7</v>
      </c>
      <c r="AF26" s="139">
        <f t="shared" si="17"/>
        <v>60.625578917286965</v>
      </c>
      <c r="AG26" s="139">
        <f>+T36</f>
        <v>190.20009379675648</v>
      </c>
      <c r="AH26" s="145">
        <f t="shared" si="18"/>
        <v>129.57451487946952</v>
      </c>
    </row>
    <row r="27" spans="1:34" x14ac:dyDescent="0.3">
      <c r="A27" s="28" t="s">
        <v>288</v>
      </c>
      <c r="B27">
        <v>20</v>
      </c>
      <c r="C27">
        <v>29.52601941264135</v>
      </c>
      <c r="D27">
        <v>2019</v>
      </c>
      <c r="E27">
        <v>1000</v>
      </c>
      <c r="F27" s="10">
        <f t="shared" si="8"/>
        <v>0.26266804548154166</v>
      </c>
      <c r="G27" s="10">
        <f t="shared" si="9"/>
        <v>37.281561222609916</v>
      </c>
      <c r="H27" s="10">
        <f t="shared" si="10"/>
        <v>64.248557173631085</v>
      </c>
      <c r="J27"/>
      <c r="K27">
        <v>1000</v>
      </c>
      <c r="L27" s="26">
        <v>46.302898022763387</v>
      </c>
      <c r="M27" s="26">
        <v>453.60962897841</v>
      </c>
      <c r="N27">
        <v>42</v>
      </c>
      <c r="O27" s="26">
        <v>21.298113272738739</v>
      </c>
      <c r="P27" s="105">
        <f t="shared" si="12"/>
        <v>79.795327592562245</v>
      </c>
      <c r="Q27" s="105">
        <f>+T37</f>
        <v>213.04223085933029</v>
      </c>
      <c r="R27" s="105">
        <f t="shared" si="13"/>
        <v>133.24690326676804</v>
      </c>
      <c r="S27" s="100">
        <f t="shared" si="14"/>
        <v>46.302898022763387</v>
      </c>
      <c r="T27" s="100">
        <f>+AE6</f>
        <v>353</v>
      </c>
      <c r="U27" s="99">
        <f t="shared" si="11"/>
        <v>0.27153846153846156</v>
      </c>
      <c r="AC27" s="144">
        <f t="shared" si="15"/>
        <v>0</v>
      </c>
      <c r="AD27" s="138">
        <f t="shared" si="16"/>
        <v>714</v>
      </c>
      <c r="AE27" s="151">
        <v>11.5</v>
      </c>
      <c r="AF27" s="139">
        <f t="shared" si="17"/>
        <v>72.110089128697609</v>
      </c>
      <c r="AG27" s="139">
        <f t="shared" ref="AG27:AG28" si="19">+T37</f>
        <v>213.04223085933029</v>
      </c>
      <c r="AH27" s="145">
        <f t="shared" si="18"/>
        <v>140.93214173063268</v>
      </c>
    </row>
    <row r="28" spans="1:34" x14ac:dyDescent="0.3">
      <c r="A28" s="28" t="s">
        <v>289</v>
      </c>
      <c r="B28">
        <v>20</v>
      </c>
      <c r="C28">
        <v>12.837986790394455</v>
      </c>
      <c r="D28">
        <v>2019</v>
      </c>
      <c r="E28">
        <v>500</v>
      </c>
      <c r="F28" s="10">
        <f t="shared" si="8"/>
        <v>0.27945913853246918</v>
      </c>
      <c r="G28" s="10">
        <f t="shared" si="9"/>
        <v>16.425679519329307</v>
      </c>
      <c r="H28" s="10">
        <f t="shared" si="10"/>
        <v>28.306921038310836</v>
      </c>
      <c r="J28">
        <v>2020</v>
      </c>
      <c r="K28">
        <v>476</v>
      </c>
      <c r="L28" s="26">
        <v>48.723622305099312</v>
      </c>
      <c r="M28" s="26">
        <v>412.34463639227806</v>
      </c>
      <c r="N28">
        <v>17</v>
      </c>
      <c r="O28" s="26">
        <v>20.306270863757284</v>
      </c>
      <c r="P28" s="105">
        <f t="shared" si="12"/>
        <v>83.96704243912113</v>
      </c>
      <c r="Q28" s="105">
        <f>+T38</f>
        <v>180.45982883711341</v>
      </c>
      <c r="R28" s="105">
        <f t="shared" si="13"/>
        <v>96.492786397992276</v>
      </c>
      <c r="S28" s="100">
        <f t="shared" si="14"/>
        <v>48.723622305099312</v>
      </c>
      <c r="T28" s="100">
        <f>+AI7</f>
        <v>104</v>
      </c>
      <c r="U28" s="99">
        <f t="shared" si="11"/>
        <v>0.08</v>
      </c>
      <c r="AC28" s="144">
        <f t="shared" si="15"/>
        <v>0</v>
      </c>
      <c r="AD28" s="138">
        <f t="shared" si="16"/>
        <v>1000</v>
      </c>
      <c r="AE28" s="151">
        <v>20.6</v>
      </c>
      <c r="AF28" s="139">
        <f t="shared" si="17"/>
        <v>79.795327592562245</v>
      </c>
      <c r="AG28" s="139">
        <f t="shared" si="19"/>
        <v>180.45982883711341</v>
      </c>
      <c r="AH28" s="145">
        <f t="shared" si="18"/>
        <v>100.66450124455116</v>
      </c>
    </row>
    <row r="29" spans="1:34" x14ac:dyDescent="0.3">
      <c r="A29" s="28" t="s">
        <v>290</v>
      </c>
      <c r="B29">
        <v>20</v>
      </c>
      <c r="C29">
        <v>15.952556508742619</v>
      </c>
      <c r="D29">
        <v>2019</v>
      </c>
      <c r="E29">
        <v>500</v>
      </c>
      <c r="F29" s="10">
        <f t="shared" si="8"/>
        <v>0.27497924387821726</v>
      </c>
      <c r="G29" s="10">
        <f t="shared" si="9"/>
        <v>20.339178435441198</v>
      </c>
      <c r="H29" s="10">
        <f t="shared" si="10"/>
        <v>35.05118417041033</v>
      </c>
      <c r="J29"/>
      <c r="K29">
        <v>500</v>
      </c>
      <c r="L29" s="26">
        <v>32.632790133942898</v>
      </c>
      <c r="M29" s="26">
        <v>307.70977612372781</v>
      </c>
      <c r="N29">
        <v>3</v>
      </c>
      <c r="O29" s="26">
        <v>17.541658305979166</v>
      </c>
      <c r="P29" s="105">
        <f t="shared" si="12"/>
        <v>56.237174997494925</v>
      </c>
      <c r="Q29" s="105">
        <f>+T38</f>
        <v>180.45982883711341</v>
      </c>
      <c r="R29" s="105">
        <f t="shared" si="13"/>
        <v>124.22265383961849</v>
      </c>
      <c r="S29" s="100">
        <f t="shared" si="14"/>
        <v>32.632790133942898</v>
      </c>
      <c r="T29" s="100">
        <f>+AH7</f>
        <v>9.5</v>
      </c>
      <c r="U29" s="99">
        <f t="shared" si="11"/>
        <v>7.3076923076923076E-3</v>
      </c>
      <c r="AC29" s="144">
        <f t="shared" si="15"/>
        <v>2020</v>
      </c>
      <c r="AD29" s="138">
        <f t="shared" si="16"/>
        <v>476</v>
      </c>
      <c r="AE29" s="138"/>
      <c r="AF29" s="139">
        <f t="shared" si="17"/>
        <v>83.96704243912113</v>
      </c>
      <c r="AG29" s="140">
        <f>+T38</f>
        <v>180.45982883711341</v>
      </c>
      <c r="AH29" s="145">
        <f t="shared" si="18"/>
        <v>96.492786397992276</v>
      </c>
    </row>
    <row r="30" spans="1:34" x14ac:dyDescent="0.3">
      <c r="A30" s="28" t="s">
        <v>291</v>
      </c>
      <c r="B30">
        <v>20</v>
      </c>
      <c r="C30">
        <v>34.482429089226535</v>
      </c>
      <c r="D30">
        <v>2019</v>
      </c>
      <c r="E30">
        <v>500</v>
      </c>
      <c r="F30" s="10">
        <f t="shared" si="8"/>
        <v>0.25965291762217524</v>
      </c>
      <c r="G30" s="10">
        <f t="shared" si="9"/>
        <v>43.435892408943971</v>
      </c>
      <c r="H30" s="10">
        <f t="shared" si="10"/>
        <v>74.854521251413431</v>
      </c>
      <c r="J30"/>
      <c r="K30">
        <v>800</v>
      </c>
      <c r="L30" s="26">
        <v>37.592796396692059</v>
      </c>
      <c r="M30" s="26">
        <v>80.176627254072216</v>
      </c>
      <c r="N30">
        <v>12</v>
      </c>
      <c r="O30" s="26">
        <v>8.9541402297525039</v>
      </c>
      <c r="P30" s="105">
        <f t="shared" si="12"/>
        <v>64.784919123632633</v>
      </c>
      <c r="Q30" s="100">
        <f>+T36</f>
        <v>190.20009379675648</v>
      </c>
      <c r="R30" s="105">
        <f t="shared" si="13"/>
        <v>125.41517467312384</v>
      </c>
      <c r="S30" s="100">
        <f t="shared" si="14"/>
        <v>37.592796396692059</v>
      </c>
      <c r="T30" s="100">
        <f>+AF7</f>
        <v>108</v>
      </c>
      <c r="U30" s="99">
        <f t="shared" si="11"/>
        <v>8.3076923076923076E-2</v>
      </c>
      <c r="AC30" s="144">
        <f t="shared" si="15"/>
        <v>0</v>
      </c>
      <c r="AD30" s="138">
        <f t="shared" si="16"/>
        <v>500</v>
      </c>
      <c r="AE30" s="138"/>
      <c r="AF30" s="139">
        <f t="shared" si="17"/>
        <v>56.237174997494925</v>
      </c>
      <c r="AG30" s="140">
        <f>+T37</f>
        <v>213.04223085933029</v>
      </c>
      <c r="AH30" s="145">
        <f t="shared" si="18"/>
        <v>156.80505586183537</v>
      </c>
    </row>
    <row r="31" spans="1:34" x14ac:dyDescent="0.3">
      <c r="A31" s="28" t="s">
        <v>292</v>
      </c>
      <c r="B31">
        <v>20</v>
      </c>
      <c r="C31">
        <v>14.001399925064495</v>
      </c>
      <c r="D31">
        <v>2019</v>
      </c>
      <c r="E31">
        <v>500</v>
      </c>
      <c r="F31" s="10">
        <f t="shared" si="8"/>
        <v>0.27766128579708849</v>
      </c>
      <c r="G31" s="10">
        <f t="shared" si="9"/>
        <v>17.889046631217159</v>
      </c>
      <c r="H31" s="10">
        <f t="shared" si="10"/>
        <v>30.828790361130903</v>
      </c>
      <c r="J31"/>
      <c r="K31">
        <v>1000</v>
      </c>
      <c r="L31" s="26">
        <v>51.824420448578508</v>
      </c>
      <c r="M31" s="26">
        <v>168.77144268660049</v>
      </c>
      <c r="N31">
        <v>13</v>
      </c>
      <c r="O31" s="26">
        <v>12.991206359942117</v>
      </c>
      <c r="P31" s="105">
        <f t="shared" si="12"/>
        <v>89.31075123971695</v>
      </c>
      <c r="Q31" s="100">
        <f>+T37</f>
        <v>213.04223085933029</v>
      </c>
      <c r="R31" s="105">
        <f t="shared" si="13"/>
        <v>123.73147961961334</v>
      </c>
      <c r="S31" s="100">
        <f t="shared" si="14"/>
        <v>51.824420448578508</v>
      </c>
      <c r="T31" s="100">
        <f>+AE7</f>
        <v>87.5</v>
      </c>
      <c r="U31" s="99">
        <f t="shared" si="11"/>
        <v>6.7307692307692304E-2</v>
      </c>
      <c r="AC31" s="144">
        <f t="shared" si="15"/>
        <v>0</v>
      </c>
      <c r="AD31" s="138">
        <f t="shared" si="16"/>
        <v>800</v>
      </c>
      <c r="AE31" s="138"/>
      <c r="AF31" s="139">
        <f t="shared" si="17"/>
        <v>64.784919123632633</v>
      </c>
      <c r="AG31" s="140">
        <f>+T38</f>
        <v>180.45982883711341</v>
      </c>
      <c r="AH31" s="145">
        <f t="shared" si="18"/>
        <v>115.67490971348077</v>
      </c>
    </row>
    <row r="32" spans="1:34" ht="15" thickBot="1" x14ac:dyDescent="0.35">
      <c r="A32" s="28" t="s">
        <v>293</v>
      </c>
      <c r="B32">
        <v>20</v>
      </c>
      <c r="C32">
        <v>32.247353697205988</v>
      </c>
      <c r="D32">
        <v>2019</v>
      </c>
      <c r="E32">
        <v>500</v>
      </c>
      <c r="F32" s="10">
        <f t="shared" si="8"/>
        <v>0.26095073684164566</v>
      </c>
      <c r="G32" s="10">
        <f t="shared" si="9"/>
        <v>40.662324405685055</v>
      </c>
      <c r="H32" s="10">
        <f t="shared" si="10"/>
        <v>70.074739059130565</v>
      </c>
      <c r="J32" t="s">
        <v>70</v>
      </c>
      <c r="K32"/>
      <c r="L32" s="26">
        <v>44.526298429229811</v>
      </c>
      <c r="M32" s="26">
        <v>412.63352765530698</v>
      </c>
      <c r="N32">
        <v>188</v>
      </c>
      <c r="O32" s="26">
        <v>20.313382969247318</v>
      </c>
      <c r="P32" s="26"/>
      <c r="R32" s="26"/>
      <c r="T32" s="15">
        <f>SUM(T23:T31)</f>
        <v>1300</v>
      </c>
      <c r="U32" s="27">
        <f t="shared" si="11"/>
        <v>1</v>
      </c>
      <c r="V32" s="100">
        <f>S24*U24+S25*U25+S26*U26+S27*U27+U28*S28+U29*S29+U30*S30+U31*S31+U23*S23</f>
        <v>44.851879498243321</v>
      </c>
      <c r="W32" s="29">
        <f>+V32*T32</f>
        <v>58307.443347716318</v>
      </c>
      <c r="X32" s="104">
        <f>W32*44/12*0.47</f>
        <v>100483.16070256445</v>
      </c>
      <c r="Y32" s="30">
        <f>(O5*SQRT(+U24^2*M24/N24+U25^2*M25/N25+U26^2*M26/N26+U27^2*M27/N27+U28^2*M28/N28+U29^2*M29/N29+U30^2*M30/N30+U31^2*M31/N31+U23^2*M23/N23))/V32</f>
        <v>5.5751119848879427E-2</v>
      </c>
      <c r="Z32" s="102">
        <f>+Y32*X32</f>
        <v>5602.0487351228821</v>
      </c>
      <c r="AC32" s="146">
        <f t="shared" si="15"/>
        <v>0</v>
      </c>
      <c r="AD32" s="147">
        <f t="shared" si="16"/>
        <v>1000</v>
      </c>
      <c r="AE32" s="147"/>
      <c r="AF32" s="148">
        <f t="shared" si="17"/>
        <v>89.31075123971695</v>
      </c>
      <c r="AG32" s="149">
        <f>+T36</f>
        <v>190.20009379675648</v>
      </c>
      <c r="AH32" s="150">
        <f t="shared" si="18"/>
        <v>100.88934255703953</v>
      </c>
    </row>
    <row r="33" spans="1:25" x14ac:dyDescent="0.3">
      <c r="A33" s="28" t="s">
        <v>294</v>
      </c>
      <c r="B33">
        <v>20</v>
      </c>
      <c r="C33">
        <v>29.455682050319751</v>
      </c>
      <c r="D33">
        <v>2019</v>
      </c>
      <c r="E33">
        <v>500</v>
      </c>
      <c r="F33" s="10">
        <f t="shared" si="8"/>
        <v>0.26271465962345658</v>
      </c>
      <c r="G33" s="10">
        <f t="shared" si="9"/>
        <v>37.194121534146269</v>
      </c>
      <c r="H33" s="10">
        <f t="shared" si="10"/>
        <v>64.097869443845397</v>
      </c>
      <c r="J33"/>
      <c r="K33"/>
      <c r="L33"/>
      <c r="M33"/>
      <c r="N33"/>
      <c r="O33"/>
      <c r="V33" s="100">
        <f>L24*U24+L25*U25+L26*U26+L27*U27+U28*L28+U29*L29+U30*L30+U31*L31</f>
        <v>39.300630838782382</v>
      </c>
      <c r="W33" s="102">
        <f>V33*T32</f>
        <v>51090.820090417095</v>
      </c>
      <c r="X33" s="102">
        <f>W33*44/12*0.47</f>
        <v>88046.513289152121</v>
      </c>
      <c r="Y33" s="103">
        <f>(O5*SQRT(+U24^2*M24/N24+U25^2*M25/N25+U26^2*M26/N26+U27^2*M27/N27+U28^2*M28/N28+U29^2*M29/N29+U30^2*M30/N30+U31^2*M31/N31))/V33</f>
        <v>5.9764498959770686E-2</v>
      </c>
    </row>
    <row r="34" spans="1:25" x14ac:dyDescent="0.3">
      <c r="A34" s="28" t="s">
        <v>295</v>
      </c>
      <c r="B34">
        <v>20</v>
      </c>
      <c r="C34">
        <v>38.230161566462442</v>
      </c>
      <c r="D34">
        <v>2019</v>
      </c>
      <c r="E34">
        <v>500</v>
      </c>
      <c r="F34" s="10">
        <f t="shared" si="8"/>
        <v>0.25766739738124655</v>
      </c>
      <c r="G34" s="10">
        <f t="shared" si="9"/>
        <v>48.080827798757383</v>
      </c>
      <c r="H34" s="10">
        <f t="shared" si="10"/>
        <v>82.859293239858545</v>
      </c>
      <c r="J34"/>
      <c r="K34"/>
      <c r="L34"/>
      <c r="M34"/>
      <c r="N34"/>
      <c r="O34"/>
    </row>
    <row r="35" spans="1:25" x14ac:dyDescent="0.3">
      <c r="A35" s="28" t="s">
        <v>296</v>
      </c>
      <c r="B35">
        <v>20</v>
      </c>
      <c r="C35">
        <v>33.884067887751662</v>
      </c>
      <c r="D35">
        <v>2019</v>
      </c>
      <c r="E35">
        <v>500</v>
      </c>
      <c r="F35" s="10">
        <f t="shared" si="8"/>
        <v>0.25999130188893343</v>
      </c>
      <c r="G35" s="10">
        <f t="shared" si="9"/>
        <v>42.693630811181222</v>
      </c>
      <c r="H35" s="10">
        <f t="shared" si="10"/>
        <v>73.575357097935637</v>
      </c>
      <c r="J35"/>
      <c r="K35"/>
      <c r="L35"/>
      <c r="M35"/>
      <c r="N35"/>
      <c r="O35"/>
      <c r="T35" s="8" t="s">
        <v>153</v>
      </c>
      <c r="W35" s="101" t="s">
        <v>156</v>
      </c>
      <c r="X35" s="8">
        <v>180973.26279472644</v>
      </c>
    </row>
    <row r="36" spans="1:25" x14ac:dyDescent="0.3">
      <c r="A36" s="28" t="s">
        <v>297</v>
      </c>
      <c r="B36">
        <v>20</v>
      </c>
      <c r="C36">
        <v>24.063324909817783</v>
      </c>
      <c r="D36">
        <v>2019</v>
      </c>
      <c r="E36">
        <v>500</v>
      </c>
      <c r="F36" s="10">
        <f t="shared" si="8"/>
        <v>0.26669669137318375</v>
      </c>
      <c r="G36" s="10">
        <f t="shared" si="9"/>
        <v>30.4809340467041</v>
      </c>
      <c r="H36" s="10">
        <f t="shared" si="10"/>
        <v>52.528809673820057</v>
      </c>
      <c r="S36" s="8">
        <v>714</v>
      </c>
      <c r="T36" s="105">
        <v>190.20009379675648</v>
      </c>
      <c r="U36" s="99">
        <f>+T36/(44/12)/0.47</f>
        <v>110.36755926310821</v>
      </c>
      <c r="X36" s="102">
        <f>+X32-X35</f>
        <v>-80490.102092161993</v>
      </c>
    </row>
    <row r="37" spans="1:25" x14ac:dyDescent="0.3">
      <c r="A37" s="28" t="s">
        <v>298</v>
      </c>
      <c r="B37">
        <v>20</v>
      </c>
      <c r="C37">
        <v>29.530546076410101</v>
      </c>
      <c r="D37">
        <v>2019</v>
      </c>
      <c r="E37">
        <v>500</v>
      </c>
      <c r="F37" s="10">
        <f t="shared" si="8"/>
        <v>0.2626650496475183</v>
      </c>
      <c r="G37" s="10">
        <f t="shared" si="9"/>
        <v>37.287188427688683</v>
      </c>
      <c r="H37" s="10">
        <f t="shared" si="10"/>
        <v>64.258254723716817</v>
      </c>
      <c r="S37" s="8">
        <v>1000</v>
      </c>
      <c r="T37" s="105">
        <v>213.04223085933029</v>
      </c>
      <c r="U37" s="99">
        <f t="shared" ref="U37:U38" si="20">+T37/(44/12)/0.47</f>
        <v>123.62218425106207</v>
      </c>
    </row>
    <row r="38" spans="1:25" x14ac:dyDescent="0.3">
      <c r="A38" s="28" t="s">
        <v>299</v>
      </c>
      <c r="B38">
        <v>20</v>
      </c>
      <c r="C38">
        <v>43.158547335796257</v>
      </c>
      <c r="D38">
        <v>2019</v>
      </c>
      <c r="E38">
        <v>500</v>
      </c>
      <c r="F38" s="10">
        <f t="shared" si="8"/>
        <v>0.25535332417172307</v>
      </c>
      <c r="G38" s="10">
        <f t="shared" si="9"/>
        <v>54.179225864414498</v>
      </c>
      <c r="H38" s="10">
        <f t="shared" si="10"/>
        <v>93.368865906340972</v>
      </c>
      <c r="S38" s="8" t="s">
        <v>154</v>
      </c>
      <c r="T38" s="100">
        <v>180.45982883711341</v>
      </c>
      <c r="U38" s="99">
        <f t="shared" si="20"/>
        <v>104.71556799058807</v>
      </c>
    </row>
    <row r="39" spans="1:25" x14ac:dyDescent="0.3">
      <c r="A39" s="28" t="s">
        <v>300</v>
      </c>
      <c r="B39">
        <v>20</v>
      </c>
      <c r="C39">
        <v>26.472739233830559</v>
      </c>
      <c r="D39">
        <v>2019</v>
      </c>
      <c r="E39">
        <v>500</v>
      </c>
      <c r="F39" s="10">
        <f t="shared" si="8"/>
        <v>0.2648099201406614</v>
      </c>
      <c r="G39" s="10">
        <f t="shared" si="9"/>
        <v>33.482983196245783</v>
      </c>
      <c r="H39" s="10">
        <f t="shared" si="10"/>
        <v>57.702341041530225</v>
      </c>
    </row>
    <row r="40" spans="1:25" x14ac:dyDescent="0.3">
      <c r="A40" s="28" t="s">
        <v>301</v>
      </c>
      <c r="B40">
        <v>20</v>
      </c>
      <c r="C40">
        <v>16.691446558898786</v>
      </c>
      <c r="D40">
        <v>2020</v>
      </c>
      <c r="E40">
        <v>500</v>
      </c>
      <c r="F40" s="10">
        <f t="shared" si="8"/>
        <v>0.27405449853351627</v>
      </c>
      <c r="G40" s="10">
        <f t="shared" si="9"/>
        <v>21.265812575396779</v>
      </c>
      <c r="H40" s="10">
        <f t="shared" si="10"/>
        <v>36.648083671600446</v>
      </c>
    </row>
    <row r="41" spans="1:25" x14ac:dyDescent="0.3">
      <c r="A41" s="28" t="s">
        <v>302</v>
      </c>
      <c r="B41">
        <v>20</v>
      </c>
      <c r="C41">
        <v>9.8816951997975391</v>
      </c>
      <c r="D41">
        <v>2018</v>
      </c>
      <c r="E41">
        <v>714</v>
      </c>
      <c r="F41" s="10">
        <f t="shared" si="8"/>
        <v>0.28495417667071904</v>
      </c>
      <c r="G41" s="10">
        <f t="shared" si="9"/>
        <v>12.697525519566843</v>
      </c>
      <c r="H41" s="10">
        <f t="shared" si="10"/>
        <v>21.882068978720191</v>
      </c>
    </row>
    <row r="42" spans="1:25" x14ac:dyDescent="0.3">
      <c r="A42" s="28" t="s">
        <v>303</v>
      </c>
      <c r="B42">
        <v>20</v>
      </c>
      <c r="C42">
        <v>9.6238333575829529</v>
      </c>
      <c r="D42">
        <v>2018</v>
      </c>
      <c r="E42">
        <v>714</v>
      </c>
      <c r="F42" s="10">
        <f t="shared" si="8"/>
        <v>0.28551530199442315</v>
      </c>
      <c r="G42" s="10">
        <f t="shared" si="9"/>
        <v>12.371585045017254</v>
      </c>
      <c r="H42" s="10">
        <f t="shared" si="10"/>
        <v>21.320364894246399</v>
      </c>
    </row>
    <row r="43" spans="1:25" x14ac:dyDescent="0.3">
      <c r="A43" s="28" t="s">
        <v>304</v>
      </c>
      <c r="B43">
        <v>20</v>
      </c>
      <c r="C43">
        <v>38.005747055794949</v>
      </c>
      <c r="D43">
        <v>2018</v>
      </c>
      <c r="E43">
        <v>714</v>
      </c>
      <c r="F43" s="10">
        <f t="shared" si="8"/>
        <v>0.25778028599220976</v>
      </c>
      <c r="G43" s="10">
        <f t="shared" si="9"/>
        <v>47.802879401185358</v>
      </c>
      <c r="H43" s="10">
        <f t="shared" si="10"/>
        <v>82.380295501376096</v>
      </c>
    </row>
    <row r="44" spans="1:25" x14ac:dyDescent="0.3">
      <c r="A44" s="28" t="s">
        <v>305</v>
      </c>
      <c r="B44">
        <v>20</v>
      </c>
      <c r="C44">
        <v>47.008276999269171</v>
      </c>
      <c r="D44">
        <v>2018</v>
      </c>
      <c r="E44">
        <v>714</v>
      </c>
      <c r="F44" s="10">
        <f t="shared" si="8"/>
        <v>0.25373519815353568</v>
      </c>
      <c r="G44" s="10">
        <f t="shared" si="9"/>
        <v>58.935931478535025</v>
      </c>
      <c r="H44" s="10">
        <f t="shared" si="10"/>
        <v>101.56625524800869</v>
      </c>
    </row>
    <row r="45" spans="1:25" x14ac:dyDescent="0.3">
      <c r="A45" s="28" t="s">
        <v>306</v>
      </c>
      <c r="B45">
        <v>20</v>
      </c>
      <c r="C45">
        <v>28.981732849948706</v>
      </c>
      <c r="D45">
        <v>2019</v>
      </c>
      <c r="E45">
        <v>714</v>
      </c>
      <c r="F45" s="10">
        <f t="shared" si="8"/>
        <v>0.26303190817707534</v>
      </c>
      <c r="G45" s="10">
        <f t="shared" si="9"/>
        <v>36.604853343748943</v>
      </c>
      <c r="H45" s="10">
        <f t="shared" si="10"/>
        <v>63.082363929060669</v>
      </c>
    </row>
    <row r="46" spans="1:25" x14ac:dyDescent="0.3">
      <c r="A46" s="28" t="s">
        <v>307</v>
      </c>
      <c r="B46">
        <v>20</v>
      </c>
      <c r="C46">
        <v>25.196581602001075</v>
      </c>
      <c r="D46">
        <v>2019</v>
      </c>
      <c r="E46">
        <v>714</v>
      </c>
      <c r="F46" s="10">
        <f t="shared" si="8"/>
        <v>0.2657851242836532</v>
      </c>
      <c r="G46" s="10">
        <f t="shared" si="9"/>
        <v>31.893458174612142</v>
      </c>
      <c r="H46" s="10">
        <f t="shared" si="10"/>
        <v>54.96305958758159</v>
      </c>
    </row>
    <row r="47" spans="1:25" x14ac:dyDescent="0.3">
      <c r="A47" s="28" t="s">
        <v>308</v>
      </c>
      <c r="B47">
        <v>20</v>
      </c>
      <c r="C47">
        <v>27.258386800600942</v>
      </c>
      <c r="D47">
        <v>2019</v>
      </c>
      <c r="E47">
        <v>714</v>
      </c>
      <c r="F47" s="10">
        <f t="shared" si="8"/>
        <v>0.26423435092049907</v>
      </c>
      <c r="G47" s="10">
        <f t="shared" si="9"/>
        <v>34.460988943997627</v>
      </c>
      <c r="H47" s="10">
        <f t="shared" si="10"/>
        <v>59.38777094682257</v>
      </c>
    </row>
    <row r="48" spans="1:25" x14ac:dyDescent="0.3">
      <c r="A48" s="28" t="s">
        <v>309</v>
      </c>
      <c r="B48">
        <v>20</v>
      </c>
      <c r="C48">
        <v>16.484674919457781</v>
      </c>
      <c r="D48">
        <v>2018</v>
      </c>
      <c r="E48">
        <v>714</v>
      </c>
      <c r="F48" s="10">
        <f t="shared" si="8"/>
        <v>0.2743087785609486</v>
      </c>
      <c r="G48" s="10">
        <f t="shared" si="9"/>
        <v>21.006565961588549</v>
      </c>
      <c r="H48" s="10">
        <f t="shared" si="10"/>
        <v>36.201315340470927</v>
      </c>
    </row>
    <row r="49" spans="1:8" x14ac:dyDescent="0.3">
      <c r="A49" s="28" t="s">
        <v>310</v>
      </c>
      <c r="B49">
        <v>20</v>
      </c>
      <c r="C49">
        <v>33.861752075654927</v>
      </c>
      <c r="D49">
        <v>2018</v>
      </c>
      <c r="E49">
        <v>714</v>
      </c>
      <c r="F49" s="10">
        <f t="shared" si="8"/>
        <v>0.2600040457961692</v>
      </c>
      <c r="G49" s="10">
        <f t="shared" si="9"/>
        <v>42.665944613072035</v>
      </c>
      <c r="H49" s="10">
        <f t="shared" si="10"/>
        <v>73.527644549860796</v>
      </c>
    </row>
    <row r="50" spans="1:8" x14ac:dyDescent="0.3">
      <c r="A50" s="28" t="s">
        <v>311</v>
      </c>
      <c r="B50">
        <v>20</v>
      </c>
      <c r="C50">
        <v>24.084687144018591</v>
      </c>
      <c r="D50">
        <v>2018</v>
      </c>
      <c r="E50">
        <v>714</v>
      </c>
      <c r="F50" s="10">
        <f t="shared" si="8"/>
        <v>0.26667908481106828</v>
      </c>
      <c r="G50" s="10">
        <f t="shared" si="9"/>
        <v>30.507569469546372</v>
      </c>
      <c r="H50" s="10">
        <f t="shared" si="10"/>
        <v>52.574711385851579</v>
      </c>
    </row>
    <row r="51" spans="1:8" x14ac:dyDescent="0.3">
      <c r="A51" s="28" t="s">
        <v>312</v>
      </c>
      <c r="B51">
        <v>20</v>
      </c>
      <c r="C51">
        <v>28.163959431706747</v>
      </c>
      <c r="D51">
        <v>2018</v>
      </c>
      <c r="E51">
        <v>714</v>
      </c>
      <c r="F51" s="10">
        <f t="shared" si="8"/>
        <v>0.26359263716506304</v>
      </c>
      <c r="G51" s="10">
        <f t="shared" si="9"/>
        <v>35.587771771320178</v>
      </c>
      <c r="H51" s="10">
        <f t="shared" si="10"/>
        <v>61.329593352575102</v>
      </c>
    </row>
    <row r="52" spans="1:8" x14ac:dyDescent="0.3">
      <c r="A52" s="28" t="s">
        <v>313</v>
      </c>
      <c r="B52">
        <v>20</v>
      </c>
      <c r="C52">
        <v>45.299583413226863</v>
      </c>
      <c r="D52">
        <v>2018</v>
      </c>
      <c r="E52">
        <v>714</v>
      </c>
      <c r="F52" s="10">
        <f t="shared" si="8"/>
        <v>0.25443513213941343</v>
      </c>
      <c r="G52" s="10">
        <f t="shared" si="9"/>
        <v>56.82538890483162</v>
      </c>
      <c r="H52" s="10">
        <f t="shared" si="10"/>
        <v>97.929086879326476</v>
      </c>
    </row>
    <row r="53" spans="1:8" x14ac:dyDescent="0.3">
      <c r="A53" s="28" t="s">
        <v>314</v>
      </c>
      <c r="B53">
        <v>20</v>
      </c>
      <c r="C53">
        <v>26.569211946255631</v>
      </c>
      <c r="D53">
        <v>2018</v>
      </c>
      <c r="E53">
        <v>714</v>
      </c>
      <c r="F53" s="10">
        <f t="shared" si="8"/>
        <v>0.26473826227123071</v>
      </c>
      <c r="G53" s="10">
        <f t="shared" si="9"/>
        <v>33.603098946823373</v>
      </c>
      <c r="H53" s="10">
        <f t="shared" si="10"/>
        <v>57.909340518358938</v>
      </c>
    </row>
    <row r="54" spans="1:8" x14ac:dyDescent="0.3">
      <c r="A54" s="28" t="s">
        <v>315</v>
      </c>
      <c r="B54">
        <v>20</v>
      </c>
      <c r="C54">
        <v>55.055182411006797</v>
      </c>
      <c r="D54">
        <v>2018</v>
      </c>
      <c r="E54">
        <v>714</v>
      </c>
      <c r="F54" s="10">
        <f t="shared" si="8"/>
        <v>0.25076972322316116</v>
      </c>
      <c r="G54" s="10">
        <f t="shared" si="9"/>
        <v>68.861355266215625</v>
      </c>
      <c r="H54" s="10">
        <f t="shared" si="10"/>
        <v>118.67106890877825</v>
      </c>
    </row>
    <row r="55" spans="1:8" x14ac:dyDescent="0.3">
      <c r="A55" s="28" t="s">
        <v>316</v>
      </c>
      <c r="B55">
        <v>20</v>
      </c>
      <c r="C55">
        <v>30.49453901501608</v>
      </c>
      <c r="D55">
        <v>2019</v>
      </c>
      <c r="E55">
        <v>714</v>
      </c>
      <c r="F55" s="10">
        <f t="shared" si="8"/>
        <v>0.2620380536455747</v>
      </c>
      <c r="G55" s="10">
        <f t="shared" si="9"/>
        <v>38.485268665329933</v>
      </c>
      <c r="H55" s="10">
        <f t="shared" si="10"/>
        <v>66.322946333251906</v>
      </c>
    </row>
    <row r="56" spans="1:8" x14ac:dyDescent="0.3">
      <c r="A56" s="28" t="s">
        <v>317</v>
      </c>
      <c r="B56">
        <v>20</v>
      </c>
      <c r="C56">
        <v>35.636692897172942</v>
      </c>
      <c r="D56">
        <v>2019</v>
      </c>
      <c r="E56">
        <v>714</v>
      </c>
      <c r="F56" s="10">
        <f t="shared" si="8"/>
        <v>0.25901762743680878</v>
      </c>
      <c r="G56" s="10">
        <f t="shared" si="9"/>
        <v>44.867224541092853</v>
      </c>
      <c r="H56" s="10">
        <f t="shared" si="10"/>
        <v>77.321183625816673</v>
      </c>
    </row>
    <row r="57" spans="1:8" x14ac:dyDescent="0.3">
      <c r="A57" s="28" t="s">
        <v>318</v>
      </c>
      <c r="B57">
        <v>20</v>
      </c>
      <c r="C57">
        <v>28.990390738277021</v>
      </c>
      <c r="D57">
        <v>2019</v>
      </c>
      <c r="E57">
        <v>714</v>
      </c>
      <c r="F57" s="10">
        <f t="shared" si="8"/>
        <v>0.26302606297789227</v>
      </c>
      <c r="G57" s="10">
        <f t="shared" si="9"/>
        <v>36.615619078356779</v>
      </c>
      <c r="H57" s="10">
        <f t="shared" si="10"/>
        <v>63.100916878368174</v>
      </c>
    </row>
    <row r="58" spans="1:8" x14ac:dyDescent="0.3">
      <c r="A58" s="28" t="s">
        <v>319</v>
      </c>
      <c r="B58">
        <v>20</v>
      </c>
      <c r="C58">
        <v>22.526334730722684</v>
      </c>
      <c r="D58">
        <v>2018</v>
      </c>
      <c r="E58">
        <v>714</v>
      </c>
      <c r="F58" s="10">
        <f t="shared" si="8"/>
        <v>0.2680095758675608</v>
      </c>
      <c r="G58" s="10">
        <f t="shared" si="9"/>
        <v>28.56360814775438</v>
      </c>
      <c r="H58" s="10">
        <f t="shared" si="10"/>
        <v>49.224618041296708</v>
      </c>
    </row>
    <row r="59" spans="1:8" x14ac:dyDescent="0.3">
      <c r="A59" s="28" t="s">
        <v>320</v>
      </c>
      <c r="B59">
        <v>20</v>
      </c>
      <c r="C59">
        <v>39.130029442376276</v>
      </c>
      <c r="D59">
        <v>2019</v>
      </c>
      <c r="E59">
        <v>714</v>
      </c>
      <c r="F59" s="10">
        <f t="shared" si="8"/>
        <v>0.25722177459490853</v>
      </c>
      <c r="G59" s="10">
        <f t="shared" si="9"/>
        <v>49.195125055495325</v>
      </c>
      <c r="H59" s="10">
        <f t="shared" si="10"/>
        <v>84.77959884563694</v>
      </c>
    </row>
    <row r="60" spans="1:8" x14ac:dyDescent="0.3">
      <c r="A60" s="28" t="s">
        <v>321</v>
      </c>
      <c r="B60">
        <v>20</v>
      </c>
      <c r="C60">
        <v>43.879605121180496</v>
      </c>
      <c r="D60">
        <v>2019</v>
      </c>
      <c r="E60">
        <v>714</v>
      </c>
      <c r="F60" s="10">
        <f t="shared" si="8"/>
        <v>0.25503873256636117</v>
      </c>
      <c r="G60" s="10">
        <f t="shared" si="9"/>
        <v>55.070603996798781</v>
      </c>
      <c r="H60" s="10">
        <f t="shared" si="10"/>
        <v>94.90500755448322</v>
      </c>
    </row>
    <row r="61" spans="1:8" x14ac:dyDescent="0.3">
      <c r="A61" s="28" t="s">
        <v>221</v>
      </c>
      <c r="B61">
        <v>20</v>
      </c>
      <c r="C61">
        <v>41.940906938420468</v>
      </c>
      <c r="D61">
        <v>2019</v>
      </c>
      <c r="E61">
        <v>714</v>
      </c>
      <c r="F61" s="10">
        <f t="shared" si="8"/>
        <v>0.25589761222449414</v>
      </c>
      <c r="G61" s="10">
        <f t="shared" si="9"/>
        <v>52.67348487849199</v>
      </c>
      <c r="H61" s="10">
        <f t="shared" si="10"/>
        <v>90.773972273934518</v>
      </c>
    </row>
    <row r="62" spans="1:8" x14ac:dyDescent="0.3">
      <c r="A62" s="28" t="s">
        <v>322</v>
      </c>
      <c r="B62">
        <v>20</v>
      </c>
      <c r="C62">
        <v>40.816761565422716</v>
      </c>
      <c r="D62">
        <v>2019</v>
      </c>
      <c r="E62">
        <v>714</v>
      </c>
      <c r="F62" s="10">
        <f t="shared" si="8"/>
        <v>0.25641539680739056</v>
      </c>
      <c r="G62" s="10">
        <f t="shared" si="9"/>
        <v>51.282807678613231</v>
      </c>
      <c r="H62" s="10">
        <f t="shared" si="10"/>
        <v>88.377371899476799</v>
      </c>
    </row>
    <row r="63" spans="1:8" x14ac:dyDescent="0.3">
      <c r="A63" s="28" t="s">
        <v>323</v>
      </c>
      <c r="B63">
        <v>20</v>
      </c>
      <c r="C63">
        <v>41.14026307536129</v>
      </c>
      <c r="D63">
        <v>2019</v>
      </c>
      <c r="E63">
        <v>714</v>
      </c>
      <c r="F63" s="10">
        <f t="shared" si="8"/>
        <v>0.25626483601904226</v>
      </c>
      <c r="G63" s="10">
        <f t="shared" si="9"/>
        <v>51.683065846149013</v>
      </c>
      <c r="H63" s="10">
        <f t="shared" si="10"/>
        <v>89.067150141530121</v>
      </c>
    </row>
    <row r="64" spans="1:8" x14ac:dyDescent="0.3">
      <c r="A64" s="28" t="s">
        <v>324</v>
      </c>
      <c r="B64">
        <v>20</v>
      </c>
      <c r="C64">
        <v>48.048630506076066</v>
      </c>
      <c r="D64">
        <v>2019</v>
      </c>
      <c r="E64">
        <v>714</v>
      </c>
      <c r="F64" s="10">
        <f t="shared" si="8"/>
        <v>0.25332229838174164</v>
      </c>
      <c r="G64" s="10">
        <f t="shared" si="9"/>
        <v>60.220420019970319</v>
      </c>
      <c r="H64" s="10">
        <f t="shared" si="10"/>
        <v>103.77985716774884</v>
      </c>
    </row>
    <row r="65" spans="1:8" x14ac:dyDescent="0.3">
      <c r="A65" s="28" t="s">
        <v>325</v>
      </c>
      <c r="B65">
        <v>20</v>
      </c>
      <c r="C65">
        <v>37.243632365853664</v>
      </c>
      <c r="D65">
        <v>2019</v>
      </c>
      <c r="E65">
        <v>714</v>
      </c>
      <c r="F65" s="10">
        <f t="shared" si="8"/>
        <v>0.25816907340034717</v>
      </c>
      <c r="G65" s="10">
        <f t="shared" si="9"/>
        <v>46.858786423809285</v>
      </c>
      <c r="H65" s="10">
        <f t="shared" si="10"/>
        <v>80.753308603697988</v>
      </c>
    </row>
    <row r="66" spans="1:8" x14ac:dyDescent="0.3">
      <c r="A66" s="28" t="s">
        <v>326</v>
      </c>
      <c r="B66">
        <v>20</v>
      </c>
      <c r="C66">
        <v>38.724774243734288</v>
      </c>
      <c r="D66">
        <v>2019</v>
      </c>
      <c r="E66">
        <v>714</v>
      </c>
      <c r="F66" s="10">
        <f t="shared" si="8"/>
        <v>0.25742108316207896</v>
      </c>
      <c r="G66" s="10">
        <f t="shared" si="9"/>
        <v>48.693347574763344</v>
      </c>
      <c r="H66" s="10">
        <f t="shared" si="10"/>
        <v>83.914868987175481</v>
      </c>
    </row>
    <row r="67" spans="1:8" x14ac:dyDescent="0.3">
      <c r="A67" s="28" t="s">
        <v>216</v>
      </c>
      <c r="B67">
        <v>20</v>
      </c>
      <c r="C67">
        <v>56.592239327504011</v>
      </c>
      <c r="D67">
        <v>2019</v>
      </c>
      <c r="E67">
        <v>714</v>
      </c>
      <c r="F67" s="10">
        <f t="shared" si="8"/>
        <v>0.25025650515679682</v>
      </c>
      <c r="G67" s="10">
        <f t="shared" si="9"/>
        <v>70.754815360602194</v>
      </c>
      <c r="H67" s="10">
        <f t="shared" si="10"/>
        <v>121.9341318047711</v>
      </c>
    </row>
    <row r="68" spans="1:8" x14ac:dyDescent="0.3">
      <c r="A68" s="28" t="s">
        <v>327</v>
      </c>
      <c r="B68">
        <v>20</v>
      </c>
      <c r="C68">
        <v>59.999315751749762</v>
      </c>
      <c r="D68">
        <v>2020</v>
      </c>
      <c r="E68">
        <v>476</v>
      </c>
      <c r="F68" s="10">
        <f t="shared" si="8"/>
        <v>0.249170373155231</v>
      </c>
      <c r="G68" s="10">
        <f t="shared" si="9"/>
        <v>74.949367646671789</v>
      </c>
      <c r="H68" s="10">
        <f t="shared" si="10"/>
        <v>129.16274357776436</v>
      </c>
    </row>
    <row r="69" spans="1:8" x14ac:dyDescent="0.3">
      <c r="A69" s="28" t="s">
        <v>328</v>
      </c>
      <c r="B69">
        <v>20</v>
      </c>
      <c r="C69">
        <v>55.206952194734228</v>
      </c>
      <c r="D69">
        <v>2020</v>
      </c>
      <c r="E69">
        <v>476</v>
      </c>
      <c r="F69" s="10">
        <f t="shared" si="8"/>
        <v>0.25071836703857181</v>
      </c>
      <c r="G69" s="10">
        <f t="shared" si="9"/>
        <v>69.048349098174484</v>
      </c>
      <c r="H69" s="10">
        <f t="shared" si="10"/>
        <v>118.99332161252069</v>
      </c>
    </row>
    <row r="70" spans="1:8" x14ac:dyDescent="0.3">
      <c r="A70" s="28" t="s">
        <v>329</v>
      </c>
      <c r="B70">
        <v>20</v>
      </c>
      <c r="C70">
        <v>40.958728354622487</v>
      </c>
      <c r="D70">
        <v>2018</v>
      </c>
      <c r="E70">
        <v>714</v>
      </c>
      <c r="F70" s="10">
        <f t="shared" si="8"/>
        <v>0.25634916677323194</v>
      </c>
      <c r="G70" s="10">
        <f t="shared" si="9"/>
        <v>51.458464240421108</v>
      </c>
      <c r="H70" s="10">
        <f t="shared" si="10"/>
        <v>88.680086707659029</v>
      </c>
    </row>
    <row r="71" spans="1:8" x14ac:dyDescent="0.3">
      <c r="A71" s="28" t="s">
        <v>330</v>
      </c>
      <c r="B71">
        <v>20</v>
      </c>
      <c r="C71">
        <v>37.775120692612262</v>
      </c>
      <c r="D71">
        <v>2018</v>
      </c>
      <c r="E71">
        <v>714</v>
      </c>
      <c r="F71" s="10">
        <f t="shared" si="8"/>
        <v>0.2578970480360534</v>
      </c>
      <c r="G71" s="10">
        <f t="shared" si="9"/>
        <v>47.517212808442601</v>
      </c>
      <c r="H71" s="10">
        <f t="shared" si="10"/>
        <v>81.887996739882738</v>
      </c>
    </row>
    <row r="72" spans="1:8" x14ac:dyDescent="0.3">
      <c r="A72" s="28" t="s">
        <v>331</v>
      </c>
      <c r="B72">
        <v>20</v>
      </c>
      <c r="C72">
        <v>58.298491973672299</v>
      </c>
      <c r="D72">
        <v>2020</v>
      </c>
      <c r="E72">
        <v>476</v>
      </c>
      <c r="F72" s="10">
        <f t="shared" si="8"/>
        <v>0.24970404778345848</v>
      </c>
      <c r="G72" s="10">
        <f t="shared" si="9"/>
        <v>72.85586139916974</v>
      </c>
      <c r="H72" s="10">
        <f t="shared" si="10"/>
        <v>125.55493447790251</v>
      </c>
    </row>
    <row r="73" spans="1:8" x14ac:dyDescent="0.3">
      <c r="A73" s="28" t="s">
        <v>332</v>
      </c>
      <c r="B73">
        <v>20</v>
      </c>
      <c r="C73">
        <v>37.073398699488969</v>
      </c>
      <c r="D73">
        <v>2018</v>
      </c>
      <c r="E73">
        <v>714</v>
      </c>
      <c r="F73" s="10">
        <f t="shared" si="8"/>
        <v>0.25825708481961157</v>
      </c>
      <c r="G73" s="10">
        <f t="shared" si="9"/>
        <v>46.64786657197417</v>
      </c>
      <c r="H73" s="10">
        <f t="shared" si="10"/>
        <v>80.389823392368811</v>
      </c>
    </row>
    <row r="74" spans="1:8" x14ac:dyDescent="0.3">
      <c r="A74" s="28" t="s">
        <v>333</v>
      </c>
      <c r="B74">
        <v>20</v>
      </c>
      <c r="C74">
        <v>38.203185065317392</v>
      </c>
      <c r="D74">
        <v>2019</v>
      </c>
      <c r="E74">
        <v>714</v>
      </c>
      <c r="F74" s="10">
        <f t="shared" si="8"/>
        <v>0.25768092983555996</v>
      </c>
      <c r="G74" s="10">
        <f t="shared" si="9"/>
        <v>48.047417315628358</v>
      </c>
      <c r="H74" s="10">
        <f t="shared" si="10"/>
        <v>82.801715840599527</v>
      </c>
    </row>
    <row r="75" spans="1:8" x14ac:dyDescent="0.3">
      <c r="A75" s="28" t="s">
        <v>334</v>
      </c>
      <c r="B75">
        <v>20</v>
      </c>
      <c r="C75">
        <v>37.494172663542265</v>
      </c>
      <c r="D75">
        <v>2019</v>
      </c>
      <c r="E75">
        <v>714</v>
      </c>
      <c r="F75" s="10">
        <f t="shared" si="8"/>
        <v>0.25804032622432899</v>
      </c>
      <c r="G75" s="10">
        <f t="shared" si="9"/>
        <v>47.169181209154026</v>
      </c>
      <c r="H75" s="10">
        <f t="shared" si="10"/>
        <v>81.288222283775426</v>
      </c>
    </row>
    <row r="76" spans="1:8" x14ac:dyDescent="0.3">
      <c r="A76" s="28" t="s">
        <v>335</v>
      </c>
      <c r="B76">
        <v>20</v>
      </c>
      <c r="C76">
        <v>35.450518945908811</v>
      </c>
      <c r="D76">
        <v>2018</v>
      </c>
      <c r="E76">
        <v>714</v>
      </c>
      <c r="F76" s="10">
        <f t="shared" si="8"/>
        <v>0.25911858649850278</v>
      </c>
      <c r="G76" s="10">
        <f t="shared" si="9"/>
        <v>44.636407305811098</v>
      </c>
      <c r="H76" s="10">
        <f t="shared" si="10"/>
        <v>76.92340859034779</v>
      </c>
    </row>
    <row r="77" spans="1:8" x14ac:dyDescent="0.3">
      <c r="A77" s="28" t="s">
        <v>336</v>
      </c>
      <c r="B77">
        <v>20</v>
      </c>
      <c r="C77">
        <v>67.476660177931279</v>
      </c>
      <c r="D77">
        <v>2019</v>
      </c>
      <c r="E77">
        <v>714</v>
      </c>
      <c r="F77" s="10">
        <f t="shared" si="8"/>
        <v>0.24700256367353618</v>
      </c>
      <c r="G77" s="10">
        <f t="shared" si="9"/>
        <v>84.143568230008313</v>
      </c>
      <c r="H77" s="10">
        <f t="shared" si="10"/>
        <v>145.00741591638098</v>
      </c>
    </row>
    <row r="78" spans="1:8" x14ac:dyDescent="0.3">
      <c r="A78" s="28" t="s">
        <v>337</v>
      </c>
      <c r="B78">
        <v>20</v>
      </c>
      <c r="C78">
        <v>72.277244799454479</v>
      </c>
      <c r="D78">
        <v>2019</v>
      </c>
      <c r="E78">
        <v>714</v>
      </c>
      <c r="F78" s="10">
        <f t="shared" ref="F78:F141" si="21">IF(C78=0,0,(EXP(-1.085+0.9256*LN(C78)))/C78)</f>
        <v>0.24574278109427347</v>
      </c>
      <c r="G78" s="10">
        <f t="shared" ref="G78:G141" si="22">(1+F78)*C78</f>
        <v>90.038855946304025</v>
      </c>
      <c r="H78" s="10">
        <f t="shared" ref="H78:H141" si="23">44/12*0.47*G78</f>
        <v>155.16696174746392</v>
      </c>
    </row>
    <row r="79" spans="1:8" x14ac:dyDescent="0.3">
      <c r="A79" s="28" t="s">
        <v>338</v>
      </c>
      <c r="B79">
        <v>20</v>
      </c>
      <c r="C79">
        <v>18.712403377050979</v>
      </c>
      <c r="D79">
        <v>2020</v>
      </c>
      <c r="E79">
        <v>500</v>
      </c>
      <c r="F79" s="10">
        <f t="shared" si="21"/>
        <v>0.27173404085444242</v>
      </c>
      <c r="G79" s="10">
        <f t="shared" si="22"/>
        <v>23.797200360795355</v>
      </c>
      <c r="H79" s="10">
        <f t="shared" si="23"/>
        <v>41.010508621770654</v>
      </c>
    </row>
    <row r="80" spans="1:8" x14ac:dyDescent="0.3">
      <c r="A80" s="28" t="s">
        <v>339</v>
      </c>
      <c r="B80">
        <v>20</v>
      </c>
      <c r="C80">
        <v>42.288381631497948</v>
      </c>
      <c r="D80">
        <v>2019</v>
      </c>
      <c r="E80">
        <v>714</v>
      </c>
      <c r="F80" s="10">
        <f t="shared" si="21"/>
        <v>0.25574057652769966</v>
      </c>
      <c r="G80" s="10">
        <f t="shared" si="22"/>
        <v>53.103236730360621</v>
      </c>
      <c r="H80" s="10">
        <f t="shared" si="23"/>
        <v>91.514577965321465</v>
      </c>
    </row>
    <row r="81" spans="1:38" x14ac:dyDescent="0.3">
      <c r="A81" s="28" t="s">
        <v>340</v>
      </c>
      <c r="B81">
        <v>20</v>
      </c>
      <c r="C81">
        <v>42.071783783626977</v>
      </c>
      <c r="D81">
        <v>2020</v>
      </c>
      <c r="E81">
        <v>500</v>
      </c>
      <c r="F81" s="10">
        <f t="shared" si="21"/>
        <v>0.25583830097069538</v>
      </c>
      <c r="G81" s="10">
        <f t="shared" si="22"/>
        <v>52.835357465636548</v>
      </c>
      <c r="H81" s="10">
        <f t="shared" si="23"/>
        <v>91.05293269911364</v>
      </c>
    </row>
    <row r="82" spans="1:38" x14ac:dyDescent="0.3">
      <c r="A82" s="28" t="s">
        <v>341</v>
      </c>
      <c r="B82">
        <v>20</v>
      </c>
      <c r="C82">
        <v>57.377003573111615</v>
      </c>
      <c r="D82">
        <v>2018</v>
      </c>
      <c r="E82">
        <v>714</v>
      </c>
      <c r="F82" s="10">
        <f t="shared" si="21"/>
        <v>0.25000021953517348</v>
      </c>
      <c r="G82" s="10">
        <f t="shared" si="22"/>
        <v>71.721267062659962</v>
      </c>
      <c r="H82" s="10">
        <f t="shared" si="23"/>
        <v>123.59965023798399</v>
      </c>
    </row>
    <row r="83" spans="1:38" x14ac:dyDescent="0.3">
      <c r="A83" s="28" t="s">
        <v>342</v>
      </c>
      <c r="B83">
        <v>20</v>
      </c>
      <c r="C83">
        <v>68.641145521022978</v>
      </c>
      <c r="D83">
        <v>2018</v>
      </c>
      <c r="E83">
        <v>714</v>
      </c>
      <c r="F83" s="10">
        <f t="shared" si="21"/>
        <v>0.24668832641817573</v>
      </c>
      <c r="G83" s="10">
        <f t="shared" si="22"/>
        <v>85.574114833030606</v>
      </c>
      <c r="H83" s="10">
        <f t="shared" si="23"/>
        <v>147.47272456225608</v>
      </c>
    </row>
    <row r="84" spans="1:38" x14ac:dyDescent="0.3">
      <c r="A84" s="28" t="s">
        <v>343</v>
      </c>
      <c r="B84">
        <v>20</v>
      </c>
      <c r="C84">
        <v>45.337670034213723</v>
      </c>
      <c r="D84">
        <v>2018</v>
      </c>
      <c r="E84">
        <v>714</v>
      </c>
      <c r="F84" s="10">
        <f t="shared" si="21"/>
        <v>0.25441922353199858</v>
      </c>
      <c r="G84" s="10">
        <f t="shared" si="22"/>
        <v>56.872444841068344</v>
      </c>
      <c r="H84" s="10">
        <f t="shared" si="23"/>
        <v>98.010179942774442</v>
      </c>
    </row>
    <row r="85" spans="1:38" x14ac:dyDescent="0.3">
      <c r="A85" s="28" t="s">
        <v>344</v>
      </c>
      <c r="B85">
        <v>20</v>
      </c>
      <c r="C85">
        <v>73.214012354030899</v>
      </c>
      <c r="D85">
        <v>2018</v>
      </c>
      <c r="E85">
        <v>714</v>
      </c>
      <c r="F85" s="10">
        <f t="shared" si="21"/>
        <v>0.24550745146177011</v>
      </c>
      <c r="G85" s="10">
        <f t="shared" si="22"/>
        <v>91.188597938359578</v>
      </c>
      <c r="H85" s="10">
        <f t="shared" si="23"/>
        <v>157.14835044710631</v>
      </c>
    </row>
    <row r="86" spans="1:38" x14ac:dyDescent="0.3">
      <c r="A86" s="28" t="s">
        <v>345</v>
      </c>
      <c r="B86">
        <v>20</v>
      </c>
      <c r="C86">
        <v>29.050566418821298</v>
      </c>
      <c r="D86">
        <v>2018</v>
      </c>
      <c r="E86">
        <v>714</v>
      </c>
      <c r="F86" s="10">
        <f t="shared" si="21"/>
        <v>0.2629854883246962</v>
      </c>
      <c r="G86" s="10">
        <f t="shared" si="22"/>
        <v>36.690443814584036</v>
      </c>
      <c r="H86" s="10">
        <f t="shared" si="23"/>
        <v>63.229864840466483</v>
      </c>
    </row>
    <row r="87" spans="1:38" x14ac:dyDescent="0.3">
      <c r="A87" s="28" t="s">
        <v>346</v>
      </c>
      <c r="B87">
        <v>20</v>
      </c>
      <c r="C87">
        <v>36.165188611199483</v>
      </c>
      <c r="D87">
        <v>2018</v>
      </c>
      <c r="E87">
        <v>714</v>
      </c>
      <c r="F87" s="10">
        <f t="shared" si="21"/>
        <v>0.25873409161870764</v>
      </c>
      <c r="G87" s="10">
        <f t="shared" si="22"/>
        <v>45.522355834737418</v>
      </c>
      <c r="H87" s="10">
        <f t="shared" si="23"/>
        <v>78.45019322186414</v>
      </c>
    </row>
    <row r="88" spans="1:38" x14ac:dyDescent="0.3">
      <c r="A88" s="28" t="s">
        <v>347</v>
      </c>
      <c r="B88">
        <v>20</v>
      </c>
      <c r="C88">
        <v>41.375691229537566</v>
      </c>
      <c r="D88">
        <v>2018</v>
      </c>
      <c r="E88">
        <v>714</v>
      </c>
      <c r="F88" s="10">
        <f t="shared" si="21"/>
        <v>0.25615606294246834</v>
      </c>
      <c r="G88" s="10">
        <f t="shared" si="22"/>
        <v>51.974325396419125</v>
      </c>
      <c r="H88" s="10">
        <f t="shared" si="23"/>
        <v>89.569087433162281</v>
      </c>
    </row>
    <row r="89" spans="1:38" x14ac:dyDescent="0.3">
      <c r="A89" s="28" t="s">
        <v>348</v>
      </c>
      <c r="B89">
        <v>20</v>
      </c>
      <c r="C89">
        <v>40.796965353123426</v>
      </c>
      <c r="D89">
        <v>2018</v>
      </c>
      <c r="E89">
        <v>714</v>
      </c>
      <c r="F89" s="10">
        <f t="shared" si="21"/>
        <v>0.25642465175082624</v>
      </c>
      <c r="G89" s="10">
        <f t="shared" si="22"/>
        <v>51.258312986288622</v>
      </c>
      <c r="H89" s="10">
        <f t="shared" si="23"/>
        <v>88.335159379704052</v>
      </c>
    </row>
    <row r="90" spans="1:38" x14ac:dyDescent="0.3">
      <c r="A90" s="28" t="s">
        <v>349</v>
      </c>
      <c r="B90">
        <v>20</v>
      </c>
      <c r="C90">
        <v>23.096765123312895</v>
      </c>
      <c r="D90">
        <v>2019</v>
      </c>
      <c r="E90">
        <v>714</v>
      </c>
      <c r="F90" s="10">
        <f t="shared" si="21"/>
        <v>0.2675113918518307</v>
      </c>
      <c r="G90" s="10">
        <f t="shared" si="22"/>
        <v>29.275412908725151</v>
      </c>
      <c r="H90" s="10">
        <f t="shared" si="23"/>
        <v>50.451294912703005</v>
      </c>
    </row>
    <row r="91" spans="1:38" x14ac:dyDescent="0.3">
      <c r="A91" s="28" t="s">
        <v>350</v>
      </c>
      <c r="B91">
        <v>20</v>
      </c>
      <c r="C91">
        <v>25.056391858492034</v>
      </c>
      <c r="D91">
        <v>2019</v>
      </c>
      <c r="E91">
        <v>714</v>
      </c>
      <c r="F91" s="10">
        <f t="shared" si="21"/>
        <v>0.26589547606481823</v>
      </c>
      <c r="G91" s="10">
        <f t="shared" si="22"/>
        <v>31.71877310017241</v>
      </c>
      <c r="H91" s="10">
        <f t="shared" si="23"/>
        <v>54.662018975963782</v>
      </c>
      <c r="J91" s="188" t="s">
        <v>639</v>
      </c>
      <c r="K91" s="253" t="s">
        <v>640</v>
      </c>
      <c r="L91" s="253"/>
      <c r="M91" s="253"/>
      <c r="N91" s="253"/>
      <c r="O91" s="253"/>
      <c r="P91" s="253" t="s">
        <v>641</v>
      </c>
      <c r="Q91" s="253"/>
      <c r="R91" s="253"/>
      <c r="S91" s="253"/>
      <c r="T91" s="253"/>
      <c r="U91" s="253" t="s">
        <v>642</v>
      </c>
      <c r="V91" s="253"/>
      <c r="W91" s="253"/>
      <c r="X91" s="253"/>
      <c r="Y91" s="253"/>
      <c r="Z91" s="253" t="s">
        <v>643</v>
      </c>
      <c r="AA91" s="253"/>
      <c r="AB91" s="253"/>
      <c r="AC91" s="253"/>
      <c r="AD91" s="253"/>
      <c r="AE91" s="253" t="s">
        <v>644</v>
      </c>
      <c r="AF91" s="253"/>
      <c r="AG91" s="253"/>
      <c r="AH91" s="253"/>
      <c r="AI91" s="253"/>
      <c r="AJ91"/>
      <c r="AK91"/>
      <c r="AL91"/>
    </row>
    <row r="92" spans="1:38" x14ac:dyDescent="0.3">
      <c r="A92" s="28" t="s">
        <v>351</v>
      </c>
      <c r="B92">
        <v>20</v>
      </c>
      <c r="C92">
        <v>32.938552111227096</v>
      </c>
      <c r="D92">
        <v>2019</v>
      </c>
      <c r="E92">
        <v>714</v>
      </c>
      <c r="F92" s="10">
        <f t="shared" si="21"/>
        <v>0.2605393179958192</v>
      </c>
      <c r="G92" s="10">
        <f t="shared" si="22"/>
        <v>41.520340014055954</v>
      </c>
      <c r="H92" s="10">
        <f t="shared" si="23"/>
        <v>71.553385957556415</v>
      </c>
      <c r="J92" s="188"/>
      <c r="K92" s="188">
        <v>1000</v>
      </c>
      <c r="L92" s="188">
        <v>800</v>
      </c>
      <c r="M92" s="188">
        <v>714</v>
      </c>
      <c r="N92" s="188">
        <v>500</v>
      </c>
      <c r="O92" s="188">
        <v>476</v>
      </c>
      <c r="P92" s="188">
        <v>1000</v>
      </c>
      <c r="Q92" s="188">
        <v>800</v>
      </c>
      <c r="R92" s="188">
        <v>714</v>
      </c>
      <c r="S92" s="188">
        <v>500</v>
      </c>
      <c r="T92" s="188">
        <v>476</v>
      </c>
      <c r="U92" s="188">
        <v>1000</v>
      </c>
      <c r="V92" s="188">
        <v>800</v>
      </c>
      <c r="W92" s="188">
        <v>714</v>
      </c>
      <c r="X92" s="188">
        <v>500</v>
      </c>
      <c r="Y92" s="188">
        <v>476</v>
      </c>
      <c r="Z92" s="188">
        <v>1000</v>
      </c>
      <c r="AA92" s="188">
        <v>800</v>
      </c>
      <c r="AB92" s="188">
        <v>714</v>
      </c>
      <c r="AC92" s="188">
        <v>500</v>
      </c>
      <c r="AD92" s="188">
        <v>476</v>
      </c>
      <c r="AE92" s="188">
        <v>1000</v>
      </c>
      <c r="AF92" s="188">
        <v>800</v>
      </c>
      <c r="AG92" s="188">
        <v>714</v>
      </c>
      <c r="AH92" s="188">
        <v>500</v>
      </c>
      <c r="AI92" s="188">
        <v>476</v>
      </c>
      <c r="AJ92" s="188" t="s">
        <v>645</v>
      </c>
      <c r="AK92" s="188" t="s">
        <v>72</v>
      </c>
      <c r="AL92"/>
    </row>
    <row r="93" spans="1:38" x14ac:dyDescent="0.3">
      <c r="A93" s="28" t="s">
        <v>352</v>
      </c>
      <c r="B93">
        <v>20</v>
      </c>
      <c r="C93">
        <v>9.4340721974706305</v>
      </c>
      <c r="D93">
        <v>2019</v>
      </c>
      <c r="E93">
        <v>714</v>
      </c>
      <c r="F93" s="10">
        <f t="shared" si="21"/>
        <v>0.28593865301237703</v>
      </c>
      <c r="G93" s="10">
        <f t="shared" si="22"/>
        <v>12.1316380940369</v>
      </c>
      <c r="H93" s="10">
        <f t="shared" si="23"/>
        <v>20.906856315390254</v>
      </c>
      <c r="J93" s="188">
        <v>2018</v>
      </c>
      <c r="K93" s="189">
        <v>0</v>
      </c>
      <c r="L93" s="189">
        <v>0</v>
      </c>
      <c r="M93" s="189">
        <v>2</v>
      </c>
      <c r="N93" s="189">
        <v>0</v>
      </c>
      <c r="O93" s="189">
        <v>0</v>
      </c>
      <c r="P93" s="189">
        <v>0</v>
      </c>
      <c r="Q93" s="189">
        <v>0</v>
      </c>
      <c r="R93" s="189">
        <v>27.5</v>
      </c>
      <c r="S93" s="189">
        <v>0</v>
      </c>
      <c r="T93" s="189">
        <v>0</v>
      </c>
      <c r="U93" s="189">
        <v>0</v>
      </c>
      <c r="V93" s="189">
        <v>0</v>
      </c>
      <c r="W93" s="189">
        <v>0</v>
      </c>
      <c r="X93" s="189">
        <v>0</v>
      </c>
      <c r="Y93" s="189">
        <v>0</v>
      </c>
      <c r="Z93" s="189">
        <v>186</v>
      </c>
      <c r="AA93" s="189">
        <v>0</v>
      </c>
      <c r="AB93" s="189">
        <v>0</v>
      </c>
      <c r="AC93" s="189">
        <v>0</v>
      </c>
      <c r="AD93" s="189">
        <v>0</v>
      </c>
      <c r="AE93" s="189">
        <v>0</v>
      </c>
      <c r="AF93" s="189">
        <v>0</v>
      </c>
      <c r="AG93" s="189">
        <v>129.5</v>
      </c>
      <c r="AH93" s="189">
        <v>0</v>
      </c>
      <c r="AI93" s="189">
        <v>0</v>
      </c>
      <c r="AJ93" s="189">
        <v>0</v>
      </c>
      <c r="AK93" s="189">
        <v>345</v>
      </c>
      <c r="AL93">
        <f>SUM(K93:AI93)</f>
        <v>345</v>
      </c>
    </row>
    <row r="94" spans="1:38" x14ac:dyDescent="0.3">
      <c r="A94" s="28" t="s">
        <v>353</v>
      </c>
      <c r="B94">
        <v>20</v>
      </c>
      <c r="C94">
        <v>16.27848580043096</v>
      </c>
      <c r="D94">
        <v>2019</v>
      </c>
      <c r="E94">
        <v>714</v>
      </c>
      <c r="F94" s="10">
        <f t="shared" si="21"/>
        <v>0.274565777711125</v>
      </c>
      <c r="G94" s="10">
        <f t="shared" si="22"/>
        <v>20.748000914185791</v>
      </c>
      <c r="H94" s="10">
        <f t="shared" si="23"/>
        <v>35.755721575446842</v>
      </c>
      <c r="J94" s="188">
        <v>2019</v>
      </c>
      <c r="K94" s="189">
        <v>1</v>
      </c>
      <c r="L94" s="189">
        <v>0</v>
      </c>
      <c r="M94" s="189">
        <v>0</v>
      </c>
      <c r="N94" s="189">
        <v>0</v>
      </c>
      <c r="O94" s="189">
        <v>0</v>
      </c>
      <c r="P94" s="189">
        <v>0</v>
      </c>
      <c r="Q94" s="189">
        <v>0</v>
      </c>
      <c r="R94" s="189">
        <v>70</v>
      </c>
      <c r="S94" s="189">
        <v>0</v>
      </c>
      <c r="T94" s="189">
        <v>0</v>
      </c>
      <c r="U94" s="189">
        <v>0</v>
      </c>
      <c r="V94" s="189">
        <v>0</v>
      </c>
      <c r="W94" s="189">
        <v>19</v>
      </c>
      <c r="X94" s="189">
        <v>41</v>
      </c>
      <c r="Y94" s="189">
        <v>0</v>
      </c>
      <c r="Z94" s="189">
        <v>352</v>
      </c>
      <c r="AA94" s="189">
        <v>0</v>
      </c>
      <c r="AB94" s="189">
        <v>0</v>
      </c>
      <c r="AC94" s="189">
        <v>0</v>
      </c>
      <c r="AD94" s="189">
        <v>0</v>
      </c>
      <c r="AE94" s="189">
        <v>0</v>
      </c>
      <c r="AF94" s="189">
        <v>0</v>
      </c>
      <c r="AG94" s="189">
        <v>163</v>
      </c>
      <c r="AH94" s="189">
        <v>0</v>
      </c>
      <c r="AI94" s="189">
        <v>0</v>
      </c>
      <c r="AJ94" s="189">
        <v>0</v>
      </c>
      <c r="AK94" s="189">
        <v>646</v>
      </c>
      <c r="AL94">
        <f t="shared" ref="AL94:AL95" si="24">SUM(K94:AI94)</f>
        <v>646</v>
      </c>
    </row>
    <row r="95" spans="1:38" x14ac:dyDescent="0.3">
      <c r="A95" s="28" t="s">
        <v>354</v>
      </c>
      <c r="B95">
        <v>20</v>
      </c>
      <c r="C95">
        <v>10.409032138518265</v>
      </c>
      <c r="D95">
        <v>2019</v>
      </c>
      <c r="E95">
        <v>714</v>
      </c>
      <c r="F95" s="10">
        <f t="shared" si="21"/>
        <v>0.28385409056356797</v>
      </c>
      <c r="G95" s="10">
        <f t="shared" si="22"/>
        <v>13.363678489844318</v>
      </c>
      <c r="H95" s="10">
        <f t="shared" si="23"/>
        <v>23.030072597498371</v>
      </c>
      <c r="J95" s="188">
        <v>2020</v>
      </c>
      <c r="K95" s="189">
        <v>0</v>
      </c>
      <c r="L95" s="189">
        <v>0</v>
      </c>
      <c r="M95" s="189">
        <v>0</v>
      </c>
      <c r="N95" s="189">
        <v>0</v>
      </c>
      <c r="O95" s="189">
        <v>3</v>
      </c>
      <c r="P95" s="189">
        <v>0</v>
      </c>
      <c r="Q95" s="189">
        <v>0</v>
      </c>
      <c r="R95" s="189">
        <v>0</v>
      </c>
      <c r="S95" s="189">
        <v>0</v>
      </c>
      <c r="T95" s="189">
        <v>0.5</v>
      </c>
      <c r="U95" s="189">
        <v>0</v>
      </c>
      <c r="V95" s="189">
        <v>0</v>
      </c>
      <c r="W95" s="189">
        <v>9.5</v>
      </c>
      <c r="X95" s="189">
        <v>0</v>
      </c>
      <c r="Y95" s="189">
        <v>97.5</v>
      </c>
      <c r="Z95" s="189">
        <v>87.5</v>
      </c>
      <c r="AA95" s="189">
        <v>108</v>
      </c>
      <c r="AB95" s="189">
        <v>0</v>
      </c>
      <c r="AC95" s="189">
        <v>0</v>
      </c>
      <c r="AD95" s="189">
        <v>0</v>
      </c>
      <c r="AE95" s="189">
        <v>0</v>
      </c>
      <c r="AF95" s="189">
        <v>0</v>
      </c>
      <c r="AG95" s="189">
        <v>3</v>
      </c>
      <c r="AH95" s="189">
        <v>0</v>
      </c>
      <c r="AI95" s="189">
        <v>0</v>
      </c>
      <c r="AJ95" s="189">
        <v>0</v>
      </c>
      <c r="AK95" s="189">
        <v>309</v>
      </c>
      <c r="AL95">
        <f t="shared" si="24"/>
        <v>309</v>
      </c>
    </row>
    <row r="96" spans="1:38" x14ac:dyDescent="0.3">
      <c r="A96" s="28" t="s">
        <v>355</v>
      </c>
      <c r="B96">
        <v>20</v>
      </c>
      <c r="C96">
        <v>18.990021599417521</v>
      </c>
      <c r="D96">
        <v>2019</v>
      </c>
      <c r="E96">
        <v>714</v>
      </c>
      <c r="F96" s="10">
        <f t="shared" si="21"/>
        <v>0.27143646642684638</v>
      </c>
      <c r="G96" s="10">
        <f t="shared" si="22"/>
        <v>24.144605959732903</v>
      </c>
      <c r="H96" s="10">
        <f t="shared" si="23"/>
        <v>41.609204270606362</v>
      </c>
      <c r="J96"/>
      <c r="K96"/>
      <c r="L96"/>
      <c r="M96"/>
      <c r="N96"/>
      <c r="O96"/>
      <c r="P96"/>
      <c r="Q96"/>
      <c r="R96"/>
      <c r="S96"/>
      <c r="T96"/>
      <c r="U96"/>
      <c r="V96"/>
      <c r="W96"/>
      <c r="X96"/>
      <c r="Y96"/>
      <c r="Z96"/>
      <c r="AA96"/>
      <c r="AB96"/>
      <c r="AC96"/>
      <c r="AD96"/>
      <c r="AE96"/>
      <c r="AF96"/>
      <c r="AG96"/>
      <c r="AH96"/>
      <c r="AI96"/>
      <c r="AJ96"/>
      <c r="AK96" s="190">
        <v>1300</v>
      </c>
      <c r="AL96" s="190" t="s">
        <v>107</v>
      </c>
    </row>
    <row r="97" spans="1:8" x14ac:dyDescent="0.3">
      <c r="A97" s="28" t="s">
        <v>356</v>
      </c>
      <c r="B97">
        <v>20</v>
      </c>
      <c r="C97">
        <v>6.476124344129099</v>
      </c>
      <c r="D97">
        <v>2019</v>
      </c>
      <c r="E97">
        <v>714</v>
      </c>
      <c r="F97" s="10">
        <f t="shared" si="21"/>
        <v>0.29405504702594348</v>
      </c>
      <c r="G97" s="10">
        <f t="shared" si="22"/>
        <v>8.3804613926878382</v>
      </c>
      <c r="H97" s="10">
        <f t="shared" si="23"/>
        <v>14.44232846673204</v>
      </c>
    </row>
    <row r="98" spans="1:8" x14ac:dyDescent="0.3">
      <c r="A98" s="28" t="s">
        <v>357</v>
      </c>
      <c r="B98">
        <v>20</v>
      </c>
      <c r="C98">
        <v>12.07665956997965</v>
      </c>
      <c r="D98">
        <v>2019</v>
      </c>
      <c r="E98">
        <v>714</v>
      </c>
      <c r="F98" s="10">
        <f t="shared" si="21"/>
        <v>0.28073311423632297</v>
      </c>
      <c r="G98" s="10">
        <f t="shared" si="22"/>
        <v>15.46697782063193</v>
      </c>
      <c r="H98" s="10">
        <f t="shared" si="23"/>
        <v>26.654758444222356</v>
      </c>
    </row>
    <row r="99" spans="1:8" x14ac:dyDescent="0.3">
      <c r="A99" s="28" t="s">
        <v>358</v>
      </c>
      <c r="B99">
        <v>20</v>
      </c>
      <c r="C99">
        <v>37.00752156660468</v>
      </c>
      <c r="D99">
        <v>2019</v>
      </c>
      <c r="E99">
        <v>714</v>
      </c>
      <c r="F99" s="10">
        <f t="shared" si="21"/>
        <v>0.258291260120313</v>
      </c>
      <c r="G99" s="10">
        <f t="shared" si="22"/>
        <v>46.566240945972666</v>
      </c>
      <c r="H99" s="10">
        <f t="shared" si="23"/>
        <v>80.249155230226222</v>
      </c>
    </row>
    <row r="100" spans="1:8" x14ac:dyDescent="0.3">
      <c r="A100" s="28" t="s">
        <v>359</v>
      </c>
      <c r="B100">
        <v>20</v>
      </c>
      <c r="C100">
        <v>13.638025081111962</v>
      </c>
      <c r="D100">
        <v>2019</v>
      </c>
      <c r="E100">
        <v>714</v>
      </c>
      <c r="F100" s="10">
        <f t="shared" si="21"/>
        <v>0.2782050292387489</v>
      </c>
      <c r="G100" s="10">
        <f t="shared" si="22"/>
        <v>17.43219224756151</v>
      </c>
      <c r="H100" s="10">
        <f t="shared" si="23"/>
        <v>30.041477973297667</v>
      </c>
    </row>
    <row r="101" spans="1:8" x14ac:dyDescent="0.3">
      <c r="A101" s="28" t="s">
        <v>360</v>
      </c>
      <c r="B101">
        <v>20</v>
      </c>
      <c r="C101">
        <v>8.0742249727265119</v>
      </c>
      <c r="D101">
        <v>2019</v>
      </c>
      <c r="E101">
        <v>714</v>
      </c>
      <c r="F101" s="10">
        <f t="shared" si="21"/>
        <v>0.28926919312570099</v>
      </c>
      <c r="G101" s="10">
        <f t="shared" si="22"/>
        <v>10.409849515702495</v>
      </c>
      <c r="H101" s="10">
        <f t="shared" si="23"/>
        <v>17.939640665393966</v>
      </c>
    </row>
    <row r="102" spans="1:8" x14ac:dyDescent="0.3">
      <c r="A102" s="28" t="s">
        <v>361</v>
      </c>
      <c r="B102">
        <v>20</v>
      </c>
      <c r="C102">
        <v>10.442769874526837</v>
      </c>
      <c r="D102">
        <v>2019</v>
      </c>
      <c r="E102">
        <v>714</v>
      </c>
      <c r="F102" s="10">
        <f t="shared" si="21"/>
        <v>0.28378575944469991</v>
      </c>
      <c r="G102" s="10">
        <f t="shared" si="22"/>
        <v>13.40627925407567</v>
      </c>
      <c r="H102" s="10">
        <f t="shared" si="23"/>
        <v>23.103487914523736</v>
      </c>
    </row>
    <row r="103" spans="1:8" x14ac:dyDescent="0.3">
      <c r="A103" s="28" t="s">
        <v>362</v>
      </c>
      <c r="B103">
        <v>20</v>
      </c>
      <c r="C103">
        <v>15.507949950399892</v>
      </c>
      <c r="D103">
        <v>2019</v>
      </c>
      <c r="E103">
        <v>714</v>
      </c>
      <c r="F103" s="10">
        <f t="shared" si="21"/>
        <v>0.27555813735790047</v>
      </c>
      <c r="G103" s="10">
        <f t="shared" si="22"/>
        <v>19.781291752971629</v>
      </c>
      <c r="H103" s="10">
        <f t="shared" si="23"/>
        <v>34.089759454287773</v>
      </c>
    </row>
    <row r="104" spans="1:8" x14ac:dyDescent="0.3">
      <c r="A104" s="28" t="s">
        <v>363</v>
      </c>
      <c r="B104">
        <v>20</v>
      </c>
      <c r="C104">
        <v>45.564456938023845</v>
      </c>
      <c r="D104">
        <v>2020</v>
      </c>
      <c r="E104">
        <v>1000</v>
      </c>
      <c r="F104" s="10">
        <f t="shared" si="21"/>
        <v>0.25432479199208324</v>
      </c>
      <c r="G104" s="10">
        <f t="shared" si="22"/>
        <v>57.152627971018994</v>
      </c>
      <c r="H104" s="10">
        <f t="shared" si="23"/>
        <v>98.493028870056051</v>
      </c>
    </row>
    <row r="105" spans="1:8" x14ac:dyDescent="0.3">
      <c r="A105" s="28" t="s">
        <v>364</v>
      </c>
      <c r="B105">
        <v>20</v>
      </c>
      <c r="C105">
        <v>50.137969241471268</v>
      </c>
      <c r="D105">
        <v>2019</v>
      </c>
      <c r="E105">
        <v>714</v>
      </c>
      <c r="F105" s="10">
        <f t="shared" si="21"/>
        <v>0.25252133794944609</v>
      </c>
      <c r="G105" s="10">
        <f t="shared" si="22"/>
        <v>62.798876316395763</v>
      </c>
      <c r="H105" s="10">
        <f t="shared" si="23"/>
        <v>108.22339685192202</v>
      </c>
    </row>
    <row r="106" spans="1:8" x14ac:dyDescent="0.3">
      <c r="A106" s="28" t="s">
        <v>365</v>
      </c>
      <c r="B106">
        <v>20</v>
      </c>
      <c r="C106">
        <v>59.260367561972473</v>
      </c>
      <c r="D106">
        <v>2019</v>
      </c>
      <c r="E106">
        <v>714</v>
      </c>
      <c r="F106" s="10">
        <f t="shared" si="21"/>
        <v>0.249400213070922</v>
      </c>
      <c r="G106" s="10">
        <f t="shared" si="22"/>
        <v>74.039915858589566</v>
      </c>
      <c r="H106" s="10">
        <f t="shared" si="23"/>
        <v>127.59545499630268</v>
      </c>
    </row>
    <row r="107" spans="1:8" x14ac:dyDescent="0.3">
      <c r="A107" s="28" t="s">
        <v>366</v>
      </c>
      <c r="B107">
        <v>20</v>
      </c>
      <c r="C107">
        <v>45.764547452899023</v>
      </c>
      <c r="D107">
        <v>2019</v>
      </c>
      <c r="E107">
        <v>714</v>
      </c>
      <c r="F107" s="10">
        <f t="shared" si="21"/>
        <v>0.25424189489666754</v>
      </c>
      <c r="G107" s="10">
        <f t="shared" si="22"/>
        <v>57.399812716412534</v>
      </c>
      <c r="H107" s="10">
        <f t="shared" si="23"/>
        <v>98.919010581284255</v>
      </c>
    </row>
    <row r="108" spans="1:8" x14ac:dyDescent="0.3">
      <c r="A108" s="28" t="s">
        <v>367</v>
      </c>
      <c r="B108">
        <v>20</v>
      </c>
      <c r="C108">
        <v>47.547637320311864</v>
      </c>
      <c r="D108">
        <v>2019</v>
      </c>
      <c r="E108">
        <v>714</v>
      </c>
      <c r="F108" s="10">
        <f t="shared" si="21"/>
        <v>0.25351992277819491</v>
      </c>
      <c r="G108" s="10">
        <f t="shared" si="22"/>
        <v>59.601910662042954</v>
      </c>
      <c r="H108" s="10">
        <f t="shared" si="23"/>
        <v>102.71395937425402</v>
      </c>
    </row>
    <row r="109" spans="1:8" x14ac:dyDescent="0.3">
      <c r="A109" s="28" t="s">
        <v>368</v>
      </c>
      <c r="B109">
        <v>20</v>
      </c>
      <c r="C109">
        <v>37.648767536133697</v>
      </c>
      <c r="D109">
        <v>2020</v>
      </c>
      <c r="E109">
        <v>1000</v>
      </c>
      <c r="F109" s="10">
        <f t="shared" si="21"/>
        <v>0.25796134360115336</v>
      </c>
      <c r="G109" s="10">
        <f t="shared" si="22"/>
        <v>47.360694194682232</v>
      </c>
      <c r="H109" s="10">
        <f t="shared" si="23"/>
        <v>81.618262995502377</v>
      </c>
    </row>
    <row r="110" spans="1:8" x14ac:dyDescent="0.3">
      <c r="A110" s="28" t="s">
        <v>369</v>
      </c>
      <c r="B110">
        <v>20</v>
      </c>
      <c r="C110">
        <v>35.273221466448263</v>
      </c>
      <c r="D110">
        <v>2020</v>
      </c>
      <c r="E110">
        <v>1000</v>
      </c>
      <c r="F110" s="10">
        <f t="shared" si="21"/>
        <v>0.25921526296117509</v>
      </c>
      <c r="G110" s="10">
        <f t="shared" si="22"/>
        <v>44.41657884436141</v>
      </c>
      <c r="H110" s="10">
        <f t="shared" si="23"/>
        <v>76.54457087511615</v>
      </c>
    </row>
    <row r="111" spans="1:8" x14ac:dyDescent="0.3">
      <c r="A111" s="28" t="s">
        <v>370</v>
      </c>
      <c r="B111">
        <v>20</v>
      </c>
      <c r="C111">
        <v>32.726175012447101</v>
      </c>
      <c r="D111">
        <v>2020</v>
      </c>
      <c r="E111">
        <v>1000</v>
      </c>
      <c r="F111" s="10">
        <f t="shared" si="21"/>
        <v>0.2606647353879184</v>
      </c>
      <c r="G111" s="10">
        <f t="shared" si="22"/>
        <v>41.25673476232533</v>
      </c>
      <c r="H111" s="10">
        <f t="shared" si="23"/>
        <v>71.099106240407309</v>
      </c>
    </row>
    <row r="112" spans="1:8" x14ac:dyDescent="0.3">
      <c r="A112" s="28" t="s">
        <v>371</v>
      </c>
      <c r="B112">
        <v>20</v>
      </c>
      <c r="C112">
        <v>34.55631194561829</v>
      </c>
      <c r="D112">
        <v>2020</v>
      </c>
      <c r="E112">
        <v>1000</v>
      </c>
      <c r="F112" s="10">
        <f t="shared" si="21"/>
        <v>0.25961157361760345</v>
      </c>
      <c r="G112" s="10">
        <f t="shared" si="22"/>
        <v>43.527530468241039</v>
      </c>
      <c r="H112" s="10">
        <f t="shared" si="23"/>
        <v>75.012444173602049</v>
      </c>
    </row>
    <row r="113" spans="1:8" x14ac:dyDescent="0.3">
      <c r="A113" s="28" t="s">
        <v>372</v>
      </c>
      <c r="B113">
        <v>20</v>
      </c>
      <c r="C113">
        <v>26.654000584810433</v>
      </c>
      <c r="D113">
        <v>2020</v>
      </c>
      <c r="E113">
        <v>1000</v>
      </c>
      <c r="F113" s="10">
        <f t="shared" si="21"/>
        <v>0.26467551351588664</v>
      </c>
      <c r="G113" s="10">
        <f t="shared" si="22"/>
        <v>33.708661876847877</v>
      </c>
      <c r="H113" s="10">
        <f t="shared" si="23"/>
        <v>58.091260634434505</v>
      </c>
    </row>
    <row r="114" spans="1:8" x14ac:dyDescent="0.3">
      <c r="A114" s="28" t="s">
        <v>373</v>
      </c>
      <c r="B114">
        <v>20</v>
      </c>
      <c r="C114">
        <v>46.573432462862996</v>
      </c>
      <c r="D114">
        <v>2020</v>
      </c>
      <c r="E114">
        <v>1000</v>
      </c>
      <c r="F114" s="10">
        <f t="shared" si="21"/>
        <v>0.25391069930423232</v>
      </c>
      <c r="G114" s="10">
        <f t="shared" si="22"/>
        <v>58.398925268506979</v>
      </c>
      <c r="H114" s="10">
        <f t="shared" si="23"/>
        <v>100.64081454606035</v>
      </c>
    </row>
    <row r="115" spans="1:8" x14ac:dyDescent="0.3">
      <c r="A115" s="28" t="s">
        <v>374</v>
      </c>
      <c r="B115">
        <v>20</v>
      </c>
      <c r="C115">
        <v>42.943138460129411</v>
      </c>
      <c r="D115">
        <v>2020</v>
      </c>
      <c r="E115">
        <v>1000</v>
      </c>
      <c r="F115" s="10">
        <f t="shared" si="21"/>
        <v>0.25544840175451611</v>
      </c>
      <c r="G115" s="10">
        <f t="shared" si="22"/>
        <v>53.912894546092367</v>
      </c>
      <c r="H115" s="10">
        <f t="shared" si="23"/>
        <v>92.909888267765837</v>
      </c>
    </row>
    <row r="116" spans="1:8" x14ac:dyDescent="0.3">
      <c r="A116" s="28" t="s">
        <v>375</v>
      </c>
      <c r="B116">
        <v>20</v>
      </c>
      <c r="C116">
        <v>37.818228458840281</v>
      </c>
      <c r="D116">
        <v>2020</v>
      </c>
      <c r="E116">
        <v>800</v>
      </c>
      <c r="F116" s="10">
        <f t="shared" si="21"/>
        <v>0.2578751652378462</v>
      </c>
      <c r="G116" s="10">
        <f t="shared" si="22"/>
        <v>47.570610371666334</v>
      </c>
      <c r="H116" s="10">
        <f t="shared" si="23"/>
        <v>81.980018540504972</v>
      </c>
    </row>
    <row r="117" spans="1:8" x14ac:dyDescent="0.3">
      <c r="A117" s="28" t="s">
        <v>376</v>
      </c>
      <c r="B117">
        <v>20</v>
      </c>
      <c r="C117">
        <v>31.861178938309042</v>
      </c>
      <c r="D117">
        <v>2020</v>
      </c>
      <c r="E117">
        <v>800</v>
      </c>
      <c r="F117" s="10">
        <f t="shared" si="21"/>
        <v>0.26118474414561849</v>
      </c>
      <c r="G117" s="10">
        <f t="shared" si="22"/>
        <v>40.182832807489056</v>
      </c>
      <c r="H117" s="10">
        <f t="shared" si="23"/>
        <v>69.248415204906138</v>
      </c>
    </row>
    <row r="118" spans="1:8" x14ac:dyDescent="0.3">
      <c r="A118" s="28" t="s">
        <v>377</v>
      </c>
      <c r="B118">
        <v>20</v>
      </c>
      <c r="C118">
        <v>30.325736151545939</v>
      </c>
      <c r="D118">
        <v>2020</v>
      </c>
      <c r="E118">
        <v>800</v>
      </c>
      <c r="F118" s="10">
        <f t="shared" si="21"/>
        <v>0.26214629407883278</v>
      </c>
      <c r="G118" s="10">
        <f t="shared" si="22"/>
        <v>38.275515498886193</v>
      </c>
      <c r="H118" s="10">
        <f t="shared" si="23"/>
        <v>65.961471709747201</v>
      </c>
    </row>
    <row r="119" spans="1:8" x14ac:dyDescent="0.3">
      <c r="A119" s="28" t="s">
        <v>378</v>
      </c>
      <c r="B119">
        <v>20</v>
      </c>
      <c r="C119">
        <v>52.512878073106677</v>
      </c>
      <c r="D119">
        <v>2019</v>
      </c>
      <c r="E119">
        <v>1000</v>
      </c>
      <c r="F119" s="10">
        <f t="shared" si="21"/>
        <v>0.25165334649172444</v>
      </c>
      <c r="G119" s="10">
        <f t="shared" si="22"/>
        <v>65.727919574115859</v>
      </c>
      <c r="H119" s="10">
        <f t="shared" si="23"/>
        <v>113.27111473272632</v>
      </c>
    </row>
    <row r="120" spans="1:8" x14ac:dyDescent="0.3">
      <c r="A120" s="28" t="s">
        <v>379</v>
      </c>
      <c r="B120">
        <v>20</v>
      </c>
      <c r="C120">
        <v>39.140567166838863</v>
      </c>
      <c r="D120">
        <v>2020</v>
      </c>
      <c r="E120">
        <v>800</v>
      </c>
      <c r="F120" s="10">
        <f t="shared" si="21"/>
        <v>0.25721662166175974</v>
      </c>
      <c r="G120" s="10">
        <f t="shared" si="22"/>
        <v>49.208171623418352</v>
      </c>
      <c r="H120" s="10">
        <f t="shared" si="23"/>
        <v>84.802082431024289</v>
      </c>
    </row>
    <row r="121" spans="1:8" x14ac:dyDescent="0.3">
      <c r="A121" s="28" t="s">
        <v>380</v>
      </c>
      <c r="B121">
        <v>20</v>
      </c>
      <c r="C121">
        <v>40.973715113462347</v>
      </c>
      <c r="D121">
        <v>2020</v>
      </c>
      <c r="E121">
        <v>800</v>
      </c>
      <c r="F121" s="10">
        <f t="shared" si="21"/>
        <v>0.25634218958004834</v>
      </c>
      <c r="G121" s="10">
        <f t="shared" si="22"/>
        <v>51.477006960876409</v>
      </c>
      <c r="H121" s="10">
        <f t="shared" si="23"/>
        <v>88.71204199591034</v>
      </c>
    </row>
    <row r="122" spans="1:8" x14ac:dyDescent="0.3">
      <c r="A122" s="28" t="s">
        <v>381</v>
      </c>
      <c r="B122">
        <v>20</v>
      </c>
      <c r="C122">
        <v>15.819123707626568</v>
      </c>
      <c r="D122">
        <v>2020</v>
      </c>
      <c r="E122">
        <v>800</v>
      </c>
      <c r="F122" s="10">
        <f t="shared" si="21"/>
        <v>0.27515113898980298</v>
      </c>
      <c r="G122" s="10">
        <f t="shared" si="22"/>
        <v>20.171773613600614</v>
      </c>
      <c r="H122" s="10">
        <f t="shared" si="23"/>
        <v>34.762689860771722</v>
      </c>
    </row>
    <row r="123" spans="1:8" x14ac:dyDescent="0.3">
      <c r="A123" s="28" t="s">
        <v>382</v>
      </c>
      <c r="B123">
        <v>20</v>
      </c>
      <c r="C123">
        <v>31.022491416079042</v>
      </c>
      <c r="D123">
        <v>2020</v>
      </c>
      <c r="E123">
        <v>800</v>
      </c>
      <c r="F123" s="10">
        <f t="shared" si="21"/>
        <v>0.26170362760746124</v>
      </c>
      <c r="G123" s="10">
        <f t="shared" si="22"/>
        <v>39.141189957088258</v>
      </c>
      <c r="H123" s="10">
        <f t="shared" si="23"/>
        <v>67.453317359382098</v>
      </c>
    </row>
    <row r="124" spans="1:8" x14ac:dyDescent="0.3">
      <c r="A124" s="28" t="s">
        <v>383</v>
      </c>
      <c r="B124">
        <v>20</v>
      </c>
      <c r="C124">
        <v>27.995690888041455</v>
      </c>
      <c r="D124">
        <v>2020</v>
      </c>
      <c r="E124">
        <v>800</v>
      </c>
      <c r="F124" s="10">
        <f t="shared" si="21"/>
        <v>0.2637101845208939</v>
      </c>
      <c r="G124" s="10">
        <f t="shared" si="22"/>
        <v>35.378439697916775</v>
      </c>
      <c r="H124" s="10">
        <f t="shared" si="23"/>
        <v>60.968844412743238</v>
      </c>
    </row>
    <row r="125" spans="1:8" x14ac:dyDescent="0.3">
      <c r="A125" s="28" t="s">
        <v>384</v>
      </c>
      <c r="B125">
        <v>20</v>
      </c>
      <c r="C125">
        <v>23.733036942112463</v>
      </c>
      <c r="D125">
        <v>2020</v>
      </c>
      <c r="E125">
        <v>800</v>
      </c>
      <c r="F125" s="10">
        <f t="shared" si="21"/>
        <v>0.26697106899652528</v>
      </c>
      <c r="G125" s="10">
        <f t="shared" si="22"/>
        <v>30.069071185082251</v>
      </c>
      <c r="H125" s="10">
        <f t="shared" si="23"/>
        <v>51.819032675625074</v>
      </c>
    </row>
    <row r="126" spans="1:8" x14ac:dyDescent="0.3">
      <c r="A126" s="28" t="s">
        <v>385</v>
      </c>
      <c r="B126">
        <v>20</v>
      </c>
      <c r="C126">
        <v>29.373285208509568</v>
      </c>
      <c r="D126">
        <v>2020</v>
      </c>
      <c r="E126">
        <v>800</v>
      </c>
      <c r="F126" s="10">
        <f t="shared" si="21"/>
        <v>0.26276941819632338</v>
      </c>
      <c r="G126" s="10">
        <f t="shared" si="22"/>
        <v>37.091686273264301</v>
      </c>
      <c r="H126" s="10">
        <f t="shared" si="23"/>
        <v>63.921339344258804</v>
      </c>
    </row>
    <row r="127" spans="1:8" x14ac:dyDescent="0.3">
      <c r="A127" s="28" t="s">
        <v>386</v>
      </c>
      <c r="B127">
        <v>20</v>
      </c>
      <c r="C127">
        <v>24.644609222373003</v>
      </c>
      <c r="D127">
        <v>2020</v>
      </c>
      <c r="E127">
        <v>800</v>
      </c>
      <c r="F127" s="10">
        <f t="shared" si="21"/>
        <v>0.26622349162889908</v>
      </c>
      <c r="G127" s="10">
        <f t="shared" si="22"/>
        <v>31.20558313938291</v>
      </c>
      <c r="H127" s="10">
        <f t="shared" si="23"/>
        <v>53.777621610203205</v>
      </c>
    </row>
    <row r="128" spans="1:8" x14ac:dyDescent="0.3">
      <c r="A128" s="28" t="s">
        <v>387</v>
      </c>
      <c r="B128">
        <v>20</v>
      </c>
      <c r="C128">
        <v>24.75379978896401</v>
      </c>
      <c r="D128">
        <v>2020</v>
      </c>
      <c r="E128">
        <v>800</v>
      </c>
      <c r="F128" s="10">
        <f t="shared" si="21"/>
        <v>0.26613594271722224</v>
      </c>
      <c r="G128" s="10">
        <f t="shared" si="22"/>
        <v>31.341675631633326</v>
      </c>
      <c r="H128" s="10">
        <f t="shared" si="23"/>
        <v>54.012154338514762</v>
      </c>
    </row>
    <row r="129" spans="1:11" x14ac:dyDescent="0.3">
      <c r="A129" s="28" t="s">
        <v>388</v>
      </c>
      <c r="B129">
        <v>20</v>
      </c>
      <c r="C129">
        <v>45.366649801668828</v>
      </c>
      <c r="D129">
        <v>2019</v>
      </c>
      <c r="E129">
        <v>1000</v>
      </c>
      <c r="F129" s="10">
        <f t="shared" si="21"/>
        <v>0.25440712843179697</v>
      </c>
      <c r="G129" s="10">
        <f t="shared" si="22"/>
        <v>56.908248904282345</v>
      </c>
      <c r="H129" s="10">
        <f t="shared" si="23"/>
        <v>98.071882278379903</v>
      </c>
    </row>
    <row r="130" spans="1:11" x14ac:dyDescent="0.3">
      <c r="A130" s="28" t="s">
        <v>389</v>
      </c>
      <c r="B130">
        <v>20</v>
      </c>
      <c r="C130">
        <v>52.2881214954893</v>
      </c>
      <c r="D130">
        <v>2020</v>
      </c>
      <c r="E130">
        <v>1000</v>
      </c>
      <c r="F130" s="10">
        <f t="shared" si="21"/>
        <v>0.25173366628646565</v>
      </c>
      <c r="G130" s="10">
        <f t="shared" si="22"/>
        <v>65.450802022780977</v>
      </c>
      <c r="H130" s="10">
        <f t="shared" si="23"/>
        <v>112.7935488192592</v>
      </c>
    </row>
    <row r="131" spans="1:11" x14ac:dyDescent="0.3">
      <c r="A131" s="28" t="s">
        <v>390</v>
      </c>
      <c r="B131">
        <v>20</v>
      </c>
      <c r="C131">
        <v>62.62345809385522</v>
      </c>
      <c r="D131">
        <v>2020</v>
      </c>
      <c r="E131">
        <v>1000</v>
      </c>
      <c r="F131" s="10">
        <f t="shared" si="21"/>
        <v>0.24837807160665068</v>
      </c>
      <c r="G131" s="10">
        <f t="shared" si="22"/>
        <v>78.177751852546876</v>
      </c>
      <c r="H131" s="10">
        <f t="shared" si="23"/>
        <v>134.72632569255578</v>
      </c>
    </row>
    <row r="132" spans="1:11" x14ac:dyDescent="0.3">
      <c r="A132" s="28" t="s">
        <v>391</v>
      </c>
      <c r="B132">
        <v>20</v>
      </c>
      <c r="C132">
        <v>37.21846495548558</v>
      </c>
      <c r="D132">
        <v>2019</v>
      </c>
      <c r="E132">
        <v>1000</v>
      </c>
      <c r="F132" s="10">
        <f t="shared" si="21"/>
        <v>0.25818205778434711</v>
      </c>
      <c r="G132" s="10">
        <f t="shared" si="22"/>
        <v>46.827604825267457</v>
      </c>
      <c r="H132" s="10">
        <f t="shared" si="23"/>
        <v>80.699572315544245</v>
      </c>
    </row>
    <row r="133" spans="1:11" x14ac:dyDescent="0.3">
      <c r="A133" s="28" t="s">
        <v>392</v>
      </c>
      <c r="B133">
        <v>20</v>
      </c>
      <c r="C133">
        <v>64.227451164990967</v>
      </c>
      <c r="D133">
        <v>2019</v>
      </c>
      <c r="E133">
        <v>1000</v>
      </c>
      <c r="F133" s="10">
        <f t="shared" si="21"/>
        <v>0.24791115458571614</v>
      </c>
      <c r="G133" s="10">
        <f t="shared" si="22"/>
        <v>80.150152739401577</v>
      </c>
      <c r="H133" s="10">
        <f t="shared" si="23"/>
        <v>138.12542988756871</v>
      </c>
    </row>
    <row r="134" spans="1:11" x14ac:dyDescent="0.3">
      <c r="A134" s="28" t="s">
        <v>253</v>
      </c>
      <c r="B134">
        <v>20</v>
      </c>
      <c r="C134">
        <v>56.746439329916932</v>
      </c>
      <c r="D134">
        <v>2019</v>
      </c>
      <c r="E134">
        <v>1000</v>
      </c>
      <c r="F134" s="10">
        <f t="shared" si="21"/>
        <v>0.25020584682898905</v>
      </c>
      <c r="G134" s="10">
        <f t="shared" si="22"/>
        <v>70.944730236988647</v>
      </c>
      <c r="H134" s="10">
        <f t="shared" si="23"/>
        <v>122.26141844174376</v>
      </c>
    </row>
    <row r="135" spans="1:11" x14ac:dyDescent="0.3">
      <c r="A135" s="28" t="s">
        <v>393</v>
      </c>
      <c r="B135">
        <v>20</v>
      </c>
      <c r="C135">
        <v>31.267093192114775</v>
      </c>
      <c r="D135">
        <v>2019</v>
      </c>
      <c r="E135">
        <v>1000</v>
      </c>
      <c r="F135" s="10">
        <f t="shared" si="21"/>
        <v>0.26155075411029899</v>
      </c>
      <c r="G135" s="10">
        <f t="shared" si="22"/>
        <v>39.445024995349392</v>
      </c>
      <c r="H135" s="10">
        <f t="shared" si="23"/>
        <v>67.976926408652119</v>
      </c>
    </row>
    <row r="136" spans="1:11" x14ac:dyDescent="0.3">
      <c r="A136" s="28" t="s">
        <v>394</v>
      </c>
      <c r="B136">
        <v>20</v>
      </c>
      <c r="C136">
        <v>28.038943627204432</v>
      </c>
      <c r="D136">
        <v>2019</v>
      </c>
      <c r="E136">
        <v>1000</v>
      </c>
      <c r="F136" s="10">
        <f t="shared" si="21"/>
        <v>0.2636798971168024</v>
      </c>
      <c r="G136" s="10">
        <f t="shared" si="22"/>
        <v>35.432249398089517</v>
      </c>
      <c r="H136" s="10">
        <f t="shared" si="23"/>
        <v>61.061576462707599</v>
      </c>
    </row>
    <row r="137" spans="1:11" x14ac:dyDescent="0.3">
      <c r="A137" s="28" t="s">
        <v>257</v>
      </c>
      <c r="B137">
        <v>20</v>
      </c>
      <c r="C137">
        <v>66.05341190780895</v>
      </c>
      <c r="D137">
        <v>2019</v>
      </c>
      <c r="E137">
        <v>1000</v>
      </c>
      <c r="F137" s="10">
        <f t="shared" si="21"/>
        <v>0.24739463661908195</v>
      </c>
      <c r="G137" s="10">
        <f t="shared" si="22"/>
        <v>82.394671744191896</v>
      </c>
      <c r="H137" s="10">
        <f t="shared" si="23"/>
        <v>141.99348430582401</v>
      </c>
    </row>
    <row r="138" spans="1:11" x14ac:dyDescent="0.3">
      <c r="A138" s="28" t="s">
        <v>395</v>
      </c>
      <c r="B138">
        <v>20</v>
      </c>
      <c r="C138">
        <v>26.960610654163712</v>
      </c>
      <c r="D138">
        <v>2019</v>
      </c>
      <c r="E138">
        <v>1000</v>
      </c>
      <c r="F138" s="10">
        <f t="shared" si="21"/>
        <v>0.26445038012586081</v>
      </c>
      <c r="G138" s="10">
        <f t="shared" si="22"/>
        <v>34.090354390082638</v>
      </c>
      <c r="H138" s="10">
        <f t="shared" si="23"/>
        <v>58.749044065575738</v>
      </c>
    </row>
    <row r="139" spans="1:11" x14ac:dyDescent="0.3">
      <c r="A139" s="28" t="s">
        <v>396</v>
      </c>
      <c r="B139">
        <v>20</v>
      </c>
      <c r="C139">
        <v>27.77386808414721</v>
      </c>
      <c r="D139">
        <v>2019</v>
      </c>
      <c r="E139">
        <v>1000</v>
      </c>
      <c r="F139" s="10">
        <f t="shared" si="21"/>
        <v>0.26386630850673271</v>
      </c>
      <c r="G139" s="10">
        <f t="shared" si="22"/>
        <v>35.102456128464098</v>
      </c>
      <c r="H139" s="10">
        <f t="shared" si="23"/>
        <v>60.493232728053123</v>
      </c>
    </row>
    <row r="140" spans="1:11" x14ac:dyDescent="0.3">
      <c r="A140" s="28" t="s">
        <v>397</v>
      </c>
      <c r="B140">
        <v>20</v>
      </c>
      <c r="C140">
        <v>29.440047153169587</v>
      </c>
      <c r="D140">
        <v>2019</v>
      </c>
      <c r="E140">
        <v>1000</v>
      </c>
      <c r="F140" s="10">
        <f t="shared" si="21"/>
        <v>0.26272503746539627</v>
      </c>
      <c r="G140" s="10">
        <f t="shared" si="22"/>
        <v>37.174684644469096</v>
      </c>
      <c r="H140" s="10">
        <f t="shared" si="23"/>
        <v>64.064373203968401</v>
      </c>
      <c r="K140" s="10"/>
    </row>
    <row r="141" spans="1:11" x14ac:dyDescent="0.3">
      <c r="A141" s="28" t="s">
        <v>398</v>
      </c>
      <c r="B141">
        <v>20</v>
      </c>
      <c r="C141">
        <v>60.829498807454918</v>
      </c>
      <c r="D141">
        <v>2019</v>
      </c>
      <c r="E141">
        <v>1000</v>
      </c>
      <c r="F141" s="10">
        <f t="shared" si="21"/>
        <v>0.24891575607728603</v>
      </c>
      <c r="G141" s="10">
        <f t="shared" si="22"/>
        <v>75.970919494914938</v>
      </c>
      <c r="H141" s="10">
        <f t="shared" si="23"/>
        <v>130.92321792957006</v>
      </c>
    </row>
    <row r="142" spans="1:11" x14ac:dyDescent="0.3">
      <c r="A142" s="28" t="s">
        <v>399</v>
      </c>
      <c r="B142">
        <v>20</v>
      </c>
      <c r="C142">
        <v>51.843610682742941</v>
      </c>
      <c r="D142">
        <v>2019</v>
      </c>
      <c r="E142">
        <v>1000</v>
      </c>
      <c r="F142" s="10">
        <f t="shared" ref="F142" si="25">IF(C142=0,0,(EXP(-1.085+0.9256*LN(C142)))/C142)</f>
        <v>0.25189361621283896</v>
      </c>
      <c r="G142" s="10">
        <f t="shared" ref="G142" si="26">(1+F142)*C142</f>
        <v>64.902685255149621</v>
      </c>
      <c r="H142" s="10">
        <f t="shared" ref="H142" si="27">44/12*0.47*G142</f>
        <v>111.84896092304116</v>
      </c>
    </row>
    <row r="143" spans="1:11" x14ac:dyDescent="0.3">
      <c r="A143" s="28" t="s">
        <v>400</v>
      </c>
      <c r="B143">
        <v>20</v>
      </c>
      <c r="C143">
        <v>24.562310977497688</v>
      </c>
      <c r="D143">
        <v>2019</v>
      </c>
      <c r="E143">
        <v>1000</v>
      </c>
      <c r="F143" s="10">
        <f t="shared" ref="F143:F201" si="28">IF(C143=0,0,(EXP(-1.085+0.9256*LN(C143)))/C143)</f>
        <v>0.26628975417854722</v>
      </c>
      <c r="G143" s="10">
        <f t="shared" ref="G143:G201" si="29">(1+F143)*C143</f>
        <v>31.103002729752578</v>
      </c>
      <c r="H143" s="10">
        <f t="shared" ref="H143:H201" si="30">44/12*0.47*G143</f>
        <v>53.600841370940273</v>
      </c>
    </row>
    <row r="144" spans="1:11" x14ac:dyDescent="0.3">
      <c r="A144" s="28" t="s">
        <v>401</v>
      </c>
      <c r="B144">
        <v>20</v>
      </c>
      <c r="C144">
        <v>40.248394620321676</v>
      </c>
      <c r="D144">
        <v>2019</v>
      </c>
      <c r="E144">
        <v>1000</v>
      </c>
      <c r="F144" s="10">
        <f t="shared" si="28"/>
        <v>0.25668305177163775</v>
      </c>
      <c r="G144" s="10">
        <f t="shared" si="29"/>
        <v>50.579475380375015</v>
      </c>
      <c r="H144" s="10">
        <f t="shared" si="30"/>
        <v>87.165295905512934</v>
      </c>
    </row>
    <row r="145" spans="1:8" x14ac:dyDescent="0.3">
      <c r="A145" s="28" t="s">
        <v>402</v>
      </c>
      <c r="B145">
        <v>20</v>
      </c>
      <c r="C145">
        <v>23.677411756589049</v>
      </c>
      <c r="D145">
        <v>2019</v>
      </c>
      <c r="E145">
        <v>1000</v>
      </c>
      <c r="F145" s="10">
        <f t="shared" si="28"/>
        <v>0.26701768152358862</v>
      </c>
      <c r="G145" s="10">
        <f t="shared" si="29"/>
        <v>29.99969934831282</v>
      </c>
      <c r="H145" s="10">
        <f t="shared" si="30"/>
        <v>51.699481876925752</v>
      </c>
    </row>
    <row r="146" spans="1:8" x14ac:dyDescent="0.3">
      <c r="A146" s="28" t="s">
        <v>403</v>
      </c>
      <c r="B146">
        <v>20</v>
      </c>
      <c r="C146">
        <v>19.867986086772476</v>
      </c>
      <c r="D146">
        <v>2019</v>
      </c>
      <c r="E146">
        <v>1000</v>
      </c>
      <c r="F146" s="10">
        <f t="shared" si="28"/>
        <v>0.27052527108525265</v>
      </c>
      <c r="G146" s="10">
        <f t="shared" si="29"/>
        <v>25.242778408814626</v>
      </c>
      <c r="H146" s="10">
        <f t="shared" si="30"/>
        <v>43.501721457857201</v>
      </c>
    </row>
    <row r="147" spans="1:8" x14ac:dyDescent="0.3">
      <c r="A147" s="28" t="s">
        <v>404</v>
      </c>
      <c r="B147">
        <v>20</v>
      </c>
      <c r="C147">
        <v>48.590755255897975</v>
      </c>
      <c r="D147">
        <v>2019</v>
      </c>
      <c r="E147">
        <v>1000</v>
      </c>
      <c r="F147" s="10">
        <f t="shared" si="28"/>
        <v>0.25311092770832633</v>
      </c>
      <c r="G147" s="10">
        <f t="shared" si="29"/>
        <v>60.889606396766546</v>
      </c>
      <c r="H147" s="10">
        <f t="shared" si="30"/>
        <v>104.93308835709433</v>
      </c>
    </row>
    <row r="148" spans="1:8" x14ac:dyDescent="0.3">
      <c r="A148" s="28" t="s">
        <v>405</v>
      </c>
      <c r="B148">
        <v>20</v>
      </c>
      <c r="C148">
        <v>31.122491308445664</v>
      </c>
      <c r="D148">
        <v>2019</v>
      </c>
      <c r="E148">
        <v>1000</v>
      </c>
      <c r="F148" s="10">
        <f t="shared" si="28"/>
        <v>0.26164097278309134</v>
      </c>
      <c r="G148" s="10">
        <f t="shared" si="29"/>
        <v>39.265410209820693</v>
      </c>
      <c r="H148" s="10">
        <f t="shared" si="30"/>
        <v>67.667390261590995</v>
      </c>
    </row>
    <row r="149" spans="1:8" x14ac:dyDescent="0.3">
      <c r="A149" s="28" t="s">
        <v>406</v>
      </c>
      <c r="B149">
        <v>20</v>
      </c>
      <c r="C149">
        <v>70.351776195000539</v>
      </c>
      <c r="D149">
        <v>2019</v>
      </c>
      <c r="E149">
        <v>1000</v>
      </c>
      <c r="F149" s="10">
        <f t="shared" si="28"/>
        <v>0.24623694944242094</v>
      </c>
      <c r="G149" s="10">
        <f t="shared" si="29"/>
        <v>87.6749829531134</v>
      </c>
      <c r="H149" s="10">
        <f t="shared" si="30"/>
        <v>151.09322062253207</v>
      </c>
    </row>
    <row r="150" spans="1:8" x14ac:dyDescent="0.3">
      <c r="A150" s="28" t="s">
        <v>407</v>
      </c>
      <c r="B150">
        <v>20</v>
      </c>
      <c r="C150">
        <v>65.356113063991259</v>
      </c>
      <c r="D150">
        <v>2019</v>
      </c>
      <c r="E150">
        <v>1000</v>
      </c>
      <c r="F150" s="10">
        <f t="shared" si="28"/>
        <v>0.24759005294998773</v>
      </c>
      <c r="G150" s="10">
        <f t="shared" si="29"/>
        <v>81.537636558110236</v>
      </c>
      <c r="H150" s="10">
        <f t="shared" si="30"/>
        <v>140.51652700180995</v>
      </c>
    </row>
    <row r="151" spans="1:8" x14ac:dyDescent="0.3">
      <c r="A151" s="28" t="s">
        <v>408</v>
      </c>
      <c r="B151">
        <v>20</v>
      </c>
      <c r="C151">
        <v>64.871355123332307</v>
      </c>
      <c r="D151">
        <v>2019</v>
      </c>
      <c r="E151">
        <v>1000</v>
      </c>
      <c r="F151" s="10">
        <f t="shared" si="28"/>
        <v>0.24772722977494405</v>
      </c>
      <c r="G151" s="10">
        <f t="shared" si="29"/>
        <v>80.941756219782036</v>
      </c>
      <c r="H151" s="10">
        <f t="shared" si="30"/>
        <v>139.48962655209104</v>
      </c>
    </row>
    <row r="152" spans="1:8" x14ac:dyDescent="0.3">
      <c r="A152" s="28" t="s">
        <v>409</v>
      </c>
      <c r="B152">
        <v>20</v>
      </c>
      <c r="C152">
        <v>64.731640628401649</v>
      </c>
      <c r="D152">
        <v>2019</v>
      </c>
      <c r="E152">
        <v>1000</v>
      </c>
      <c r="F152" s="10">
        <f t="shared" si="28"/>
        <v>0.24776697071201312</v>
      </c>
      <c r="G152" s="10">
        <f t="shared" si="29"/>
        <v>80.770003136119399</v>
      </c>
      <c r="H152" s="10">
        <f t="shared" si="30"/>
        <v>139.19363873791241</v>
      </c>
    </row>
    <row r="153" spans="1:8" x14ac:dyDescent="0.3">
      <c r="A153" s="28" t="s">
        <v>410</v>
      </c>
      <c r="B153">
        <v>20</v>
      </c>
      <c r="C153">
        <v>43.699675954982993</v>
      </c>
      <c r="D153">
        <v>2019</v>
      </c>
      <c r="E153">
        <v>1000</v>
      </c>
      <c r="F153" s="10">
        <f t="shared" si="28"/>
        <v>0.25511671131474661</v>
      </c>
      <c r="G153" s="10">
        <f t="shared" si="29"/>
        <v>54.848193570138363</v>
      </c>
      <c r="H153" s="10">
        <f t="shared" si="30"/>
        <v>94.521720252538444</v>
      </c>
    </row>
    <row r="154" spans="1:8" x14ac:dyDescent="0.3">
      <c r="A154" s="28" t="s">
        <v>411</v>
      </c>
      <c r="B154">
        <v>20</v>
      </c>
      <c r="C154">
        <v>24.985312727573461</v>
      </c>
      <c r="D154">
        <v>2019</v>
      </c>
      <c r="E154">
        <v>1000</v>
      </c>
      <c r="F154" s="10">
        <f t="shared" si="28"/>
        <v>0.26595168043453304</v>
      </c>
      <c r="G154" s="10">
        <f t="shared" si="29"/>
        <v>31.630198633653947</v>
      </c>
      <c r="H154" s="10">
        <f t="shared" si="30"/>
        <v>54.509375645330294</v>
      </c>
    </row>
    <row r="155" spans="1:8" x14ac:dyDescent="0.3">
      <c r="A155" s="28" t="s">
        <v>412</v>
      </c>
      <c r="B155">
        <v>20</v>
      </c>
      <c r="C155">
        <v>44.220515932915418</v>
      </c>
      <c r="D155">
        <v>2019</v>
      </c>
      <c r="E155">
        <v>1000</v>
      </c>
      <c r="F155" s="10">
        <f t="shared" si="28"/>
        <v>0.25489192430910107</v>
      </c>
      <c r="G155" s="10">
        <f t="shared" si="29"/>
        <v>55.491968332997487</v>
      </c>
      <c r="H155" s="10">
        <f t="shared" si="30"/>
        <v>95.63115876053233</v>
      </c>
    </row>
    <row r="156" spans="1:8" x14ac:dyDescent="0.3">
      <c r="A156" s="28" t="s">
        <v>413</v>
      </c>
      <c r="B156">
        <v>20</v>
      </c>
      <c r="C156">
        <v>32.221778421730576</v>
      </c>
      <c r="D156">
        <v>2019</v>
      </c>
      <c r="E156">
        <v>1000</v>
      </c>
      <c r="F156" s="10">
        <f t="shared" si="28"/>
        <v>0.26096614117102301</v>
      </c>
      <c r="G156" s="10">
        <f t="shared" si="29"/>
        <v>40.630571598117342</v>
      </c>
      <c r="H156" s="10">
        <f t="shared" si="30"/>
        <v>70.020018387422212</v>
      </c>
    </row>
    <row r="157" spans="1:8" x14ac:dyDescent="0.3">
      <c r="A157" s="28" t="s">
        <v>414</v>
      </c>
      <c r="B157">
        <v>20</v>
      </c>
      <c r="C157">
        <v>21.861273794484962</v>
      </c>
      <c r="D157">
        <v>2019</v>
      </c>
      <c r="E157">
        <v>1000</v>
      </c>
      <c r="F157" s="10">
        <f t="shared" si="28"/>
        <v>0.26860780793219374</v>
      </c>
      <c r="G157" s="10">
        <f t="shared" si="29"/>
        <v>27.73338262702708</v>
      </c>
      <c r="H157" s="10">
        <f t="shared" si="30"/>
        <v>47.793862727243329</v>
      </c>
    </row>
    <row r="158" spans="1:8" x14ac:dyDescent="0.3">
      <c r="A158" s="28" t="s">
        <v>415</v>
      </c>
      <c r="B158">
        <v>20</v>
      </c>
      <c r="C158">
        <v>26.928612537281982</v>
      </c>
      <c r="D158">
        <v>2019</v>
      </c>
      <c r="E158">
        <v>1000</v>
      </c>
      <c r="F158" s="10">
        <f t="shared" si="28"/>
        <v>0.26447374636735704</v>
      </c>
      <c r="G158" s="10">
        <f t="shared" si="29"/>
        <v>34.050523579491923</v>
      </c>
      <c r="H158" s="10">
        <f t="shared" si="30"/>
        <v>58.680402301991073</v>
      </c>
    </row>
    <row r="159" spans="1:8" x14ac:dyDescent="0.3">
      <c r="A159" s="28" t="s">
        <v>416</v>
      </c>
      <c r="B159">
        <v>20</v>
      </c>
      <c r="C159">
        <v>27.962474786164723</v>
      </c>
      <c r="D159">
        <v>2019</v>
      </c>
      <c r="E159">
        <v>1000</v>
      </c>
      <c r="F159" s="10">
        <f t="shared" si="28"/>
        <v>0.26373347799460245</v>
      </c>
      <c r="G159" s="10">
        <f t="shared" si="29"/>
        <v>35.337115514856322</v>
      </c>
      <c r="H159" s="10">
        <f t="shared" si="30"/>
        <v>60.897629070602392</v>
      </c>
    </row>
    <row r="160" spans="1:8" x14ac:dyDescent="0.3">
      <c r="A160" s="28" t="s">
        <v>417</v>
      </c>
      <c r="B160">
        <v>20</v>
      </c>
      <c r="C160">
        <v>6.1533558904330459</v>
      </c>
      <c r="D160">
        <v>2019</v>
      </c>
      <c r="E160">
        <v>1000</v>
      </c>
      <c r="F160" s="10">
        <f t="shared" si="28"/>
        <v>0.29517566599972017</v>
      </c>
      <c r="G160" s="10">
        <f t="shared" si="29"/>
        <v>7.9696768135249219</v>
      </c>
      <c r="H160" s="10">
        <f t="shared" si="30"/>
        <v>13.73440970864128</v>
      </c>
    </row>
    <row r="161" spans="1:8" x14ac:dyDescent="0.3">
      <c r="A161" s="28" t="s">
        <v>418</v>
      </c>
      <c r="B161">
        <v>20</v>
      </c>
      <c r="C161">
        <v>42.280315509170514</v>
      </c>
      <c r="D161">
        <v>2019</v>
      </c>
      <c r="E161">
        <v>1000</v>
      </c>
      <c r="F161" s="10">
        <f t="shared" si="28"/>
        <v>0.25574420614485038</v>
      </c>
      <c r="G161" s="10">
        <f t="shared" si="29"/>
        <v>53.093261234617138</v>
      </c>
      <c r="H161" s="10">
        <f t="shared" si="30"/>
        <v>91.49738686099019</v>
      </c>
    </row>
    <row r="162" spans="1:8" x14ac:dyDescent="0.3">
      <c r="A162" s="28" t="s">
        <v>419</v>
      </c>
      <c r="B162">
        <v>20</v>
      </c>
      <c r="C162">
        <v>32.251462222389669</v>
      </c>
      <c r="D162">
        <v>2019</v>
      </c>
      <c r="E162">
        <v>1000</v>
      </c>
      <c r="F162" s="10">
        <f t="shared" si="28"/>
        <v>0.26094826344588207</v>
      </c>
      <c r="G162" s="10">
        <f t="shared" si="29"/>
        <v>40.667425282912717</v>
      </c>
      <c r="H162" s="10">
        <f t="shared" si="30"/>
        <v>70.083529570886242</v>
      </c>
    </row>
    <row r="163" spans="1:8" x14ac:dyDescent="0.3">
      <c r="A163" s="28" t="s">
        <v>420</v>
      </c>
      <c r="B163">
        <v>20</v>
      </c>
      <c r="C163">
        <v>39.016265823646187</v>
      </c>
      <c r="D163">
        <v>2019</v>
      </c>
      <c r="E163">
        <v>1000</v>
      </c>
      <c r="F163" s="10">
        <f t="shared" si="28"/>
        <v>0.25727749997143501</v>
      </c>
      <c r="G163" s="10">
        <f t="shared" si="29"/>
        <v>49.054273152974822</v>
      </c>
      <c r="H163" s="10">
        <f t="shared" si="30"/>
        <v>84.536864066959936</v>
      </c>
    </row>
    <row r="164" spans="1:8" x14ac:dyDescent="0.3">
      <c r="A164" s="28" t="s">
        <v>421</v>
      </c>
      <c r="B164">
        <v>20</v>
      </c>
      <c r="C164">
        <v>36.968173181944763</v>
      </c>
      <c r="D164">
        <v>2019</v>
      </c>
      <c r="E164">
        <v>1000</v>
      </c>
      <c r="F164" s="10">
        <f t="shared" si="28"/>
        <v>0.25831170420756971</v>
      </c>
      <c r="G164" s="10">
        <f t="shared" si="29"/>
        <v>46.517484998013494</v>
      </c>
      <c r="H164" s="10">
        <f t="shared" si="30"/>
        <v>80.165132479909914</v>
      </c>
    </row>
    <row r="165" spans="1:8" x14ac:dyDescent="0.3">
      <c r="A165" s="28" t="s">
        <v>422</v>
      </c>
      <c r="B165">
        <v>20</v>
      </c>
      <c r="C165">
        <v>17.482546218628151</v>
      </c>
      <c r="D165">
        <v>2019</v>
      </c>
      <c r="E165">
        <v>1000</v>
      </c>
      <c r="F165" s="10">
        <f t="shared" si="28"/>
        <v>0.27311194715586751</v>
      </c>
      <c r="G165" s="10">
        <f t="shared" si="29"/>
        <v>22.257238457640135</v>
      </c>
      <c r="H165" s="10">
        <f t="shared" si="30"/>
        <v>38.356640941999828</v>
      </c>
    </row>
    <row r="166" spans="1:8" x14ac:dyDescent="0.3">
      <c r="A166" s="28" t="s">
        <v>423</v>
      </c>
      <c r="B166">
        <v>20</v>
      </c>
      <c r="C166">
        <v>43.057144213782408</v>
      </c>
      <c r="D166">
        <v>2018</v>
      </c>
      <c r="E166">
        <v>1000</v>
      </c>
      <c r="F166" s="10">
        <f t="shared" si="28"/>
        <v>0.25539801801085577</v>
      </c>
      <c r="G166" s="10">
        <f t="shared" si="29"/>
        <v>54.05385350719002</v>
      </c>
      <c r="H166" s="10">
        <f t="shared" si="30"/>
        <v>93.152807544057453</v>
      </c>
    </row>
    <row r="167" spans="1:8" x14ac:dyDescent="0.3">
      <c r="A167" s="28" t="s">
        <v>424</v>
      </c>
      <c r="B167">
        <v>20</v>
      </c>
      <c r="C167">
        <v>80.180792169112209</v>
      </c>
      <c r="D167">
        <v>2018</v>
      </c>
      <c r="E167">
        <v>1000</v>
      </c>
      <c r="F167" s="10">
        <f t="shared" si="28"/>
        <v>0.24385274776350929</v>
      </c>
      <c r="G167" s="10">
        <f t="shared" si="29"/>
        <v>99.733098657405094</v>
      </c>
      <c r="H167" s="10">
        <f t="shared" si="30"/>
        <v>171.8733733529281</v>
      </c>
    </row>
    <row r="168" spans="1:8" x14ac:dyDescent="0.3">
      <c r="A168" s="28" t="s">
        <v>425</v>
      </c>
      <c r="B168">
        <v>20</v>
      </c>
      <c r="C168">
        <v>69.343721016864606</v>
      </c>
      <c r="D168">
        <v>2018</v>
      </c>
      <c r="E168">
        <v>1000</v>
      </c>
      <c r="F168" s="10">
        <f t="shared" si="28"/>
        <v>0.24650149396657814</v>
      </c>
      <c r="G168" s="10">
        <f t="shared" si="29"/>
        <v>86.437051844723342</v>
      </c>
      <c r="H168" s="10">
        <f t="shared" si="30"/>
        <v>148.95985267907321</v>
      </c>
    </row>
    <row r="169" spans="1:8" x14ac:dyDescent="0.3">
      <c r="A169" s="28" t="s">
        <v>426</v>
      </c>
      <c r="B169">
        <v>20</v>
      </c>
      <c r="C169">
        <v>15.614866910110949</v>
      </c>
      <c r="D169">
        <v>2019</v>
      </c>
      <c r="E169">
        <v>1000</v>
      </c>
      <c r="F169" s="10">
        <f t="shared" si="28"/>
        <v>0.27541731403513503</v>
      </c>
      <c r="G169" s="10">
        <f t="shared" si="29"/>
        <v>19.915471613509816</v>
      </c>
      <c r="H169" s="10">
        <f t="shared" si="30"/>
        <v>34.320996080615245</v>
      </c>
    </row>
    <row r="170" spans="1:8" x14ac:dyDescent="0.3">
      <c r="A170" s="28" t="s">
        <v>427</v>
      </c>
      <c r="B170">
        <v>20</v>
      </c>
      <c r="C170">
        <v>37.340192294600079</v>
      </c>
      <c r="D170">
        <v>2019</v>
      </c>
      <c r="E170">
        <v>1000</v>
      </c>
      <c r="F170" s="10">
        <f t="shared" si="28"/>
        <v>0.25811934347070137</v>
      </c>
      <c r="G170" s="10">
        <f t="shared" si="29"/>
        <v>46.978418214751997</v>
      </c>
      <c r="H170" s="10">
        <f t="shared" si="30"/>
        <v>80.959474056755937</v>
      </c>
    </row>
    <row r="171" spans="1:8" x14ac:dyDescent="0.3">
      <c r="A171" s="28" t="s">
        <v>428</v>
      </c>
      <c r="B171">
        <v>20</v>
      </c>
      <c r="C171">
        <v>11.057996198918229</v>
      </c>
      <c r="D171">
        <v>2019</v>
      </c>
      <c r="E171">
        <v>1000</v>
      </c>
      <c r="F171" s="10">
        <f t="shared" si="28"/>
        <v>0.28257970035623697</v>
      </c>
      <c r="G171" s="10">
        <f t="shared" si="29"/>
        <v>14.182761451348949</v>
      </c>
      <c r="H171" s="10">
        <f t="shared" si="30"/>
        <v>24.441625567824687</v>
      </c>
    </row>
    <row r="172" spans="1:8" x14ac:dyDescent="0.3">
      <c r="A172" s="28" t="s">
        <v>429</v>
      </c>
      <c r="B172">
        <v>20</v>
      </c>
      <c r="C172">
        <v>8.9112185153742569</v>
      </c>
      <c r="D172">
        <v>2019</v>
      </c>
      <c r="E172">
        <v>1000</v>
      </c>
      <c r="F172" s="10">
        <f t="shared" si="28"/>
        <v>0.28715419643866291</v>
      </c>
      <c r="G172" s="10">
        <f t="shared" si="29"/>
        <v>11.470112307445886</v>
      </c>
      <c r="H172" s="10">
        <f t="shared" si="30"/>
        <v>19.76682687649841</v>
      </c>
    </row>
    <row r="173" spans="1:8" x14ac:dyDescent="0.3">
      <c r="A173" s="28" t="s">
        <v>430</v>
      </c>
      <c r="B173">
        <v>20</v>
      </c>
      <c r="C173">
        <v>17.705099243750283</v>
      </c>
      <c r="D173">
        <v>2019</v>
      </c>
      <c r="E173">
        <v>1000</v>
      </c>
      <c r="F173" s="10">
        <f t="shared" si="28"/>
        <v>0.27285503280361489</v>
      </c>
      <c r="G173" s="10">
        <f t="shared" si="29"/>
        <v>22.536024678695021</v>
      </c>
      <c r="H173" s="10">
        <f t="shared" si="30"/>
        <v>38.837082529617753</v>
      </c>
    </row>
    <row r="174" spans="1:8" x14ac:dyDescent="0.3">
      <c r="A174" s="28" t="s">
        <v>431</v>
      </c>
      <c r="B174">
        <v>20</v>
      </c>
      <c r="C174">
        <v>13.701041585455457</v>
      </c>
      <c r="D174">
        <v>2018</v>
      </c>
      <c r="E174">
        <v>1000</v>
      </c>
      <c r="F174" s="10">
        <f t="shared" si="28"/>
        <v>0.278109625625034</v>
      </c>
      <c r="G174" s="10">
        <f t="shared" si="29"/>
        <v>17.511433131459494</v>
      </c>
      <c r="H174" s="10">
        <f t="shared" si="30"/>
        <v>30.17803642988186</v>
      </c>
    </row>
    <row r="175" spans="1:8" x14ac:dyDescent="0.3">
      <c r="A175" s="28" t="s">
        <v>432</v>
      </c>
      <c r="B175">
        <v>20</v>
      </c>
      <c r="C175">
        <v>16.423410534787354</v>
      </c>
      <c r="D175">
        <v>2018</v>
      </c>
      <c r="E175">
        <v>1000</v>
      </c>
      <c r="F175" s="10">
        <f t="shared" si="28"/>
        <v>0.27438477771426661</v>
      </c>
      <c r="G175" s="10">
        <f t="shared" si="29"/>
        <v>20.929744383685129</v>
      </c>
      <c r="H175" s="10">
        <f t="shared" si="30"/>
        <v>36.068926154550702</v>
      </c>
    </row>
    <row r="176" spans="1:8" x14ac:dyDescent="0.3">
      <c r="A176" s="28" t="s">
        <v>433</v>
      </c>
      <c r="B176">
        <v>20</v>
      </c>
      <c r="C176">
        <v>7.6186169299201802</v>
      </c>
      <c r="D176">
        <v>2018</v>
      </c>
      <c r="E176">
        <v>1000</v>
      </c>
      <c r="F176" s="10">
        <f t="shared" si="28"/>
        <v>0.29052191789026294</v>
      </c>
      <c r="G176" s="10">
        <f t="shared" si="29"/>
        <v>9.831992132071818</v>
      </c>
      <c r="H176" s="10">
        <f t="shared" si="30"/>
        <v>16.943799774270431</v>
      </c>
    </row>
    <row r="177" spans="1:8" x14ac:dyDescent="0.3">
      <c r="A177" s="28" t="s">
        <v>434</v>
      </c>
      <c r="B177">
        <v>20</v>
      </c>
      <c r="C177">
        <v>5.9067739946470343</v>
      </c>
      <c r="D177">
        <v>2018</v>
      </c>
      <c r="E177">
        <v>1000</v>
      </c>
      <c r="F177" s="10">
        <f t="shared" si="28"/>
        <v>0.29607519281776579</v>
      </c>
      <c r="G177" s="10">
        <f t="shared" si="29"/>
        <v>7.6556232440431202</v>
      </c>
      <c r="H177" s="10">
        <f t="shared" si="30"/>
        <v>13.193190723900976</v>
      </c>
    </row>
    <row r="178" spans="1:8" x14ac:dyDescent="0.3">
      <c r="A178" s="28" t="s">
        <v>435</v>
      </c>
      <c r="B178">
        <v>20</v>
      </c>
      <c r="C178">
        <v>12.614629675688649</v>
      </c>
      <c r="D178">
        <v>2018</v>
      </c>
      <c r="E178">
        <v>1000</v>
      </c>
      <c r="F178" s="10">
        <f t="shared" si="28"/>
        <v>0.27982429864972025</v>
      </c>
      <c r="G178" s="10">
        <f t="shared" si="29"/>
        <v>16.144509577414173</v>
      </c>
      <c r="H178" s="10">
        <f t="shared" si="30"/>
        <v>27.82237150507709</v>
      </c>
    </row>
    <row r="179" spans="1:8" x14ac:dyDescent="0.3">
      <c r="A179" s="28" t="s">
        <v>436</v>
      </c>
      <c r="B179">
        <v>20</v>
      </c>
      <c r="C179">
        <v>10.00765505711707</v>
      </c>
      <c r="D179">
        <v>2018</v>
      </c>
      <c r="E179">
        <v>1000</v>
      </c>
      <c r="F179" s="10">
        <f t="shared" si="28"/>
        <v>0.28468577160258129</v>
      </c>
      <c r="G179" s="10">
        <f t="shared" si="29"/>
        <v>12.856692058984917</v>
      </c>
      <c r="H179" s="10">
        <f t="shared" si="30"/>
        <v>22.156365981650673</v>
      </c>
    </row>
    <row r="180" spans="1:8" x14ac:dyDescent="0.3">
      <c r="A180" s="28" t="s">
        <v>437</v>
      </c>
      <c r="B180">
        <v>20</v>
      </c>
      <c r="C180">
        <v>65.235880772932688</v>
      </c>
      <c r="D180">
        <v>2018</v>
      </c>
      <c r="E180">
        <v>1000</v>
      </c>
      <c r="F180" s="10">
        <f t="shared" si="28"/>
        <v>0.24762397409983822</v>
      </c>
      <c r="G180" s="10">
        <f t="shared" si="29"/>
        <v>81.38984882382951</v>
      </c>
      <c r="H180" s="10">
        <f t="shared" si="30"/>
        <v>140.26183947306617</v>
      </c>
    </row>
    <row r="181" spans="1:8" x14ac:dyDescent="0.3">
      <c r="A181" s="28" t="s">
        <v>438</v>
      </c>
      <c r="B181">
        <v>20</v>
      </c>
      <c r="C181">
        <v>29.202681096989611</v>
      </c>
      <c r="D181">
        <v>2020</v>
      </c>
      <c r="E181">
        <v>476</v>
      </c>
      <c r="F181" s="10">
        <f t="shared" si="28"/>
        <v>0.26288332328386627</v>
      </c>
      <c r="G181" s="10">
        <f t="shared" si="29"/>
        <v>36.879578952565183</v>
      </c>
      <c r="H181" s="10">
        <f t="shared" si="30"/>
        <v>63.555807728253988</v>
      </c>
    </row>
    <row r="182" spans="1:8" x14ac:dyDescent="0.3">
      <c r="A182" s="28" t="s">
        <v>439</v>
      </c>
      <c r="B182">
        <v>20</v>
      </c>
      <c r="C182">
        <v>55.692445246209701</v>
      </c>
      <c r="D182">
        <v>2018</v>
      </c>
      <c r="E182">
        <v>1000</v>
      </c>
      <c r="F182" s="10">
        <f t="shared" si="28"/>
        <v>0.25055509784699587</v>
      </c>
      <c r="G182" s="10">
        <f t="shared" si="29"/>
        <v>69.646471314212235</v>
      </c>
      <c r="H182" s="10">
        <f t="shared" si="30"/>
        <v>120.02408556482574</v>
      </c>
    </row>
    <row r="183" spans="1:8" x14ac:dyDescent="0.3">
      <c r="A183" s="28" t="s">
        <v>440</v>
      </c>
      <c r="B183">
        <v>20</v>
      </c>
      <c r="C183">
        <v>61.358343627986358</v>
      </c>
      <c r="D183">
        <v>2018</v>
      </c>
      <c r="E183">
        <v>1000</v>
      </c>
      <c r="F183" s="10">
        <f t="shared" si="28"/>
        <v>0.24875549854604528</v>
      </c>
      <c r="G183" s="10">
        <f t="shared" si="29"/>
        <v>76.62156898712567</v>
      </c>
      <c r="H183" s="10">
        <f t="shared" si="30"/>
        <v>132.04450388781322</v>
      </c>
    </row>
    <row r="184" spans="1:8" x14ac:dyDescent="0.3">
      <c r="A184" s="28" t="s">
        <v>443</v>
      </c>
      <c r="B184">
        <v>20</v>
      </c>
      <c r="C184">
        <v>42.600609145783331</v>
      </c>
      <c r="D184">
        <v>2020</v>
      </c>
      <c r="E184">
        <v>476</v>
      </c>
      <c r="F184" s="10">
        <f t="shared" si="28"/>
        <v>0.25560064824905315</v>
      </c>
      <c r="G184" s="10">
        <f t="shared" si="29"/>
        <v>53.489352459250092</v>
      </c>
      <c r="H184" s="10">
        <f t="shared" si="30"/>
        <v>92.179984071440984</v>
      </c>
    </row>
    <row r="185" spans="1:8" x14ac:dyDescent="0.3">
      <c r="A185" s="28" t="s">
        <v>647</v>
      </c>
      <c r="B185">
        <v>20</v>
      </c>
      <c r="C185">
        <v>36.344554923029847</v>
      </c>
      <c r="D185">
        <v>2018</v>
      </c>
      <c r="E185">
        <v>1000</v>
      </c>
      <c r="F185" s="10">
        <f t="shared" si="28"/>
        <v>0.25863887296067289</v>
      </c>
      <c r="G185" s="10">
        <f t="shared" si="29"/>
        <v>45.744669646579567</v>
      </c>
      <c r="H185" s="10">
        <f t="shared" si="30"/>
        <v>78.833314024272113</v>
      </c>
    </row>
    <row r="186" spans="1:8" x14ac:dyDescent="0.3">
      <c r="A186" s="28" t="s">
        <v>648</v>
      </c>
      <c r="B186">
        <v>20</v>
      </c>
      <c r="C186">
        <v>45.063262245810975</v>
      </c>
      <c r="D186">
        <v>2018</v>
      </c>
      <c r="E186">
        <v>1000</v>
      </c>
      <c r="F186" s="10">
        <f t="shared" si="28"/>
        <v>0.25453416475037494</v>
      </c>
      <c r="G186" s="10">
        <f t="shared" si="29"/>
        <v>56.533402062475574</v>
      </c>
      <c r="H186" s="10">
        <f t="shared" si="30"/>
        <v>97.425896220999562</v>
      </c>
    </row>
    <row r="187" spans="1:8" x14ac:dyDescent="0.3">
      <c r="A187" s="28" t="s">
        <v>649</v>
      </c>
      <c r="B187">
        <v>20</v>
      </c>
      <c r="C187">
        <v>44.323967175700872</v>
      </c>
      <c r="D187">
        <v>2018</v>
      </c>
      <c r="E187">
        <v>1000</v>
      </c>
      <c r="F187" s="10">
        <f t="shared" si="28"/>
        <v>0.25484761493050823</v>
      </c>
      <c r="G187" s="10">
        <f t="shared" si="29"/>
        <v>55.61982449468637</v>
      </c>
      <c r="H187" s="10">
        <f t="shared" si="30"/>
        <v>95.851497545842832</v>
      </c>
    </row>
    <row r="188" spans="1:8" x14ac:dyDescent="0.3">
      <c r="A188" s="28" t="s">
        <v>650</v>
      </c>
      <c r="B188">
        <v>20</v>
      </c>
      <c r="C188">
        <v>34.392424783530977</v>
      </c>
      <c r="D188">
        <v>2018</v>
      </c>
      <c r="E188">
        <v>1000</v>
      </c>
      <c r="F188" s="10">
        <f t="shared" si="28"/>
        <v>0.25970341178844081</v>
      </c>
      <c r="G188" s="10">
        <f t="shared" si="29"/>
        <v>43.324254839491296</v>
      </c>
      <c r="H188" s="10">
        <f t="shared" si="30"/>
        <v>74.662132506723324</v>
      </c>
    </row>
    <row r="189" spans="1:8" x14ac:dyDescent="0.3">
      <c r="A189" s="28" t="s">
        <v>651</v>
      </c>
      <c r="B189">
        <v>20</v>
      </c>
      <c r="C189">
        <v>18.024996327833026</v>
      </c>
      <c r="D189">
        <v>2018</v>
      </c>
      <c r="E189">
        <v>1000</v>
      </c>
      <c r="F189" s="10">
        <f t="shared" si="28"/>
        <v>0.27249175961781896</v>
      </c>
      <c r="G189" s="10">
        <f t="shared" si="29"/>
        <v>22.936659294308971</v>
      </c>
      <c r="H189" s="10">
        <f t="shared" si="30"/>
        <v>39.527509517192456</v>
      </c>
    </row>
    <row r="190" spans="1:8" x14ac:dyDescent="0.3">
      <c r="A190" s="28" t="s">
        <v>652</v>
      </c>
      <c r="B190">
        <v>20</v>
      </c>
      <c r="C190">
        <v>17.331650528112913</v>
      </c>
      <c r="D190">
        <v>2018</v>
      </c>
      <c r="E190">
        <v>1000</v>
      </c>
      <c r="F190" s="10">
        <f t="shared" si="28"/>
        <v>0.27328814754511987</v>
      </c>
      <c r="G190" s="10">
        <f t="shared" si="29"/>
        <v>22.068185194840289</v>
      </c>
      <c r="H190" s="10">
        <f t="shared" si="30"/>
        <v>38.03083915244143</v>
      </c>
    </row>
    <row r="191" spans="1:8" x14ac:dyDescent="0.3">
      <c r="A191" s="28" t="s">
        <v>653</v>
      </c>
      <c r="B191">
        <v>20</v>
      </c>
      <c r="C191">
        <v>30.322379519994197</v>
      </c>
      <c r="D191">
        <v>2018</v>
      </c>
      <c r="E191">
        <v>1000</v>
      </c>
      <c r="F191" s="10">
        <f t="shared" si="28"/>
        <v>0.26214845299015077</v>
      </c>
      <c r="G191" s="10">
        <f t="shared" si="29"/>
        <v>38.271344402140905</v>
      </c>
      <c r="H191" s="10">
        <f t="shared" si="30"/>
        <v>65.954283519689483</v>
      </c>
    </row>
    <row r="192" spans="1:8" x14ac:dyDescent="0.3">
      <c r="A192" s="28" t="s">
        <v>654</v>
      </c>
      <c r="B192">
        <v>20</v>
      </c>
      <c r="C192">
        <v>30.687494268015612</v>
      </c>
      <c r="D192">
        <v>2018</v>
      </c>
      <c r="E192">
        <v>1000</v>
      </c>
      <c r="F192" s="10">
        <f t="shared" si="28"/>
        <v>0.26191511185436495</v>
      </c>
      <c r="G192" s="10">
        <f t="shared" si="29"/>
        <v>38.725012761753106</v>
      </c>
      <c r="H192" s="10">
        <f t="shared" si="30"/>
        <v>66.736105326087852</v>
      </c>
    </row>
    <row r="193" spans="1:8" x14ac:dyDescent="0.3">
      <c r="A193" s="28" t="s">
        <v>655</v>
      </c>
      <c r="B193">
        <v>20</v>
      </c>
      <c r="C193">
        <v>42.603345181346519</v>
      </c>
      <c r="D193">
        <v>2018</v>
      </c>
      <c r="E193">
        <v>1000</v>
      </c>
      <c r="F193" s="10">
        <f t="shared" si="28"/>
        <v>0.25559942693928145</v>
      </c>
      <c r="G193" s="10">
        <f t="shared" si="29"/>
        <v>53.492735795395085</v>
      </c>
      <c r="H193" s="10">
        <f t="shared" si="30"/>
        <v>92.185814687397524</v>
      </c>
    </row>
    <row r="194" spans="1:8" x14ac:dyDescent="0.3">
      <c r="A194" s="28" t="s">
        <v>656</v>
      </c>
      <c r="B194">
        <v>20</v>
      </c>
      <c r="C194">
        <v>55.397569009985254</v>
      </c>
      <c r="D194">
        <v>2018</v>
      </c>
      <c r="E194">
        <v>1000</v>
      </c>
      <c r="F194" s="10">
        <f t="shared" si="28"/>
        <v>0.25065408018711571</v>
      </c>
      <c r="G194" s="10">
        <f t="shared" si="29"/>
        <v>69.283195714785379</v>
      </c>
      <c r="H194" s="10">
        <f t="shared" si="30"/>
        <v>119.3980406151468</v>
      </c>
    </row>
    <row r="195" spans="1:8" x14ac:dyDescent="0.3">
      <c r="A195" s="28" t="s">
        <v>657</v>
      </c>
      <c r="B195">
        <v>20</v>
      </c>
      <c r="C195">
        <v>57.215140477879615</v>
      </c>
      <c r="D195">
        <v>2018</v>
      </c>
      <c r="E195">
        <v>1000</v>
      </c>
      <c r="F195" s="10">
        <f t="shared" si="28"/>
        <v>0.25005277068792597</v>
      </c>
      <c r="G195" s="10">
        <f t="shared" si="29"/>
        <v>71.521944879672319</v>
      </c>
      <c r="H195" s="10">
        <f t="shared" si="30"/>
        <v>123.25615167596861</v>
      </c>
    </row>
    <row r="196" spans="1:8" x14ac:dyDescent="0.3">
      <c r="A196" s="28" t="s">
        <v>658</v>
      </c>
      <c r="B196">
        <v>20</v>
      </c>
      <c r="C196">
        <v>46.898272629837301</v>
      </c>
      <c r="D196">
        <v>2018</v>
      </c>
      <c r="E196">
        <v>1000</v>
      </c>
      <c r="F196" s="10">
        <f t="shared" si="28"/>
        <v>0.25377943006929615</v>
      </c>
      <c r="G196" s="10">
        <f t="shared" si="29"/>
        <v>58.800089529071883</v>
      </c>
      <c r="H196" s="10">
        <f t="shared" si="30"/>
        <v>101.33215428843387</v>
      </c>
    </row>
    <row r="197" spans="1:8" x14ac:dyDescent="0.3">
      <c r="A197" s="28" t="s">
        <v>659</v>
      </c>
      <c r="B197">
        <v>20</v>
      </c>
      <c r="C197">
        <v>30.433918494740769</v>
      </c>
      <c r="D197">
        <v>2018</v>
      </c>
      <c r="E197">
        <v>1000</v>
      </c>
      <c r="F197" s="10">
        <f t="shared" si="28"/>
        <v>0.26207685072768422</v>
      </c>
      <c r="G197" s="10">
        <f t="shared" si="29"/>
        <v>38.409944009145455</v>
      </c>
      <c r="H197" s="10">
        <f t="shared" si="30"/>
        <v>66.193136842427322</v>
      </c>
    </row>
    <row r="198" spans="1:8" x14ac:dyDescent="0.3">
      <c r="A198" s="28" t="s">
        <v>660</v>
      </c>
      <c r="B198">
        <v>20</v>
      </c>
      <c r="C198">
        <v>48.485470680161782</v>
      </c>
      <c r="D198">
        <v>2018</v>
      </c>
      <c r="E198">
        <v>1000</v>
      </c>
      <c r="F198" s="10">
        <f t="shared" si="28"/>
        <v>0.25315177854058091</v>
      </c>
      <c r="G198" s="10">
        <f t="shared" si="29"/>
        <v>60.75965381622192</v>
      </c>
      <c r="H198" s="10">
        <f t="shared" si="30"/>
        <v>104.70913674328909</v>
      </c>
    </row>
    <row r="199" spans="1:8" x14ac:dyDescent="0.3">
      <c r="A199" s="28" t="s">
        <v>661</v>
      </c>
      <c r="B199">
        <v>20</v>
      </c>
      <c r="C199">
        <v>47.568770085154377</v>
      </c>
      <c r="D199">
        <v>2020</v>
      </c>
      <c r="E199">
        <v>1000</v>
      </c>
      <c r="F199" s="10">
        <f t="shared" si="28"/>
        <v>0.25351154152934946</v>
      </c>
      <c r="G199" s="10">
        <f t="shared" si="29"/>
        <v>59.628002318097067</v>
      </c>
      <c r="H199" s="10">
        <f t="shared" si="30"/>
        <v>102.75892399485393</v>
      </c>
    </row>
    <row r="200" spans="1:8" x14ac:dyDescent="0.3">
      <c r="A200" s="28" t="s">
        <v>662</v>
      </c>
      <c r="B200">
        <v>20</v>
      </c>
      <c r="C200">
        <v>25.524022653567879</v>
      </c>
      <c r="D200">
        <v>2020</v>
      </c>
      <c r="E200">
        <v>1000</v>
      </c>
      <c r="F200" s="10">
        <f t="shared" si="28"/>
        <v>0.26552992481823151</v>
      </c>
      <c r="G200" s="10">
        <f t="shared" si="29"/>
        <v>32.301414469828593</v>
      </c>
      <c r="H200" s="10">
        <f t="shared" si="30"/>
        <v>55.666104269671273</v>
      </c>
    </row>
    <row r="201" spans="1:8" x14ac:dyDescent="0.3">
      <c r="A201" s="28" t="s">
        <v>663</v>
      </c>
      <c r="B201">
        <v>20</v>
      </c>
      <c r="C201">
        <v>46.594421641789594</v>
      </c>
      <c r="D201">
        <v>2020</v>
      </c>
      <c r="E201">
        <v>1000</v>
      </c>
      <c r="F201" s="10">
        <f t="shared" si="28"/>
        <v>0.25390218780590723</v>
      </c>
      <c r="G201" s="10">
        <f t="shared" si="29"/>
        <v>58.424847236190892</v>
      </c>
      <c r="H201" s="10">
        <f t="shared" si="30"/>
        <v>100.68548673703563</v>
      </c>
    </row>
  </sheetData>
  <mergeCells count="10">
    <mergeCell ref="K91:O91"/>
    <mergeCell ref="P91:T91"/>
    <mergeCell ref="U91:Y91"/>
    <mergeCell ref="Z91:AD91"/>
    <mergeCell ref="AE91:AI91"/>
    <mergeCell ref="AN3:AR3"/>
    <mergeCell ref="AS3:AW3"/>
    <mergeCell ref="AX3:BB3"/>
    <mergeCell ref="BC3:BG3"/>
    <mergeCell ref="BH3:BL3"/>
  </mergeCells>
  <pageMargins left="0.7" right="0.7" top="0.75" bottom="0.75" header="0.3" footer="0.3"/>
  <pageSetup paperSize="9" orientation="portrait"/>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BBC2-C22F-4DB1-B443-98314DABF57E}">
  <dimension ref="A1:AI62"/>
  <sheetViews>
    <sheetView topLeftCell="A16" workbookViewId="0">
      <selection activeCell="G52" sqref="F52:G61"/>
    </sheetView>
  </sheetViews>
  <sheetFormatPr defaultRowHeight="14.4" x14ac:dyDescent="0.3"/>
  <cols>
    <col min="2" max="2" width="15.77734375" bestFit="1" customWidth="1"/>
    <col min="4" max="4" width="12.44140625" bestFit="1" customWidth="1"/>
    <col min="5" max="5" width="12.109375" bestFit="1" customWidth="1"/>
    <col min="6" max="6" width="10.77734375" bestFit="1" customWidth="1"/>
    <col min="7" max="7" width="12.88671875" bestFit="1" customWidth="1"/>
    <col min="8" max="8" width="12.88671875" customWidth="1"/>
    <col min="9" max="9" width="10.109375" bestFit="1" customWidth="1"/>
  </cols>
  <sheetData>
    <row r="1" spans="1:35" x14ac:dyDescent="0.3">
      <c r="A1" s="135" t="s">
        <v>444</v>
      </c>
      <c r="B1" s="135" t="s">
        <v>445</v>
      </c>
      <c r="C1" s="135" t="s">
        <v>168</v>
      </c>
      <c r="D1" s="135" t="s">
        <v>446</v>
      </c>
      <c r="E1" s="135" t="s">
        <v>447</v>
      </c>
      <c r="F1" s="135" t="s">
        <v>448</v>
      </c>
      <c r="G1" s="135" t="s">
        <v>449</v>
      </c>
      <c r="H1" s="135" t="s">
        <v>571</v>
      </c>
      <c r="I1" s="135" t="s">
        <v>450</v>
      </c>
      <c r="J1" s="135" t="s">
        <v>451</v>
      </c>
      <c r="K1" s="135" t="s">
        <v>452</v>
      </c>
      <c r="L1" s="135" t="s">
        <v>453</v>
      </c>
      <c r="M1" s="135" t="s">
        <v>454</v>
      </c>
      <c r="N1" s="135" t="s">
        <v>455</v>
      </c>
      <c r="O1" s="135" t="s">
        <v>456</v>
      </c>
      <c r="P1" s="135" t="s">
        <v>457</v>
      </c>
      <c r="Q1" s="135" t="s">
        <v>458</v>
      </c>
      <c r="R1" s="135" t="s">
        <v>459</v>
      </c>
      <c r="S1" s="135" t="s">
        <v>460</v>
      </c>
      <c r="T1" s="135" t="s">
        <v>461</v>
      </c>
      <c r="U1" s="135" t="s">
        <v>462</v>
      </c>
      <c r="V1" s="135" t="s">
        <v>463</v>
      </c>
      <c r="W1" s="135" t="s">
        <v>464</v>
      </c>
      <c r="X1" s="135" t="s">
        <v>465</v>
      </c>
      <c r="Y1" s="135" t="s">
        <v>466</v>
      </c>
      <c r="Z1" s="135" t="s">
        <v>467</v>
      </c>
      <c r="AA1" s="135" t="s">
        <v>468</v>
      </c>
      <c r="AB1" s="135" t="s">
        <v>469</v>
      </c>
      <c r="AC1" s="135" t="s">
        <v>470</v>
      </c>
      <c r="AD1" s="135" t="s">
        <v>471</v>
      </c>
      <c r="AE1" s="135" t="s">
        <v>472</v>
      </c>
      <c r="AF1" s="135" t="s">
        <v>473</v>
      </c>
      <c r="AG1" s="135" t="s">
        <v>474</v>
      </c>
      <c r="AH1" s="135" t="s">
        <v>475</v>
      </c>
      <c r="AI1" s="135" t="s">
        <v>476</v>
      </c>
    </row>
    <row r="2" spans="1:35" x14ac:dyDescent="0.3">
      <c r="A2" s="135" t="s">
        <v>486</v>
      </c>
      <c r="B2" s="135" t="s">
        <v>268</v>
      </c>
      <c r="C2" s="135">
        <v>71.28</v>
      </c>
      <c r="D2" s="135"/>
      <c r="E2" s="135" t="s">
        <v>487</v>
      </c>
      <c r="F2" s="135" t="s">
        <v>479</v>
      </c>
      <c r="G2" s="135" t="s">
        <v>488</v>
      </c>
      <c r="H2" s="137">
        <v>71</v>
      </c>
      <c r="I2" s="136">
        <v>43344</v>
      </c>
      <c r="J2" s="135"/>
      <c r="K2" s="136">
        <v>44140</v>
      </c>
      <c r="L2" s="135">
        <v>938</v>
      </c>
      <c r="M2" s="135">
        <v>16.2</v>
      </c>
      <c r="N2" s="135">
        <v>13.9</v>
      </c>
      <c r="O2" s="135">
        <v>8.1999999999999993</v>
      </c>
      <c r="P2" s="135">
        <v>16.899999999999999</v>
      </c>
      <c r="Q2" s="135">
        <v>11.3</v>
      </c>
      <c r="R2" s="135">
        <v>6.2</v>
      </c>
      <c r="S2" s="135">
        <v>13.5</v>
      </c>
      <c r="T2" s="135">
        <v>56.9</v>
      </c>
      <c r="U2" s="135">
        <v>26.3</v>
      </c>
      <c r="V2" s="135">
        <v>1000</v>
      </c>
      <c r="W2" s="136">
        <v>44194</v>
      </c>
      <c r="X2" s="135"/>
      <c r="Y2" s="135"/>
      <c r="Z2" s="135">
        <v>9.8000000000000007</v>
      </c>
      <c r="AA2" s="135">
        <v>938</v>
      </c>
      <c r="AB2" s="135">
        <v>0.9</v>
      </c>
      <c r="AC2" s="135">
        <v>86</v>
      </c>
      <c r="AD2" s="135">
        <v>538</v>
      </c>
      <c r="AE2" s="135">
        <v>27.6</v>
      </c>
      <c r="AF2" s="135">
        <v>13.8</v>
      </c>
      <c r="AG2" s="135">
        <v>16.600000000000001</v>
      </c>
      <c r="AH2" s="135" t="s">
        <v>485</v>
      </c>
      <c r="AI2" s="135">
        <v>2018</v>
      </c>
    </row>
    <row r="3" spans="1:35" x14ac:dyDescent="0.3">
      <c r="A3" s="135" t="s">
        <v>562</v>
      </c>
      <c r="B3" s="135" t="s">
        <v>193</v>
      </c>
      <c r="C3" s="135">
        <v>69.23</v>
      </c>
      <c r="D3" s="135"/>
      <c r="E3" s="135" t="s">
        <v>483</v>
      </c>
      <c r="F3" s="135" t="s">
        <v>479</v>
      </c>
      <c r="G3" s="135" t="s">
        <v>563</v>
      </c>
      <c r="H3" s="137">
        <v>69</v>
      </c>
      <c r="I3" s="136">
        <v>43617</v>
      </c>
      <c r="J3" s="135"/>
      <c r="K3" s="136">
        <v>44170</v>
      </c>
      <c r="L3" s="135">
        <v>800</v>
      </c>
      <c r="M3" s="135">
        <v>10.199999999999999</v>
      </c>
      <c r="N3" s="135">
        <v>9.5</v>
      </c>
      <c r="O3" s="135">
        <v>7.2</v>
      </c>
      <c r="P3" s="135">
        <v>10.6</v>
      </c>
      <c r="Q3" s="135">
        <v>7.9</v>
      </c>
      <c r="R3" s="135">
        <v>6.9</v>
      </c>
      <c r="S3" s="135">
        <v>9.5</v>
      </c>
      <c r="T3" s="135">
        <v>17.100000000000001</v>
      </c>
      <c r="U3" s="135">
        <v>11.4</v>
      </c>
      <c r="V3" s="135">
        <v>1000</v>
      </c>
      <c r="W3" s="135"/>
      <c r="X3" s="135"/>
      <c r="Y3" s="135"/>
      <c r="Z3" s="135">
        <v>4.4000000000000004</v>
      </c>
      <c r="AA3" s="135">
        <v>975</v>
      </c>
      <c r="AB3" s="135">
        <v>1</v>
      </c>
      <c r="AC3" s="135">
        <v>100</v>
      </c>
      <c r="AD3" s="135">
        <v>0</v>
      </c>
      <c r="AE3" s="135">
        <v>0</v>
      </c>
      <c r="AF3" s="135">
        <v>9.3000000000000007</v>
      </c>
      <c r="AG3" s="135">
        <v>10.5</v>
      </c>
      <c r="AH3" s="135" t="s">
        <v>485</v>
      </c>
      <c r="AI3" s="135">
        <v>2019</v>
      </c>
    </row>
    <row r="4" spans="1:35" x14ac:dyDescent="0.3">
      <c r="A4" s="135" t="s">
        <v>549</v>
      </c>
      <c r="B4" s="135" t="s">
        <v>259</v>
      </c>
      <c r="C4" s="135">
        <v>65.47</v>
      </c>
      <c r="D4" s="135"/>
      <c r="E4" s="135" t="s">
        <v>487</v>
      </c>
      <c r="F4" s="135" t="s">
        <v>479</v>
      </c>
      <c r="G4" s="135" t="s">
        <v>550</v>
      </c>
      <c r="H4" s="137">
        <v>65</v>
      </c>
      <c r="I4" s="136">
        <v>43586</v>
      </c>
      <c r="J4" s="135"/>
      <c r="K4" s="136">
        <v>44170</v>
      </c>
      <c r="L4" s="135">
        <v>788</v>
      </c>
      <c r="M4" s="135">
        <v>9.8000000000000007</v>
      </c>
      <c r="N4" s="135">
        <v>8.8000000000000007</v>
      </c>
      <c r="O4" s="135">
        <v>7.3</v>
      </c>
      <c r="P4" s="135">
        <v>10.1</v>
      </c>
      <c r="Q4" s="135">
        <v>7.8</v>
      </c>
      <c r="R4" s="135">
        <v>6.5</v>
      </c>
      <c r="S4" s="135">
        <v>9.3000000000000007</v>
      </c>
      <c r="T4" s="135">
        <v>14.7</v>
      </c>
      <c r="U4" s="135">
        <v>9.3000000000000007</v>
      </c>
      <c r="V4" s="135">
        <v>1000</v>
      </c>
      <c r="W4" s="135"/>
      <c r="X4" s="135"/>
      <c r="Y4" s="135"/>
      <c r="Z4" s="135">
        <v>4.0999999999999996</v>
      </c>
      <c r="AA4" s="135">
        <v>988</v>
      </c>
      <c r="AB4" s="135">
        <v>1</v>
      </c>
      <c r="AC4" s="135">
        <v>99.3</v>
      </c>
      <c r="AD4" s="135">
        <v>0</v>
      </c>
      <c r="AE4" s="135">
        <v>0</v>
      </c>
      <c r="AF4" s="135">
        <v>8.6</v>
      </c>
      <c r="AG4" s="135">
        <v>10</v>
      </c>
      <c r="AH4" s="135" t="s">
        <v>485</v>
      </c>
      <c r="AI4" s="135">
        <v>2019</v>
      </c>
    </row>
    <row r="5" spans="1:35" x14ac:dyDescent="0.3">
      <c r="A5" s="135" t="s">
        <v>482</v>
      </c>
      <c r="B5" s="135" t="s">
        <v>273</v>
      </c>
      <c r="C5" s="135">
        <v>55.87</v>
      </c>
      <c r="D5" s="135"/>
      <c r="E5" s="135" t="s">
        <v>483</v>
      </c>
      <c r="F5" s="135" t="s">
        <v>479</v>
      </c>
      <c r="G5" s="135" t="s">
        <v>484</v>
      </c>
      <c r="H5" s="137">
        <v>56</v>
      </c>
      <c r="I5" s="136">
        <v>43374</v>
      </c>
      <c r="J5" s="135"/>
      <c r="K5" s="136">
        <v>44140</v>
      </c>
      <c r="L5" s="135">
        <v>671</v>
      </c>
      <c r="M5" s="135">
        <v>16.2</v>
      </c>
      <c r="N5" s="135">
        <v>14.6</v>
      </c>
      <c r="O5" s="135">
        <v>12.6</v>
      </c>
      <c r="P5" s="135">
        <v>16.8</v>
      </c>
      <c r="Q5" s="135">
        <v>12.3</v>
      </c>
      <c r="R5" s="135">
        <v>9.6999999999999993</v>
      </c>
      <c r="S5" s="135">
        <v>14.1</v>
      </c>
      <c r="T5" s="135">
        <v>47.2</v>
      </c>
      <c r="U5" s="135">
        <v>22.6</v>
      </c>
      <c r="V5" s="135">
        <v>1000</v>
      </c>
      <c r="W5" s="136">
        <v>44104</v>
      </c>
      <c r="X5" s="135"/>
      <c r="Y5" s="135"/>
      <c r="Z5" s="135">
        <v>7.9</v>
      </c>
      <c r="AA5" s="135">
        <v>671</v>
      </c>
      <c r="AB5" s="135">
        <v>0.9</v>
      </c>
      <c r="AC5" s="135">
        <v>88.5</v>
      </c>
      <c r="AD5" s="135">
        <v>250</v>
      </c>
      <c r="AE5" s="135">
        <v>16.3</v>
      </c>
      <c r="AF5" s="135">
        <v>14.6</v>
      </c>
      <c r="AG5" s="135">
        <v>16.8</v>
      </c>
      <c r="AH5" s="135" t="s">
        <v>485</v>
      </c>
      <c r="AI5" s="135">
        <v>2018</v>
      </c>
    </row>
    <row r="6" spans="1:35" x14ac:dyDescent="0.3">
      <c r="A6" s="135" t="s">
        <v>544</v>
      </c>
      <c r="B6" s="135" t="s">
        <v>255</v>
      </c>
      <c r="C6" s="135">
        <v>54.25</v>
      </c>
      <c r="D6" s="135"/>
      <c r="E6" s="135" t="s">
        <v>483</v>
      </c>
      <c r="F6" s="135" t="s">
        <v>479</v>
      </c>
      <c r="G6" s="135" t="s">
        <v>545</v>
      </c>
      <c r="H6" s="137">
        <v>54</v>
      </c>
      <c r="I6" s="136">
        <v>43647</v>
      </c>
      <c r="J6" s="135"/>
      <c r="K6" s="136">
        <v>44170</v>
      </c>
      <c r="L6" s="135">
        <v>817</v>
      </c>
      <c r="M6" s="135">
        <v>9.1</v>
      </c>
      <c r="N6" s="135">
        <v>8.1999999999999993</v>
      </c>
      <c r="O6" s="135">
        <v>6.6</v>
      </c>
      <c r="P6" s="135">
        <v>9.6</v>
      </c>
      <c r="Q6" s="135">
        <v>7.1</v>
      </c>
      <c r="R6" s="135">
        <v>5.6</v>
      </c>
      <c r="S6" s="135">
        <v>8.9</v>
      </c>
      <c r="T6" s="135">
        <v>11.4</v>
      </c>
      <c r="U6" s="135">
        <v>8.1</v>
      </c>
      <c r="V6" s="135">
        <v>1000</v>
      </c>
      <c r="W6" s="135"/>
      <c r="X6" s="135"/>
      <c r="Y6" s="135"/>
      <c r="Z6" s="135">
        <v>3.4</v>
      </c>
      <c r="AA6" s="135">
        <v>900</v>
      </c>
      <c r="AB6" s="135">
        <v>1</v>
      </c>
      <c r="AC6" s="135">
        <v>99.1</v>
      </c>
      <c r="AD6" s="135">
        <v>0</v>
      </c>
      <c r="AE6" s="135">
        <v>0</v>
      </c>
      <c r="AF6" s="135">
        <v>8</v>
      </c>
      <c r="AG6" s="135">
        <v>9.4</v>
      </c>
      <c r="AH6" s="135" t="s">
        <v>485</v>
      </c>
      <c r="AI6" s="135">
        <v>2019</v>
      </c>
    </row>
    <row r="7" spans="1:35" x14ac:dyDescent="0.3">
      <c r="A7" s="135" t="s">
        <v>551</v>
      </c>
      <c r="B7" s="135" t="s">
        <v>263</v>
      </c>
      <c r="C7" s="135">
        <v>53.82</v>
      </c>
      <c r="D7" s="135"/>
      <c r="E7" s="135" t="s">
        <v>492</v>
      </c>
      <c r="F7" s="135" t="s">
        <v>479</v>
      </c>
      <c r="G7" s="135" t="s">
        <v>545</v>
      </c>
      <c r="H7" s="137">
        <v>54</v>
      </c>
      <c r="I7" s="136">
        <v>43586</v>
      </c>
      <c r="J7" s="135"/>
      <c r="K7" s="136">
        <v>44170</v>
      </c>
      <c r="L7" s="135">
        <v>842</v>
      </c>
      <c r="M7" s="135">
        <v>10.6</v>
      </c>
      <c r="N7" s="135">
        <v>9.8000000000000007</v>
      </c>
      <c r="O7" s="135">
        <v>8.1</v>
      </c>
      <c r="P7" s="135">
        <v>11</v>
      </c>
      <c r="Q7" s="135">
        <v>7.6</v>
      </c>
      <c r="R7" s="135">
        <v>6.5</v>
      </c>
      <c r="S7" s="135">
        <v>9.3000000000000007</v>
      </c>
      <c r="T7" s="135">
        <v>17.100000000000001</v>
      </c>
      <c r="U7" s="135">
        <v>10.8</v>
      </c>
      <c r="V7" s="135">
        <v>1000</v>
      </c>
      <c r="W7" s="135"/>
      <c r="X7" s="135"/>
      <c r="Y7" s="135"/>
      <c r="Z7" s="135">
        <v>4.3</v>
      </c>
      <c r="AA7" s="135">
        <v>992</v>
      </c>
      <c r="AB7" s="135">
        <v>0.9</v>
      </c>
      <c r="AC7" s="135">
        <v>98</v>
      </c>
      <c r="AD7" s="135">
        <v>0</v>
      </c>
      <c r="AE7" s="135">
        <v>0</v>
      </c>
      <c r="AF7" s="135">
        <v>9.3000000000000007</v>
      </c>
      <c r="AG7" s="135">
        <v>11</v>
      </c>
      <c r="AH7" s="135" t="s">
        <v>485</v>
      </c>
      <c r="AI7" s="135">
        <v>2019</v>
      </c>
    </row>
    <row r="8" spans="1:35" x14ac:dyDescent="0.3">
      <c r="A8" s="135" t="s">
        <v>560</v>
      </c>
      <c r="B8" s="135" t="s">
        <v>261</v>
      </c>
      <c r="C8" s="135">
        <v>53.25</v>
      </c>
      <c r="D8" s="135"/>
      <c r="E8" s="135" t="s">
        <v>492</v>
      </c>
      <c r="F8" s="135" t="s">
        <v>479</v>
      </c>
      <c r="G8" s="135" t="s">
        <v>561</v>
      </c>
      <c r="H8" s="137">
        <v>53</v>
      </c>
      <c r="I8" s="136">
        <v>43617</v>
      </c>
      <c r="J8" s="135"/>
      <c r="K8" s="136">
        <v>44170</v>
      </c>
      <c r="L8" s="135">
        <v>900</v>
      </c>
      <c r="M8" s="135">
        <v>10.199999999999999</v>
      </c>
      <c r="N8" s="135">
        <v>9.4</v>
      </c>
      <c r="O8" s="135">
        <v>7.1</v>
      </c>
      <c r="P8" s="135">
        <v>10.4</v>
      </c>
      <c r="Q8" s="135">
        <v>7.1</v>
      </c>
      <c r="R8" s="135">
        <v>5.0999999999999996</v>
      </c>
      <c r="S8" s="135">
        <v>8.6</v>
      </c>
      <c r="T8" s="135">
        <v>15.1</v>
      </c>
      <c r="U8" s="135">
        <v>10.1</v>
      </c>
      <c r="V8" s="135">
        <v>1000</v>
      </c>
      <c r="W8" s="135"/>
      <c r="X8" s="135"/>
      <c r="Y8" s="135"/>
      <c r="Z8" s="135">
        <v>4</v>
      </c>
      <c r="AA8" s="135">
        <v>983</v>
      </c>
      <c r="AB8" s="135">
        <v>1</v>
      </c>
      <c r="AC8" s="135">
        <v>100</v>
      </c>
      <c r="AD8" s="135">
        <v>0</v>
      </c>
      <c r="AE8" s="135">
        <v>0</v>
      </c>
      <c r="AF8" s="135">
        <v>9.1</v>
      </c>
      <c r="AG8" s="135">
        <v>10.4</v>
      </c>
      <c r="AH8" s="135" t="s">
        <v>485</v>
      </c>
      <c r="AI8" s="135">
        <v>2019</v>
      </c>
    </row>
    <row r="9" spans="1:35" x14ac:dyDescent="0.3">
      <c r="A9" s="135" t="s">
        <v>542</v>
      </c>
      <c r="B9" s="135" t="s">
        <v>247</v>
      </c>
      <c r="C9" s="135">
        <v>51.05</v>
      </c>
      <c r="D9" s="135"/>
      <c r="E9" s="135" t="s">
        <v>492</v>
      </c>
      <c r="F9" s="135" t="s">
        <v>479</v>
      </c>
      <c r="G9" s="135" t="s">
        <v>543</v>
      </c>
      <c r="H9" s="137"/>
      <c r="I9" s="136">
        <v>43647</v>
      </c>
      <c r="J9" s="135"/>
      <c r="K9" s="136">
        <v>44170</v>
      </c>
      <c r="L9" s="135">
        <v>867</v>
      </c>
      <c r="M9" s="135">
        <v>10.199999999999999</v>
      </c>
      <c r="N9" s="135">
        <v>9.6</v>
      </c>
      <c r="O9" s="135">
        <v>7.7</v>
      </c>
      <c r="P9" s="135">
        <v>10.5</v>
      </c>
      <c r="Q9" s="135">
        <v>7.2</v>
      </c>
      <c r="R9" s="135">
        <v>5.7</v>
      </c>
      <c r="S9" s="135">
        <v>8.6</v>
      </c>
      <c r="T9" s="135">
        <v>15.5</v>
      </c>
      <c r="U9" s="135">
        <v>10.9</v>
      </c>
      <c r="V9" s="135">
        <v>1000</v>
      </c>
      <c r="W9" s="135"/>
      <c r="X9" s="135"/>
      <c r="Y9" s="135"/>
      <c r="Z9" s="135">
        <v>4</v>
      </c>
      <c r="AA9" s="135">
        <v>967</v>
      </c>
      <c r="AB9" s="135">
        <v>1</v>
      </c>
      <c r="AC9" s="135">
        <v>97.1</v>
      </c>
      <c r="AD9" s="135">
        <v>0</v>
      </c>
      <c r="AE9" s="135">
        <v>0</v>
      </c>
      <c r="AF9" s="135">
        <v>9.1</v>
      </c>
      <c r="AG9" s="135">
        <v>10.5</v>
      </c>
      <c r="AH9" s="135" t="s">
        <v>485</v>
      </c>
      <c r="AI9" s="135">
        <v>2019</v>
      </c>
    </row>
    <row r="10" spans="1:35" x14ac:dyDescent="0.3">
      <c r="A10" s="135" t="s">
        <v>568</v>
      </c>
      <c r="B10" s="135" t="s">
        <v>216</v>
      </c>
      <c r="C10" s="135">
        <v>50.35</v>
      </c>
      <c r="D10" s="135"/>
      <c r="E10" s="135" t="s">
        <v>483</v>
      </c>
      <c r="F10" s="135" t="s">
        <v>479</v>
      </c>
      <c r="G10" s="135" t="s">
        <v>569</v>
      </c>
      <c r="H10" s="137">
        <v>50</v>
      </c>
      <c r="I10" s="136">
        <v>43739</v>
      </c>
      <c r="J10" s="135"/>
      <c r="K10" s="136">
        <v>44170</v>
      </c>
      <c r="L10" s="135">
        <v>529</v>
      </c>
      <c r="M10" s="135">
        <v>7.7</v>
      </c>
      <c r="N10" s="135">
        <v>6.8</v>
      </c>
      <c r="O10" s="135">
        <v>5.0999999999999996</v>
      </c>
      <c r="P10" s="135">
        <v>7.9</v>
      </c>
      <c r="Q10" s="135">
        <v>6.1</v>
      </c>
      <c r="R10" s="135">
        <v>4.4000000000000004</v>
      </c>
      <c r="S10" s="135">
        <v>7.3</v>
      </c>
      <c r="T10" s="135">
        <v>4.5</v>
      </c>
      <c r="U10" s="135">
        <v>3.8</v>
      </c>
      <c r="V10" s="135">
        <v>714</v>
      </c>
      <c r="W10" s="135"/>
      <c r="X10" s="135"/>
      <c r="Y10" s="135"/>
      <c r="Z10" s="135">
        <v>1.6</v>
      </c>
      <c r="AA10" s="135">
        <v>557</v>
      </c>
      <c r="AB10" s="135">
        <v>1</v>
      </c>
      <c r="AC10" s="135">
        <v>98.6</v>
      </c>
      <c r="AD10" s="135">
        <v>0</v>
      </c>
      <c r="AE10" s="135">
        <v>0</v>
      </c>
      <c r="AF10" s="135">
        <v>6.7</v>
      </c>
      <c r="AG10" s="135">
        <v>7.9</v>
      </c>
      <c r="AH10" s="135" t="s">
        <v>481</v>
      </c>
      <c r="AI10" s="135">
        <v>2019</v>
      </c>
    </row>
    <row r="11" spans="1:35" x14ac:dyDescent="0.3">
      <c r="A11" s="135" t="s">
        <v>534</v>
      </c>
      <c r="B11" s="135" t="s">
        <v>233</v>
      </c>
      <c r="C11" s="135">
        <v>46.9</v>
      </c>
      <c r="D11" s="135"/>
      <c r="E11" s="135" t="s">
        <v>478</v>
      </c>
      <c r="F11" s="135" t="s">
        <v>479</v>
      </c>
      <c r="G11" s="135" t="s">
        <v>535</v>
      </c>
      <c r="H11" s="137">
        <v>47</v>
      </c>
      <c r="I11" s="136">
        <v>43556</v>
      </c>
      <c r="J11" s="135"/>
      <c r="K11" s="136">
        <v>44170</v>
      </c>
      <c r="L11" s="135">
        <v>638</v>
      </c>
      <c r="M11" s="135">
        <v>10.4</v>
      </c>
      <c r="N11" s="135">
        <v>9.3000000000000007</v>
      </c>
      <c r="O11" s="135">
        <v>7.4</v>
      </c>
      <c r="P11" s="135">
        <v>10.9</v>
      </c>
      <c r="Q11" s="135">
        <v>8.4</v>
      </c>
      <c r="R11" s="135">
        <v>6.4</v>
      </c>
      <c r="S11" s="135">
        <v>10.3</v>
      </c>
      <c r="T11" s="135">
        <v>15.5</v>
      </c>
      <c r="U11" s="135">
        <v>9.3000000000000007</v>
      </c>
      <c r="V11" s="135">
        <v>714</v>
      </c>
      <c r="W11" s="135"/>
      <c r="X11" s="135"/>
      <c r="Y11" s="135"/>
      <c r="Z11" s="135">
        <v>3.9</v>
      </c>
      <c r="AA11" s="135">
        <v>678</v>
      </c>
      <c r="AB11" s="135">
        <v>1</v>
      </c>
      <c r="AC11" s="135">
        <v>98.5</v>
      </c>
      <c r="AD11" s="135">
        <v>0</v>
      </c>
      <c r="AE11" s="135">
        <v>0</v>
      </c>
      <c r="AF11" s="135">
        <v>9.1</v>
      </c>
      <c r="AG11" s="135">
        <v>10.7</v>
      </c>
      <c r="AH11" s="135" t="s">
        <v>481</v>
      </c>
      <c r="AI11" s="135">
        <v>2019</v>
      </c>
    </row>
    <row r="12" spans="1:35" x14ac:dyDescent="0.3">
      <c r="A12" s="135" t="s">
        <v>503</v>
      </c>
      <c r="B12" s="135" t="s">
        <v>225</v>
      </c>
      <c r="C12" s="135">
        <v>42.65</v>
      </c>
      <c r="D12" s="135"/>
      <c r="E12" s="135" t="s">
        <v>478</v>
      </c>
      <c r="F12" s="135" t="s">
        <v>479</v>
      </c>
      <c r="G12" s="135" t="s">
        <v>504</v>
      </c>
      <c r="H12" s="137">
        <v>42.5</v>
      </c>
      <c r="I12" s="136">
        <v>43344</v>
      </c>
      <c r="J12" s="135"/>
      <c r="K12" s="136">
        <v>44170</v>
      </c>
      <c r="L12" s="135">
        <v>614</v>
      </c>
      <c r="M12" s="135">
        <v>15</v>
      </c>
      <c r="N12" s="135">
        <v>13.7</v>
      </c>
      <c r="O12" s="135">
        <v>10.9</v>
      </c>
      <c r="P12" s="135">
        <v>15.4</v>
      </c>
      <c r="Q12" s="135">
        <v>12.2</v>
      </c>
      <c r="R12" s="135">
        <v>9.8000000000000007</v>
      </c>
      <c r="S12" s="135">
        <v>14.4</v>
      </c>
      <c r="T12" s="135">
        <v>40.799999999999997</v>
      </c>
      <c r="U12" s="135">
        <v>18.100000000000001</v>
      </c>
      <c r="V12" s="135">
        <v>714</v>
      </c>
      <c r="W12" s="135"/>
      <c r="X12" s="135"/>
      <c r="Y12" s="135"/>
      <c r="Z12" s="135">
        <v>7.3</v>
      </c>
      <c r="AA12" s="135">
        <v>636</v>
      </c>
      <c r="AB12" s="135">
        <v>0.8</v>
      </c>
      <c r="AC12" s="135">
        <v>80.099999999999994</v>
      </c>
      <c r="AD12" s="135">
        <v>0</v>
      </c>
      <c r="AE12" s="135">
        <v>0</v>
      </c>
      <c r="AF12" s="135">
        <v>13.6</v>
      </c>
      <c r="AG12" s="135">
        <v>15.4</v>
      </c>
      <c r="AH12" s="135" t="s">
        <v>481</v>
      </c>
      <c r="AI12" s="135">
        <v>2018</v>
      </c>
    </row>
    <row r="13" spans="1:35" x14ac:dyDescent="0.3">
      <c r="A13" s="135" t="s">
        <v>554</v>
      </c>
      <c r="B13" s="135" t="s">
        <v>251</v>
      </c>
      <c r="C13" s="135">
        <v>42.62</v>
      </c>
      <c r="D13" s="135"/>
      <c r="E13" s="135" t="s">
        <v>478</v>
      </c>
      <c r="F13" s="135" t="s">
        <v>479</v>
      </c>
      <c r="G13" s="135" t="s">
        <v>555</v>
      </c>
      <c r="H13" s="137">
        <v>43</v>
      </c>
      <c r="I13" s="136">
        <v>43983</v>
      </c>
      <c r="J13" s="135"/>
      <c r="K13" s="135"/>
      <c r="L13" s="135">
        <v>0</v>
      </c>
      <c r="M13" s="135"/>
      <c r="N13" s="135"/>
      <c r="O13" s="135"/>
      <c r="P13" s="135"/>
      <c r="Q13" s="135"/>
      <c r="R13" s="135"/>
      <c r="S13" s="135"/>
      <c r="T13" s="135"/>
      <c r="U13" s="135"/>
      <c r="V13" s="135">
        <v>800</v>
      </c>
      <c r="W13" s="135"/>
      <c r="X13" s="135"/>
      <c r="Y13" s="135"/>
      <c r="Z13" s="135"/>
      <c r="AA13" s="135">
        <v>0</v>
      </c>
      <c r="AB13" s="135"/>
      <c r="AC13" s="135"/>
      <c r="AD13" s="135">
        <v>0</v>
      </c>
      <c r="AE13" s="135"/>
      <c r="AF13" s="135"/>
      <c r="AG13" s="135"/>
      <c r="AH13" s="135" t="s">
        <v>485</v>
      </c>
      <c r="AI13" s="135">
        <v>2020</v>
      </c>
    </row>
    <row r="14" spans="1:35" x14ac:dyDescent="0.3">
      <c r="A14" s="135" t="s">
        <v>489</v>
      </c>
      <c r="B14" s="135" t="s">
        <v>270</v>
      </c>
      <c r="C14" s="135">
        <v>41.71</v>
      </c>
      <c r="D14" s="135"/>
      <c r="E14" s="135" t="s">
        <v>478</v>
      </c>
      <c r="F14" s="135" t="s">
        <v>479</v>
      </c>
      <c r="G14" s="135" t="s">
        <v>490</v>
      </c>
      <c r="H14" s="137">
        <v>42</v>
      </c>
      <c r="I14" s="136">
        <v>43313</v>
      </c>
      <c r="J14" s="135"/>
      <c r="K14" s="136">
        <v>44140</v>
      </c>
      <c r="L14" s="135">
        <v>560</v>
      </c>
      <c r="M14" s="135">
        <v>15.3</v>
      </c>
      <c r="N14" s="135">
        <v>14.1</v>
      </c>
      <c r="O14" s="135">
        <v>12.1</v>
      </c>
      <c r="P14" s="135">
        <v>15.5</v>
      </c>
      <c r="Q14" s="135">
        <v>12.9</v>
      </c>
      <c r="R14" s="135">
        <v>10.9</v>
      </c>
      <c r="S14" s="135">
        <v>15.1</v>
      </c>
      <c r="T14" s="135">
        <v>41.6</v>
      </c>
      <c r="U14" s="135">
        <v>18.5</v>
      </c>
      <c r="V14" s="135">
        <v>1000</v>
      </c>
      <c r="W14" s="136">
        <v>44194</v>
      </c>
      <c r="X14" s="135"/>
      <c r="Y14" s="135"/>
      <c r="Z14" s="135">
        <v>7.3</v>
      </c>
      <c r="AA14" s="135">
        <v>560</v>
      </c>
      <c r="AB14" s="135">
        <v>1</v>
      </c>
      <c r="AC14" s="135">
        <v>100</v>
      </c>
      <c r="AD14" s="135">
        <v>220</v>
      </c>
      <c r="AE14" s="135">
        <v>15.3</v>
      </c>
      <c r="AF14" s="135">
        <v>14.1</v>
      </c>
      <c r="AG14" s="135">
        <v>15.5</v>
      </c>
      <c r="AH14" s="135" t="s">
        <v>485</v>
      </c>
      <c r="AI14" s="135">
        <v>2018</v>
      </c>
    </row>
    <row r="15" spans="1:35" x14ac:dyDescent="0.3">
      <c r="A15" s="135" t="s">
        <v>558</v>
      </c>
      <c r="B15" s="135" t="s">
        <v>249</v>
      </c>
      <c r="C15" s="135">
        <v>40.46</v>
      </c>
      <c r="D15" s="135"/>
      <c r="E15" s="135" t="s">
        <v>483</v>
      </c>
      <c r="F15" s="135" t="s">
        <v>479</v>
      </c>
      <c r="G15" s="135" t="s">
        <v>559</v>
      </c>
      <c r="H15" s="137">
        <v>40</v>
      </c>
      <c r="I15" s="136">
        <v>44044</v>
      </c>
      <c r="J15" s="135"/>
      <c r="K15" s="135"/>
      <c r="L15" s="135">
        <v>0</v>
      </c>
      <c r="M15" s="135"/>
      <c r="N15" s="135"/>
      <c r="O15" s="135"/>
      <c r="P15" s="135"/>
      <c r="Q15" s="135"/>
      <c r="R15" s="135"/>
      <c r="S15" s="135"/>
      <c r="T15" s="135"/>
      <c r="U15" s="135"/>
      <c r="V15" s="135">
        <v>800</v>
      </c>
      <c r="W15" s="135"/>
      <c r="X15" s="135"/>
      <c r="Y15" s="135"/>
      <c r="Z15" s="135"/>
      <c r="AA15" s="135">
        <v>0</v>
      </c>
      <c r="AB15" s="135"/>
      <c r="AC15" s="135"/>
      <c r="AD15" s="135">
        <v>0</v>
      </c>
      <c r="AE15" s="135"/>
      <c r="AF15" s="135"/>
      <c r="AG15" s="135"/>
      <c r="AH15" s="135" t="s">
        <v>485</v>
      </c>
      <c r="AI15" s="135">
        <v>2020</v>
      </c>
    </row>
    <row r="16" spans="1:35" x14ac:dyDescent="0.3">
      <c r="A16" s="135" t="s">
        <v>532</v>
      </c>
      <c r="B16" s="135" t="s">
        <v>218</v>
      </c>
      <c r="C16" s="135">
        <v>37.67</v>
      </c>
      <c r="D16" s="135"/>
      <c r="E16" s="135" t="s">
        <v>478</v>
      </c>
      <c r="F16" s="135" t="s">
        <v>479</v>
      </c>
      <c r="G16" s="135" t="s">
        <v>533</v>
      </c>
      <c r="H16" s="137">
        <v>38</v>
      </c>
      <c r="I16" s="136">
        <v>43739</v>
      </c>
      <c r="J16" s="135"/>
      <c r="K16" s="136">
        <v>44170</v>
      </c>
      <c r="L16" s="135">
        <v>479</v>
      </c>
      <c r="M16" s="135">
        <v>6.9</v>
      </c>
      <c r="N16" s="135">
        <v>5.8</v>
      </c>
      <c r="O16" s="135">
        <v>3.9</v>
      </c>
      <c r="P16" s="135">
        <v>7.2</v>
      </c>
      <c r="Q16" s="135">
        <v>5.5</v>
      </c>
      <c r="R16" s="135">
        <v>3.4</v>
      </c>
      <c r="S16" s="135">
        <v>7.2</v>
      </c>
      <c r="T16" s="135">
        <v>3.3</v>
      </c>
      <c r="U16" s="135">
        <v>2.8</v>
      </c>
      <c r="V16" s="135">
        <v>714</v>
      </c>
      <c r="W16" s="135"/>
      <c r="X16" s="135"/>
      <c r="Y16" s="135"/>
      <c r="Z16" s="135">
        <v>1.3</v>
      </c>
      <c r="AA16" s="135">
        <v>493</v>
      </c>
      <c r="AB16" s="135">
        <v>1</v>
      </c>
      <c r="AC16" s="135">
        <v>100</v>
      </c>
      <c r="AD16" s="135">
        <v>0</v>
      </c>
      <c r="AE16" s="135">
        <v>0</v>
      </c>
      <c r="AF16" s="135">
        <v>5.6</v>
      </c>
      <c r="AG16" s="135">
        <v>6.9</v>
      </c>
      <c r="AH16" s="135" t="s">
        <v>481</v>
      </c>
      <c r="AI16" s="135">
        <v>2019</v>
      </c>
    </row>
    <row r="17" spans="1:35" x14ac:dyDescent="0.3">
      <c r="A17" s="135" t="s">
        <v>477</v>
      </c>
      <c r="B17" s="135" t="s">
        <v>214</v>
      </c>
      <c r="C17" s="135">
        <v>33.14</v>
      </c>
      <c r="D17" s="135"/>
      <c r="E17" s="135" t="s">
        <v>478</v>
      </c>
      <c r="F17" s="135" t="s">
        <v>479</v>
      </c>
      <c r="G17" s="135" t="s">
        <v>480</v>
      </c>
      <c r="H17" s="137">
        <v>33</v>
      </c>
      <c r="I17" s="136">
        <v>43374</v>
      </c>
      <c r="J17" s="135"/>
      <c r="K17" s="136">
        <v>44170</v>
      </c>
      <c r="L17" s="135">
        <v>661</v>
      </c>
      <c r="M17" s="135">
        <v>14.7</v>
      </c>
      <c r="N17" s="135">
        <v>13.7</v>
      </c>
      <c r="O17" s="135">
        <v>11.4</v>
      </c>
      <c r="P17" s="135">
        <v>15.4</v>
      </c>
      <c r="Q17" s="135">
        <v>11.9</v>
      </c>
      <c r="R17" s="135">
        <v>10.3</v>
      </c>
      <c r="S17" s="135">
        <v>13.7</v>
      </c>
      <c r="T17" s="135">
        <v>41.5</v>
      </c>
      <c r="U17" s="135">
        <v>19.2</v>
      </c>
      <c r="V17" s="135">
        <v>714</v>
      </c>
      <c r="W17" s="135"/>
      <c r="X17" s="135"/>
      <c r="Y17" s="135"/>
      <c r="Z17" s="135">
        <v>7.5</v>
      </c>
      <c r="AA17" s="135">
        <v>688</v>
      </c>
      <c r="AB17" s="135">
        <v>1</v>
      </c>
      <c r="AC17" s="135">
        <v>94.7</v>
      </c>
      <c r="AD17" s="135">
        <v>0</v>
      </c>
      <c r="AE17" s="135">
        <v>0</v>
      </c>
      <c r="AF17" s="135">
        <v>13.6</v>
      </c>
      <c r="AG17" s="135">
        <v>15.4</v>
      </c>
      <c r="AH17" s="135" t="s">
        <v>481</v>
      </c>
      <c r="AI17" s="135">
        <v>2018</v>
      </c>
    </row>
    <row r="18" spans="1:35" x14ac:dyDescent="0.3">
      <c r="A18" s="135" t="s">
        <v>540</v>
      </c>
      <c r="B18" s="135" t="s">
        <v>241</v>
      </c>
      <c r="C18" s="135">
        <v>32.36</v>
      </c>
      <c r="D18" s="135"/>
      <c r="E18" s="135" t="s">
        <v>483</v>
      </c>
      <c r="F18" s="135" t="s">
        <v>479</v>
      </c>
      <c r="G18" s="135" t="s">
        <v>541</v>
      </c>
      <c r="H18" s="137"/>
      <c r="I18" s="136">
        <v>44013</v>
      </c>
      <c r="J18" s="135"/>
      <c r="K18" s="135"/>
      <c r="L18" s="135">
        <v>0</v>
      </c>
      <c r="M18" s="135"/>
      <c r="N18" s="135"/>
      <c r="O18" s="135"/>
      <c r="P18" s="135"/>
      <c r="Q18" s="135"/>
      <c r="R18" s="135"/>
      <c r="S18" s="135"/>
      <c r="T18" s="135"/>
      <c r="U18" s="135"/>
      <c r="V18" s="135">
        <v>800</v>
      </c>
      <c r="W18" s="135"/>
      <c r="X18" s="135"/>
      <c r="Y18" s="135"/>
      <c r="Z18" s="135"/>
      <c r="AA18" s="135">
        <v>0</v>
      </c>
      <c r="AB18" s="135"/>
      <c r="AC18" s="135"/>
      <c r="AD18" s="135">
        <v>0</v>
      </c>
      <c r="AE18" s="135"/>
      <c r="AF18" s="135"/>
      <c r="AG18" s="135"/>
      <c r="AH18" s="135" t="s">
        <v>485</v>
      </c>
      <c r="AI18" s="135">
        <v>2020</v>
      </c>
    </row>
    <row r="19" spans="1:35" x14ac:dyDescent="0.3">
      <c r="A19" s="135" t="s">
        <v>528</v>
      </c>
      <c r="B19" s="135" t="s">
        <v>239</v>
      </c>
      <c r="C19" s="135">
        <v>29.41</v>
      </c>
      <c r="D19" s="135"/>
      <c r="E19" s="135" t="s">
        <v>478</v>
      </c>
      <c r="F19" s="135" t="s">
        <v>479</v>
      </c>
      <c r="G19" s="135" t="s">
        <v>529</v>
      </c>
      <c r="H19" s="137">
        <v>29.5</v>
      </c>
      <c r="I19" s="136">
        <v>43556</v>
      </c>
      <c r="J19" s="135"/>
      <c r="K19" s="136">
        <v>44170</v>
      </c>
      <c r="L19" s="135">
        <v>580</v>
      </c>
      <c r="M19" s="135">
        <v>12</v>
      </c>
      <c r="N19" s="135">
        <v>10.6</v>
      </c>
      <c r="O19" s="135">
        <v>9.1</v>
      </c>
      <c r="P19" s="135">
        <v>13.4</v>
      </c>
      <c r="Q19" s="135">
        <v>9.6</v>
      </c>
      <c r="R19" s="135">
        <v>8.1999999999999993</v>
      </c>
      <c r="S19" s="135">
        <v>11</v>
      </c>
      <c r="T19" s="135">
        <v>19.3</v>
      </c>
      <c r="U19" s="135">
        <v>11.6</v>
      </c>
      <c r="V19" s="135">
        <v>714</v>
      </c>
      <c r="W19" s="135"/>
      <c r="X19" s="135"/>
      <c r="Y19" s="135"/>
      <c r="Z19" s="135">
        <v>4.4000000000000004</v>
      </c>
      <c r="AA19" s="135">
        <v>670</v>
      </c>
      <c r="AB19" s="135">
        <v>0.2</v>
      </c>
      <c r="AC19" s="135">
        <v>19.7</v>
      </c>
      <c r="AD19" s="135">
        <v>0</v>
      </c>
      <c r="AE19" s="135">
        <v>0</v>
      </c>
      <c r="AF19" s="135">
        <v>10.4</v>
      </c>
      <c r="AG19" s="135">
        <v>12.2</v>
      </c>
      <c r="AH19" s="135" t="s">
        <v>481</v>
      </c>
      <c r="AI19" s="135">
        <v>2019</v>
      </c>
    </row>
    <row r="20" spans="1:35" x14ac:dyDescent="0.3">
      <c r="A20" s="135" t="s">
        <v>548</v>
      </c>
      <c r="B20" s="135" t="s">
        <v>243</v>
      </c>
      <c r="C20" s="135">
        <v>28.31</v>
      </c>
      <c r="D20" s="135"/>
      <c r="E20" s="135" t="s">
        <v>483</v>
      </c>
      <c r="F20" s="135" t="s">
        <v>479</v>
      </c>
      <c r="G20" s="135" t="s">
        <v>495</v>
      </c>
      <c r="H20" s="137"/>
      <c r="I20" s="136">
        <v>44044</v>
      </c>
      <c r="J20" s="135"/>
      <c r="K20" s="135"/>
      <c r="L20" s="135">
        <v>0</v>
      </c>
      <c r="M20" s="135"/>
      <c r="N20" s="135"/>
      <c r="O20" s="135"/>
      <c r="P20" s="135"/>
      <c r="Q20" s="135"/>
      <c r="R20" s="135"/>
      <c r="S20" s="135"/>
      <c r="T20" s="135"/>
      <c r="U20" s="135"/>
      <c r="V20" s="135">
        <v>1000</v>
      </c>
      <c r="W20" s="135"/>
      <c r="X20" s="135"/>
      <c r="Y20" s="135"/>
      <c r="Z20" s="135"/>
      <c r="AA20" s="135">
        <v>0</v>
      </c>
      <c r="AB20" s="135"/>
      <c r="AC20" s="135"/>
      <c r="AD20" s="135">
        <v>0</v>
      </c>
      <c r="AE20" s="135"/>
      <c r="AF20" s="135"/>
      <c r="AG20" s="135"/>
      <c r="AH20" s="135" t="s">
        <v>485</v>
      </c>
      <c r="AI20" s="135">
        <v>2020</v>
      </c>
    </row>
    <row r="21" spans="1:35" x14ac:dyDescent="0.3">
      <c r="A21" s="135" t="s">
        <v>513</v>
      </c>
      <c r="B21" s="135" t="s">
        <v>183</v>
      </c>
      <c r="C21" s="135">
        <v>28.14</v>
      </c>
      <c r="D21" s="135"/>
      <c r="E21" s="135" t="s">
        <v>478</v>
      </c>
      <c r="F21" s="135" t="s">
        <v>479</v>
      </c>
      <c r="G21" s="135" t="s">
        <v>495</v>
      </c>
      <c r="H21" s="137">
        <v>28</v>
      </c>
      <c r="I21" s="136">
        <v>44105</v>
      </c>
      <c r="J21" s="135"/>
      <c r="K21" s="135"/>
      <c r="L21" s="135">
        <v>0</v>
      </c>
      <c r="M21" s="135"/>
      <c r="N21" s="135"/>
      <c r="O21" s="135"/>
      <c r="P21" s="135"/>
      <c r="Q21" s="135"/>
      <c r="R21" s="135"/>
      <c r="S21" s="135"/>
      <c r="T21" s="135"/>
      <c r="U21" s="135"/>
      <c r="V21" s="135">
        <v>476</v>
      </c>
      <c r="W21" s="135"/>
      <c r="X21" s="135"/>
      <c r="Y21" s="135"/>
      <c r="Z21" s="135"/>
      <c r="AA21" s="135">
        <v>0</v>
      </c>
      <c r="AB21" s="135"/>
      <c r="AC21" s="135"/>
      <c r="AD21" s="135">
        <v>0</v>
      </c>
      <c r="AE21" s="135"/>
      <c r="AF21" s="135"/>
      <c r="AG21" s="135"/>
      <c r="AH21" s="135" t="s">
        <v>481</v>
      </c>
      <c r="AI21" s="135">
        <v>2020</v>
      </c>
    </row>
    <row r="22" spans="1:35" x14ac:dyDescent="0.3">
      <c r="A22" s="135" t="s">
        <v>494</v>
      </c>
      <c r="B22" s="135" t="s">
        <v>229</v>
      </c>
      <c r="C22" s="135">
        <v>27.76</v>
      </c>
      <c r="D22" s="135"/>
      <c r="E22" s="135" t="s">
        <v>492</v>
      </c>
      <c r="F22" s="135" t="s">
        <v>479</v>
      </c>
      <c r="G22" s="135" t="s">
        <v>495</v>
      </c>
      <c r="H22" s="137">
        <v>28</v>
      </c>
      <c r="I22" s="136">
        <v>43405</v>
      </c>
      <c r="J22" s="135"/>
      <c r="K22" s="136">
        <v>44170</v>
      </c>
      <c r="L22" s="135">
        <v>661</v>
      </c>
      <c r="M22" s="135">
        <v>8.9</v>
      </c>
      <c r="N22" s="135">
        <v>6.8</v>
      </c>
      <c r="O22" s="135">
        <v>4.0999999999999996</v>
      </c>
      <c r="P22" s="135">
        <v>9.6</v>
      </c>
      <c r="Q22" s="135">
        <v>5.3</v>
      </c>
      <c r="R22" s="135">
        <v>3.3</v>
      </c>
      <c r="S22" s="135">
        <v>7.9</v>
      </c>
      <c r="T22" s="135">
        <v>4.7</v>
      </c>
      <c r="U22" s="135">
        <v>2.2999999999999998</v>
      </c>
      <c r="V22" s="135">
        <v>714</v>
      </c>
      <c r="W22" s="135"/>
      <c r="X22" s="135"/>
      <c r="Y22" s="135"/>
      <c r="Z22" s="135">
        <v>1.6</v>
      </c>
      <c r="AA22" s="135">
        <v>705</v>
      </c>
      <c r="AB22" s="135">
        <v>0.9</v>
      </c>
      <c r="AC22" s="135">
        <v>93.4</v>
      </c>
      <c r="AD22" s="135">
        <v>0</v>
      </c>
      <c r="AE22" s="135">
        <v>0</v>
      </c>
      <c r="AF22" s="135">
        <v>6.1</v>
      </c>
      <c r="AG22" s="135">
        <v>8.1999999999999993</v>
      </c>
      <c r="AH22" s="135" t="s">
        <v>481</v>
      </c>
      <c r="AI22" s="135">
        <v>2018</v>
      </c>
    </row>
    <row r="23" spans="1:35" x14ac:dyDescent="0.3">
      <c r="A23" s="135" t="s">
        <v>546</v>
      </c>
      <c r="B23" s="135" t="s">
        <v>237</v>
      </c>
      <c r="C23" s="135">
        <v>27.31</v>
      </c>
      <c r="D23" s="135"/>
      <c r="E23" s="135" t="s">
        <v>492</v>
      </c>
      <c r="F23" s="135" t="s">
        <v>479</v>
      </c>
      <c r="G23" s="135" t="s">
        <v>547</v>
      </c>
      <c r="H23" s="137">
        <v>27</v>
      </c>
      <c r="I23" s="136">
        <v>44013</v>
      </c>
      <c r="J23" s="135"/>
      <c r="K23" s="135"/>
      <c r="L23" s="135">
        <v>0</v>
      </c>
      <c r="M23" s="135"/>
      <c r="N23" s="135"/>
      <c r="O23" s="135"/>
      <c r="P23" s="135"/>
      <c r="Q23" s="135"/>
      <c r="R23" s="135"/>
      <c r="S23" s="135"/>
      <c r="T23" s="135"/>
      <c r="U23" s="135"/>
      <c r="V23" s="135">
        <v>1000</v>
      </c>
      <c r="W23" s="135"/>
      <c r="X23" s="135"/>
      <c r="Y23" s="135"/>
      <c r="Z23" s="135"/>
      <c r="AA23" s="135">
        <v>0</v>
      </c>
      <c r="AB23" s="135"/>
      <c r="AC23" s="135"/>
      <c r="AD23" s="135">
        <v>0</v>
      </c>
      <c r="AE23" s="135"/>
      <c r="AF23" s="135"/>
      <c r="AG23" s="135"/>
      <c r="AH23" s="135" t="s">
        <v>485</v>
      </c>
      <c r="AI23" s="135">
        <v>2020</v>
      </c>
    </row>
    <row r="24" spans="1:35" x14ac:dyDescent="0.3">
      <c r="A24" s="135" t="s">
        <v>566</v>
      </c>
      <c r="B24" s="135" t="s">
        <v>191</v>
      </c>
      <c r="C24" s="135">
        <v>25.48</v>
      </c>
      <c r="D24" s="135"/>
      <c r="E24" s="135" t="s">
        <v>478</v>
      </c>
      <c r="F24" s="135" t="s">
        <v>479</v>
      </c>
      <c r="G24" s="135" t="s">
        <v>567</v>
      </c>
      <c r="H24" s="135">
        <v>25.5</v>
      </c>
      <c r="I24" s="136">
        <v>43374</v>
      </c>
      <c r="J24" s="135"/>
      <c r="K24" s="136">
        <v>44170</v>
      </c>
      <c r="L24" s="135">
        <v>482</v>
      </c>
      <c r="M24" s="135">
        <v>12</v>
      </c>
      <c r="N24" s="135">
        <v>11</v>
      </c>
      <c r="O24" s="135">
        <v>8.6999999999999993</v>
      </c>
      <c r="P24" s="135">
        <v>12.2</v>
      </c>
      <c r="Q24" s="135">
        <v>9.9</v>
      </c>
      <c r="R24" s="135">
        <v>7.3</v>
      </c>
      <c r="S24" s="135">
        <v>12.5</v>
      </c>
      <c r="T24" s="135">
        <v>17.600000000000001</v>
      </c>
      <c r="U24" s="135">
        <v>8.1</v>
      </c>
      <c r="V24" s="135">
        <v>714</v>
      </c>
      <c r="W24" s="135"/>
      <c r="X24" s="135"/>
      <c r="Y24" s="135"/>
      <c r="Z24" s="135">
        <v>3.9</v>
      </c>
      <c r="AA24" s="135">
        <v>491</v>
      </c>
      <c r="AB24" s="135">
        <v>1</v>
      </c>
      <c r="AC24" s="135">
        <v>98.3</v>
      </c>
      <c r="AD24" s="135">
        <v>0</v>
      </c>
      <c r="AE24" s="135">
        <v>0</v>
      </c>
      <c r="AF24" s="135">
        <v>10.9</v>
      </c>
      <c r="AG24" s="135">
        <v>12.2</v>
      </c>
      <c r="AH24" s="135" t="s">
        <v>481</v>
      </c>
      <c r="AI24" s="135">
        <v>2018</v>
      </c>
    </row>
    <row r="25" spans="1:35" x14ac:dyDescent="0.3">
      <c r="A25" s="135" t="s">
        <v>527</v>
      </c>
      <c r="B25" s="135" t="s">
        <v>209</v>
      </c>
      <c r="C25" s="135">
        <v>24.87</v>
      </c>
      <c r="D25" s="135"/>
      <c r="E25" s="135" t="s">
        <v>478</v>
      </c>
      <c r="F25" s="135" t="s">
        <v>479</v>
      </c>
      <c r="G25" s="135" t="s">
        <v>512</v>
      </c>
      <c r="H25" s="137">
        <v>25</v>
      </c>
      <c r="I25" s="136">
        <v>43374</v>
      </c>
      <c r="J25" s="135"/>
      <c r="K25" s="136">
        <v>44170</v>
      </c>
      <c r="L25" s="135">
        <v>643</v>
      </c>
      <c r="M25" s="135">
        <v>13</v>
      </c>
      <c r="N25" s="135">
        <v>11.1</v>
      </c>
      <c r="O25" s="135">
        <v>8.8000000000000007</v>
      </c>
      <c r="P25" s="135">
        <v>14.7</v>
      </c>
      <c r="Q25" s="135">
        <v>9.8000000000000007</v>
      </c>
      <c r="R25" s="135">
        <v>7.9</v>
      </c>
      <c r="S25" s="135">
        <v>11.6</v>
      </c>
      <c r="T25" s="135">
        <v>22.8</v>
      </c>
      <c r="U25" s="135">
        <v>10.5</v>
      </c>
      <c r="V25" s="135">
        <v>714</v>
      </c>
      <c r="W25" s="135"/>
      <c r="X25" s="135"/>
      <c r="Y25" s="135"/>
      <c r="Z25" s="135">
        <v>5</v>
      </c>
      <c r="AA25" s="135">
        <v>669</v>
      </c>
      <c r="AB25" s="135">
        <v>1</v>
      </c>
      <c r="AC25" s="135">
        <v>100</v>
      </c>
      <c r="AD25" s="135">
        <v>0</v>
      </c>
      <c r="AE25" s="135">
        <v>0</v>
      </c>
      <c r="AF25" s="135">
        <v>11</v>
      </c>
      <c r="AG25" s="135">
        <v>12.9</v>
      </c>
      <c r="AH25" s="135" t="s">
        <v>481</v>
      </c>
      <c r="AI25" s="135">
        <v>2018</v>
      </c>
    </row>
    <row r="26" spans="1:35" x14ac:dyDescent="0.3">
      <c r="A26" s="135" t="s">
        <v>511</v>
      </c>
      <c r="B26" s="135" t="s">
        <v>185</v>
      </c>
      <c r="C26" s="135">
        <v>24.55</v>
      </c>
      <c r="D26" s="135"/>
      <c r="E26" s="135" t="s">
        <v>478</v>
      </c>
      <c r="F26" s="135" t="s">
        <v>479</v>
      </c>
      <c r="G26" s="135" t="s">
        <v>512</v>
      </c>
      <c r="H26" s="137">
        <v>25</v>
      </c>
      <c r="I26" s="136">
        <v>44105</v>
      </c>
      <c r="J26" s="135"/>
      <c r="K26" s="135"/>
      <c r="L26" s="135">
        <v>0</v>
      </c>
      <c r="M26" s="135"/>
      <c r="N26" s="135"/>
      <c r="O26" s="135"/>
      <c r="P26" s="135"/>
      <c r="Q26" s="135"/>
      <c r="R26" s="135"/>
      <c r="S26" s="135"/>
      <c r="T26" s="135"/>
      <c r="U26" s="135"/>
      <c r="V26" s="135">
        <v>476</v>
      </c>
      <c r="W26" s="135"/>
      <c r="X26" s="135"/>
      <c r="Y26" s="135"/>
      <c r="Z26" s="135"/>
      <c r="AA26" s="135">
        <v>0</v>
      </c>
      <c r="AB26" s="135"/>
      <c r="AC26" s="135"/>
      <c r="AD26" s="135">
        <v>0</v>
      </c>
      <c r="AE26" s="135"/>
      <c r="AF26" s="135"/>
      <c r="AG26" s="135"/>
      <c r="AH26" s="135" t="s">
        <v>481</v>
      </c>
      <c r="AI26" s="135">
        <v>2020</v>
      </c>
    </row>
    <row r="27" spans="1:35" x14ac:dyDescent="0.3">
      <c r="A27" s="135" t="s">
        <v>538</v>
      </c>
      <c r="B27" s="135" t="s">
        <v>245</v>
      </c>
      <c r="C27" s="135">
        <v>23.96</v>
      </c>
      <c r="D27" s="135"/>
      <c r="E27" s="135" t="s">
        <v>478</v>
      </c>
      <c r="F27" s="135" t="s">
        <v>479</v>
      </c>
      <c r="G27" s="135" t="s">
        <v>539</v>
      </c>
      <c r="H27" s="137">
        <v>24</v>
      </c>
      <c r="I27" s="136">
        <v>43983</v>
      </c>
      <c r="J27" s="135"/>
      <c r="K27" s="135"/>
      <c r="L27" s="135">
        <v>0</v>
      </c>
      <c r="M27" s="135"/>
      <c r="N27" s="135"/>
      <c r="O27" s="135"/>
      <c r="P27" s="135"/>
      <c r="Q27" s="135"/>
      <c r="R27" s="135"/>
      <c r="S27" s="135"/>
      <c r="T27" s="135"/>
      <c r="U27" s="135"/>
      <c r="V27" s="135">
        <v>800</v>
      </c>
      <c r="W27" s="135"/>
      <c r="X27" s="135"/>
      <c r="Y27" s="135"/>
      <c r="Z27" s="135"/>
      <c r="AA27" s="135">
        <v>0</v>
      </c>
      <c r="AB27" s="135"/>
      <c r="AC27" s="135"/>
      <c r="AD27" s="135">
        <v>0</v>
      </c>
      <c r="AE27" s="135"/>
      <c r="AF27" s="135"/>
      <c r="AG27" s="135"/>
      <c r="AH27" s="135" t="s">
        <v>485</v>
      </c>
      <c r="AI27" s="135">
        <v>2020</v>
      </c>
    </row>
    <row r="28" spans="1:35" x14ac:dyDescent="0.3">
      <c r="A28" s="135" t="s">
        <v>507</v>
      </c>
      <c r="B28" s="135" t="s">
        <v>231</v>
      </c>
      <c r="C28" s="135">
        <v>23.36</v>
      </c>
      <c r="D28" s="135"/>
      <c r="E28" s="135" t="s">
        <v>487</v>
      </c>
      <c r="F28" s="135" t="s">
        <v>479</v>
      </c>
      <c r="G28" s="135" t="s">
        <v>508</v>
      </c>
      <c r="H28" s="137">
        <v>23</v>
      </c>
      <c r="I28" s="136">
        <v>43678</v>
      </c>
      <c r="J28" s="135"/>
      <c r="K28" s="136">
        <v>44170</v>
      </c>
      <c r="L28" s="135">
        <v>571</v>
      </c>
      <c r="M28" s="135">
        <v>6.5</v>
      </c>
      <c r="N28" s="135">
        <v>5.3</v>
      </c>
      <c r="O28" s="135">
        <v>4</v>
      </c>
      <c r="P28" s="135">
        <v>7</v>
      </c>
      <c r="Q28" s="135">
        <v>4.4000000000000004</v>
      </c>
      <c r="R28" s="135">
        <v>3.5</v>
      </c>
      <c r="S28" s="135">
        <v>6.2</v>
      </c>
      <c r="T28" s="135">
        <v>2.2000000000000002</v>
      </c>
      <c r="U28" s="135">
        <v>1.7</v>
      </c>
      <c r="V28" s="135">
        <v>714</v>
      </c>
      <c r="W28" s="135"/>
      <c r="X28" s="135"/>
      <c r="Y28" s="135"/>
      <c r="Z28" s="135">
        <v>1</v>
      </c>
      <c r="AA28" s="135">
        <v>667</v>
      </c>
      <c r="AB28" s="135">
        <v>0.9</v>
      </c>
      <c r="AC28" s="135">
        <v>95.6</v>
      </c>
      <c r="AD28" s="135">
        <v>0</v>
      </c>
      <c r="AE28" s="135">
        <v>0</v>
      </c>
      <c r="AF28" s="135">
        <v>4.9000000000000004</v>
      </c>
      <c r="AG28" s="135">
        <v>6.3</v>
      </c>
      <c r="AH28" s="135" t="s">
        <v>481</v>
      </c>
      <c r="AI28" s="135">
        <v>2019</v>
      </c>
    </row>
    <row r="29" spans="1:35" x14ac:dyDescent="0.3">
      <c r="A29" s="135" t="s">
        <v>517</v>
      </c>
      <c r="B29" s="135" t="s">
        <v>187</v>
      </c>
      <c r="C29" s="135">
        <v>21.44</v>
      </c>
      <c r="D29" s="135"/>
      <c r="E29" s="135" t="s">
        <v>478</v>
      </c>
      <c r="F29" s="135" t="s">
        <v>479</v>
      </c>
      <c r="G29" s="135" t="s">
        <v>518</v>
      </c>
      <c r="H29" s="137">
        <v>21</v>
      </c>
      <c r="I29" s="136">
        <v>44044</v>
      </c>
      <c r="J29" s="135"/>
      <c r="K29" s="135"/>
      <c r="L29" s="135">
        <v>0</v>
      </c>
      <c r="M29" s="135"/>
      <c r="N29" s="135"/>
      <c r="O29" s="135"/>
      <c r="P29" s="135"/>
      <c r="Q29" s="135"/>
      <c r="R29" s="135"/>
      <c r="S29" s="135"/>
      <c r="T29" s="135"/>
      <c r="U29" s="135"/>
      <c r="V29" s="135">
        <v>476</v>
      </c>
      <c r="W29" s="135"/>
      <c r="X29" s="135"/>
      <c r="Y29" s="135"/>
      <c r="Z29" s="135"/>
      <c r="AA29" s="135">
        <v>0</v>
      </c>
      <c r="AB29" s="135"/>
      <c r="AC29" s="135"/>
      <c r="AD29" s="135">
        <v>0</v>
      </c>
      <c r="AE29" s="135"/>
      <c r="AF29" s="135"/>
      <c r="AG29" s="135"/>
      <c r="AH29" s="135" t="s">
        <v>481</v>
      </c>
      <c r="AI29" s="135">
        <v>2020</v>
      </c>
    </row>
    <row r="30" spans="1:35" x14ac:dyDescent="0.3">
      <c r="A30" s="135" t="s">
        <v>519</v>
      </c>
      <c r="B30" s="135" t="s">
        <v>181</v>
      </c>
      <c r="C30" s="135">
        <v>20.7</v>
      </c>
      <c r="D30" s="135"/>
      <c r="E30" s="135" t="s">
        <v>515</v>
      </c>
      <c r="F30" s="135" t="s">
        <v>479</v>
      </c>
      <c r="G30" s="135" t="s">
        <v>518</v>
      </c>
      <c r="H30" s="137">
        <v>21</v>
      </c>
      <c r="I30" s="136">
        <v>44044</v>
      </c>
      <c r="J30" s="135"/>
      <c r="K30" s="135"/>
      <c r="L30" s="135">
        <v>0</v>
      </c>
      <c r="M30" s="135"/>
      <c r="N30" s="135"/>
      <c r="O30" s="135"/>
      <c r="P30" s="135"/>
      <c r="Q30" s="135"/>
      <c r="R30" s="135"/>
      <c r="S30" s="135"/>
      <c r="T30" s="135"/>
      <c r="U30" s="135"/>
      <c r="V30" s="135">
        <v>476</v>
      </c>
      <c r="W30" s="135"/>
      <c r="X30" s="135"/>
      <c r="Y30" s="135"/>
      <c r="Z30" s="135"/>
      <c r="AA30" s="135">
        <v>0</v>
      </c>
      <c r="AB30" s="135"/>
      <c r="AC30" s="135"/>
      <c r="AD30" s="135">
        <v>0</v>
      </c>
      <c r="AE30" s="135"/>
      <c r="AF30" s="135"/>
      <c r="AG30" s="135"/>
      <c r="AH30" s="135" t="s">
        <v>481</v>
      </c>
      <c r="AI30" s="135">
        <v>2020</v>
      </c>
    </row>
    <row r="31" spans="1:35" x14ac:dyDescent="0.3">
      <c r="A31" s="135" t="s">
        <v>552</v>
      </c>
      <c r="B31" s="135" t="s">
        <v>205</v>
      </c>
      <c r="C31" s="135">
        <v>20.329999999999998</v>
      </c>
      <c r="D31" s="135"/>
      <c r="E31" s="135" t="s">
        <v>492</v>
      </c>
      <c r="F31" s="135" t="s">
        <v>479</v>
      </c>
      <c r="G31" s="135" t="s">
        <v>553</v>
      </c>
      <c r="H31" s="137">
        <v>20</v>
      </c>
      <c r="I31" s="136">
        <v>43770</v>
      </c>
      <c r="J31" s="135"/>
      <c r="K31" s="136">
        <v>44170</v>
      </c>
      <c r="L31" s="135">
        <v>488</v>
      </c>
      <c r="M31" s="135">
        <v>6.8</v>
      </c>
      <c r="N31" s="135">
        <v>6.3</v>
      </c>
      <c r="O31" s="135">
        <v>5.0999999999999996</v>
      </c>
      <c r="P31" s="135">
        <v>7.1</v>
      </c>
      <c r="Q31" s="135">
        <v>4.5999999999999996</v>
      </c>
      <c r="R31" s="135">
        <v>3.5</v>
      </c>
      <c r="S31" s="135">
        <v>5.8</v>
      </c>
      <c r="T31" s="135">
        <v>2.2999999999999998</v>
      </c>
      <c r="U31" s="135">
        <v>2.1</v>
      </c>
      <c r="V31" s="135">
        <v>714</v>
      </c>
      <c r="W31" s="135"/>
      <c r="X31" s="135"/>
      <c r="Y31" s="135"/>
      <c r="Z31" s="135">
        <v>0.9</v>
      </c>
      <c r="AA31" s="135">
        <v>583</v>
      </c>
      <c r="AB31" s="135">
        <v>0.8</v>
      </c>
      <c r="AC31" s="135">
        <v>84.9</v>
      </c>
      <c r="AD31" s="135">
        <v>0</v>
      </c>
      <c r="AE31" s="135">
        <v>0</v>
      </c>
      <c r="AF31" s="135">
        <v>6</v>
      </c>
      <c r="AG31" s="135">
        <v>7.1</v>
      </c>
      <c r="AH31" s="135" t="s">
        <v>481</v>
      </c>
      <c r="AI31" s="135">
        <v>2019</v>
      </c>
    </row>
    <row r="32" spans="1:35" x14ac:dyDescent="0.3">
      <c r="A32" s="135" t="s">
        <v>522</v>
      </c>
      <c r="B32" s="135" t="s">
        <v>195</v>
      </c>
      <c r="C32" s="135">
        <v>15.66</v>
      </c>
      <c r="D32" s="135"/>
      <c r="E32" s="135" t="s">
        <v>492</v>
      </c>
      <c r="F32" s="135" t="s">
        <v>479</v>
      </c>
      <c r="G32" s="135" t="s">
        <v>523</v>
      </c>
      <c r="H32" s="137">
        <v>15.5</v>
      </c>
      <c r="I32" s="136">
        <v>43800</v>
      </c>
      <c r="J32" s="135"/>
      <c r="K32" s="136">
        <v>44170</v>
      </c>
      <c r="L32" s="135">
        <v>433</v>
      </c>
      <c r="M32" s="135">
        <v>7.5</v>
      </c>
      <c r="N32" s="135">
        <v>6.7</v>
      </c>
      <c r="O32" s="135">
        <v>5.7</v>
      </c>
      <c r="P32" s="135">
        <v>7.8</v>
      </c>
      <c r="Q32" s="135">
        <v>5.9</v>
      </c>
      <c r="R32" s="135">
        <v>4.9000000000000004</v>
      </c>
      <c r="S32" s="135">
        <v>7</v>
      </c>
      <c r="T32" s="135">
        <v>3.4</v>
      </c>
      <c r="U32" s="135">
        <v>3.4</v>
      </c>
      <c r="V32" s="135">
        <v>500</v>
      </c>
      <c r="W32" s="135"/>
      <c r="X32" s="135"/>
      <c r="Y32" s="135"/>
      <c r="Z32" s="135">
        <v>1.2</v>
      </c>
      <c r="AA32" s="135">
        <v>458</v>
      </c>
      <c r="AB32" s="135">
        <v>0</v>
      </c>
      <c r="AC32" s="135">
        <v>3.9</v>
      </c>
      <c r="AD32" s="135">
        <v>0</v>
      </c>
      <c r="AE32" s="135">
        <v>0</v>
      </c>
      <c r="AF32" s="135">
        <v>6.7</v>
      </c>
      <c r="AG32" s="135">
        <v>7.8</v>
      </c>
      <c r="AH32" s="135" t="s">
        <v>498</v>
      </c>
      <c r="AI32" s="135">
        <v>2019</v>
      </c>
    </row>
    <row r="33" spans="1:35" x14ac:dyDescent="0.3">
      <c r="A33" s="135" t="s">
        <v>491</v>
      </c>
      <c r="B33" s="135" t="s">
        <v>265</v>
      </c>
      <c r="C33" s="135">
        <v>15.33</v>
      </c>
      <c r="D33" s="135"/>
      <c r="E33" s="135" t="s">
        <v>492</v>
      </c>
      <c r="F33" s="135" t="s">
        <v>479</v>
      </c>
      <c r="G33" s="135" t="s">
        <v>493</v>
      </c>
      <c r="H33" s="137">
        <v>15.5</v>
      </c>
      <c r="I33" s="136">
        <v>43313</v>
      </c>
      <c r="J33" s="135"/>
      <c r="K33" s="136">
        <v>44140</v>
      </c>
      <c r="L33" s="135">
        <v>467</v>
      </c>
      <c r="M33" s="135">
        <v>15.7</v>
      </c>
      <c r="N33" s="135">
        <v>14.7</v>
      </c>
      <c r="O33" s="135">
        <v>13.4</v>
      </c>
      <c r="P33" s="135">
        <v>16</v>
      </c>
      <c r="Q33" s="135">
        <v>11.9</v>
      </c>
      <c r="R33" s="135">
        <v>10.7</v>
      </c>
      <c r="S33" s="135">
        <v>12.9</v>
      </c>
      <c r="T33" s="135">
        <v>30.8</v>
      </c>
      <c r="U33" s="135">
        <v>13.7</v>
      </c>
      <c r="V33" s="135">
        <v>1000</v>
      </c>
      <c r="W33" s="136">
        <v>44194</v>
      </c>
      <c r="X33" s="135"/>
      <c r="Y33" s="135"/>
      <c r="Z33" s="135">
        <v>5.2</v>
      </c>
      <c r="AA33" s="135">
        <v>467</v>
      </c>
      <c r="AB33" s="135">
        <v>0.9</v>
      </c>
      <c r="AC33" s="135">
        <v>81</v>
      </c>
      <c r="AD33" s="135">
        <v>0</v>
      </c>
      <c r="AE33" s="135">
        <v>0</v>
      </c>
      <c r="AF33" s="135">
        <v>14.7</v>
      </c>
      <c r="AG33" s="135">
        <v>16</v>
      </c>
      <c r="AH33" s="135" t="s">
        <v>485</v>
      </c>
      <c r="AI33" s="135">
        <v>2018</v>
      </c>
    </row>
    <row r="34" spans="1:35" x14ac:dyDescent="0.3">
      <c r="A34" s="135" t="s">
        <v>530</v>
      </c>
      <c r="B34" s="135" t="s">
        <v>235</v>
      </c>
      <c r="C34" s="135">
        <v>13.92</v>
      </c>
      <c r="D34" s="135"/>
      <c r="E34" s="135" t="s">
        <v>478</v>
      </c>
      <c r="F34" s="135" t="s">
        <v>479</v>
      </c>
      <c r="G34" s="135" t="s">
        <v>531</v>
      </c>
      <c r="H34" s="137">
        <v>14</v>
      </c>
      <c r="I34" s="136">
        <v>43709</v>
      </c>
      <c r="J34" s="135"/>
      <c r="K34" s="136">
        <v>44170</v>
      </c>
      <c r="L34" s="135">
        <v>488</v>
      </c>
      <c r="M34" s="135">
        <v>7</v>
      </c>
      <c r="N34" s="135">
        <v>6.2</v>
      </c>
      <c r="O34" s="135">
        <v>4.5</v>
      </c>
      <c r="P34" s="135">
        <v>7.4</v>
      </c>
      <c r="Q34" s="135">
        <v>5.7</v>
      </c>
      <c r="R34" s="135">
        <v>4.3</v>
      </c>
      <c r="S34" s="135">
        <v>7.1</v>
      </c>
      <c r="T34" s="135">
        <v>3.6</v>
      </c>
      <c r="U34" s="135">
        <v>2.9</v>
      </c>
      <c r="V34" s="135">
        <v>714</v>
      </c>
      <c r="W34" s="135"/>
      <c r="X34" s="135"/>
      <c r="Y34" s="135"/>
      <c r="Z34" s="135">
        <v>1.4</v>
      </c>
      <c r="AA34" s="135">
        <v>536</v>
      </c>
      <c r="AB34" s="135">
        <v>1</v>
      </c>
      <c r="AC34" s="135">
        <v>97.2</v>
      </c>
      <c r="AD34" s="135">
        <v>0</v>
      </c>
      <c r="AE34" s="135">
        <v>0</v>
      </c>
      <c r="AF34" s="135">
        <v>6.1</v>
      </c>
      <c r="AG34" s="135">
        <v>7.4</v>
      </c>
      <c r="AH34" s="135" t="s">
        <v>481</v>
      </c>
      <c r="AI34" s="135">
        <v>2019</v>
      </c>
    </row>
    <row r="35" spans="1:35" x14ac:dyDescent="0.3">
      <c r="A35" s="135" t="s">
        <v>564</v>
      </c>
      <c r="B35" s="135" t="s">
        <v>223</v>
      </c>
      <c r="C35" s="135">
        <v>13.35</v>
      </c>
      <c r="D35" s="135"/>
      <c r="E35" s="135" t="s">
        <v>483</v>
      </c>
      <c r="F35" s="135" t="s">
        <v>479</v>
      </c>
      <c r="G35" s="135" t="s">
        <v>516</v>
      </c>
      <c r="H35" s="137">
        <v>13</v>
      </c>
      <c r="I35" s="136">
        <v>43556</v>
      </c>
      <c r="J35" s="135"/>
      <c r="K35" s="136">
        <v>44170</v>
      </c>
      <c r="L35" s="135">
        <v>536</v>
      </c>
      <c r="M35" s="135">
        <v>9.5</v>
      </c>
      <c r="N35" s="135">
        <v>8.4</v>
      </c>
      <c r="O35" s="135">
        <v>7</v>
      </c>
      <c r="P35" s="135">
        <v>9.8000000000000007</v>
      </c>
      <c r="Q35" s="135">
        <v>7.9</v>
      </c>
      <c r="R35" s="135">
        <v>6.1</v>
      </c>
      <c r="S35" s="135">
        <v>9.6999999999999993</v>
      </c>
      <c r="T35" s="135">
        <v>9.5</v>
      </c>
      <c r="U35" s="135">
        <v>5.7</v>
      </c>
      <c r="V35" s="135">
        <v>714</v>
      </c>
      <c r="W35" s="135"/>
      <c r="X35" s="135"/>
      <c r="Y35" s="135"/>
      <c r="Z35" s="135">
        <v>2.8</v>
      </c>
      <c r="AA35" s="135">
        <v>571</v>
      </c>
      <c r="AB35" s="135">
        <v>0.1</v>
      </c>
      <c r="AC35" s="135">
        <v>13.3</v>
      </c>
      <c r="AD35" s="135">
        <v>0</v>
      </c>
      <c r="AE35" s="135">
        <v>0</v>
      </c>
      <c r="AF35" s="135">
        <v>8.3000000000000007</v>
      </c>
      <c r="AG35" s="135">
        <v>9.8000000000000007</v>
      </c>
      <c r="AH35" s="135" t="s">
        <v>481</v>
      </c>
      <c r="AI35" s="135">
        <v>2019</v>
      </c>
    </row>
    <row r="36" spans="1:35" x14ac:dyDescent="0.3">
      <c r="A36" s="135" t="s">
        <v>514</v>
      </c>
      <c r="B36" s="135" t="s">
        <v>189</v>
      </c>
      <c r="C36" s="137">
        <v>12.69</v>
      </c>
      <c r="D36" s="135"/>
      <c r="E36" s="135" t="s">
        <v>515</v>
      </c>
      <c r="F36" s="135" t="s">
        <v>479</v>
      </c>
      <c r="G36" s="135" t="s">
        <v>516</v>
      </c>
      <c r="H36" s="137">
        <v>13</v>
      </c>
      <c r="I36" s="136">
        <v>44075</v>
      </c>
      <c r="J36" s="135"/>
      <c r="K36" s="135"/>
      <c r="L36" s="135">
        <v>0</v>
      </c>
      <c r="M36" s="135"/>
      <c r="N36" s="135"/>
      <c r="O36" s="135"/>
      <c r="P36" s="135"/>
      <c r="Q36" s="135"/>
      <c r="R36" s="135"/>
      <c r="S36" s="135"/>
      <c r="T36" s="135"/>
      <c r="U36" s="135"/>
      <c r="V36" s="135">
        <v>476</v>
      </c>
      <c r="W36" s="135"/>
      <c r="X36" s="135"/>
      <c r="Y36" s="135"/>
      <c r="Z36" s="135"/>
      <c r="AA36" s="135">
        <v>0</v>
      </c>
      <c r="AB36" s="135"/>
      <c r="AC36" s="135"/>
      <c r="AD36" s="135">
        <v>0</v>
      </c>
      <c r="AE36" s="135"/>
      <c r="AF36" s="135"/>
      <c r="AG36" s="135"/>
      <c r="AH36" s="135" t="s">
        <v>481</v>
      </c>
      <c r="AI36" s="135">
        <v>2020</v>
      </c>
    </row>
    <row r="37" spans="1:35" x14ac:dyDescent="0.3">
      <c r="A37" s="135" t="s">
        <v>501</v>
      </c>
      <c r="B37" s="135" t="s">
        <v>227</v>
      </c>
      <c r="C37" s="137">
        <v>11.76</v>
      </c>
      <c r="D37" s="135"/>
      <c r="E37" s="135" t="s">
        <v>478</v>
      </c>
      <c r="F37" s="135" t="s">
        <v>479</v>
      </c>
      <c r="G37" s="135" t="s">
        <v>502</v>
      </c>
      <c r="H37" s="137">
        <v>11.5</v>
      </c>
      <c r="I37" s="136">
        <v>43556</v>
      </c>
      <c r="J37" s="135"/>
      <c r="K37" s="136">
        <v>44170</v>
      </c>
      <c r="L37" s="135">
        <v>560</v>
      </c>
      <c r="M37" s="135">
        <v>11.2</v>
      </c>
      <c r="N37" s="135">
        <v>10.1</v>
      </c>
      <c r="O37" s="135">
        <v>8.6</v>
      </c>
      <c r="P37" s="135">
        <v>11.9</v>
      </c>
      <c r="Q37" s="135">
        <v>9</v>
      </c>
      <c r="R37" s="135">
        <v>8</v>
      </c>
      <c r="S37" s="135">
        <v>10.6</v>
      </c>
      <c r="T37" s="135">
        <v>15.3</v>
      </c>
      <c r="U37" s="135">
        <v>9.1999999999999993</v>
      </c>
      <c r="V37" s="135">
        <v>714</v>
      </c>
      <c r="W37" s="135"/>
      <c r="X37" s="135"/>
      <c r="Y37" s="135"/>
      <c r="Z37" s="135">
        <v>3.8</v>
      </c>
      <c r="AA37" s="135">
        <v>643</v>
      </c>
      <c r="AB37" s="135">
        <v>0.3</v>
      </c>
      <c r="AC37" s="135">
        <v>32.1</v>
      </c>
      <c r="AD37" s="135">
        <v>0</v>
      </c>
      <c r="AE37" s="135">
        <v>0</v>
      </c>
      <c r="AF37" s="135">
        <v>9.6999999999999993</v>
      </c>
      <c r="AG37" s="135">
        <v>11.3</v>
      </c>
      <c r="AH37" s="135" t="s">
        <v>481</v>
      </c>
      <c r="AI37" s="135">
        <v>2019</v>
      </c>
    </row>
    <row r="38" spans="1:35" x14ac:dyDescent="0.3">
      <c r="A38" s="135" t="s">
        <v>496</v>
      </c>
      <c r="B38" s="135" t="s">
        <v>201</v>
      </c>
      <c r="C38" s="137">
        <v>11.38</v>
      </c>
      <c r="D38" s="135"/>
      <c r="E38" s="135" t="s">
        <v>492</v>
      </c>
      <c r="F38" s="135" t="s">
        <v>479</v>
      </c>
      <c r="G38" s="135" t="s">
        <v>497</v>
      </c>
      <c r="H38" s="137">
        <v>11</v>
      </c>
      <c r="I38" s="136">
        <v>43800</v>
      </c>
      <c r="J38" s="135"/>
      <c r="K38" s="136">
        <v>44170</v>
      </c>
      <c r="L38" s="135">
        <v>342</v>
      </c>
      <c r="M38" s="135">
        <v>8.4</v>
      </c>
      <c r="N38" s="135">
        <v>7.1</v>
      </c>
      <c r="O38" s="135">
        <v>4.5</v>
      </c>
      <c r="P38" s="135">
        <v>9.1</v>
      </c>
      <c r="Q38" s="135">
        <v>5.8</v>
      </c>
      <c r="R38" s="135">
        <v>3.3</v>
      </c>
      <c r="S38" s="135">
        <v>8.3000000000000007</v>
      </c>
      <c r="T38" s="135">
        <v>3.2</v>
      </c>
      <c r="U38" s="135">
        <v>3.2</v>
      </c>
      <c r="V38" s="135">
        <v>500</v>
      </c>
      <c r="W38" s="135"/>
      <c r="X38" s="135"/>
      <c r="Y38" s="135"/>
      <c r="Z38" s="135">
        <v>1.1000000000000001</v>
      </c>
      <c r="AA38" s="135">
        <v>383</v>
      </c>
      <c r="AB38" s="135">
        <v>0.4</v>
      </c>
      <c r="AC38" s="135">
        <v>39.700000000000003</v>
      </c>
      <c r="AD38" s="135">
        <v>0</v>
      </c>
      <c r="AE38" s="135">
        <v>0</v>
      </c>
      <c r="AF38" s="135">
        <v>6.6</v>
      </c>
      <c r="AG38" s="135">
        <v>8.3000000000000007</v>
      </c>
      <c r="AH38" s="135" t="s">
        <v>498</v>
      </c>
      <c r="AI38" s="135">
        <v>2019</v>
      </c>
    </row>
    <row r="39" spans="1:35" x14ac:dyDescent="0.3">
      <c r="A39" s="135" t="s">
        <v>499</v>
      </c>
      <c r="B39" s="135" t="s">
        <v>203</v>
      </c>
      <c r="C39" s="137">
        <v>10.45</v>
      </c>
      <c r="D39" s="135"/>
      <c r="E39" s="135" t="s">
        <v>478</v>
      </c>
      <c r="F39" s="135" t="s">
        <v>479</v>
      </c>
      <c r="G39" s="135" t="s">
        <v>500</v>
      </c>
      <c r="H39" s="137">
        <v>10</v>
      </c>
      <c r="I39" s="136">
        <v>44166</v>
      </c>
      <c r="J39" s="135"/>
      <c r="K39" s="135"/>
      <c r="L39" s="135">
        <v>0</v>
      </c>
      <c r="M39" s="135"/>
      <c r="N39" s="135"/>
      <c r="O39" s="135"/>
      <c r="P39" s="135"/>
      <c r="Q39" s="135"/>
      <c r="R39" s="135"/>
      <c r="S39" s="135"/>
      <c r="T39" s="135"/>
      <c r="U39" s="135"/>
      <c r="V39" s="135">
        <v>500</v>
      </c>
      <c r="W39" s="135"/>
      <c r="X39" s="135"/>
      <c r="Y39" s="135"/>
      <c r="Z39" s="135"/>
      <c r="AA39" s="135">
        <v>0</v>
      </c>
      <c r="AB39" s="135"/>
      <c r="AC39" s="135"/>
      <c r="AD39" s="135">
        <v>0</v>
      </c>
      <c r="AE39" s="135"/>
      <c r="AF39" s="135"/>
      <c r="AG39" s="135"/>
      <c r="AH39" s="135" t="s">
        <v>498</v>
      </c>
      <c r="AI39" s="135">
        <v>2020</v>
      </c>
    </row>
    <row r="40" spans="1:35" x14ac:dyDescent="0.3">
      <c r="A40" s="135" t="s">
        <v>556</v>
      </c>
      <c r="B40" s="135" t="s">
        <v>557</v>
      </c>
      <c r="C40" s="137">
        <v>7.27</v>
      </c>
      <c r="D40" s="135"/>
      <c r="E40" s="135" t="s">
        <v>492</v>
      </c>
      <c r="F40" s="135" t="s">
        <v>479</v>
      </c>
      <c r="G40" s="135" t="s">
        <v>526</v>
      </c>
      <c r="H40" s="137">
        <v>7</v>
      </c>
      <c r="I40" s="136">
        <v>43374</v>
      </c>
      <c r="J40" s="135"/>
      <c r="K40" s="136">
        <v>44170</v>
      </c>
      <c r="L40" s="135">
        <v>655</v>
      </c>
      <c r="M40" s="135">
        <v>12.7</v>
      </c>
      <c r="N40" s="135">
        <v>11</v>
      </c>
      <c r="O40" s="135">
        <v>8.3000000000000007</v>
      </c>
      <c r="P40" s="135">
        <v>13.1</v>
      </c>
      <c r="Q40" s="135">
        <v>8.1</v>
      </c>
      <c r="R40" s="135">
        <v>6</v>
      </c>
      <c r="S40" s="135">
        <v>10.4</v>
      </c>
      <c r="T40" s="135">
        <v>16</v>
      </c>
      <c r="U40" s="135">
        <v>7.4</v>
      </c>
      <c r="V40" s="135">
        <v>714</v>
      </c>
      <c r="W40" s="135"/>
      <c r="X40" s="135"/>
      <c r="Y40" s="135"/>
      <c r="Z40" s="135">
        <v>3.5</v>
      </c>
      <c r="AA40" s="135">
        <v>667</v>
      </c>
      <c r="AB40" s="135">
        <v>0.5</v>
      </c>
      <c r="AC40" s="135">
        <v>47.1</v>
      </c>
      <c r="AD40" s="135">
        <v>0</v>
      </c>
      <c r="AE40" s="135">
        <v>0</v>
      </c>
      <c r="AF40" s="135">
        <v>11</v>
      </c>
      <c r="AG40" s="135">
        <v>13.1</v>
      </c>
      <c r="AH40" s="135" t="s">
        <v>481</v>
      </c>
      <c r="AI40" s="135">
        <v>2018</v>
      </c>
    </row>
    <row r="41" spans="1:35" x14ac:dyDescent="0.3">
      <c r="A41" s="135" t="s">
        <v>565</v>
      </c>
      <c r="B41" s="135" t="s">
        <v>197</v>
      </c>
      <c r="C41" s="137">
        <v>7.12</v>
      </c>
      <c r="D41" s="135"/>
      <c r="E41" s="135" t="s">
        <v>492</v>
      </c>
      <c r="F41" s="135" t="s">
        <v>479</v>
      </c>
      <c r="G41" s="135" t="s">
        <v>526</v>
      </c>
      <c r="H41" s="137">
        <v>7</v>
      </c>
      <c r="I41" s="136">
        <v>43800</v>
      </c>
      <c r="J41" s="135"/>
      <c r="K41" s="136">
        <v>44170</v>
      </c>
      <c r="L41" s="135">
        <v>433</v>
      </c>
      <c r="M41" s="135">
        <v>8.1</v>
      </c>
      <c r="N41" s="135">
        <v>7</v>
      </c>
      <c r="O41" s="135">
        <v>5</v>
      </c>
      <c r="P41" s="135">
        <v>8.4</v>
      </c>
      <c r="Q41" s="135">
        <v>5.9</v>
      </c>
      <c r="R41" s="135">
        <v>4.3</v>
      </c>
      <c r="S41" s="135">
        <v>7.3</v>
      </c>
      <c r="T41" s="135">
        <v>3.6</v>
      </c>
      <c r="U41" s="135">
        <v>3.6</v>
      </c>
      <c r="V41" s="135">
        <v>500</v>
      </c>
      <c r="W41" s="135"/>
      <c r="X41" s="135"/>
      <c r="Y41" s="135"/>
      <c r="Z41" s="135">
        <v>1.2</v>
      </c>
      <c r="AA41" s="135">
        <v>442</v>
      </c>
      <c r="AB41" s="135">
        <v>0.4</v>
      </c>
      <c r="AC41" s="135">
        <v>40.799999999999997</v>
      </c>
      <c r="AD41" s="135">
        <v>0</v>
      </c>
      <c r="AE41" s="135">
        <v>0</v>
      </c>
      <c r="AF41" s="135">
        <v>7</v>
      </c>
      <c r="AG41" s="135">
        <v>8.4</v>
      </c>
      <c r="AH41" s="135" t="s">
        <v>498</v>
      </c>
      <c r="AI41" s="135">
        <v>2019</v>
      </c>
    </row>
    <row r="42" spans="1:35" x14ac:dyDescent="0.3">
      <c r="A42" s="135" t="s">
        <v>524</v>
      </c>
      <c r="B42" s="135" t="s">
        <v>199</v>
      </c>
      <c r="C42" s="137">
        <v>7.05</v>
      </c>
      <c r="D42" s="135"/>
      <c r="E42" s="135" t="s">
        <v>525</v>
      </c>
      <c r="F42" s="135" t="s">
        <v>479</v>
      </c>
      <c r="G42" s="135" t="s">
        <v>526</v>
      </c>
      <c r="H42" s="137">
        <v>7</v>
      </c>
      <c r="I42" s="136">
        <v>43800</v>
      </c>
      <c r="J42" s="135"/>
      <c r="K42" s="136">
        <v>44170</v>
      </c>
      <c r="L42" s="135">
        <v>333</v>
      </c>
      <c r="M42" s="135">
        <v>5</v>
      </c>
      <c r="N42" s="135">
        <v>4.2</v>
      </c>
      <c r="O42" s="135">
        <v>3.2</v>
      </c>
      <c r="P42" s="135">
        <v>5.4</v>
      </c>
      <c r="Q42" s="135">
        <v>3.2</v>
      </c>
      <c r="R42" s="135">
        <v>2.4</v>
      </c>
      <c r="S42" s="135">
        <v>5</v>
      </c>
      <c r="T42" s="135">
        <v>0.6</v>
      </c>
      <c r="U42" s="135">
        <v>0.6</v>
      </c>
      <c r="V42" s="135">
        <v>500</v>
      </c>
      <c r="W42" s="135"/>
      <c r="X42" s="135"/>
      <c r="Y42" s="135"/>
      <c r="Z42" s="135">
        <v>0.3</v>
      </c>
      <c r="AA42" s="135">
        <v>383</v>
      </c>
      <c r="AB42" s="135">
        <v>0</v>
      </c>
      <c r="AC42" s="135">
        <v>0</v>
      </c>
      <c r="AD42" s="135">
        <v>0</v>
      </c>
      <c r="AE42" s="135">
        <v>0</v>
      </c>
      <c r="AF42" s="135">
        <v>3.9</v>
      </c>
      <c r="AG42" s="135">
        <v>5.0999999999999996</v>
      </c>
      <c r="AH42" s="135" t="s">
        <v>498</v>
      </c>
      <c r="AI42" s="135">
        <v>2019</v>
      </c>
    </row>
    <row r="43" spans="1:35" x14ac:dyDescent="0.3">
      <c r="A43" s="135" t="s">
        <v>520</v>
      </c>
      <c r="B43" s="135" t="s">
        <v>211</v>
      </c>
      <c r="C43" s="137">
        <v>5.98</v>
      </c>
      <c r="D43" s="135"/>
      <c r="E43" s="135" t="s">
        <v>478</v>
      </c>
      <c r="F43" s="135" t="s">
        <v>479</v>
      </c>
      <c r="G43" s="135" t="s">
        <v>521</v>
      </c>
      <c r="H43" s="137">
        <v>6</v>
      </c>
      <c r="I43" s="136">
        <v>43800</v>
      </c>
      <c r="J43" s="135"/>
      <c r="K43" s="136">
        <v>44170</v>
      </c>
      <c r="L43" s="135">
        <v>369</v>
      </c>
      <c r="M43" s="135">
        <v>6.7</v>
      </c>
      <c r="N43" s="135">
        <v>5.8</v>
      </c>
      <c r="O43" s="135">
        <v>4.0999999999999996</v>
      </c>
      <c r="P43" s="135">
        <v>7.2</v>
      </c>
      <c r="Q43" s="135">
        <v>4.3</v>
      </c>
      <c r="R43" s="135">
        <v>2.9</v>
      </c>
      <c r="S43" s="135">
        <v>5.7</v>
      </c>
      <c r="T43" s="135">
        <v>1.8</v>
      </c>
      <c r="U43" s="135">
        <v>1.8</v>
      </c>
      <c r="V43" s="135">
        <v>714</v>
      </c>
      <c r="W43" s="135"/>
      <c r="X43" s="135"/>
      <c r="Y43" s="135"/>
      <c r="Z43" s="135">
        <v>0.7</v>
      </c>
      <c r="AA43" s="135">
        <v>488</v>
      </c>
      <c r="AB43" s="135">
        <v>0.9</v>
      </c>
      <c r="AC43" s="135">
        <v>97.6</v>
      </c>
      <c r="AD43" s="135">
        <v>0</v>
      </c>
      <c r="AE43" s="135">
        <v>0</v>
      </c>
      <c r="AF43" s="135">
        <v>5.5</v>
      </c>
      <c r="AG43" s="135">
        <v>7</v>
      </c>
      <c r="AH43" s="135" t="s">
        <v>481</v>
      </c>
      <c r="AI43" s="135">
        <v>2019</v>
      </c>
    </row>
    <row r="44" spans="1:35" x14ac:dyDescent="0.3">
      <c r="A44" s="135" t="s">
        <v>509</v>
      </c>
      <c r="B44" s="135" t="s">
        <v>257</v>
      </c>
      <c r="C44" s="137">
        <v>3.79</v>
      </c>
      <c r="D44" s="135"/>
      <c r="E44" s="135" t="s">
        <v>492</v>
      </c>
      <c r="F44" s="135" t="s">
        <v>479</v>
      </c>
      <c r="G44" s="135" t="s">
        <v>510</v>
      </c>
      <c r="H44" s="137">
        <v>4</v>
      </c>
      <c r="I44" s="136">
        <v>43647</v>
      </c>
      <c r="J44" s="135"/>
      <c r="K44" s="136">
        <v>44170</v>
      </c>
      <c r="L44" s="135">
        <v>750</v>
      </c>
      <c r="M44" s="135">
        <v>8.8000000000000007</v>
      </c>
      <c r="N44" s="135">
        <v>7.4</v>
      </c>
      <c r="O44" s="135">
        <v>6</v>
      </c>
      <c r="P44" s="135">
        <v>9.1</v>
      </c>
      <c r="Q44" s="135">
        <v>6.9</v>
      </c>
      <c r="R44" s="135">
        <v>4.9000000000000004</v>
      </c>
      <c r="S44" s="135">
        <v>9.5</v>
      </c>
      <c r="T44" s="135">
        <v>9</v>
      </c>
      <c r="U44" s="135">
        <v>6.4</v>
      </c>
      <c r="V44" s="135">
        <v>1000</v>
      </c>
      <c r="W44" s="135"/>
      <c r="X44" s="135"/>
      <c r="Y44" s="135"/>
      <c r="Z44" s="135">
        <v>2.9</v>
      </c>
      <c r="AA44" s="135">
        <v>750</v>
      </c>
      <c r="AB44" s="135">
        <v>0.9</v>
      </c>
      <c r="AC44" s="135">
        <v>86.7</v>
      </c>
      <c r="AD44" s="135">
        <v>0</v>
      </c>
      <c r="AE44" s="135">
        <v>0</v>
      </c>
      <c r="AF44" s="135">
        <v>7.4</v>
      </c>
      <c r="AG44" s="135">
        <v>9.1</v>
      </c>
      <c r="AH44" s="135" t="s">
        <v>485</v>
      </c>
      <c r="AI44" s="135">
        <v>2019</v>
      </c>
    </row>
    <row r="45" spans="1:35" x14ac:dyDescent="0.3">
      <c r="A45" s="135" t="s">
        <v>536</v>
      </c>
      <c r="B45" s="135" t="s">
        <v>253</v>
      </c>
      <c r="C45" s="137">
        <v>3.51</v>
      </c>
      <c r="D45" s="135"/>
      <c r="E45" s="135" t="s">
        <v>483</v>
      </c>
      <c r="F45" s="135" t="s">
        <v>479</v>
      </c>
      <c r="G45" s="135" t="s">
        <v>537</v>
      </c>
      <c r="H45" s="135"/>
      <c r="I45" s="136">
        <v>43647</v>
      </c>
      <c r="J45" s="135"/>
      <c r="K45" s="136">
        <v>44170</v>
      </c>
      <c r="L45" s="135">
        <v>750</v>
      </c>
      <c r="M45" s="135">
        <v>10</v>
      </c>
      <c r="N45" s="135">
        <v>9.4</v>
      </c>
      <c r="O45" s="135">
        <v>8.3000000000000007</v>
      </c>
      <c r="P45" s="135">
        <v>10.199999999999999</v>
      </c>
      <c r="Q45" s="135">
        <v>7.4</v>
      </c>
      <c r="R45" s="135">
        <v>6.7</v>
      </c>
      <c r="S45" s="135">
        <v>8.6999999999999993</v>
      </c>
      <c r="T45" s="135">
        <v>12.8</v>
      </c>
      <c r="U45" s="135">
        <v>9</v>
      </c>
      <c r="V45" s="135">
        <v>1000</v>
      </c>
      <c r="W45" s="135"/>
      <c r="X45" s="135"/>
      <c r="Y45" s="135"/>
      <c r="Z45" s="135">
        <v>3.4</v>
      </c>
      <c r="AA45" s="135">
        <v>900</v>
      </c>
      <c r="AB45" s="135">
        <v>1</v>
      </c>
      <c r="AC45" s="135">
        <v>100</v>
      </c>
      <c r="AD45" s="135">
        <v>0</v>
      </c>
      <c r="AE45" s="135">
        <v>0</v>
      </c>
      <c r="AF45" s="135">
        <v>9.1999999999999993</v>
      </c>
      <c r="AG45" s="135">
        <v>10.199999999999999</v>
      </c>
      <c r="AH45" s="135" t="s">
        <v>485</v>
      </c>
      <c r="AI45" s="135">
        <v>2019</v>
      </c>
    </row>
    <row r="46" spans="1:35" x14ac:dyDescent="0.3">
      <c r="A46" s="135" t="s">
        <v>505</v>
      </c>
      <c r="B46" s="135" t="s">
        <v>221</v>
      </c>
      <c r="C46" s="137">
        <v>3.2</v>
      </c>
      <c r="D46" s="135"/>
      <c r="E46" s="135" t="s">
        <v>478</v>
      </c>
      <c r="F46" s="135" t="s">
        <v>479</v>
      </c>
      <c r="G46" s="135" t="s">
        <v>506</v>
      </c>
      <c r="H46" s="135">
        <v>3</v>
      </c>
      <c r="I46" s="136">
        <v>44197</v>
      </c>
      <c r="J46" s="135"/>
      <c r="K46" s="135"/>
      <c r="L46" s="135">
        <v>0</v>
      </c>
      <c r="M46" s="135"/>
      <c r="N46" s="135"/>
      <c r="O46" s="135"/>
      <c r="P46" s="135"/>
      <c r="Q46" s="135"/>
      <c r="R46" s="135"/>
      <c r="S46" s="135"/>
      <c r="T46" s="135"/>
      <c r="U46" s="135"/>
      <c r="V46" s="135">
        <v>714</v>
      </c>
      <c r="W46" s="135"/>
      <c r="X46" s="135"/>
      <c r="Y46" s="135"/>
      <c r="Z46" s="135"/>
      <c r="AA46" s="135">
        <v>0</v>
      </c>
      <c r="AB46" s="135"/>
      <c r="AC46" s="135"/>
      <c r="AD46" s="135">
        <v>0</v>
      </c>
      <c r="AE46" s="135"/>
      <c r="AF46" s="135"/>
      <c r="AG46" s="135"/>
      <c r="AH46" s="135" t="s">
        <v>481</v>
      </c>
      <c r="AI46" s="135">
        <v>2020</v>
      </c>
    </row>
    <row r="50" spans="4:7" x14ac:dyDescent="0.3">
      <c r="F50" s="23" t="s">
        <v>143</v>
      </c>
    </row>
    <row r="51" spans="4:7" x14ac:dyDescent="0.3">
      <c r="D51" s="23" t="s">
        <v>476</v>
      </c>
      <c r="E51" s="23" t="s">
        <v>463</v>
      </c>
      <c r="F51" t="s">
        <v>570</v>
      </c>
      <c r="G51" t="s">
        <v>572</v>
      </c>
    </row>
    <row r="52" spans="4:7" x14ac:dyDescent="0.3">
      <c r="D52">
        <v>2018</v>
      </c>
      <c r="E52">
        <v>714</v>
      </c>
      <c r="F52">
        <v>161.17000000000002</v>
      </c>
      <c r="G52">
        <v>161</v>
      </c>
    </row>
    <row r="53" spans="4:7" x14ac:dyDescent="0.3">
      <c r="E53">
        <v>1000</v>
      </c>
      <c r="F53">
        <v>184.19000000000003</v>
      </c>
      <c r="G53">
        <v>184.5</v>
      </c>
    </row>
    <row r="54" spans="4:7" x14ac:dyDescent="0.3">
      <c r="D54">
        <v>2019</v>
      </c>
      <c r="E54">
        <v>500</v>
      </c>
      <c r="F54">
        <v>41.209999999999994</v>
      </c>
      <c r="G54">
        <v>40.5</v>
      </c>
    </row>
    <row r="55" spans="4:7" x14ac:dyDescent="0.3">
      <c r="E55">
        <v>714</v>
      </c>
      <c r="F55">
        <v>253.02999999999994</v>
      </c>
      <c r="G55">
        <v>252</v>
      </c>
    </row>
    <row r="56" spans="4:7" x14ac:dyDescent="0.3">
      <c r="E56">
        <v>1000</v>
      </c>
      <c r="F56">
        <v>354.37</v>
      </c>
      <c r="G56">
        <v>299</v>
      </c>
    </row>
    <row r="57" spans="4:7" x14ac:dyDescent="0.3">
      <c r="D57">
        <v>2020</v>
      </c>
      <c r="E57">
        <v>500</v>
      </c>
      <c r="F57">
        <v>10.45</v>
      </c>
      <c r="G57">
        <v>10</v>
      </c>
    </row>
    <row r="58" spans="4:7" x14ac:dyDescent="0.3">
      <c r="E58">
        <v>714</v>
      </c>
      <c r="F58">
        <v>3.2</v>
      </c>
      <c r="G58">
        <v>3</v>
      </c>
    </row>
    <row r="59" spans="4:7" x14ac:dyDescent="0.3">
      <c r="E59">
        <v>1000</v>
      </c>
      <c r="F59">
        <v>55.62</v>
      </c>
      <c r="G59">
        <v>27</v>
      </c>
    </row>
    <row r="60" spans="4:7" x14ac:dyDescent="0.3">
      <c r="E60">
        <v>800</v>
      </c>
      <c r="F60">
        <v>139.4</v>
      </c>
      <c r="G60">
        <v>107</v>
      </c>
    </row>
    <row r="61" spans="4:7" x14ac:dyDescent="0.3">
      <c r="E61">
        <v>476</v>
      </c>
      <c r="F61">
        <v>107.52</v>
      </c>
      <c r="G61">
        <v>108</v>
      </c>
    </row>
    <row r="62" spans="4:7" x14ac:dyDescent="0.3">
      <c r="D62" t="s">
        <v>70</v>
      </c>
      <c r="F62">
        <v>1310.1600000000001</v>
      </c>
      <c r="G62">
        <v>1192</v>
      </c>
    </row>
  </sheetData>
  <autoFilter ref="A1:AI46" xr:uid="{A0C2BBC2-C22F-4DB1-B443-98314DABF57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0BD89-26A2-4F7C-89A6-CC869116CDA0}">
  <dimension ref="A1"/>
  <sheetViews>
    <sheetView workbookViewId="0">
      <selection activeCell="B3" sqref="B3"/>
    </sheetView>
  </sheetViews>
  <sheetFormatPr defaultRowHeight="14.4"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19"/>
  <sheetViews>
    <sheetView showGridLines="0" topLeftCell="A3" workbookViewId="0">
      <selection activeCell="D21" sqref="D21"/>
    </sheetView>
  </sheetViews>
  <sheetFormatPr defaultColWidth="9.21875" defaultRowHeight="14.4" x14ac:dyDescent="0.3"/>
  <cols>
    <col min="1" max="1" width="9.21875" style="31"/>
    <col min="2" max="3" width="13.44140625" style="31" customWidth="1"/>
    <col min="4" max="4" width="10.21875" style="31" customWidth="1"/>
    <col min="5" max="5" width="3.44140625" style="31" customWidth="1"/>
    <col min="6" max="6" width="12.21875" style="31" customWidth="1"/>
    <col min="7" max="16384" width="9.21875" style="31"/>
  </cols>
  <sheetData>
    <row r="2" spans="2:10" ht="18" x14ac:dyDescent="0.35">
      <c r="B2" s="32" t="s">
        <v>73</v>
      </c>
    </row>
    <row r="3" spans="2:10" ht="18" x14ac:dyDescent="0.35">
      <c r="B3" s="32"/>
    </row>
    <row r="4" spans="2:10" x14ac:dyDescent="0.3">
      <c r="B4" s="254" t="s">
        <v>74</v>
      </c>
      <c r="C4" s="254"/>
      <c r="D4" s="33">
        <v>0.7</v>
      </c>
      <c r="E4" s="255" t="s">
        <v>75</v>
      </c>
      <c r="F4" s="255"/>
    </row>
    <row r="5" spans="2:10" x14ac:dyDescent="0.3">
      <c r="B5" s="254" t="s">
        <v>74</v>
      </c>
      <c r="C5" s="254"/>
      <c r="D5" s="33">
        <f>D4*44/12</f>
        <v>2.5666666666666664</v>
      </c>
      <c r="E5" s="255" t="s">
        <v>76</v>
      </c>
      <c r="F5" s="255"/>
    </row>
    <row r="8" spans="2:10" ht="15.6" x14ac:dyDescent="0.3">
      <c r="B8" s="34" t="s">
        <v>77</v>
      </c>
      <c r="F8" s="256" t="s">
        <v>78</v>
      </c>
      <c r="G8" s="256"/>
      <c r="H8" s="256"/>
      <c r="I8" s="256"/>
    </row>
    <row r="9" spans="2:10" x14ac:dyDescent="0.3">
      <c r="F9" s="257"/>
      <c r="G9" s="257"/>
      <c r="H9" s="257"/>
      <c r="I9" s="257"/>
    </row>
    <row r="10" spans="2:10" ht="72" x14ac:dyDescent="0.3">
      <c r="B10" s="35" t="s">
        <v>79</v>
      </c>
      <c r="C10" s="35" t="s">
        <v>71</v>
      </c>
      <c r="D10" s="35" t="s">
        <v>80</v>
      </c>
      <c r="F10" s="35" t="s">
        <v>81</v>
      </c>
      <c r="G10" s="35" t="s">
        <v>82</v>
      </c>
      <c r="H10" s="35" t="s">
        <v>83</v>
      </c>
      <c r="I10" s="35" t="s">
        <v>84</v>
      </c>
    </row>
    <row r="11" spans="2:10" x14ac:dyDescent="0.3">
      <c r="B11" s="36">
        <v>2018</v>
      </c>
      <c r="C11" s="36">
        <v>1</v>
      </c>
      <c r="D11" s="114">
        <f>I11*$D$5/12*8</f>
        <v>590.33333333333326</v>
      </c>
      <c r="F11" s="36">
        <f>+B11</f>
        <v>2018</v>
      </c>
      <c r="G11" s="37">
        <f>+Carbon_Calculations!AJ5</f>
        <v>345</v>
      </c>
      <c r="H11" s="36">
        <v>0</v>
      </c>
      <c r="I11" s="37">
        <f t="shared" ref="I11:I16" si="0">G11-H11</f>
        <v>345</v>
      </c>
      <c r="J11" s="38"/>
    </row>
    <row r="12" spans="2:10" x14ac:dyDescent="0.3">
      <c r="B12" s="36">
        <v>2019</v>
      </c>
      <c r="C12" s="36">
        <v>2</v>
      </c>
      <c r="D12" s="114">
        <f>($I$11*$D$5)+($I$12*$D$5/12*8)</f>
        <v>1990.8777777777777</v>
      </c>
      <c r="F12" s="36">
        <f t="shared" ref="F12:F16" si="1">+B12</f>
        <v>2019</v>
      </c>
      <c r="G12" s="37">
        <f>+Carbon_Calculations!AJ6</f>
        <v>646</v>
      </c>
      <c r="H12" s="36">
        <v>0</v>
      </c>
      <c r="I12" s="37">
        <f t="shared" si="0"/>
        <v>646</v>
      </c>
      <c r="J12" s="38"/>
    </row>
    <row r="13" spans="2:10" x14ac:dyDescent="0.3">
      <c r="B13" s="36">
        <v>2020</v>
      </c>
      <c r="C13" s="36">
        <v>3</v>
      </c>
      <c r="D13" s="114">
        <f>$I$11*$D$5+$I$12*$D$5+($I$13*$D$5/12*8)</f>
        <v>3072.2999999999997</v>
      </c>
      <c r="F13" s="36">
        <f t="shared" si="1"/>
        <v>2020</v>
      </c>
      <c r="G13" s="37">
        <f>+Carbon_Calculations!AJ7</f>
        <v>309</v>
      </c>
      <c r="H13" s="36">
        <v>0</v>
      </c>
      <c r="I13" s="37">
        <f t="shared" si="0"/>
        <v>309</v>
      </c>
      <c r="J13" s="38"/>
    </row>
    <row r="14" spans="2:10" x14ac:dyDescent="0.3">
      <c r="B14" s="36">
        <v>2021</v>
      </c>
      <c r="C14" s="36">
        <v>4</v>
      </c>
      <c r="D14" s="114">
        <f>$I$11*$D$5+$I$12*$D$5+$I$13*$D$5+($I$14*$D$5/12*8)</f>
        <v>3336.6666666666665</v>
      </c>
      <c r="F14" s="36">
        <f t="shared" si="1"/>
        <v>2021</v>
      </c>
      <c r="G14" s="37"/>
      <c r="H14" s="36">
        <v>0</v>
      </c>
      <c r="I14" s="37">
        <f t="shared" si="0"/>
        <v>0</v>
      </c>
      <c r="J14" s="38"/>
    </row>
    <row r="15" spans="2:10" x14ac:dyDescent="0.3">
      <c r="B15" s="36">
        <v>2022</v>
      </c>
      <c r="C15" s="36">
        <v>5</v>
      </c>
      <c r="D15" s="114">
        <f>($I$11*$D$5+$I$12*$D$5+$I$13*$D$5+$I$14*$D$5+$I$15*$D$5)/12*9</f>
        <v>2502.5</v>
      </c>
      <c r="F15" s="36">
        <f t="shared" si="1"/>
        <v>2022</v>
      </c>
      <c r="G15" s="37"/>
      <c r="H15" s="36">
        <v>0</v>
      </c>
      <c r="I15" s="37">
        <f t="shared" si="0"/>
        <v>0</v>
      </c>
    </row>
    <row r="16" spans="2:10" x14ac:dyDescent="0.3">
      <c r="B16" s="36">
        <v>2023</v>
      </c>
      <c r="C16" s="36">
        <v>6</v>
      </c>
      <c r="D16" s="114"/>
      <c r="F16" s="36">
        <f t="shared" si="1"/>
        <v>2023</v>
      </c>
      <c r="G16" s="37"/>
      <c r="H16" s="36">
        <v>0</v>
      </c>
      <c r="I16" s="37">
        <f t="shared" si="0"/>
        <v>0</v>
      </c>
    </row>
    <row r="17" spans="2:4" x14ac:dyDescent="0.3">
      <c r="B17" s="36">
        <v>2024</v>
      </c>
      <c r="C17" s="36">
        <v>7</v>
      </c>
      <c r="D17" s="114"/>
    </row>
    <row r="18" spans="2:4" x14ac:dyDescent="0.3">
      <c r="B18" s="36">
        <v>2025</v>
      </c>
      <c r="C18" s="36">
        <v>8</v>
      </c>
      <c r="D18" s="114"/>
    </row>
    <row r="19" spans="2:4" x14ac:dyDescent="0.3">
      <c r="B19" s="36" t="s">
        <v>85</v>
      </c>
      <c r="C19" s="36"/>
      <c r="D19" s="114">
        <f>SUM(D11:D18)</f>
        <v>11492.677777777777</v>
      </c>
    </row>
  </sheetData>
  <mergeCells count="5">
    <mergeCell ref="B4:C4"/>
    <mergeCell ref="E4:F4"/>
    <mergeCell ref="B5:C5"/>
    <mergeCell ref="E5:F5"/>
    <mergeCell ref="F8:I9"/>
  </mergeCells>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Q119"/>
  <sheetViews>
    <sheetView topLeftCell="A50" workbookViewId="0">
      <selection activeCell="M73" sqref="M61:S73"/>
    </sheetView>
  </sheetViews>
  <sheetFormatPr defaultColWidth="10.77734375" defaultRowHeight="14.4" x14ac:dyDescent="0.3"/>
  <cols>
    <col min="2" max="2" width="13.109375" customWidth="1"/>
    <col min="4" max="4" width="11.21875" bestFit="1" customWidth="1"/>
    <col min="5" max="5" width="11.33203125" bestFit="1" customWidth="1"/>
    <col min="6" max="6" width="11.44140625" bestFit="1" customWidth="1"/>
    <col min="7" max="7" width="12.77734375" customWidth="1"/>
    <col min="8" max="8" width="11.21875" bestFit="1" customWidth="1"/>
    <col min="9" max="9" width="10.77734375" customWidth="1"/>
    <col min="10" max="10" width="11.44140625" bestFit="1" customWidth="1"/>
    <col min="11" max="11" width="12.21875" customWidth="1"/>
    <col min="13" max="13" width="11.44140625" bestFit="1" customWidth="1"/>
    <col min="14" max="14" width="11.33203125" bestFit="1" customWidth="1"/>
  </cols>
  <sheetData>
    <row r="2" spans="2:10" ht="15" thickBot="1" x14ac:dyDescent="0.35">
      <c r="B2" s="39" t="s">
        <v>86</v>
      </c>
    </row>
    <row r="3" spans="2:10" ht="31.2" x14ac:dyDescent="0.3">
      <c r="B3" s="237" t="s">
        <v>158</v>
      </c>
      <c r="C3" s="237" t="s">
        <v>87</v>
      </c>
      <c r="D3" s="237" t="s">
        <v>87</v>
      </c>
      <c r="E3" s="237" t="s">
        <v>87</v>
      </c>
      <c r="F3" s="41" t="s">
        <v>88</v>
      </c>
      <c r="G3" s="41" t="s">
        <v>89</v>
      </c>
      <c r="H3" s="41" t="s">
        <v>90</v>
      </c>
      <c r="I3" s="41" t="s">
        <v>91</v>
      </c>
    </row>
    <row r="4" spans="2:10" ht="55.2" x14ac:dyDescent="0.3">
      <c r="B4" s="238"/>
      <c r="C4" s="238"/>
      <c r="D4" s="238"/>
      <c r="E4" s="238"/>
      <c r="F4" s="43" t="s">
        <v>92</v>
      </c>
      <c r="G4" s="43" t="s">
        <v>93</v>
      </c>
      <c r="H4" s="43" t="s">
        <v>94</v>
      </c>
      <c r="I4" s="43" t="s">
        <v>95</v>
      </c>
      <c r="J4" s="106"/>
    </row>
    <row r="5" spans="2:10" ht="16.2" thickBot="1" x14ac:dyDescent="0.35">
      <c r="B5" s="239"/>
      <c r="C5" s="239"/>
      <c r="D5" s="239"/>
      <c r="E5" s="239"/>
      <c r="F5" s="45"/>
      <c r="G5" s="46" t="s">
        <v>96</v>
      </c>
      <c r="H5" s="81"/>
      <c r="I5" s="46" t="s">
        <v>97</v>
      </c>
    </row>
    <row r="6" spans="2:10" ht="15" thickBot="1" x14ac:dyDescent="0.35">
      <c r="B6" s="47" t="s">
        <v>159</v>
      </c>
      <c r="C6" s="48">
        <f>+Carbon_Calculations!T23</f>
        <v>159</v>
      </c>
      <c r="D6" s="48">
        <v>161</v>
      </c>
      <c r="E6" s="48">
        <f>+C6-D6</f>
        <v>-2</v>
      </c>
      <c r="F6" s="124"/>
      <c r="G6" s="124"/>
      <c r="H6" s="125"/>
      <c r="I6" s="48">
        <f t="shared" ref="I6:I14" si="0">SUM(F6:H6)</f>
        <v>0</v>
      </c>
      <c r="J6">
        <v>0</v>
      </c>
    </row>
    <row r="7" spans="2:10" ht="15" thickBot="1" x14ac:dyDescent="0.35">
      <c r="B7" s="47" t="s">
        <v>630</v>
      </c>
      <c r="C7" s="48">
        <f>+Carbon_Calculations!T24</f>
        <v>186</v>
      </c>
      <c r="D7" s="48">
        <v>184.5</v>
      </c>
      <c r="E7" s="48">
        <f t="shared" ref="E7:E14" si="1">+C7-D7</f>
        <v>1.5</v>
      </c>
      <c r="F7" s="107"/>
      <c r="G7" s="107"/>
      <c r="H7" s="108"/>
      <c r="I7" s="48">
        <f>+H7+G7+F7</f>
        <v>0</v>
      </c>
      <c r="J7" s="127">
        <f>+F7+H7</f>
        <v>0</v>
      </c>
    </row>
    <row r="8" spans="2:10" ht="15" thickBot="1" x14ac:dyDescent="0.35">
      <c r="B8" s="47" t="s">
        <v>631</v>
      </c>
      <c r="C8" s="48">
        <f>+Carbon_Calculations!T25</f>
        <v>41</v>
      </c>
      <c r="D8" s="48">
        <v>41</v>
      </c>
      <c r="E8" s="48">
        <f t="shared" si="1"/>
        <v>0</v>
      </c>
      <c r="F8" s="107"/>
      <c r="G8" s="107"/>
      <c r="H8" s="108"/>
      <c r="I8" s="48">
        <f t="shared" si="0"/>
        <v>0</v>
      </c>
      <c r="J8" s="127">
        <f t="shared" ref="J8:J14" si="2">+F8+H8</f>
        <v>0</v>
      </c>
    </row>
    <row r="9" spans="2:10" ht="15" thickBot="1" x14ac:dyDescent="0.35">
      <c r="B9" s="47" t="s">
        <v>632</v>
      </c>
      <c r="C9" s="48">
        <f>+Carbon_Calculations!T26</f>
        <v>252</v>
      </c>
      <c r="D9" s="48">
        <v>252</v>
      </c>
      <c r="E9" s="48">
        <f t="shared" si="1"/>
        <v>0</v>
      </c>
      <c r="F9" s="107"/>
      <c r="G9" s="107"/>
      <c r="H9" s="108"/>
      <c r="I9" s="48">
        <f t="shared" si="0"/>
        <v>0</v>
      </c>
      <c r="J9" s="127">
        <f t="shared" si="2"/>
        <v>0</v>
      </c>
    </row>
    <row r="10" spans="2:10" ht="15" thickBot="1" x14ac:dyDescent="0.35">
      <c r="B10" s="47" t="s">
        <v>633</v>
      </c>
      <c r="C10" s="48">
        <f>+Carbon_Calculations!T27</f>
        <v>353</v>
      </c>
      <c r="D10" s="48">
        <v>354</v>
      </c>
      <c r="E10" s="48">
        <f t="shared" si="1"/>
        <v>-1</v>
      </c>
      <c r="F10" s="107"/>
      <c r="G10" s="107"/>
      <c r="H10" s="108"/>
      <c r="I10" s="48">
        <f t="shared" si="0"/>
        <v>0</v>
      </c>
      <c r="J10" s="127">
        <f t="shared" si="2"/>
        <v>0</v>
      </c>
    </row>
    <row r="11" spans="2:10" ht="15" thickBot="1" x14ac:dyDescent="0.35">
      <c r="B11" s="47" t="s">
        <v>673</v>
      </c>
      <c r="C11" s="48">
        <f>+Carbon_Calculations!T28</f>
        <v>104</v>
      </c>
      <c r="D11" s="48"/>
      <c r="E11" s="48">
        <f t="shared" si="1"/>
        <v>104</v>
      </c>
      <c r="F11" s="107">
        <f>+Baseline!F42</f>
        <v>643.52066594964003</v>
      </c>
      <c r="G11" s="107">
        <f>+Baseline!G42</f>
        <v>7.4820239999999973</v>
      </c>
      <c r="H11" s="107">
        <f>+Baseline!H42</f>
        <v>2.2509067398152429</v>
      </c>
      <c r="I11" s="48">
        <f t="shared" si="0"/>
        <v>653.25359668945532</v>
      </c>
      <c r="J11" s="127">
        <f t="shared" si="2"/>
        <v>645.7715726894553</v>
      </c>
    </row>
    <row r="12" spans="2:10" ht="14.4" customHeight="1" thickBot="1" x14ac:dyDescent="0.35">
      <c r="B12" s="47" t="s">
        <v>674</v>
      </c>
      <c r="C12" s="48">
        <f>+Carbon_Calculations!T29</f>
        <v>9.5</v>
      </c>
      <c r="D12" s="48"/>
      <c r="E12" s="48">
        <f t="shared" si="1"/>
        <v>9.5</v>
      </c>
      <c r="F12" s="107">
        <f>+Baseline!F43</f>
        <v>60.830311706682387</v>
      </c>
      <c r="G12" s="107">
        <f>+Baseline!G43</f>
        <v>0.70725599999999988</v>
      </c>
      <c r="H12" s="107">
        <f>+Baseline!H43</f>
        <v>0</v>
      </c>
      <c r="I12" s="48">
        <f t="shared" si="0"/>
        <v>61.537567706682388</v>
      </c>
      <c r="J12" s="127">
        <f t="shared" si="2"/>
        <v>60.830311706682387</v>
      </c>
    </row>
    <row r="13" spans="2:10" ht="14.4" customHeight="1" thickBot="1" x14ac:dyDescent="0.35">
      <c r="B13" s="47" t="s">
        <v>675</v>
      </c>
      <c r="C13" s="48">
        <f>+Carbon_Calculations!T30</f>
        <v>108</v>
      </c>
      <c r="D13" s="48"/>
      <c r="E13" s="48">
        <f t="shared" si="1"/>
        <v>108</v>
      </c>
      <c r="F13" s="107">
        <f>+Baseline!F44</f>
        <v>0</v>
      </c>
      <c r="G13" s="107">
        <f>+Baseline!G44</f>
        <v>0</v>
      </c>
      <c r="H13" s="107">
        <f>+Baseline!H44</f>
        <v>0</v>
      </c>
      <c r="I13" s="48">
        <f t="shared" si="0"/>
        <v>0</v>
      </c>
      <c r="J13" s="127">
        <f t="shared" si="2"/>
        <v>0</v>
      </c>
    </row>
    <row r="14" spans="2:10" ht="16.2" customHeight="1" thickBot="1" x14ac:dyDescent="0.35">
      <c r="B14" s="47" t="s">
        <v>676</v>
      </c>
      <c r="C14" s="48">
        <f>+Carbon_Calculations!T31</f>
        <v>87.5</v>
      </c>
      <c r="D14" s="48"/>
      <c r="E14" s="48">
        <f t="shared" si="1"/>
        <v>87.5</v>
      </c>
      <c r="F14" s="107">
        <f>+Baseline!F45</f>
        <v>0</v>
      </c>
      <c r="G14" s="107">
        <f>+Baseline!G45</f>
        <v>0</v>
      </c>
      <c r="H14" s="107">
        <f>+Baseline!H45</f>
        <v>0</v>
      </c>
      <c r="I14" s="48">
        <f t="shared" si="0"/>
        <v>0</v>
      </c>
      <c r="J14" s="127">
        <f t="shared" si="2"/>
        <v>0</v>
      </c>
    </row>
    <row r="15" spans="2:10" x14ac:dyDescent="0.3">
      <c r="C15" s="6">
        <f>SUM(C6:C14)</f>
        <v>1300</v>
      </c>
      <c r="D15" s="6">
        <f t="shared" ref="D15:E15" si="3">SUM(D6:D14)</f>
        <v>992.5</v>
      </c>
      <c r="E15" s="6">
        <f t="shared" si="3"/>
        <v>307.5</v>
      </c>
      <c r="G15" s="6">
        <f>SUM(G6:G14)</f>
        <v>8.1892799999999966</v>
      </c>
      <c r="H15" s="6">
        <f t="shared" ref="H15:J15" si="4">SUM(H6:H14)</f>
        <v>2.2509067398152429</v>
      </c>
      <c r="I15" s="6">
        <f t="shared" si="4"/>
        <v>714.79116439613767</v>
      </c>
      <c r="J15" s="6">
        <f t="shared" si="4"/>
        <v>706.60188439613773</v>
      </c>
    </row>
    <row r="16" spans="2:10" ht="16.2" thickBot="1" x14ac:dyDescent="0.35">
      <c r="B16" s="39" t="s">
        <v>98</v>
      </c>
    </row>
    <row r="17" spans="2:7" ht="15.6" x14ac:dyDescent="0.3">
      <c r="B17" s="248" t="s">
        <v>158</v>
      </c>
      <c r="C17" s="248" t="s">
        <v>44</v>
      </c>
      <c r="D17" s="248" t="s">
        <v>100</v>
      </c>
      <c r="E17" s="49" t="s">
        <v>101</v>
      </c>
      <c r="F17" s="49" t="s">
        <v>102</v>
      </c>
      <c r="G17" s="50" t="s">
        <v>103</v>
      </c>
    </row>
    <row r="18" spans="2:7" ht="38.4" customHeight="1" thickBot="1" x14ac:dyDescent="0.35">
      <c r="B18" s="249"/>
      <c r="C18" s="249"/>
      <c r="D18" s="249"/>
      <c r="E18" s="51" t="s">
        <v>104</v>
      </c>
      <c r="F18" s="51" t="s">
        <v>105</v>
      </c>
      <c r="G18" s="52" t="s">
        <v>106</v>
      </c>
    </row>
    <row r="19" spans="2:7" ht="15" thickBot="1" x14ac:dyDescent="0.35">
      <c r="B19" s="53" t="str">
        <f>+B6</f>
        <v>2018_714</v>
      </c>
      <c r="C19" s="53">
        <f>+C6</f>
        <v>159</v>
      </c>
      <c r="D19" s="55">
        <f>C19/$C$28</f>
        <v>0.12230769230769231</v>
      </c>
      <c r="E19" s="261">
        <f>+Carbon_Calculations!V32</f>
        <v>44.851879498243321</v>
      </c>
      <c r="F19" s="258">
        <f>+Carbon_Calculations!W32</f>
        <v>58307.443347716318</v>
      </c>
      <c r="G19" s="258">
        <f>+Carbon_Calculations!X32</f>
        <v>100483.16070256445</v>
      </c>
    </row>
    <row r="20" spans="2:7" ht="15" thickBot="1" x14ac:dyDescent="0.35">
      <c r="B20" s="53" t="str">
        <f t="shared" ref="B20:C20" si="5">+B7</f>
        <v>2018_1000</v>
      </c>
      <c r="C20" s="53">
        <f t="shared" si="5"/>
        <v>186</v>
      </c>
      <c r="D20" s="55">
        <f t="shared" ref="D20:D27" si="6">C20/$C$28</f>
        <v>0.14307692307692307</v>
      </c>
      <c r="E20" s="262"/>
      <c r="F20" s="259"/>
      <c r="G20" s="259"/>
    </row>
    <row r="21" spans="2:7" ht="15" thickBot="1" x14ac:dyDescent="0.35">
      <c r="B21" s="53" t="str">
        <f t="shared" ref="B21:C21" si="7">+B8</f>
        <v>2019_500</v>
      </c>
      <c r="C21" s="53">
        <f t="shared" si="7"/>
        <v>41</v>
      </c>
      <c r="D21" s="55">
        <f t="shared" si="6"/>
        <v>3.1538461538461536E-2</v>
      </c>
      <c r="E21" s="262"/>
      <c r="F21" s="259"/>
      <c r="G21" s="259"/>
    </row>
    <row r="22" spans="2:7" ht="15" thickBot="1" x14ac:dyDescent="0.35">
      <c r="B22" s="53" t="str">
        <f t="shared" ref="B22:C22" si="8">+B9</f>
        <v>2019_714</v>
      </c>
      <c r="C22" s="53">
        <f t="shared" si="8"/>
        <v>252</v>
      </c>
      <c r="D22" s="55">
        <f t="shared" si="6"/>
        <v>0.19384615384615383</v>
      </c>
      <c r="E22" s="262"/>
      <c r="F22" s="259"/>
      <c r="G22" s="259"/>
    </row>
    <row r="23" spans="2:7" ht="15" thickBot="1" x14ac:dyDescent="0.35">
      <c r="B23" s="53" t="str">
        <f t="shared" ref="B23:C23" si="9">+B10</f>
        <v>2019_1000</v>
      </c>
      <c r="C23" s="53">
        <f t="shared" si="9"/>
        <v>353</v>
      </c>
      <c r="D23" s="55">
        <f t="shared" si="6"/>
        <v>0.27153846153846156</v>
      </c>
      <c r="E23" s="262"/>
      <c r="F23" s="259"/>
      <c r="G23" s="259"/>
    </row>
    <row r="24" spans="2:7" ht="15" thickBot="1" x14ac:dyDescent="0.35">
      <c r="B24" s="53" t="str">
        <f t="shared" ref="B24:C24" si="10">+B11</f>
        <v>2020_476</v>
      </c>
      <c r="C24" s="53">
        <f t="shared" si="10"/>
        <v>104</v>
      </c>
      <c r="D24" s="55">
        <f t="shared" si="6"/>
        <v>0.08</v>
      </c>
      <c r="E24" s="262"/>
      <c r="F24" s="259"/>
      <c r="G24" s="259"/>
    </row>
    <row r="25" spans="2:7" ht="15" thickBot="1" x14ac:dyDescent="0.35">
      <c r="B25" s="53" t="str">
        <f t="shared" ref="B25:C25" si="11">+B12</f>
        <v>2020_500</v>
      </c>
      <c r="C25" s="53">
        <f t="shared" si="11"/>
        <v>9.5</v>
      </c>
      <c r="D25" s="55">
        <f t="shared" si="6"/>
        <v>7.3076923076923076E-3</v>
      </c>
      <c r="E25" s="262"/>
      <c r="F25" s="259"/>
      <c r="G25" s="259"/>
    </row>
    <row r="26" spans="2:7" ht="15" thickBot="1" x14ac:dyDescent="0.35">
      <c r="B26" s="53" t="str">
        <f t="shared" ref="B26:C26" si="12">+B13</f>
        <v>2020_800</v>
      </c>
      <c r="C26" s="53">
        <f t="shared" si="12"/>
        <v>108</v>
      </c>
      <c r="D26" s="55">
        <f t="shared" si="6"/>
        <v>8.3076923076923076E-2</v>
      </c>
      <c r="E26" s="262"/>
      <c r="F26" s="259"/>
      <c r="G26" s="259"/>
    </row>
    <row r="27" spans="2:7" ht="15" thickBot="1" x14ac:dyDescent="0.35">
      <c r="B27" s="53" t="str">
        <f t="shared" ref="B27:C27" si="13">+B14</f>
        <v>2020_1000</v>
      </c>
      <c r="C27" s="53">
        <f t="shared" si="13"/>
        <v>87.5</v>
      </c>
      <c r="D27" s="55">
        <f t="shared" si="6"/>
        <v>6.7307692307692304E-2</v>
      </c>
      <c r="E27" s="262"/>
      <c r="F27" s="259"/>
      <c r="G27" s="259"/>
    </row>
    <row r="28" spans="2:7" ht="15" thickBot="1" x14ac:dyDescent="0.35">
      <c r="B28" s="53" t="s">
        <v>107</v>
      </c>
      <c r="C28" s="54">
        <f>SUM(C19:C27)</f>
        <v>1300</v>
      </c>
      <c r="D28" s="55">
        <f>SUM(D19:D27)</f>
        <v>1</v>
      </c>
      <c r="E28" s="263"/>
      <c r="F28" s="260"/>
      <c r="G28" s="260"/>
    </row>
    <row r="30" spans="2:7" ht="15" thickBot="1" x14ac:dyDescent="0.35">
      <c r="B30" s="39" t="s">
        <v>108</v>
      </c>
    </row>
    <row r="31" spans="2:7" ht="15.6" customHeight="1" x14ac:dyDescent="0.3">
      <c r="B31" s="248" t="s">
        <v>158</v>
      </c>
      <c r="C31" s="49" t="s">
        <v>109</v>
      </c>
      <c r="D31" s="248" t="s">
        <v>110</v>
      </c>
      <c r="E31" s="248" t="s">
        <v>111</v>
      </c>
      <c r="F31" s="49" t="s">
        <v>112</v>
      </c>
      <c r="G31" s="248" t="s">
        <v>113</v>
      </c>
    </row>
    <row r="32" spans="2:7" ht="27.6" customHeight="1" thickBot="1" x14ac:dyDescent="0.35">
      <c r="B32" s="249"/>
      <c r="C32" s="51" t="s">
        <v>104</v>
      </c>
      <c r="D32" s="249"/>
      <c r="E32" s="249"/>
      <c r="F32" s="51" t="s">
        <v>106</v>
      </c>
      <c r="G32" s="249"/>
    </row>
    <row r="33" spans="2:15" ht="15" thickBot="1" x14ac:dyDescent="0.35">
      <c r="B33" s="53" t="str">
        <f>+B19</f>
        <v>2018_714</v>
      </c>
      <c r="C33" s="56">
        <f>Carbon_Calculations!O24</f>
        <v>25.785044441588511</v>
      </c>
      <c r="D33" s="57">
        <f>+Carbon_Calculations!N24</f>
        <v>26</v>
      </c>
      <c r="E33" s="225">
        <f>+Carbon_Calculations!Y32</f>
        <v>5.5751119848879427E-2</v>
      </c>
      <c r="F33" s="228">
        <f>+Carbon_Calculations!Z32</f>
        <v>5602.0487351228821</v>
      </c>
      <c r="G33" s="231">
        <f>Carbon_Calculations!T67</f>
        <v>0</v>
      </c>
    </row>
    <row r="34" spans="2:15" ht="15" thickBot="1" x14ac:dyDescent="0.35">
      <c r="B34" s="53" t="str">
        <f t="shared" ref="B34:B41" si="14">+B20</f>
        <v>2018_1000</v>
      </c>
      <c r="C34" s="56">
        <f>Carbon_Calculations!O25</f>
        <v>12.009397185150345</v>
      </c>
      <c r="D34" s="57">
        <f>+Carbon_Calculations!N25</f>
        <v>12</v>
      </c>
      <c r="E34" s="226"/>
      <c r="F34" s="229"/>
      <c r="G34" s="232"/>
    </row>
    <row r="35" spans="2:15" ht="15" thickBot="1" x14ac:dyDescent="0.35">
      <c r="B35" s="53" t="str">
        <f t="shared" si="14"/>
        <v>2019_500</v>
      </c>
      <c r="C35" s="56">
        <f>Carbon_Calculations!O26</f>
        <v>20.6484838857175</v>
      </c>
      <c r="D35" s="57">
        <f>+Carbon_Calculations!N26</f>
        <v>38</v>
      </c>
      <c r="E35" s="226"/>
      <c r="F35" s="229"/>
      <c r="G35" s="232"/>
    </row>
    <row r="36" spans="2:15" ht="15" thickBot="1" x14ac:dyDescent="0.35">
      <c r="B36" s="53" t="str">
        <f t="shared" si="14"/>
        <v>2019_714</v>
      </c>
      <c r="C36" s="56">
        <f>Carbon_Calculations!O27</f>
        <v>21.298113272738739</v>
      </c>
      <c r="D36" s="57">
        <f>+Carbon_Calculations!N27</f>
        <v>42</v>
      </c>
      <c r="E36" s="226"/>
      <c r="F36" s="229"/>
      <c r="G36" s="232"/>
    </row>
    <row r="37" spans="2:15" ht="15" thickBot="1" x14ac:dyDescent="0.35">
      <c r="B37" s="53" t="str">
        <f t="shared" si="14"/>
        <v>2019_1000</v>
      </c>
      <c r="C37" s="56">
        <f>Carbon_Calculations!O28</f>
        <v>20.306270863757284</v>
      </c>
      <c r="D37" s="57">
        <f>+Carbon_Calculations!N28</f>
        <v>17</v>
      </c>
      <c r="E37" s="226"/>
      <c r="F37" s="229"/>
      <c r="G37" s="232"/>
    </row>
    <row r="38" spans="2:15" ht="15" thickBot="1" x14ac:dyDescent="0.35">
      <c r="B38" s="53" t="str">
        <f t="shared" si="14"/>
        <v>2020_476</v>
      </c>
      <c r="C38" s="56">
        <f>Carbon_Calculations!O29</f>
        <v>17.541658305979166</v>
      </c>
      <c r="D38" s="57">
        <f>+Carbon_Calculations!N29</f>
        <v>3</v>
      </c>
      <c r="E38" s="226"/>
      <c r="F38" s="229"/>
      <c r="G38" s="232"/>
    </row>
    <row r="39" spans="2:15" ht="15" thickBot="1" x14ac:dyDescent="0.35">
      <c r="B39" s="53" t="str">
        <f t="shared" si="14"/>
        <v>2020_500</v>
      </c>
      <c r="C39" s="56">
        <f>Carbon_Calculations!O30</f>
        <v>8.9541402297525039</v>
      </c>
      <c r="D39" s="57">
        <f>+Carbon_Calculations!N30</f>
        <v>12</v>
      </c>
      <c r="E39" s="226"/>
      <c r="F39" s="229"/>
      <c r="G39" s="232"/>
    </row>
    <row r="40" spans="2:15" ht="15" thickBot="1" x14ac:dyDescent="0.35">
      <c r="B40" s="53" t="str">
        <f t="shared" si="14"/>
        <v>2020_800</v>
      </c>
      <c r="C40" s="56">
        <f>Carbon_Calculations!O31</f>
        <v>12.991206359942117</v>
      </c>
      <c r="D40" s="57">
        <f>+Carbon_Calculations!N31</f>
        <v>13</v>
      </c>
      <c r="E40" s="226"/>
      <c r="F40" s="229"/>
      <c r="G40" s="232"/>
    </row>
    <row r="41" spans="2:15" ht="15" thickBot="1" x14ac:dyDescent="0.35">
      <c r="B41" s="53" t="str">
        <f t="shared" si="14"/>
        <v>2020_1000</v>
      </c>
      <c r="C41" s="56">
        <f>Carbon_Calculations!O32</f>
        <v>20.313382969247318</v>
      </c>
      <c r="D41" s="57">
        <f>+Carbon_Calculations!N32</f>
        <v>188</v>
      </c>
      <c r="E41" s="226"/>
      <c r="F41" s="229"/>
      <c r="G41" s="232"/>
    </row>
    <row r="42" spans="2:15" ht="15" thickBot="1" x14ac:dyDescent="0.35">
      <c r="B42" s="53" t="s">
        <v>72</v>
      </c>
      <c r="C42" s="56">
        <f>Carbon_Calculations!O32</f>
        <v>20.313382969247318</v>
      </c>
      <c r="D42" s="109">
        <f>+Carbon_Calculations!N32</f>
        <v>188</v>
      </c>
      <c r="E42" s="227"/>
      <c r="F42" s="230"/>
      <c r="G42" s="233"/>
    </row>
    <row r="43" spans="2:15" x14ac:dyDescent="0.3">
      <c r="B43" s="58"/>
    </row>
    <row r="44" spans="2:15" ht="15" thickBot="1" x14ac:dyDescent="0.35">
      <c r="B44" s="39" t="s">
        <v>178</v>
      </c>
      <c r="G44" s="39" t="s">
        <v>177</v>
      </c>
      <c r="L44" t="s">
        <v>179</v>
      </c>
    </row>
    <row r="45" spans="2:15" ht="38.25" customHeight="1" x14ac:dyDescent="0.3">
      <c r="B45" s="234" t="s">
        <v>79</v>
      </c>
      <c r="C45" s="237" t="s">
        <v>115</v>
      </c>
      <c r="D45" s="41" t="s">
        <v>116</v>
      </c>
      <c r="E45" s="40" t="s">
        <v>117</v>
      </c>
      <c r="G45" s="121" t="s">
        <v>79</v>
      </c>
      <c r="H45" s="40" t="s">
        <v>115</v>
      </c>
      <c r="I45" s="41" t="s">
        <v>116</v>
      </c>
      <c r="J45" s="40" t="s">
        <v>176</v>
      </c>
      <c r="L45" s="234" t="s">
        <v>79</v>
      </c>
      <c r="M45" s="237" t="s">
        <v>115</v>
      </c>
      <c r="N45" s="41" t="s">
        <v>116</v>
      </c>
      <c r="O45" s="40" t="s">
        <v>117</v>
      </c>
    </row>
    <row r="46" spans="2:15" x14ac:dyDescent="0.3">
      <c r="B46" s="235"/>
      <c r="C46" s="238"/>
      <c r="D46" s="43" t="s">
        <v>118</v>
      </c>
      <c r="E46" s="42"/>
      <c r="G46" s="122"/>
      <c r="H46" s="42"/>
      <c r="I46" s="43" t="s">
        <v>118</v>
      </c>
      <c r="J46" s="42"/>
      <c r="L46" s="235"/>
      <c r="M46" s="238"/>
      <c r="N46" s="43" t="s">
        <v>118</v>
      </c>
      <c r="O46" s="42"/>
    </row>
    <row r="47" spans="2:15" ht="15" thickBot="1" x14ac:dyDescent="0.35">
      <c r="B47" s="236"/>
      <c r="C47" s="239"/>
      <c r="D47" s="46" t="s">
        <v>119</v>
      </c>
      <c r="E47" s="44"/>
      <c r="G47" s="123"/>
      <c r="H47" s="44"/>
      <c r="I47" s="46" t="s">
        <v>119</v>
      </c>
      <c r="J47" s="44"/>
      <c r="L47" s="236"/>
      <c r="M47" s="239"/>
      <c r="N47" s="46" t="s">
        <v>119</v>
      </c>
      <c r="O47" s="44"/>
    </row>
    <row r="48" spans="2:15" ht="15" thickBot="1" x14ac:dyDescent="0.35">
      <c r="B48" s="53">
        <f>+SOC!B11</f>
        <v>2018</v>
      </c>
      <c r="C48" s="111">
        <f>+SOC!I11</f>
        <v>345</v>
      </c>
      <c r="D48" s="78">
        <f>C48</f>
        <v>345</v>
      </c>
      <c r="E48" s="78">
        <f>SOC!D11</f>
        <v>590.33333333333326</v>
      </c>
      <c r="G48" s="47">
        <v>2018</v>
      </c>
      <c r="H48" s="191">
        <v>345.5</v>
      </c>
      <c r="I48" s="191">
        <v>345.5</v>
      </c>
      <c r="J48" s="191">
        <v>517.29027777777776</v>
      </c>
      <c r="L48" s="53">
        <f>+B48</f>
        <v>2018</v>
      </c>
      <c r="M48" s="111">
        <f>+C48</f>
        <v>345</v>
      </c>
      <c r="N48" s="78">
        <f>M48</f>
        <v>345</v>
      </c>
      <c r="O48" s="78">
        <f>+E48-J48</f>
        <v>73.043055555555497</v>
      </c>
    </row>
    <row r="49" spans="2:17" ht="15" thickBot="1" x14ac:dyDescent="0.35">
      <c r="B49" s="53">
        <f>+SOC!B12</f>
        <v>2019</v>
      </c>
      <c r="C49" s="111">
        <f>+SOC!I12</f>
        <v>646</v>
      </c>
      <c r="D49" s="78">
        <f t="shared" ref="D49:D52" si="15">D48+C49</f>
        <v>991</v>
      </c>
      <c r="E49" s="78">
        <f>SOC!D12</f>
        <v>1990.8777777777777</v>
      </c>
      <c r="G49" s="192">
        <v>2019</v>
      </c>
      <c r="H49" s="191">
        <v>647</v>
      </c>
      <c r="I49" s="193">
        <v>992.5</v>
      </c>
      <c r="J49" s="191">
        <v>1855.4861111111109</v>
      </c>
      <c r="L49" s="53">
        <f t="shared" ref="L49:L55" si="16">+B49</f>
        <v>2019</v>
      </c>
      <c r="M49" s="111">
        <f t="shared" ref="M49:M55" si="17">+C49</f>
        <v>646</v>
      </c>
      <c r="N49" s="78">
        <f t="shared" ref="N49:N52" si="18">N48+M49</f>
        <v>991</v>
      </c>
      <c r="O49" s="78">
        <f t="shared" ref="O49:O52" si="19">+E49-J49</f>
        <v>135.39166666666688</v>
      </c>
    </row>
    <row r="50" spans="2:17" ht="15" thickBot="1" x14ac:dyDescent="0.35">
      <c r="B50" s="53">
        <f>+SOC!B13</f>
        <v>2020</v>
      </c>
      <c r="C50" s="111">
        <f>+SOC!I13</f>
        <v>309</v>
      </c>
      <c r="D50" s="78">
        <f t="shared" si="15"/>
        <v>1300</v>
      </c>
      <c r="E50" s="78">
        <f>SOC!D13</f>
        <v>3072.2999999999997</v>
      </c>
      <c r="G50" s="194">
        <v>2020</v>
      </c>
      <c r="H50" s="191">
        <v>0</v>
      </c>
      <c r="I50" s="193">
        <v>992.5</v>
      </c>
      <c r="J50" s="191">
        <v>2547.4166666666665</v>
      </c>
      <c r="L50" s="53">
        <f t="shared" si="16"/>
        <v>2020</v>
      </c>
      <c r="M50" s="111">
        <f t="shared" si="17"/>
        <v>309</v>
      </c>
      <c r="N50" s="78">
        <f t="shared" si="18"/>
        <v>1300</v>
      </c>
      <c r="O50" s="78">
        <f>+E50-J50</f>
        <v>524.88333333333321</v>
      </c>
      <c r="P50" s="127">
        <f>+O48+O49+O50</f>
        <v>733.31805555555559</v>
      </c>
    </row>
    <row r="51" spans="2:17" ht="15" thickBot="1" x14ac:dyDescent="0.35">
      <c r="B51" s="53">
        <f>+SOC!B14</f>
        <v>2021</v>
      </c>
      <c r="C51" s="112">
        <f>SOC!I14</f>
        <v>0</v>
      </c>
      <c r="D51" s="78">
        <f t="shared" si="15"/>
        <v>1300</v>
      </c>
      <c r="E51" s="78">
        <f>SOC!D14</f>
        <v>3336.6666666666665</v>
      </c>
      <c r="G51" s="53"/>
      <c r="H51" s="59"/>
      <c r="I51" s="59"/>
      <c r="J51" s="60"/>
      <c r="L51" s="53">
        <f t="shared" si="16"/>
        <v>2021</v>
      </c>
      <c r="M51" s="111">
        <f t="shared" si="17"/>
        <v>0</v>
      </c>
      <c r="N51" s="78">
        <f t="shared" si="18"/>
        <v>1300</v>
      </c>
      <c r="O51" s="78">
        <f t="shared" si="19"/>
        <v>3336.6666666666665</v>
      </c>
      <c r="P51" s="127">
        <f>+O51</f>
        <v>3336.6666666666665</v>
      </c>
      <c r="Q51" s="127">
        <f>+P51+P50</f>
        <v>4069.984722222222</v>
      </c>
    </row>
    <row r="52" spans="2:17" ht="15" thickBot="1" x14ac:dyDescent="0.35">
      <c r="B52" s="53">
        <f>+SOC!B15</f>
        <v>2022</v>
      </c>
      <c r="C52" s="112">
        <f>SOC!I15</f>
        <v>0</v>
      </c>
      <c r="D52" s="78">
        <f t="shared" si="15"/>
        <v>1300</v>
      </c>
      <c r="E52" s="78">
        <f>SOC!D15</f>
        <v>2502.5</v>
      </c>
      <c r="G52" s="53"/>
      <c r="H52" s="59"/>
      <c r="I52" s="59"/>
      <c r="J52" s="60"/>
      <c r="L52" s="53">
        <f t="shared" si="16"/>
        <v>2022</v>
      </c>
      <c r="M52" s="111">
        <f t="shared" si="17"/>
        <v>0</v>
      </c>
      <c r="N52" s="78">
        <f t="shared" si="18"/>
        <v>1300</v>
      </c>
      <c r="O52" s="78">
        <f t="shared" si="19"/>
        <v>2502.5</v>
      </c>
      <c r="P52" s="127">
        <f>+O52</f>
        <v>2502.5</v>
      </c>
      <c r="Q52" s="127">
        <f>+P52</f>
        <v>2502.5</v>
      </c>
    </row>
    <row r="53" spans="2:17" ht="15" thickBot="1" x14ac:dyDescent="0.35">
      <c r="B53" s="53">
        <f>+SOC!B16</f>
        <v>2023</v>
      </c>
      <c r="C53" s="112">
        <f>SOC!I16</f>
        <v>0</v>
      </c>
      <c r="D53" s="78"/>
      <c r="E53" s="78"/>
      <c r="G53" s="53"/>
      <c r="H53" s="59"/>
      <c r="I53" s="59"/>
      <c r="J53" s="59"/>
      <c r="L53" s="53">
        <f t="shared" si="16"/>
        <v>2023</v>
      </c>
      <c r="M53" s="111">
        <f t="shared" si="17"/>
        <v>0</v>
      </c>
      <c r="N53" s="78"/>
      <c r="O53" s="78">
        <f t="shared" ref="O53" si="20">+E53-J53</f>
        <v>0</v>
      </c>
    </row>
    <row r="54" spans="2:17" ht="15" thickBot="1" x14ac:dyDescent="0.35">
      <c r="B54" s="53">
        <f>+SOC!B17</f>
        <v>2024</v>
      </c>
      <c r="C54" s="112">
        <v>0</v>
      </c>
      <c r="D54" s="78"/>
      <c r="E54" s="78"/>
      <c r="G54" s="61" t="s">
        <v>72</v>
      </c>
      <c r="H54" s="62"/>
      <c r="I54" s="62"/>
      <c r="J54" s="60">
        <f>+J48+J49+J50</f>
        <v>4920.1930555555555</v>
      </c>
      <c r="L54" s="53">
        <f t="shared" si="16"/>
        <v>2024</v>
      </c>
      <c r="M54" s="111">
        <f t="shared" si="17"/>
        <v>0</v>
      </c>
      <c r="N54" s="78"/>
      <c r="O54" s="78">
        <f>+E54</f>
        <v>0</v>
      </c>
    </row>
    <row r="55" spans="2:17" ht="15" thickBot="1" x14ac:dyDescent="0.35">
      <c r="B55" s="53">
        <f>+SOC!B18</f>
        <v>2025</v>
      </c>
      <c r="C55" s="112">
        <v>0</v>
      </c>
      <c r="D55" s="78"/>
      <c r="E55" s="78"/>
      <c r="L55" s="53">
        <f t="shared" si="16"/>
        <v>2025</v>
      </c>
      <c r="M55" s="111">
        <f t="shared" si="17"/>
        <v>0</v>
      </c>
      <c r="N55" s="78"/>
      <c r="O55" s="78">
        <f>+E55</f>
        <v>0</v>
      </c>
    </row>
    <row r="56" spans="2:17" ht="15" thickBot="1" x14ac:dyDescent="0.35">
      <c r="B56" s="61" t="s">
        <v>72</v>
      </c>
      <c r="C56" s="110">
        <f>SUM(C48:C55)</f>
        <v>1300</v>
      </c>
      <c r="D56" s="110">
        <f>D52</f>
        <v>1300</v>
      </c>
      <c r="E56" s="78">
        <f>SUM(E48:E55)</f>
        <v>11492.677777777777</v>
      </c>
      <c r="L56" s="61" t="s">
        <v>72</v>
      </c>
      <c r="M56" s="110">
        <f>SUM(M48:M55)</f>
        <v>1300</v>
      </c>
      <c r="N56" s="110">
        <f>N55</f>
        <v>0</v>
      </c>
      <c r="O56" s="78">
        <f>SUM(O48:O55)</f>
        <v>6572.4847222222215</v>
      </c>
      <c r="P56" s="127">
        <f>SUM(P50:P55)</f>
        <v>6572.4847222222215</v>
      </c>
      <c r="Q56" s="127">
        <f>SUM(Q50:Q55)</f>
        <v>6572.4847222222215</v>
      </c>
    </row>
    <row r="58" spans="2:17" x14ac:dyDescent="0.3">
      <c r="B58" t="s">
        <v>160</v>
      </c>
    </row>
    <row r="59" spans="2:17" ht="15" thickBot="1" x14ac:dyDescent="0.35"/>
    <row r="60" spans="2:17" ht="23.4" customHeight="1" x14ac:dyDescent="0.3">
      <c r="B60" s="248" t="s">
        <v>158</v>
      </c>
      <c r="C60" s="248" t="s">
        <v>44</v>
      </c>
      <c r="D60" s="248" t="s">
        <v>161</v>
      </c>
      <c r="E60" s="248" t="s">
        <v>162</v>
      </c>
      <c r="F60" s="248" t="s">
        <v>163</v>
      </c>
      <c r="G60" s="248" t="s">
        <v>164</v>
      </c>
      <c r="H60" s="248" t="s">
        <v>165</v>
      </c>
      <c r="I60" s="248" t="s">
        <v>166</v>
      </c>
      <c r="J60" s="248" t="s">
        <v>126</v>
      </c>
      <c r="K60" s="248" t="s">
        <v>127</v>
      </c>
      <c r="L60" s="248" t="s">
        <v>128</v>
      </c>
    </row>
    <row r="61" spans="2:17" ht="52.2" customHeight="1" thickBot="1" x14ac:dyDescent="0.35">
      <c r="B61" s="249"/>
      <c r="C61" s="249"/>
      <c r="D61" s="249"/>
      <c r="E61" s="249"/>
      <c r="F61" s="249"/>
      <c r="G61" s="249"/>
      <c r="H61" s="249"/>
      <c r="I61" s="249"/>
      <c r="J61" s="249"/>
      <c r="K61" s="249"/>
      <c r="L61" s="249"/>
    </row>
    <row r="62" spans="2:17" ht="15" thickBot="1" x14ac:dyDescent="0.35">
      <c r="B62" s="53" t="str">
        <f>+B6</f>
        <v>2018_714</v>
      </c>
      <c r="C62" s="53">
        <f>+C6</f>
        <v>159</v>
      </c>
      <c r="D62" s="54">
        <f>+D6</f>
        <v>161</v>
      </c>
      <c r="E62" s="54">
        <f>+C62-D62</f>
        <v>-2</v>
      </c>
      <c r="F62" s="54">
        <v>6211</v>
      </c>
      <c r="G62" s="115"/>
      <c r="H62" s="115"/>
      <c r="I62" s="115"/>
      <c r="J62" s="113">
        <f>C62/$C$71*Carbon_Calculations!$X$32</f>
        <v>12289.863501313652</v>
      </c>
      <c r="K62" s="113">
        <v>0</v>
      </c>
      <c r="L62" s="113">
        <f>+K62+J62-I62-H62-G62-F62</f>
        <v>6078.8635013136518</v>
      </c>
    </row>
    <row r="63" spans="2:17" ht="15" thickBot="1" x14ac:dyDescent="0.35">
      <c r="B63" s="53" t="str">
        <f t="shared" ref="B63:D63" si="21">+B7</f>
        <v>2018_1000</v>
      </c>
      <c r="C63" s="53">
        <f t="shared" si="21"/>
        <v>186</v>
      </c>
      <c r="D63" s="54">
        <f t="shared" si="21"/>
        <v>184.5</v>
      </c>
      <c r="E63" s="54">
        <f t="shared" ref="E63:E70" si="22">+C63-D63</f>
        <v>1.5</v>
      </c>
      <c r="F63" s="54">
        <v>10648</v>
      </c>
      <c r="G63" s="115"/>
      <c r="H63" s="115"/>
      <c r="I63" s="115"/>
      <c r="J63" s="113">
        <f>C63/$C$71*Carbon_Calculations!$X$32</f>
        <v>14376.821454366913</v>
      </c>
      <c r="K63" s="113">
        <v>0</v>
      </c>
      <c r="L63" s="113">
        <f t="shared" ref="L63:L70" si="23">+K63+J63-I63-H63-G63-F63</f>
        <v>3728.8214543669128</v>
      </c>
    </row>
    <row r="64" spans="2:17" ht="15" thickBot="1" x14ac:dyDescent="0.35">
      <c r="B64" s="53" t="str">
        <f t="shared" ref="B64:D64" si="24">+B8</f>
        <v>2019_500</v>
      </c>
      <c r="C64" s="53">
        <f t="shared" si="24"/>
        <v>41</v>
      </c>
      <c r="D64" s="54">
        <f t="shared" si="24"/>
        <v>41</v>
      </c>
      <c r="E64" s="54">
        <f t="shared" si="22"/>
        <v>0</v>
      </c>
      <c r="F64" s="54">
        <f>+F63</f>
        <v>10648</v>
      </c>
      <c r="G64" s="115"/>
      <c r="H64" s="115"/>
      <c r="I64" s="115"/>
      <c r="J64" s="113">
        <f>C64/$C$71*Carbon_Calculations!$X$32</f>
        <v>3169.0842990808783</v>
      </c>
      <c r="K64" s="113">
        <v>0</v>
      </c>
      <c r="L64" s="113">
        <f>+K64+J64-I64-H64-G64-F64</f>
        <v>-7478.9157009191222</v>
      </c>
    </row>
    <row r="65" spans="2:12" ht="15" thickBot="1" x14ac:dyDescent="0.35">
      <c r="B65" s="53" t="str">
        <f t="shared" ref="B65:D65" si="25">+B9</f>
        <v>2019_714</v>
      </c>
      <c r="C65" s="53">
        <f t="shared" si="25"/>
        <v>252</v>
      </c>
      <c r="D65" s="54">
        <f t="shared" si="25"/>
        <v>252</v>
      </c>
      <c r="E65" s="54">
        <f t="shared" si="22"/>
        <v>0</v>
      </c>
      <c r="F65" s="54">
        <v>9000</v>
      </c>
      <c r="G65" s="115"/>
      <c r="H65" s="115"/>
      <c r="I65" s="115"/>
      <c r="J65" s="113">
        <f>C65/$C$71*Carbon_Calculations!$X$32</f>
        <v>19478.274228497106</v>
      </c>
      <c r="K65" s="113">
        <v>0</v>
      </c>
      <c r="L65" s="113">
        <f t="shared" si="23"/>
        <v>10478.274228497106</v>
      </c>
    </row>
    <row r="66" spans="2:12" ht="15" thickBot="1" x14ac:dyDescent="0.35">
      <c r="B66" s="53" t="str">
        <f t="shared" ref="B66:D66" si="26">+B10</f>
        <v>2019_1000</v>
      </c>
      <c r="C66" s="53">
        <f t="shared" si="26"/>
        <v>353</v>
      </c>
      <c r="D66" s="54">
        <f t="shared" si="26"/>
        <v>354</v>
      </c>
      <c r="E66" s="54">
        <f t="shared" si="22"/>
        <v>-1</v>
      </c>
      <c r="F66" s="54">
        <v>3070</v>
      </c>
      <c r="G66" s="115"/>
      <c r="H66" s="115"/>
      <c r="I66" s="115"/>
      <c r="J66" s="113">
        <f>C66/$C$71*Carbon_Calculations!$X$32</f>
        <v>27285.042867696349</v>
      </c>
      <c r="K66" s="113">
        <v>0</v>
      </c>
      <c r="L66" s="113">
        <f t="shared" si="23"/>
        <v>24215.042867696349</v>
      </c>
    </row>
    <row r="67" spans="2:12" ht="15" thickBot="1" x14ac:dyDescent="0.35">
      <c r="B67" s="53" t="str">
        <f t="shared" ref="B67:D67" si="27">+B11</f>
        <v>2020_476</v>
      </c>
      <c r="C67" s="53">
        <f t="shared" si="27"/>
        <v>104</v>
      </c>
      <c r="D67" s="54">
        <f t="shared" si="27"/>
        <v>0</v>
      </c>
      <c r="E67" s="54">
        <f t="shared" si="22"/>
        <v>104</v>
      </c>
      <c r="F67" s="54"/>
      <c r="G67" s="115">
        <f>+F11</f>
        <v>643.52066594964003</v>
      </c>
      <c r="H67" s="115">
        <f t="shared" ref="H67:I67" si="28">+G11</f>
        <v>7.4820239999999973</v>
      </c>
      <c r="I67" s="115">
        <f t="shared" si="28"/>
        <v>2.2509067398152429</v>
      </c>
      <c r="J67" s="113">
        <f>C67/$C$71*Carbon_Calculations!$X$32</f>
        <v>8038.6528562051562</v>
      </c>
      <c r="K67" s="113">
        <v>0</v>
      </c>
      <c r="L67" s="113">
        <f t="shared" si="23"/>
        <v>7385.3992595157015</v>
      </c>
    </row>
    <row r="68" spans="2:12" ht="15" thickBot="1" x14ac:dyDescent="0.35">
      <c r="B68" s="53" t="str">
        <f t="shared" ref="B68:D68" si="29">+B12</f>
        <v>2020_500</v>
      </c>
      <c r="C68" s="53">
        <f t="shared" si="29"/>
        <v>9.5</v>
      </c>
      <c r="D68" s="54">
        <f t="shared" si="29"/>
        <v>0</v>
      </c>
      <c r="E68" s="54">
        <f t="shared" si="22"/>
        <v>9.5</v>
      </c>
      <c r="F68" s="54"/>
      <c r="G68" s="115">
        <f t="shared" ref="G68:I68" si="30">+F12</f>
        <v>60.830311706682387</v>
      </c>
      <c r="H68" s="115">
        <f t="shared" si="30"/>
        <v>0.70725599999999988</v>
      </c>
      <c r="I68" s="115">
        <f t="shared" si="30"/>
        <v>0</v>
      </c>
      <c r="J68" s="113">
        <f>C68/$C$71*Carbon_Calculations!$X$32</f>
        <v>734.30002051874021</v>
      </c>
      <c r="K68" s="113">
        <v>0</v>
      </c>
      <c r="L68" s="113">
        <f t="shared" si="23"/>
        <v>672.76245281205775</v>
      </c>
    </row>
    <row r="69" spans="2:12" ht="15" thickBot="1" x14ac:dyDescent="0.35">
      <c r="B69" s="53" t="str">
        <f t="shared" ref="B69:D69" si="31">+B13</f>
        <v>2020_800</v>
      </c>
      <c r="C69" s="53">
        <f t="shared" si="31"/>
        <v>108</v>
      </c>
      <c r="D69" s="54">
        <f t="shared" si="31"/>
        <v>0</v>
      </c>
      <c r="E69" s="54">
        <f t="shared" si="22"/>
        <v>108</v>
      </c>
      <c r="F69" s="54"/>
      <c r="G69" s="115">
        <f t="shared" ref="G69:I69" si="32">+F13</f>
        <v>0</v>
      </c>
      <c r="H69" s="115">
        <f t="shared" si="32"/>
        <v>0</v>
      </c>
      <c r="I69" s="115">
        <f t="shared" si="32"/>
        <v>0</v>
      </c>
      <c r="J69" s="113">
        <f>C69/$C$71*Carbon_Calculations!$X$32</f>
        <v>8347.8318122130459</v>
      </c>
      <c r="K69" s="113">
        <v>0</v>
      </c>
      <c r="L69" s="113">
        <f t="shared" si="23"/>
        <v>8347.8318122130459</v>
      </c>
    </row>
    <row r="70" spans="2:12" ht="15" thickBot="1" x14ac:dyDescent="0.35">
      <c r="B70" s="53" t="str">
        <f t="shared" ref="B70:D70" si="33">+B14</f>
        <v>2020_1000</v>
      </c>
      <c r="C70" s="53">
        <f t="shared" si="33"/>
        <v>87.5</v>
      </c>
      <c r="D70" s="54">
        <f t="shared" si="33"/>
        <v>0</v>
      </c>
      <c r="E70" s="54">
        <f t="shared" si="22"/>
        <v>87.5</v>
      </c>
      <c r="F70" s="54"/>
      <c r="G70" s="115">
        <f t="shared" ref="G70:I70" si="34">+F14</f>
        <v>0</v>
      </c>
      <c r="H70" s="115">
        <f t="shared" si="34"/>
        <v>0</v>
      </c>
      <c r="I70" s="115">
        <f t="shared" si="34"/>
        <v>0</v>
      </c>
      <c r="J70" s="113">
        <f>C70/$C$71*Carbon_Calculations!$X$32</f>
        <v>6763.2896626726069</v>
      </c>
      <c r="K70" s="113"/>
      <c r="L70" s="113">
        <f t="shared" si="23"/>
        <v>6763.2896626726069</v>
      </c>
    </row>
    <row r="71" spans="2:12" ht="15" thickBot="1" x14ac:dyDescent="0.35">
      <c r="B71" s="53" t="s">
        <v>107</v>
      </c>
      <c r="C71" s="54">
        <f t="shared" ref="C71:D71" si="35">SUM(C62:C70)</f>
        <v>1300</v>
      </c>
      <c r="D71" s="54">
        <f t="shared" si="35"/>
        <v>992.5</v>
      </c>
      <c r="E71" s="54">
        <f>SUM(E62:E70)</f>
        <v>307.5</v>
      </c>
      <c r="F71" s="113">
        <f>SUM(F62:F70)</f>
        <v>39577</v>
      </c>
      <c r="G71" s="113">
        <f t="shared" ref="G71:K71" si="36">SUM(G62:G70)</f>
        <v>704.35097765632247</v>
      </c>
      <c r="H71" s="113">
        <f t="shared" si="36"/>
        <v>8.1892799999999966</v>
      </c>
      <c r="I71" s="113">
        <f t="shared" si="36"/>
        <v>2.2509067398152429</v>
      </c>
      <c r="J71" s="113">
        <f t="shared" si="36"/>
        <v>100483.16070256443</v>
      </c>
      <c r="K71" s="113">
        <f t="shared" si="36"/>
        <v>0</v>
      </c>
      <c r="L71" s="113">
        <f>SUM(L62:L70)</f>
        <v>60191.369538168306</v>
      </c>
    </row>
    <row r="73" spans="2:12" x14ac:dyDescent="0.3">
      <c r="J73" s="127"/>
      <c r="K73" s="127"/>
    </row>
    <row r="74" spans="2:12" ht="15" thickBot="1" x14ac:dyDescent="0.35">
      <c r="J74" s="127"/>
    </row>
    <row r="75" spans="2:12" x14ac:dyDescent="0.3">
      <c r="B75" s="248" t="s">
        <v>158</v>
      </c>
      <c r="C75" s="248" t="s">
        <v>44</v>
      </c>
      <c r="D75" s="248" t="s">
        <v>161</v>
      </c>
      <c r="E75" s="248" t="s">
        <v>162</v>
      </c>
      <c r="F75" s="248" t="s">
        <v>163</v>
      </c>
      <c r="G75" s="248" t="s">
        <v>164</v>
      </c>
      <c r="H75" s="248" t="s">
        <v>165</v>
      </c>
      <c r="I75" s="248" t="s">
        <v>166</v>
      </c>
      <c r="J75" s="248" t="s">
        <v>126</v>
      </c>
      <c r="K75" s="248" t="s">
        <v>127</v>
      </c>
      <c r="L75" s="248" t="s">
        <v>128</v>
      </c>
    </row>
    <row r="76" spans="2:12" ht="15" thickBot="1" x14ac:dyDescent="0.35">
      <c r="B76" s="249"/>
      <c r="C76" s="249"/>
      <c r="D76" s="249"/>
      <c r="E76" s="249"/>
      <c r="F76" s="249"/>
      <c r="G76" s="249"/>
      <c r="H76" s="249"/>
      <c r="I76" s="249"/>
      <c r="J76" s="249"/>
      <c r="K76" s="249"/>
      <c r="L76" s="249"/>
    </row>
    <row r="77" spans="2:12" ht="15" thickBot="1" x14ac:dyDescent="0.35">
      <c r="B77" s="53">
        <v>2018</v>
      </c>
      <c r="C77" s="53">
        <f>+C62+C63</f>
        <v>345</v>
      </c>
      <c r="D77" s="53">
        <f>+D62+D63</f>
        <v>345.5</v>
      </c>
      <c r="E77" s="54">
        <v>0</v>
      </c>
      <c r="F77" s="54">
        <v>6211</v>
      </c>
      <c r="G77" s="115"/>
      <c r="H77" s="115"/>
      <c r="I77" s="115"/>
      <c r="J77" s="113">
        <f>C77/$C$80*Carbon_Calculations!$X$32</f>
        <v>26666.684955680565</v>
      </c>
      <c r="K77" s="113">
        <v>0</v>
      </c>
      <c r="L77" s="113">
        <f>+K77+J77-I77-H77-G77-F77</f>
        <v>20455.684955680565</v>
      </c>
    </row>
    <row r="78" spans="2:12" ht="15" thickBot="1" x14ac:dyDescent="0.35">
      <c r="B78" s="53">
        <v>2019</v>
      </c>
      <c r="C78" s="53">
        <f>+C64+C65+C66</f>
        <v>646</v>
      </c>
      <c r="D78" s="53">
        <f>+D64+D65+D66</f>
        <v>647</v>
      </c>
      <c r="E78" s="54">
        <v>0</v>
      </c>
      <c r="F78" s="54">
        <v>10648</v>
      </c>
      <c r="G78" s="115"/>
      <c r="H78" s="115"/>
      <c r="I78" s="115"/>
      <c r="J78" s="113">
        <f>C78/$C$80*Carbon_Calculations!$X$32</f>
        <v>49932.401395274333</v>
      </c>
      <c r="K78" s="113">
        <v>0</v>
      </c>
      <c r="L78" s="113">
        <f t="shared" ref="L78" si="37">+K78+J78-I78-H78-G78-F78</f>
        <v>39284.401395274333</v>
      </c>
    </row>
    <row r="79" spans="2:12" ht="15" thickBot="1" x14ac:dyDescent="0.35">
      <c r="B79" s="53">
        <v>2020</v>
      </c>
      <c r="C79" s="53">
        <f>+C67+C68+C69+C70</f>
        <v>309</v>
      </c>
      <c r="D79" s="53">
        <f>+D67+D68+D69+D70</f>
        <v>0</v>
      </c>
      <c r="E79" s="54">
        <f t="shared" ref="E79" si="38">+C79-D79</f>
        <v>309</v>
      </c>
      <c r="F79" s="54">
        <f>+F78</f>
        <v>10648</v>
      </c>
      <c r="G79" s="115">
        <v>1000</v>
      </c>
      <c r="H79" s="115"/>
      <c r="I79" s="115"/>
      <c r="J79" s="113">
        <f>C79/$C$80*Carbon_Calculations!$X$32</f>
        <v>23884.07435160955</v>
      </c>
      <c r="K79" s="113">
        <v>0</v>
      </c>
      <c r="L79" s="113">
        <f>+K79+J79-I79-H79-G79-F79</f>
        <v>12236.07435160955</v>
      </c>
    </row>
    <row r="80" spans="2:12" ht="15" thickBot="1" x14ac:dyDescent="0.35">
      <c r="B80" s="53" t="s">
        <v>72</v>
      </c>
      <c r="C80" s="53">
        <f>+C79+C78+C77</f>
        <v>1300</v>
      </c>
      <c r="D80" s="53">
        <f t="shared" ref="D80:F80" si="39">+D79+D78+D77</f>
        <v>992.5</v>
      </c>
      <c r="E80" s="53">
        <f t="shared" si="39"/>
        <v>309</v>
      </c>
      <c r="F80" s="53">
        <f t="shared" si="39"/>
        <v>27507</v>
      </c>
      <c r="G80" s="115">
        <v>1000</v>
      </c>
      <c r="H80" s="115"/>
      <c r="I80" s="115"/>
      <c r="J80" s="113">
        <f>C80/$C$71*Carbon_Calculations!$X$32</f>
        <v>100483.16070256445</v>
      </c>
      <c r="K80" s="113">
        <v>0</v>
      </c>
      <c r="L80" s="113">
        <f t="shared" ref="L80" si="40">+K80+J80-I80-H80-G80-F80</f>
        <v>71976.160702564448</v>
      </c>
    </row>
    <row r="83" spans="2:7" ht="15" thickBot="1" x14ac:dyDescent="0.35"/>
    <row r="84" spans="2:7" ht="99" thickBot="1" x14ac:dyDescent="0.35">
      <c r="B84" s="126" t="s">
        <v>79</v>
      </c>
      <c r="C84" s="126" t="s">
        <v>131</v>
      </c>
      <c r="D84" s="126" t="s">
        <v>170</v>
      </c>
      <c r="E84" s="126" t="s">
        <v>171</v>
      </c>
      <c r="F84" s="126" t="s">
        <v>172</v>
      </c>
      <c r="G84" s="126" t="s">
        <v>169</v>
      </c>
    </row>
    <row r="85" spans="2:7" ht="15" thickBot="1" x14ac:dyDescent="0.35">
      <c r="B85" s="69">
        <v>2021</v>
      </c>
      <c r="C85" s="67">
        <v>12</v>
      </c>
      <c r="D85" s="78">
        <f>($L$77+$L$78+$L$79)/$C$87*C85</f>
        <v>41129.234687179691</v>
      </c>
      <c r="E85" s="78">
        <f>D85</f>
        <v>41129.234687179691</v>
      </c>
      <c r="F85" s="78">
        <f>+Q51</f>
        <v>4069.984722222222</v>
      </c>
      <c r="G85" s="78">
        <f>E85+F85</f>
        <v>45199.219409401914</v>
      </c>
    </row>
    <row r="86" spans="2:7" ht="15" thickBot="1" x14ac:dyDescent="0.35">
      <c r="B86" s="69">
        <v>2022</v>
      </c>
      <c r="C86" s="67">
        <f>C85+9</f>
        <v>21</v>
      </c>
      <c r="D86" s="78">
        <f>($L$77+$L$78+$L$79)/$C$87*C86</f>
        <v>71976.160702564448</v>
      </c>
      <c r="E86" s="78">
        <f>D86-D85</f>
        <v>30846.926015384757</v>
      </c>
      <c r="F86" s="78">
        <f>+Q52</f>
        <v>2502.5</v>
      </c>
      <c r="G86" s="78">
        <f t="shared" ref="G86" si="41">E86+F86</f>
        <v>33349.426015384757</v>
      </c>
    </row>
    <row r="87" spans="2:7" ht="15" thickBot="1" x14ac:dyDescent="0.35">
      <c r="B87" s="69" t="s">
        <v>72</v>
      </c>
      <c r="C87" s="67">
        <f>C86</f>
        <v>21</v>
      </c>
      <c r="D87" s="79">
        <f>D86</f>
        <v>71976.160702564448</v>
      </c>
      <c r="E87" s="78">
        <f>SUM(E85:E86)</f>
        <v>71976.160702564448</v>
      </c>
      <c r="F87" s="78">
        <f>SUM(F85:F86)</f>
        <v>6572.4847222222215</v>
      </c>
      <c r="G87" s="78">
        <f>SUM(G85:G86)</f>
        <v>78548.645424786664</v>
      </c>
    </row>
    <row r="93" spans="2:7" ht="15" thickBot="1" x14ac:dyDescent="0.35">
      <c r="B93" s="39" t="s">
        <v>136</v>
      </c>
    </row>
    <row r="94" spans="2:7" ht="14.4" customHeight="1" x14ac:dyDescent="0.3">
      <c r="B94" s="264" t="s">
        <v>71</v>
      </c>
      <c r="C94" s="264" t="s">
        <v>173</v>
      </c>
    </row>
    <row r="95" spans="2:7" ht="15" thickBot="1" x14ac:dyDescent="0.35">
      <c r="B95" s="265"/>
      <c r="C95" s="265"/>
    </row>
    <row r="96" spans="2:7" ht="15" thickBot="1" x14ac:dyDescent="0.35">
      <c r="B96" s="72">
        <v>2015</v>
      </c>
      <c r="C96" s="73">
        <v>0</v>
      </c>
    </row>
    <row r="97" spans="2:8" ht="15" thickBot="1" x14ac:dyDescent="0.35">
      <c r="B97" s="72">
        <v>2016</v>
      </c>
      <c r="C97" s="73">
        <v>0</v>
      </c>
    </row>
    <row r="98" spans="2:8" ht="15" thickBot="1" x14ac:dyDescent="0.35">
      <c r="B98" s="72">
        <v>2017</v>
      </c>
      <c r="C98" s="73">
        <v>0</v>
      </c>
    </row>
    <row r="99" spans="2:8" ht="15" thickBot="1" x14ac:dyDescent="0.35">
      <c r="B99" s="72">
        <v>2018</v>
      </c>
      <c r="C99" s="73">
        <v>0</v>
      </c>
    </row>
    <row r="100" spans="2:8" ht="15" thickBot="1" x14ac:dyDescent="0.35">
      <c r="B100" s="72">
        <v>2019</v>
      </c>
      <c r="C100" s="73">
        <v>0</v>
      </c>
    </row>
    <row r="101" spans="2:8" ht="15" thickBot="1" x14ac:dyDescent="0.35">
      <c r="B101" s="72">
        <v>2020</v>
      </c>
      <c r="C101" s="73">
        <v>0</v>
      </c>
    </row>
    <row r="102" spans="2:8" ht="15" thickBot="1" x14ac:dyDescent="0.35">
      <c r="B102" s="72">
        <v>2021</v>
      </c>
      <c r="C102" s="73"/>
    </row>
    <row r="103" spans="2:8" ht="15" thickBot="1" x14ac:dyDescent="0.35">
      <c r="B103" s="72">
        <v>2022</v>
      </c>
      <c r="C103" s="73"/>
    </row>
    <row r="104" spans="2:8" ht="15" thickBot="1" x14ac:dyDescent="0.35">
      <c r="B104" s="72" t="s">
        <v>72</v>
      </c>
      <c r="C104" s="73">
        <v>0</v>
      </c>
    </row>
    <row r="108" spans="2:8" ht="14.4" customHeight="1" thickBot="1" x14ac:dyDescent="0.35"/>
    <row r="109" spans="2:8" x14ac:dyDescent="0.3">
      <c r="B109" s="221" t="s">
        <v>79</v>
      </c>
      <c r="C109" s="74" t="s">
        <v>140</v>
      </c>
      <c r="D109" s="223" t="s">
        <v>141</v>
      </c>
      <c r="E109" s="74" t="s">
        <v>140</v>
      </c>
      <c r="F109" s="74" t="s">
        <v>140</v>
      </c>
    </row>
    <row r="110" spans="2:8" ht="42" thickBot="1" x14ac:dyDescent="0.35">
      <c r="B110" s="222"/>
      <c r="C110" s="75" t="s">
        <v>141</v>
      </c>
      <c r="D110" s="224"/>
      <c r="E110" s="75" t="s">
        <v>141</v>
      </c>
      <c r="F110" s="75" t="s">
        <v>141</v>
      </c>
      <c r="G110" s="218" t="s">
        <v>713</v>
      </c>
      <c r="H110" s="218" t="s">
        <v>714</v>
      </c>
    </row>
    <row r="111" spans="2:8" ht="15" thickBot="1" x14ac:dyDescent="0.35">
      <c r="B111" s="69">
        <v>2021</v>
      </c>
      <c r="C111" s="78">
        <f>+I15</f>
        <v>714.79116439613767</v>
      </c>
      <c r="D111" s="78">
        <f>+G85</f>
        <v>45199.219409401914</v>
      </c>
      <c r="E111" s="78">
        <v>0</v>
      </c>
      <c r="F111" s="78">
        <f t="shared" ref="F111:F112" si="42">D111-E111-C111</f>
        <v>44484.42824500578</v>
      </c>
      <c r="G111" s="78">
        <f>+F111*0.12</f>
        <v>5338.1313894006935</v>
      </c>
      <c r="H111" s="78">
        <f>+F111-G111</f>
        <v>39146.296855605084</v>
      </c>
    </row>
    <row r="112" spans="2:8" ht="15" thickBot="1" x14ac:dyDescent="0.35">
      <c r="B112" s="69">
        <v>2022</v>
      </c>
      <c r="C112" s="78">
        <v>0</v>
      </c>
      <c r="D112" s="78">
        <f>+G86</f>
        <v>33349.426015384757</v>
      </c>
      <c r="E112" s="78">
        <v>0</v>
      </c>
      <c r="F112" s="78">
        <f t="shared" si="42"/>
        <v>33349.426015384757</v>
      </c>
      <c r="G112" s="78">
        <f>+F112*0.12</f>
        <v>4001.9311218461708</v>
      </c>
      <c r="H112" s="78">
        <f t="shared" ref="H112:H113" si="43">+F112-G112</f>
        <v>29347.494893538587</v>
      </c>
    </row>
    <row r="113" spans="2:13" ht="15" thickBot="1" x14ac:dyDescent="0.35">
      <c r="B113" s="69">
        <f>+Q87</f>
        <v>0</v>
      </c>
      <c r="C113" s="78">
        <f>SUM(C111:C112)</f>
        <v>714.79116439613767</v>
      </c>
      <c r="D113" s="78">
        <f>SUM(D111:D112)</f>
        <v>78548.645424786664</v>
      </c>
      <c r="E113" s="78">
        <f>SUM(E111:E112)</f>
        <v>0</v>
      </c>
      <c r="F113" s="78">
        <f>SUM(F111:F112)</f>
        <v>77833.854260390537</v>
      </c>
      <c r="G113" s="78">
        <f>+F113*0.12</f>
        <v>9340.0625112468642</v>
      </c>
      <c r="H113" s="78">
        <f t="shared" si="43"/>
        <v>68493.791749143667</v>
      </c>
    </row>
    <row r="114" spans="2:13" x14ac:dyDescent="0.3">
      <c r="M114" s="116"/>
    </row>
    <row r="115" spans="2:13" ht="15" thickBot="1" x14ac:dyDescent="0.35">
      <c r="M115" s="116"/>
    </row>
    <row r="116" spans="2:13" ht="29.4" thickBot="1" x14ac:dyDescent="0.35">
      <c r="B116" s="119" t="s">
        <v>144</v>
      </c>
      <c r="C116" s="120" t="s">
        <v>145</v>
      </c>
    </row>
    <row r="117" spans="2:13" x14ac:dyDescent="0.3">
      <c r="B117" s="117">
        <v>1000</v>
      </c>
      <c r="C117" s="89">
        <v>213</v>
      </c>
    </row>
    <row r="118" spans="2:13" x14ac:dyDescent="0.3">
      <c r="B118" s="117">
        <v>714</v>
      </c>
      <c r="C118" s="89">
        <v>190.2</v>
      </c>
    </row>
    <row r="119" spans="2:13" ht="15" thickBot="1" x14ac:dyDescent="0.35">
      <c r="B119" s="118">
        <v>500</v>
      </c>
      <c r="C119" s="90">
        <v>180.5</v>
      </c>
    </row>
  </sheetData>
  <mergeCells count="47">
    <mergeCell ref="B109:B110"/>
    <mergeCell ref="D109:D110"/>
    <mergeCell ref="C94:C95"/>
    <mergeCell ref="B94:B95"/>
    <mergeCell ref="G33:G42"/>
    <mergeCell ref="B45:B47"/>
    <mergeCell ref="C45:C47"/>
    <mergeCell ref="F60:F61"/>
    <mergeCell ref="E33:E42"/>
    <mergeCell ref="F33:F42"/>
    <mergeCell ref="G60:G61"/>
    <mergeCell ref="B75:B76"/>
    <mergeCell ref="G19:G28"/>
    <mergeCell ref="B31:B32"/>
    <mergeCell ref="D31:D32"/>
    <mergeCell ref="E31:E32"/>
    <mergeCell ref="G31:G32"/>
    <mergeCell ref="E19:E28"/>
    <mergeCell ref="F19:F28"/>
    <mergeCell ref="E3:E5"/>
    <mergeCell ref="B60:B61"/>
    <mergeCell ref="C60:C61"/>
    <mergeCell ref="D60:D61"/>
    <mergeCell ref="E60:E61"/>
    <mergeCell ref="B3:B5"/>
    <mergeCell ref="C3:C5"/>
    <mergeCell ref="B17:B18"/>
    <mergeCell ref="C17:C18"/>
    <mergeCell ref="D17:D18"/>
    <mergeCell ref="D3:D5"/>
    <mergeCell ref="L45:L47"/>
    <mergeCell ref="M45:M47"/>
    <mergeCell ref="J60:J61"/>
    <mergeCell ref="K60:K61"/>
    <mergeCell ref="L60:L61"/>
    <mergeCell ref="H60:H61"/>
    <mergeCell ref="I60:I61"/>
    <mergeCell ref="H75:H76"/>
    <mergeCell ref="I75:I76"/>
    <mergeCell ref="J75:J76"/>
    <mergeCell ref="K75:K76"/>
    <mergeCell ref="L75:L76"/>
    <mergeCell ref="C75:C76"/>
    <mergeCell ref="D75:D76"/>
    <mergeCell ref="E75:E76"/>
    <mergeCell ref="F75:F76"/>
    <mergeCell ref="G75:G76"/>
  </mergeCells>
  <pageMargins left="0.7" right="0.7" top="0.78740157500000008" bottom="0.78740157500000008"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fedcfea-ddd8-4431-8d81-6dfd51325cb5" xsi:nil="true"/>
    <lcf76f155ced4ddcb4097134ff3c332f xmlns="3ce36692-330b-4db1-8a74-cf3d5895c29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A01DDF469BDD46A496DBACB063BE45" ma:contentTypeVersion="17" ma:contentTypeDescription="Create a new document." ma:contentTypeScope="" ma:versionID="7e93d18835a49cbba415136b172b10e5">
  <xsd:schema xmlns:xsd="http://www.w3.org/2001/XMLSchema" xmlns:xs="http://www.w3.org/2001/XMLSchema" xmlns:p="http://schemas.microsoft.com/office/2006/metadata/properties" xmlns:ns2="3ce36692-330b-4db1-8a74-cf3d5895c29d" xmlns:ns3="1fedcfea-ddd8-4431-8d81-6dfd51325cb5" targetNamespace="http://schemas.microsoft.com/office/2006/metadata/properties" ma:root="true" ma:fieldsID="308aa56851188885ef21aa6353d792eb" ns2:_="" ns3:_="">
    <xsd:import namespace="3ce36692-330b-4db1-8a74-cf3d5895c29d"/>
    <xsd:import namespace="1fedcfea-ddd8-4431-8d81-6dfd51325cb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e36692-330b-4db1-8a74-cf3d5895c2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37ef5b12-004b-4d0f-a024-a4c34272299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edcfea-ddd8-4431-8d81-6dfd51325cb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137dc1a-6038-4b6b-b989-cf035f61d959}" ma:internalName="TaxCatchAll" ma:showField="CatchAllData" ma:web="1fedcfea-ddd8-4431-8d81-6dfd51325cb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8FB098-2701-4059-A685-C062E47A7F83}">
  <ds:schemaRefs>
    <ds:schemaRef ds:uri="http://schemas.microsoft.com/office/2006/documentManagement/types"/>
    <ds:schemaRef ds:uri="http://www.w3.org/XML/1998/namespace"/>
    <ds:schemaRef ds:uri="http://purl.org/dc/dcmitype/"/>
    <ds:schemaRef ds:uri="http://purl.org/dc/terms/"/>
    <ds:schemaRef ds:uri="1fedcfea-ddd8-4431-8d81-6dfd51325cb5"/>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3ce36692-330b-4db1-8a74-cf3d5895c29d"/>
  </ds:schemaRefs>
</ds:datastoreItem>
</file>

<file path=customXml/itemProps2.xml><?xml version="1.0" encoding="utf-8"?>
<ds:datastoreItem xmlns:ds="http://schemas.openxmlformats.org/officeDocument/2006/customXml" ds:itemID="{548582D3-BF67-4431-B912-F44C0B9816DB}">
  <ds:schemaRefs>
    <ds:schemaRef ds:uri="http://schemas.microsoft.com/sharepoint/v3/contenttype/forms"/>
  </ds:schemaRefs>
</ds:datastoreItem>
</file>

<file path=customXml/itemProps3.xml><?xml version="1.0" encoding="utf-8"?>
<ds:datastoreItem xmlns:ds="http://schemas.openxmlformats.org/officeDocument/2006/customXml" ds:itemID="{58851E34-1430-4187-B309-831E0FD24E4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Reference_M1</vt:lpstr>
      <vt:lpstr>Plots</vt:lpstr>
      <vt:lpstr>Volume Calculation.</vt:lpstr>
      <vt:lpstr>Sheet3</vt:lpstr>
      <vt:lpstr>Carbon_Calculations</vt:lpstr>
      <vt:lpstr>Sheet2</vt:lpstr>
      <vt:lpstr>Sheet1</vt:lpstr>
      <vt:lpstr>SOC</vt:lpstr>
      <vt:lpstr>VCS Tables</vt:lpstr>
      <vt:lpstr>Baseline</vt:lpstr>
      <vt:lpstr>Reference_M1!_ftn1</vt:lpstr>
      <vt:lpstr>Reference_M1!_ftnref1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Rossi</dc:creator>
  <cp:lastModifiedBy>Irene Calo</cp:lastModifiedBy>
  <cp:revision>1</cp:revision>
  <dcterms:created xsi:type="dcterms:W3CDTF">2019-11-14T14:05:11Z</dcterms:created>
  <dcterms:modified xsi:type="dcterms:W3CDTF">2024-02-02T10:13:47Z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0x01010046A01DDF469BDD46A496DBACB063BE45</vt:lpwstr>
  </property>
  <property fmtid="{D5CDD505-2E9C-101B-9397-08002B2CF9AE}" pid="3" name="MediaServiceImageTags">
    <vt:lpwstr/>
  </property>
</Properties>
</file>