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9ECC1D3-0C44-44EA-AA95-940BC1C2D09F}" xr6:coauthVersionLast="46" xr6:coauthVersionMax="46" xr10:uidLastSave="{00000000-0000-0000-0000-000000000000}"/>
  <bookViews>
    <workbookView xWindow="-108" yWindow="-108" windowWidth="22320" windowHeight="13176" xr2:uid="{00000000-000D-0000-FFFF-FFFF00000000}"/>
  </bookViews>
  <sheets>
    <sheet name="CO2 certificates" sheetId="6" r:id="rId1"/>
    <sheet name="Baseline" sheetId="1" r:id="rId2"/>
    <sheet name="MU1" sheetId="2" r:id="rId3"/>
    <sheet name="MU2" sheetId="8" r:id="rId4"/>
    <sheet name="MU3" sheetId="9" r:id="rId5"/>
    <sheet name="Annual CO2 fixation" sheetId="10" r:id="rId6"/>
  </sheets>
  <definedNames>
    <definedName name="OLE_LINK10" localSheetId="1">Baseline!$I$4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6" l="1"/>
  <c r="G27" i="6"/>
  <c r="D25" i="1"/>
  <c r="C25" i="1"/>
  <c r="F54" i="10"/>
  <c r="F55" i="10"/>
  <c r="F56" i="10"/>
  <c r="F57" i="10"/>
  <c r="F58" i="10"/>
  <c r="F59" i="10"/>
  <c r="F53" i="10"/>
  <c r="E29" i="6"/>
  <c r="D22" i="1"/>
  <c r="D11" i="1"/>
  <c r="C22" i="1"/>
  <c r="C11" i="1"/>
  <c r="D17" i="1"/>
  <c r="D19" i="1" s="1"/>
  <c r="D6" i="1"/>
  <c r="D4" i="1"/>
  <c r="D8" i="1" s="1"/>
  <c r="U32" i="10"/>
  <c r="V32" i="10" s="1"/>
  <c r="U31" i="10"/>
  <c r="U30" i="10"/>
  <c r="U29" i="10"/>
  <c r="P32" i="10"/>
  <c r="Q32" i="10" s="1"/>
  <c r="P31" i="10"/>
  <c r="P30" i="10"/>
  <c r="Q30" i="10" s="1"/>
  <c r="P29" i="10"/>
  <c r="K32" i="10"/>
  <c r="K31" i="10"/>
  <c r="L31" i="10" s="1"/>
  <c r="K30" i="10"/>
  <c r="K29" i="10"/>
  <c r="L29" i="10" s="1"/>
  <c r="G31" i="10"/>
  <c r="F30" i="10"/>
  <c r="F31" i="10"/>
  <c r="F32" i="10"/>
  <c r="G32" i="10" s="1"/>
  <c r="F29" i="10"/>
  <c r="G29" i="10" s="1"/>
  <c r="AE48" i="10"/>
  <c r="AE47" i="10"/>
  <c r="AE46" i="10"/>
  <c r="AE45" i="10"/>
  <c r="Y48" i="10"/>
  <c r="Z48" i="10" s="1"/>
  <c r="Y47" i="10"/>
  <c r="Y46" i="10"/>
  <c r="Y45" i="10"/>
  <c r="S48" i="10"/>
  <c r="S47" i="10"/>
  <c r="S46" i="10"/>
  <c r="S45" i="10"/>
  <c r="M48" i="10"/>
  <c r="N48" i="10" s="1"/>
  <c r="M47" i="10"/>
  <c r="M46" i="10"/>
  <c r="M45" i="10"/>
  <c r="G48" i="10"/>
  <c r="G47" i="10"/>
  <c r="G46" i="10"/>
  <c r="G45" i="10"/>
  <c r="Y14" i="10"/>
  <c r="Y13" i="10"/>
  <c r="Y12" i="10"/>
  <c r="Y11" i="10"/>
  <c r="Y10" i="10"/>
  <c r="Y9" i="10"/>
  <c r="S14" i="10"/>
  <c r="S13" i="10"/>
  <c r="S12" i="10"/>
  <c r="S11" i="10"/>
  <c r="S10" i="10"/>
  <c r="T10" i="10" s="1"/>
  <c r="S9" i="10"/>
  <c r="M14" i="10"/>
  <c r="N14" i="10" s="1"/>
  <c r="M13" i="10"/>
  <c r="M12" i="10"/>
  <c r="M11" i="10"/>
  <c r="M10" i="10"/>
  <c r="N10" i="10" s="1"/>
  <c r="M9" i="10"/>
  <c r="G9" i="10"/>
  <c r="H14" i="10"/>
  <c r="G11" i="10"/>
  <c r="G12" i="10"/>
  <c r="G13" i="10"/>
  <c r="G14" i="10"/>
  <c r="G10" i="10"/>
  <c r="C40" i="10"/>
  <c r="C20" i="10"/>
  <c r="G30" i="10" s="1"/>
  <c r="C4" i="10"/>
  <c r="N9" i="10" s="1"/>
  <c r="N46" i="10" l="1"/>
  <c r="AF48" i="10"/>
  <c r="H13" i="10"/>
  <c r="T11" i="10"/>
  <c r="N47" i="10"/>
  <c r="Q31" i="10"/>
  <c r="W31" i="10" s="1"/>
  <c r="X31" i="10" s="1"/>
  <c r="D57" i="10" s="1"/>
  <c r="H12" i="10"/>
  <c r="T12" i="10"/>
  <c r="H11" i="10"/>
  <c r="AA11" i="10" s="1"/>
  <c r="AB11" i="10" s="1"/>
  <c r="C55" i="10" s="1"/>
  <c r="T13" i="10"/>
  <c r="H10" i="10"/>
  <c r="AA10" i="10" s="1"/>
  <c r="AB10" i="10" s="1"/>
  <c r="C54" i="10" s="1"/>
  <c r="T14" i="10"/>
  <c r="AA14" i="10" s="1"/>
  <c r="AB14" i="10" s="1"/>
  <c r="C58" i="10" s="1"/>
  <c r="T45" i="10"/>
  <c r="V29" i="10"/>
  <c r="H9" i="10"/>
  <c r="Z9" i="10"/>
  <c r="T46" i="10"/>
  <c r="V30" i="10"/>
  <c r="Z10" i="10"/>
  <c r="T47" i="10"/>
  <c r="V31" i="10"/>
  <c r="Z11" i="10"/>
  <c r="Z12" i="10"/>
  <c r="Z46" i="10"/>
  <c r="T48" i="10"/>
  <c r="Z45" i="10"/>
  <c r="Z13" i="10"/>
  <c r="N11" i="10"/>
  <c r="Z14" i="10"/>
  <c r="Z47" i="10"/>
  <c r="N12" i="10"/>
  <c r="H45" i="10"/>
  <c r="L30" i="10"/>
  <c r="W30" i="10" s="1"/>
  <c r="X30" i="10" s="1"/>
  <c r="D56" i="10" s="1"/>
  <c r="N13" i="10"/>
  <c r="H46" i="10"/>
  <c r="H47" i="10"/>
  <c r="AF45" i="10"/>
  <c r="H48" i="10"/>
  <c r="AF46" i="10"/>
  <c r="L32" i="10"/>
  <c r="W32" i="10" s="1"/>
  <c r="X32" i="10" s="1"/>
  <c r="D58" i="10" s="1"/>
  <c r="T9" i="10"/>
  <c r="N45" i="10"/>
  <c r="AF47" i="10"/>
  <c r="Q29" i="10"/>
  <c r="W29" i="10" s="1"/>
  <c r="X29" i="10" s="1"/>
  <c r="D55" i="10" s="1"/>
  <c r="D7" i="1"/>
  <c r="D9" i="1" s="1"/>
  <c r="D10" i="1" s="1"/>
  <c r="D12" i="1" s="1"/>
  <c r="D20" i="1"/>
  <c r="D21" i="1" s="1"/>
  <c r="D23" i="1" s="1"/>
  <c r="AA12" i="10" l="1"/>
  <c r="AB12" i="10" s="1"/>
  <c r="C56" i="10" s="1"/>
  <c r="AG47" i="10"/>
  <c r="AH47" i="10" s="1"/>
  <c r="E57" i="10" s="1"/>
  <c r="AG46" i="10"/>
  <c r="AH46" i="10" s="1"/>
  <c r="E56" i="10" s="1"/>
  <c r="AA13" i="10"/>
  <c r="AB13" i="10" s="1"/>
  <c r="C57" i="10" s="1"/>
  <c r="AG45" i="10"/>
  <c r="AH45" i="10" s="1"/>
  <c r="E55" i="10" s="1"/>
  <c r="G55" i="10" s="1"/>
  <c r="D24" i="6" s="1"/>
  <c r="AA9" i="10"/>
  <c r="AB9" i="10" s="1"/>
  <c r="C53" i="10" s="1"/>
  <c r="AG48" i="10"/>
  <c r="AH48" i="10" s="1"/>
  <c r="E58" i="10" s="1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25" i="9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25" i="2"/>
  <c r="J59" i="9"/>
  <c r="E7" i="9" s="1"/>
  <c r="I59" i="9"/>
  <c r="E6" i="9" s="1"/>
  <c r="D26" i="1" l="1"/>
  <c r="C24" i="6"/>
  <c r="F24" i="6" s="1"/>
  <c r="G54" i="10"/>
  <c r="D23" i="6" s="1"/>
  <c r="G56" i="10"/>
  <c r="D25" i="6" s="1"/>
  <c r="F25" i="6" s="1"/>
  <c r="N56" i="9"/>
  <c r="F10" i="9" s="1"/>
  <c r="Y49" i="10" s="1"/>
  <c r="Z49" i="10" s="1"/>
  <c r="K59" i="9"/>
  <c r="E10" i="9" s="1"/>
  <c r="S49" i="10" s="1"/>
  <c r="T49" i="10" s="1"/>
  <c r="G53" i="10" l="1"/>
  <c r="G57" i="10"/>
  <c r="D26" i="6" s="1"/>
  <c r="F26" i="6" s="1"/>
  <c r="G58" i="10"/>
  <c r="D27" i="6" s="1"/>
  <c r="F27" i="6"/>
  <c r="F5" i="2"/>
  <c r="M66" i="2"/>
  <c r="F7" i="2" s="1"/>
  <c r="L66" i="2"/>
  <c r="F6" i="2" s="1"/>
  <c r="H68" i="2" l="1"/>
  <c r="D10" i="2" s="1"/>
  <c r="M15" i="10" s="1"/>
  <c r="N15" i="10" s="1"/>
  <c r="G68" i="2"/>
  <c r="D7" i="2" s="1"/>
  <c r="P69" i="9"/>
  <c r="O69" i="9"/>
  <c r="D62" i="9"/>
  <c r="C7" i="9" s="1"/>
  <c r="C62" i="9"/>
  <c r="C6" i="9" s="1"/>
  <c r="G60" i="9"/>
  <c r="D7" i="9" s="1"/>
  <c r="F60" i="9"/>
  <c r="D6" i="9" s="1"/>
  <c r="M56" i="9"/>
  <c r="F7" i="9" s="1"/>
  <c r="L56" i="9"/>
  <c r="F6" i="9" s="1"/>
  <c r="Q114" i="8"/>
  <c r="P114" i="8"/>
  <c r="O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M74" i="8"/>
  <c r="L74" i="8"/>
  <c r="K74" i="8"/>
  <c r="R73" i="8"/>
  <c r="N73" i="8"/>
  <c r="R72" i="8"/>
  <c r="N72" i="8"/>
  <c r="R71" i="8"/>
  <c r="N71" i="8"/>
  <c r="R70" i="8"/>
  <c r="N70" i="8"/>
  <c r="R69" i="8"/>
  <c r="N69" i="8"/>
  <c r="R68" i="8"/>
  <c r="N68" i="8"/>
  <c r="R67" i="8"/>
  <c r="N67" i="8"/>
  <c r="R66" i="8"/>
  <c r="N66" i="8"/>
  <c r="R65" i="8"/>
  <c r="N65" i="8"/>
  <c r="R64" i="8"/>
  <c r="N64" i="8"/>
  <c r="E64" i="8"/>
  <c r="D64" i="8"/>
  <c r="C64" i="8"/>
  <c r="R63" i="8"/>
  <c r="N63" i="8"/>
  <c r="F63" i="8"/>
  <c r="R62" i="8"/>
  <c r="N62" i="8"/>
  <c r="F62" i="8"/>
  <c r="R61" i="8"/>
  <c r="N61" i="8"/>
  <c r="F61" i="8"/>
  <c r="R60" i="8"/>
  <c r="N60" i="8"/>
  <c r="F60" i="8"/>
  <c r="R59" i="8"/>
  <c r="N59" i="8"/>
  <c r="I59" i="8"/>
  <c r="H59" i="8"/>
  <c r="G59" i="8"/>
  <c r="F59" i="8"/>
  <c r="R58" i="8"/>
  <c r="N58" i="8"/>
  <c r="J58" i="8"/>
  <c r="F58" i="8"/>
  <c r="R57" i="8"/>
  <c r="N57" i="8"/>
  <c r="J57" i="8"/>
  <c r="F57" i="8"/>
  <c r="R56" i="8"/>
  <c r="N56" i="8"/>
  <c r="J56" i="8"/>
  <c r="F56" i="8"/>
  <c r="R55" i="8"/>
  <c r="N55" i="8"/>
  <c r="J55" i="8"/>
  <c r="F55" i="8"/>
  <c r="R54" i="8"/>
  <c r="N54" i="8"/>
  <c r="J54" i="8"/>
  <c r="F54" i="8"/>
  <c r="R53" i="8"/>
  <c r="N53" i="8"/>
  <c r="J53" i="8"/>
  <c r="F53" i="8"/>
  <c r="R52" i="8"/>
  <c r="N52" i="8"/>
  <c r="J52" i="8"/>
  <c r="F52" i="8"/>
  <c r="R51" i="8"/>
  <c r="N51" i="8"/>
  <c r="J51" i="8"/>
  <c r="F51" i="8"/>
  <c r="R50" i="8"/>
  <c r="N50" i="8"/>
  <c r="J50" i="8"/>
  <c r="F50" i="8"/>
  <c r="R49" i="8"/>
  <c r="N49" i="8"/>
  <c r="J49" i="8"/>
  <c r="F49" i="8"/>
  <c r="R48" i="8"/>
  <c r="N48" i="8"/>
  <c r="J48" i="8"/>
  <c r="F48" i="8"/>
  <c r="R47" i="8"/>
  <c r="N47" i="8"/>
  <c r="J47" i="8"/>
  <c r="F47" i="8"/>
  <c r="R46" i="8"/>
  <c r="N46" i="8"/>
  <c r="J46" i="8"/>
  <c r="F46" i="8"/>
  <c r="R45" i="8"/>
  <c r="N45" i="8"/>
  <c r="J45" i="8"/>
  <c r="F45" i="8"/>
  <c r="R44" i="8"/>
  <c r="N44" i="8"/>
  <c r="J44" i="8"/>
  <c r="F44" i="8"/>
  <c r="R43" i="8"/>
  <c r="N43" i="8"/>
  <c r="J43" i="8"/>
  <c r="F43" i="8"/>
  <c r="R42" i="8"/>
  <c r="N42" i="8"/>
  <c r="J42" i="8"/>
  <c r="F42" i="8"/>
  <c r="R41" i="8"/>
  <c r="N41" i="8"/>
  <c r="J41" i="8"/>
  <c r="F41" i="8"/>
  <c r="R40" i="8"/>
  <c r="N40" i="8"/>
  <c r="J40" i="8"/>
  <c r="F40" i="8"/>
  <c r="R39" i="8"/>
  <c r="N39" i="8"/>
  <c r="J39" i="8"/>
  <c r="F39" i="8"/>
  <c r="R38" i="8"/>
  <c r="N38" i="8"/>
  <c r="J38" i="8"/>
  <c r="F38" i="8"/>
  <c r="R37" i="8"/>
  <c r="N37" i="8"/>
  <c r="J37" i="8"/>
  <c r="F37" i="8"/>
  <c r="R36" i="8"/>
  <c r="N36" i="8"/>
  <c r="J36" i="8"/>
  <c r="F36" i="8"/>
  <c r="R35" i="8"/>
  <c r="N35" i="8"/>
  <c r="J35" i="8"/>
  <c r="F35" i="8"/>
  <c r="R34" i="8"/>
  <c r="N34" i="8"/>
  <c r="J34" i="8"/>
  <c r="F34" i="8"/>
  <c r="R33" i="8"/>
  <c r="N33" i="8"/>
  <c r="J33" i="8"/>
  <c r="F33" i="8"/>
  <c r="R32" i="8"/>
  <c r="N32" i="8"/>
  <c r="J32" i="8"/>
  <c r="F32" i="8"/>
  <c r="R31" i="8"/>
  <c r="N31" i="8"/>
  <c r="J31" i="8"/>
  <c r="F31" i="8"/>
  <c r="R30" i="8"/>
  <c r="N30" i="8"/>
  <c r="J30" i="8"/>
  <c r="F30" i="8"/>
  <c r="R29" i="8"/>
  <c r="N29" i="8"/>
  <c r="J29" i="8"/>
  <c r="F29" i="8"/>
  <c r="R28" i="8"/>
  <c r="N28" i="8"/>
  <c r="J28" i="8"/>
  <c r="J59" i="8" s="1"/>
  <c r="D9" i="8" s="1"/>
  <c r="K33" i="10" s="1"/>
  <c r="L33" i="10" s="1"/>
  <c r="F28" i="8"/>
  <c r="F68" i="2"/>
  <c r="D6" i="2" s="1"/>
  <c r="D69" i="2"/>
  <c r="C7" i="2" s="1"/>
  <c r="C69" i="2"/>
  <c r="C6" i="2" s="1"/>
  <c r="J65" i="2"/>
  <c r="E7" i="2" s="1"/>
  <c r="I65" i="2"/>
  <c r="E6" i="2" s="1"/>
  <c r="K65" i="2"/>
  <c r="E10" i="2" s="1"/>
  <c r="S15" i="10" s="1"/>
  <c r="T15" i="10" s="1"/>
  <c r="E69" i="2"/>
  <c r="C10" i="2" s="1"/>
  <c r="G15" i="10" s="1"/>
  <c r="H15" i="10" s="1"/>
  <c r="C5" i="9"/>
  <c r="N74" i="8" l="1"/>
  <c r="E9" i="8" s="1"/>
  <c r="P33" i="10" s="1"/>
  <c r="Q33" i="10" s="1"/>
  <c r="R114" i="8"/>
  <c r="F9" i="8" s="1"/>
  <c r="U33" i="10" s="1"/>
  <c r="V33" i="10" s="1"/>
  <c r="F64" i="8"/>
  <c r="C9" i="8" s="1"/>
  <c r="F33" i="10" s="1"/>
  <c r="G33" i="10" s="1"/>
  <c r="W33" i="10" s="1"/>
  <c r="N66" i="2"/>
  <c r="E62" i="9"/>
  <c r="Q69" i="9"/>
  <c r="G10" i="9" s="1"/>
  <c r="AE49" i="10" s="1"/>
  <c r="AF49" i="10" s="1"/>
  <c r="H60" i="9"/>
  <c r="D10" i="9" s="1"/>
  <c r="E11" i="9"/>
  <c r="E12" i="9" s="1"/>
  <c r="X33" i="10" l="1"/>
  <c r="D59" i="10" s="1"/>
  <c r="M49" i="10"/>
  <c r="N49" i="10" s="1"/>
  <c r="C10" i="9"/>
  <c r="F10" i="2"/>
  <c r="G5" i="9"/>
  <c r="F5" i="9"/>
  <c r="F11" i="9" s="1"/>
  <c r="D5" i="9"/>
  <c r="D11" i="9" s="1"/>
  <c r="F10" i="8"/>
  <c r="F15" i="8" s="1"/>
  <c r="F16" i="8" s="1"/>
  <c r="F5" i="8"/>
  <c r="E5" i="8"/>
  <c r="D5" i="8"/>
  <c r="D10" i="8" s="1"/>
  <c r="D15" i="8" s="1"/>
  <c r="C5" i="8"/>
  <c r="C10" i="8" s="1"/>
  <c r="C15" i="8" s="1"/>
  <c r="F11" i="2" l="1"/>
  <c r="F12" i="2" s="1"/>
  <c r="Y15" i="10"/>
  <c r="Z15" i="10" s="1"/>
  <c r="AA15" i="10" s="1"/>
  <c r="AB15" i="10" s="1"/>
  <c r="C59" i="10" s="1"/>
  <c r="C11" i="9"/>
  <c r="C12" i="9" s="1"/>
  <c r="G49" i="10"/>
  <c r="H49" i="10" s="1"/>
  <c r="AG49" i="10" s="1"/>
  <c r="D16" i="8"/>
  <c r="C16" i="8"/>
  <c r="D12" i="9"/>
  <c r="G11" i="9"/>
  <c r="E10" i="8"/>
  <c r="E15" i="8" s="1"/>
  <c r="E16" i="8" s="1"/>
  <c r="D3" i="6"/>
  <c r="C21" i="8" l="1"/>
  <c r="C22" i="8"/>
  <c r="AH49" i="10"/>
  <c r="E59" i="10" s="1"/>
  <c r="G59" i="10" s="1"/>
  <c r="D28" i="6" s="1"/>
  <c r="G12" i="9"/>
  <c r="C18" i="9"/>
  <c r="G12" i="6" s="1"/>
  <c r="C17" i="9"/>
  <c r="G11" i="6" s="1"/>
  <c r="G13" i="6" s="1"/>
  <c r="D18" i="9"/>
  <c r="G9" i="6" s="1"/>
  <c r="D17" i="9"/>
  <c r="D21" i="8"/>
  <c r="D22" i="8"/>
  <c r="C24" i="8"/>
  <c r="F19" i="6" s="1"/>
  <c r="F9" i="6"/>
  <c r="F12" i="9"/>
  <c r="F12" i="6"/>
  <c r="F11" i="6"/>
  <c r="F13" i="6" s="1"/>
  <c r="G6" i="6"/>
  <c r="E6" i="6"/>
  <c r="E7" i="6" s="1"/>
  <c r="F6" i="6"/>
  <c r="F28" i="6" l="1"/>
  <c r="D29" i="6"/>
  <c r="F18" i="6"/>
  <c r="G18" i="6"/>
  <c r="C20" i="9"/>
  <c r="G19" i="6" s="1"/>
  <c r="G8" i="6"/>
  <c r="G14" i="6" s="1"/>
  <c r="G16" i="6" s="1"/>
  <c r="F8" i="6"/>
  <c r="F14" i="6" s="1"/>
  <c r="F16" i="6" s="1"/>
  <c r="F7" i="6"/>
  <c r="G7" i="6"/>
  <c r="G28" i="6" l="1"/>
  <c r="H28" i="6" s="1"/>
  <c r="D5" i="2"/>
  <c r="D11" i="2" s="1"/>
  <c r="E5" i="2"/>
  <c r="C5" i="2"/>
  <c r="C11" i="2" s="1"/>
  <c r="C12" i="2" l="1"/>
  <c r="E11" i="2"/>
  <c r="D17" i="2" s="1"/>
  <c r="D12" i="2"/>
  <c r="C18" i="2" l="1"/>
  <c r="D18" i="2"/>
  <c r="E9" i="6" s="1"/>
  <c r="C17" i="2"/>
  <c r="E11" i="6" s="1"/>
  <c r="E13" i="6" s="1"/>
  <c r="E12" i="2"/>
  <c r="C20" i="2" l="1"/>
  <c r="E19" i="6" s="1"/>
  <c r="D20" i="6" s="1"/>
  <c r="E14" i="6"/>
  <c r="E16" i="6" s="1"/>
  <c r="E8" i="6"/>
  <c r="D8" i="6" s="1"/>
  <c r="E12" i="6"/>
  <c r="D12" i="6" s="1"/>
  <c r="D11" i="6"/>
  <c r="D13" i="6" s="1"/>
  <c r="E18" i="6" l="1"/>
  <c r="D14" i="6"/>
  <c r="G15" i="6" s="1"/>
  <c r="G10" i="6"/>
  <c r="E15" i="6" l="1"/>
  <c r="E10" i="6" s="1"/>
  <c r="F15" i="6"/>
  <c r="F10" i="6" s="1"/>
  <c r="D17" i="6" l="1"/>
  <c r="D5" i="6" s="1"/>
  <c r="D18" i="6" s="1"/>
  <c r="C4" i="1"/>
  <c r="C17" i="1"/>
  <c r="C19" i="1" s="1"/>
  <c r="C6" i="1"/>
  <c r="C8" i="1" l="1"/>
  <c r="C7" i="1"/>
  <c r="C9" i="1" s="1"/>
  <c r="C10" i="1" s="1"/>
  <c r="C20" i="1"/>
  <c r="C21" i="1" s="1"/>
  <c r="C23" i="1" s="1"/>
  <c r="C12" i="1" l="1"/>
  <c r="C23" i="6" s="1"/>
  <c r="C29" i="6" s="1"/>
  <c r="F23" i="6" l="1"/>
  <c r="C26" i="1"/>
  <c r="F29" i="6" l="1"/>
  <c r="G29" i="6"/>
  <c r="H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17FAB0B9-2872-408B-ACBA-7728EF1048F7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ground diameter</t>
        </r>
      </text>
    </comment>
  </commentList>
</comments>
</file>

<file path=xl/sharedStrings.xml><?xml version="1.0" encoding="utf-8"?>
<sst xmlns="http://schemas.openxmlformats.org/spreadsheetml/2006/main" count="394" uniqueCount="160">
  <si>
    <t>Carbon fraction</t>
    <phoneticPr fontId="1" type="noConversion"/>
  </si>
  <si>
    <t>Root-to-Shoot ratio</t>
    <phoneticPr fontId="1" type="noConversion"/>
  </si>
  <si>
    <t>Aboveground tree biomass</t>
    <phoneticPr fontId="1" type="noConversion"/>
  </si>
  <si>
    <t>Area</t>
    <phoneticPr fontId="1" type="noConversion"/>
  </si>
  <si>
    <r>
      <t>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/ha</t>
    </r>
    <phoneticPr fontId="1" type="noConversion"/>
  </si>
  <si>
    <t>ha</t>
    <phoneticPr fontId="1" type="noConversion"/>
  </si>
  <si>
    <t>Belowground tree biomass</t>
    <phoneticPr fontId="1" type="noConversion"/>
  </si>
  <si>
    <t>Dry biomass</t>
    <phoneticPr fontId="1" type="noConversion"/>
  </si>
  <si>
    <t>Aboveground non-tree biomass</t>
    <phoneticPr fontId="1" type="noConversion"/>
  </si>
  <si>
    <t>Belowground non-tree biomass</t>
    <phoneticPr fontId="1" type="noConversion"/>
  </si>
  <si>
    <r>
      <rPr>
        <b/>
        <sz val="12"/>
        <color theme="1"/>
        <rFont val="Calibri"/>
        <family val="2"/>
      </rPr>
      <t>Stratum ID</t>
    </r>
    <r>
      <rPr>
        <sz val="11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tree biomass</t>
    </r>
    <phoneticPr fontId="1" type="noConversion"/>
  </si>
  <si>
    <r>
      <rPr>
        <b/>
        <sz val="12"/>
        <color theme="1"/>
        <rFont val="Calibri"/>
        <family val="2"/>
      </rPr>
      <t>Stratum ID</t>
    </r>
    <r>
      <rPr>
        <sz val="11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non-tree biomass</t>
    </r>
    <phoneticPr fontId="1" type="noConversion"/>
  </si>
  <si>
    <r>
      <rPr>
        <b/>
        <sz val="12"/>
        <color theme="1"/>
        <rFont val="Calibri"/>
        <family val="2"/>
      </rPr>
      <t>Baseline</t>
    </r>
    <r>
      <rPr>
        <sz val="11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tree biomass</t>
    </r>
    <phoneticPr fontId="1" type="noConversion"/>
  </si>
  <si>
    <r>
      <rPr>
        <b/>
        <sz val="12"/>
        <color theme="1"/>
        <rFont val="Calibri"/>
        <family val="2"/>
      </rPr>
      <t>Baseline</t>
    </r>
    <r>
      <rPr>
        <sz val="11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non-tree biomass</t>
    </r>
    <phoneticPr fontId="1" type="noConversion"/>
  </si>
  <si>
    <t>tdm/ha</t>
    <phoneticPr fontId="1" type="noConversion"/>
  </si>
  <si>
    <t>tC/tdm</t>
    <phoneticPr fontId="1" type="noConversion"/>
  </si>
  <si>
    <r>
      <t>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/tC</t>
    </r>
    <phoneticPr fontId="1" type="noConversion"/>
  </si>
  <si>
    <r>
      <t>C to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factor</t>
    </r>
    <phoneticPr fontId="1" type="noConversion"/>
  </si>
  <si>
    <t>Sparse bushes</t>
    <phoneticPr fontId="1" type="noConversion"/>
  </si>
  <si>
    <r>
      <t>tCO</t>
    </r>
    <r>
      <rPr>
        <b/>
        <vertAlign val="subscript"/>
        <sz val="11"/>
        <color theme="1"/>
        <rFont val="Calibri"/>
        <family val="2"/>
      </rPr>
      <t>2</t>
    </r>
    <phoneticPr fontId="1" type="noConversion"/>
  </si>
  <si>
    <t>Total Baseline</t>
    <phoneticPr fontId="1" type="noConversion"/>
  </si>
  <si>
    <t>tdm/ha</t>
    <phoneticPr fontId="1" type="noConversion"/>
  </si>
  <si>
    <t>Stem volume*BEF*Wood density</t>
    <phoneticPr fontId="1" type="noConversion"/>
  </si>
  <si>
    <t>GS A/R Requirment</t>
    <phoneticPr fontId="1" type="noConversion"/>
  </si>
  <si>
    <t>Parameter</t>
    <phoneticPr fontId="1" type="noConversion"/>
  </si>
  <si>
    <t>Value</t>
    <phoneticPr fontId="1" type="noConversion"/>
  </si>
  <si>
    <t>Unit</t>
    <phoneticPr fontId="1" type="noConversion"/>
  </si>
  <si>
    <t>Sources</t>
    <phoneticPr fontId="1" type="noConversion"/>
  </si>
  <si>
    <t>Sparse grasses</t>
    <phoneticPr fontId="1" type="noConversion"/>
  </si>
  <si>
    <r>
      <t>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/ha</t>
    </r>
    <phoneticPr fontId="1" type="noConversion"/>
  </si>
  <si>
    <t>Reference list</t>
    <phoneticPr fontId="1" type="noConversion"/>
  </si>
  <si>
    <t>LI Yu-qiang, etc. Study on the Dynamics of Biomass, Calorific Value and Energy of the Psamophyte Communities during Desertification. Arid Zone Research, 2005, 22 (3)</t>
    <phoneticPr fontId="1" type="noConversion"/>
  </si>
  <si>
    <t>Paper I:</t>
    <phoneticPr fontId="1" type="noConversion"/>
  </si>
  <si>
    <t>Paper I</t>
    <phoneticPr fontId="1" type="noConversion"/>
  </si>
  <si>
    <t>sample plot</t>
    <phoneticPr fontId="11" type="noConversion"/>
  </si>
  <si>
    <t>Tree species</t>
    <phoneticPr fontId="11" type="noConversion"/>
  </si>
  <si>
    <t>East Longitude</t>
    <phoneticPr fontId="11" type="noConversion"/>
  </si>
  <si>
    <t>North Latitude</t>
    <phoneticPr fontId="11" type="noConversion"/>
  </si>
  <si>
    <t>Mean DBH (cm)</t>
    <phoneticPr fontId="11" type="noConversion"/>
  </si>
  <si>
    <t>Mean Height (m)</t>
    <phoneticPr fontId="11" type="noConversion"/>
  </si>
  <si>
    <t>Number of saplings</t>
    <phoneticPr fontId="11" type="noConversion"/>
  </si>
  <si>
    <t>Carbon  (tCO2/ha)</t>
    <phoneticPr fontId="11" type="noConversion"/>
  </si>
  <si>
    <t>Pinus sylvestris</t>
  </si>
  <si>
    <t>Poplar</t>
  </si>
  <si>
    <t>Mean D (cm)</t>
    <phoneticPr fontId="11" type="noConversion"/>
  </si>
  <si>
    <t>MU1-1</t>
    <phoneticPr fontId="11" type="noConversion"/>
  </si>
  <si>
    <t>MU1-2</t>
    <phoneticPr fontId="1" type="noConversion"/>
  </si>
  <si>
    <t>MU1-3</t>
    <phoneticPr fontId="1" type="noConversion"/>
  </si>
  <si>
    <t>MU2-1</t>
    <phoneticPr fontId="11" type="noConversion"/>
  </si>
  <si>
    <t>MU2-2</t>
    <phoneticPr fontId="1" type="noConversion"/>
  </si>
  <si>
    <t>MU2-3</t>
    <phoneticPr fontId="1" type="noConversion"/>
  </si>
  <si>
    <t>MU2-4</t>
  </si>
  <si>
    <t>MU3-1</t>
    <phoneticPr fontId="11" type="noConversion"/>
  </si>
  <si>
    <t>MU3-3</t>
  </si>
  <si>
    <t>Biomass (t dm/sample plot)</t>
    <phoneticPr fontId="11" type="noConversion"/>
  </si>
  <si>
    <t>Unit</t>
    <phoneticPr fontId="11" type="noConversion"/>
  </si>
  <si>
    <t>Total</t>
    <phoneticPr fontId="11" type="noConversion"/>
  </si>
  <si>
    <t>ha</t>
    <phoneticPr fontId="11" type="noConversion"/>
  </si>
  <si>
    <t>/</t>
    <phoneticPr fontId="11" type="noConversion"/>
  </si>
  <si>
    <t>AR-Tool3</t>
    <phoneticPr fontId="11" type="noConversion"/>
  </si>
  <si>
    <t>E</t>
  </si>
  <si>
    <t xml:space="preserve">n </t>
    <phoneticPr fontId="11" type="noConversion"/>
  </si>
  <si>
    <t>MU i</t>
    <phoneticPr fontId="11" type="noConversion"/>
  </si>
  <si>
    <t>Biomass per ha (t dm/ha)</t>
    <phoneticPr fontId="11" type="noConversion"/>
  </si>
  <si>
    <t>sample polt area(ha)</t>
    <phoneticPr fontId="11" type="noConversion"/>
  </si>
  <si>
    <t>Root-to-Shoot ratio</t>
    <phoneticPr fontId="11" type="noConversion"/>
  </si>
  <si>
    <t>Biomass Expansion Factor (BEF)</t>
    <phoneticPr fontId="1" type="noConversion"/>
  </si>
  <si>
    <t>Wood density</t>
    <phoneticPr fontId="1" type="noConversion"/>
  </si>
  <si>
    <t>Carbon fraction</t>
    <phoneticPr fontId="1" type="noConversion"/>
  </si>
  <si>
    <t>Root-to-Shoot ratio</t>
    <phoneticPr fontId="1" type="noConversion"/>
  </si>
  <si>
    <t>Mean</t>
    <phoneticPr fontId="11" type="noConversion"/>
  </si>
  <si>
    <t>Standard deviation</t>
    <phoneticPr fontId="11" type="noConversion"/>
  </si>
  <si>
    <t>(t dm/ha)</t>
    <phoneticPr fontId="11" type="noConversion"/>
  </si>
  <si>
    <t>Preliminary sample</t>
    <phoneticPr fontId="11" type="noConversion"/>
  </si>
  <si>
    <t>Total sample</t>
    <phoneticPr fontId="11" type="noConversion"/>
  </si>
  <si>
    <t>Mean carbon (tCO2/ha)</t>
    <phoneticPr fontId="11" type="noConversion"/>
  </si>
  <si>
    <t>Year</t>
  </si>
  <si>
    <t>Total</t>
  </si>
  <si>
    <t>MU1-2</t>
  </si>
  <si>
    <t>MU1-3</t>
  </si>
  <si>
    <t>MU3-2</t>
  </si>
  <si>
    <t>MU3-4</t>
  </si>
  <si>
    <t>MU3-5</t>
  </si>
  <si>
    <t>MU1-4</t>
  </si>
  <si>
    <t>DBH(cm)</t>
    <phoneticPr fontId="11" type="noConversion"/>
  </si>
  <si>
    <t>High(m)</t>
    <phoneticPr fontId="11" type="noConversion"/>
  </si>
  <si>
    <t>Ground dimater(cm)</t>
    <phoneticPr fontId="11" type="noConversion"/>
  </si>
  <si>
    <t>area(ha)</t>
    <phoneticPr fontId="11" type="noConversion"/>
  </si>
  <si>
    <t>year</t>
    <phoneticPr fontId="11" type="noConversion"/>
  </si>
  <si>
    <t>Biomass (kg dm/sample plot)</t>
    <phoneticPr fontId="11" type="noConversion"/>
  </si>
  <si>
    <t>Number of saplings</t>
  </si>
  <si>
    <t>201408</t>
    <phoneticPr fontId="11" type="noConversion"/>
  </si>
  <si>
    <t>201508</t>
    <phoneticPr fontId="11" type="noConversion"/>
  </si>
  <si>
    <t>201608</t>
    <phoneticPr fontId="11" type="noConversion"/>
  </si>
  <si>
    <t>201708</t>
    <phoneticPr fontId="11" type="noConversion"/>
  </si>
  <si>
    <t>201808</t>
    <phoneticPr fontId="11" type="noConversion"/>
  </si>
  <si>
    <t>201908</t>
    <phoneticPr fontId="11" type="noConversion"/>
  </si>
  <si>
    <t>Biomass Expansion Factor (BEF)</t>
  </si>
  <si>
    <t>Wood density</t>
  </si>
  <si>
    <t>Carbon fraction</t>
  </si>
  <si>
    <t>year</t>
    <phoneticPr fontId="16" type="noConversion"/>
  </si>
  <si>
    <t>Biomass (kg dm/sample plot)</t>
  </si>
  <si>
    <t>MU1-1</t>
    <phoneticPr fontId="16" type="noConversion"/>
  </si>
  <si>
    <t>MU1-2</t>
    <phoneticPr fontId="11" type="noConversion"/>
  </si>
  <si>
    <t>MU1-3</t>
    <phoneticPr fontId="11" type="noConversion"/>
  </si>
  <si>
    <t>MU2-1</t>
    <phoneticPr fontId="16" type="noConversion"/>
  </si>
  <si>
    <t>MU2-2</t>
    <phoneticPr fontId="16" type="noConversion"/>
  </si>
  <si>
    <t>MU2-3</t>
    <phoneticPr fontId="16" type="noConversion"/>
  </si>
  <si>
    <t>MU3-1</t>
    <phoneticPr fontId="1" type="noConversion"/>
  </si>
  <si>
    <t>MU3-2</t>
    <phoneticPr fontId="1" type="noConversion"/>
  </si>
  <si>
    <t>MU3-3</t>
    <phoneticPr fontId="1" type="noConversion"/>
  </si>
  <si>
    <t>MU1-4</t>
    <phoneticPr fontId="11" type="noConversion"/>
  </si>
  <si>
    <t>11/04/2014-25/08/2015</t>
    <phoneticPr fontId="1" type="noConversion"/>
  </si>
  <si>
    <t>26/08/2015-25/08/2016</t>
    <phoneticPr fontId="1" type="noConversion"/>
  </si>
  <si>
    <t>26/08/2016-25/08/2017</t>
    <phoneticPr fontId="1" type="noConversion"/>
  </si>
  <si>
    <t>26/08/2017-25/08/2018</t>
    <phoneticPr fontId="1" type="noConversion"/>
  </si>
  <si>
    <t>26/08/2018-25/08/2019</t>
    <phoneticPr fontId="1" type="noConversion"/>
  </si>
  <si>
    <t>26/08/2019-31/12/2020</t>
    <phoneticPr fontId="1" type="noConversion"/>
  </si>
  <si>
    <t>Carbon  (tCO2)</t>
    <phoneticPr fontId="11" type="noConversion"/>
  </si>
  <si>
    <t>MU1</t>
    <phoneticPr fontId="1" type="noConversion"/>
  </si>
  <si>
    <t>MU2</t>
  </si>
  <si>
    <t>MU3</t>
  </si>
  <si>
    <t>Carbon  (tCO2)</t>
    <phoneticPr fontId="1" type="noConversion"/>
  </si>
  <si>
    <t>Annual Carbon  (tCO2)</t>
    <phoneticPr fontId="1" type="noConversion"/>
  </si>
  <si>
    <t>initial area</t>
    <phoneticPr fontId="1" type="noConversion"/>
  </si>
  <si>
    <t>new area</t>
    <phoneticPr fontId="1" type="noConversion"/>
  </si>
  <si>
    <t>NO.</t>
    <phoneticPr fontId="11" type="noConversion"/>
  </si>
  <si>
    <r>
      <t>A</t>
    </r>
    <r>
      <rPr>
        <i/>
        <vertAlign val="subscript"/>
        <sz val="11"/>
        <color theme="1"/>
        <rFont val="Calibri"/>
        <family val="2"/>
      </rPr>
      <t>PROJ,i</t>
    </r>
  </si>
  <si>
    <r>
      <t>t</t>
    </r>
    <r>
      <rPr>
        <i/>
        <vertAlign val="subscript"/>
        <sz val="11"/>
        <color rgb="FF000000"/>
        <rFont val="Calibri"/>
        <family val="2"/>
      </rPr>
      <t xml:space="preserve">VAL </t>
    </r>
    <r>
      <rPr>
        <sz val="11"/>
        <color rgb="FF000000"/>
        <rFont val="Calibri"/>
        <family val="2"/>
      </rPr>
      <t>for</t>
    </r>
    <r>
      <rPr>
        <i/>
        <sz val="11"/>
        <color rgb="FF000000"/>
        <rFont val="Calibri"/>
        <family val="2"/>
      </rPr>
      <t xml:space="preserve"> n</t>
    </r>
    <phoneticPr fontId="11" type="noConversion"/>
  </si>
  <si>
    <r>
      <t>t</t>
    </r>
    <r>
      <rPr>
        <i/>
        <vertAlign val="subscript"/>
        <sz val="11"/>
        <color rgb="FF000000"/>
        <rFont val="Calibri"/>
        <family val="2"/>
      </rPr>
      <t xml:space="preserve">VAL </t>
    </r>
    <r>
      <rPr>
        <sz val="11"/>
        <color rgb="FF000000"/>
        <rFont val="Calibri"/>
        <family val="2"/>
      </rPr>
      <t>for</t>
    </r>
    <r>
      <rPr>
        <i/>
        <sz val="11"/>
        <color rgb="FF000000"/>
        <rFont val="Calibri"/>
        <family val="2"/>
      </rPr>
      <t xml:space="preserve"> u</t>
    </r>
    <r>
      <rPr>
        <i/>
        <vertAlign val="subscript"/>
        <sz val="11"/>
        <color rgb="FF000000"/>
        <rFont val="Calibri"/>
        <family val="2"/>
      </rPr>
      <t>∆C</t>
    </r>
    <phoneticPr fontId="11" type="noConversion"/>
  </si>
  <si>
    <r>
      <t>w</t>
    </r>
    <r>
      <rPr>
        <i/>
        <vertAlign val="subscript"/>
        <sz val="11"/>
        <color theme="1"/>
        <rFont val="Calibri"/>
        <family val="2"/>
      </rPr>
      <t>i</t>
    </r>
    <phoneticPr fontId="11" type="noConversion"/>
  </si>
  <si>
    <r>
      <t>w</t>
    </r>
    <r>
      <rPr>
        <i/>
        <vertAlign val="subscript"/>
        <sz val="11"/>
        <color theme="1"/>
        <rFont val="Calibri"/>
        <family val="2"/>
      </rPr>
      <t>i</t>
    </r>
    <r>
      <rPr>
        <i/>
        <vertAlign val="superscript"/>
        <sz val="11"/>
        <color theme="1"/>
        <rFont val="Calibri"/>
        <family val="2"/>
      </rPr>
      <t>2</t>
    </r>
    <phoneticPr fontId="11" type="noConversion"/>
  </si>
  <si>
    <r>
      <t>s</t>
    </r>
    <r>
      <rPr>
        <i/>
        <vertAlign val="subscript"/>
        <sz val="11"/>
        <color theme="1"/>
        <rFont val="Calibri"/>
        <family val="2"/>
      </rPr>
      <t>i</t>
    </r>
    <r>
      <rPr>
        <i/>
        <sz val="11"/>
        <color theme="1"/>
        <rFont val="Calibri"/>
        <family val="2"/>
      </rPr>
      <t xml:space="preserve"> (Preliminary samples)</t>
    </r>
    <phoneticPr fontId="11" type="noConversion"/>
  </si>
  <si>
    <r>
      <t>t dm·ha</t>
    </r>
    <r>
      <rPr>
        <vertAlign val="superscript"/>
        <sz val="11"/>
        <color theme="1"/>
        <rFont val="Calibri"/>
        <family val="2"/>
      </rPr>
      <t>-1</t>
    </r>
    <phoneticPr fontId="11" type="noConversion"/>
  </si>
  <si>
    <r>
      <t>s</t>
    </r>
    <r>
      <rPr>
        <i/>
        <vertAlign val="subscript"/>
        <sz val="11"/>
        <color theme="1"/>
        <rFont val="Calibri"/>
        <family val="2"/>
      </rPr>
      <t>i</t>
    </r>
    <r>
      <rPr>
        <i/>
        <sz val="11"/>
        <color theme="1"/>
        <rFont val="Calibri"/>
        <family val="2"/>
      </rPr>
      <t xml:space="preserve"> (Total samples)</t>
    </r>
    <phoneticPr fontId="11" type="noConversion"/>
  </si>
  <si>
    <r>
      <t>s</t>
    </r>
    <r>
      <rPr>
        <vertAlign val="subscript"/>
        <sz val="11"/>
        <color theme="1"/>
        <rFont val="Yu Gothic UI Semilight"/>
        <family val="2"/>
        <charset val="128"/>
      </rPr>
      <t>△</t>
    </r>
    <r>
      <rPr>
        <vertAlign val="subscript"/>
        <sz val="11"/>
        <color theme="1"/>
        <rFont val="Calibri"/>
        <family val="2"/>
      </rPr>
      <t>,</t>
    </r>
    <r>
      <rPr>
        <i/>
        <vertAlign val="subscript"/>
        <sz val="11"/>
        <color theme="1"/>
        <rFont val="Calibri"/>
        <family val="2"/>
      </rPr>
      <t>i</t>
    </r>
    <r>
      <rPr>
        <i/>
        <vertAlign val="superscript"/>
        <sz val="11"/>
        <color theme="1"/>
        <rFont val="Calibri"/>
        <family val="2"/>
      </rPr>
      <t>2</t>
    </r>
    <r>
      <rPr>
        <i/>
        <sz val="11"/>
        <color theme="1"/>
        <rFont val="Calibri"/>
        <family val="2"/>
      </rPr>
      <t>/n</t>
    </r>
    <r>
      <rPr>
        <i/>
        <vertAlign val="subscript"/>
        <sz val="11"/>
        <color theme="1"/>
        <rFont val="Calibri"/>
        <family val="2"/>
      </rPr>
      <t>i</t>
    </r>
    <phoneticPr fontId="11" type="noConversion"/>
  </si>
  <si>
    <r>
      <t>b</t>
    </r>
    <r>
      <rPr>
        <i/>
        <vertAlign val="subscript"/>
        <sz val="11"/>
        <color theme="1"/>
        <rFont val="Calibri"/>
        <family val="2"/>
      </rPr>
      <t>TREE,i</t>
    </r>
    <phoneticPr fontId="11" type="noConversion"/>
  </si>
  <si>
    <r>
      <t>∆b</t>
    </r>
    <r>
      <rPr>
        <i/>
        <vertAlign val="subscript"/>
        <sz val="11"/>
        <color theme="1"/>
        <rFont val="Calibri"/>
        <family val="2"/>
      </rPr>
      <t>TREE,i</t>
    </r>
    <phoneticPr fontId="11" type="noConversion"/>
  </si>
  <si>
    <r>
      <t>n</t>
    </r>
    <r>
      <rPr>
        <i/>
        <vertAlign val="subscript"/>
        <sz val="11"/>
        <color theme="1"/>
        <rFont val="Calibri"/>
        <family val="2"/>
      </rPr>
      <t>i</t>
    </r>
    <phoneticPr fontId="11" type="noConversion"/>
  </si>
  <si>
    <r>
      <t>u</t>
    </r>
    <r>
      <rPr>
        <i/>
        <vertAlign val="subscript"/>
        <sz val="11"/>
        <color theme="1"/>
        <rFont val="Calibri"/>
        <family val="2"/>
      </rPr>
      <t>∆C</t>
    </r>
    <phoneticPr fontId="11" type="noConversion"/>
  </si>
  <si>
    <r>
      <t>∆C</t>
    </r>
    <r>
      <rPr>
        <i/>
        <vertAlign val="subscript"/>
        <sz val="11"/>
        <color theme="1"/>
        <rFont val="Calibri"/>
        <family val="2"/>
      </rPr>
      <t>TREE,i</t>
    </r>
    <phoneticPr fontId="11" type="noConversion"/>
  </si>
  <si>
    <r>
      <t>t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·ha</t>
    </r>
    <r>
      <rPr>
        <vertAlign val="superscript"/>
        <sz val="11"/>
        <color theme="1"/>
        <rFont val="Calibri"/>
        <family val="2"/>
      </rPr>
      <t>-1</t>
    </r>
    <phoneticPr fontId="11" type="noConversion"/>
  </si>
  <si>
    <r>
      <t>∆C</t>
    </r>
    <r>
      <rPr>
        <i/>
        <vertAlign val="subscript"/>
        <sz val="11"/>
        <color theme="1"/>
        <rFont val="Calibri"/>
        <family val="2"/>
      </rPr>
      <t>TREE_PRO</t>
    </r>
    <phoneticPr fontId="11" type="noConversion"/>
  </si>
  <si>
    <r>
      <t>Baseline removals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</si>
  <si>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Project removals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</si>
  <si>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Leakage emissions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</si>
  <si>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Net GHG removals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  <phoneticPr fontId="1" type="noConversion"/>
  </si>
  <si>
    <r>
      <t>Buffer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</si>
  <si>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GS VER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  <phoneticPr fontId="1" type="noConversion"/>
  </si>
  <si>
    <r>
      <t>W=0.045*(DBH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H)</t>
    </r>
    <r>
      <rPr>
        <vertAlign val="superscript"/>
        <sz val="11"/>
        <color theme="1"/>
        <rFont val="Calibri"/>
        <family val="2"/>
      </rPr>
      <t>0.906</t>
    </r>
    <phoneticPr fontId="1" type="noConversion"/>
  </si>
  <si>
    <r>
      <t>V=0.00001235D</t>
    </r>
    <r>
      <rPr>
        <vertAlign val="superscript"/>
        <sz val="11"/>
        <color theme="1"/>
        <rFont val="Calibri"/>
        <family val="2"/>
      </rPr>
      <t>3.017</t>
    </r>
    <phoneticPr fontId="1" type="noConversion"/>
  </si>
  <si>
    <t>Xu Qing, Li Xiaosha, Xu Zhongqi, et al. Study on the Volume Table of Scotch Pine in Saihanba Aera[J]. Forest Resources Management, 2017, 000(001):57-62.</t>
    <phoneticPr fontId="1" type="noConversion"/>
  </si>
  <si>
    <r>
      <t>Stem volume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/sample plot</t>
    </r>
    <r>
      <rPr>
        <sz val="10"/>
        <color theme="1"/>
        <rFont val="宋体"/>
        <family val="1"/>
        <charset val="134"/>
      </rPr>
      <t>）</t>
    </r>
    <phoneticPr fontId="1" type="noConversion"/>
  </si>
  <si>
    <r>
      <t>Stem volume per ha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/ha</t>
    </r>
    <r>
      <rPr>
        <sz val="10"/>
        <color theme="1"/>
        <rFont val="宋体"/>
        <family val="1"/>
        <charset val="134"/>
      </rPr>
      <t>）</t>
    </r>
    <phoneticPr fontId="11" type="noConversion"/>
  </si>
  <si>
    <r>
      <t>Stem volume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宋体"/>
        <family val="1"/>
        <charset val="134"/>
      </rPr>
      <t>）</t>
    </r>
    <phoneticPr fontId="1" type="noConversion"/>
  </si>
  <si>
    <r>
      <t>W=0.045*(DBH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H)</t>
    </r>
    <r>
      <rPr>
        <vertAlign val="superscript"/>
        <sz val="10"/>
        <color theme="1"/>
        <rFont val="Calibri"/>
        <family val="2"/>
      </rPr>
      <t>0.906</t>
    </r>
    <phoneticPr fontId="1" type="noConversion"/>
  </si>
  <si>
    <r>
      <t xml:space="preserve">average high 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m</t>
    </r>
    <r>
      <rPr>
        <sz val="10"/>
        <color theme="1"/>
        <rFont val="宋体"/>
        <family val="3"/>
        <charset val="134"/>
      </rPr>
      <t>）</t>
    </r>
    <phoneticPr fontId="11" type="noConversion"/>
  </si>
  <si>
    <r>
      <t xml:space="preserve">average ground diameter 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cm</t>
    </r>
    <r>
      <rPr>
        <sz val="10"/>
        <color theme="1"/>
        <rFont val="宋体"/>
        <family val="3"/>
        <charset val="134"/>
      </rPr>
      <t>）</t>
    </r>
    <phoneticPr fontId="11" type="noConversion"/>
  </si>
  <si>
    <r>
      <t xml:space="preserve">average DBH 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cm</t>
    </r>
    <r>
      <rPr>
        <sz val="10"/>
        <color theme="1"/>
        <rFont val="宋体"/>
        <family val="3"/>
        <charset val="134"/>
      </rPr>
      <t>）</t>
    </r>
    <phoneticPr fontId="11" type="noConversion"/>
  </si>
  <si>
    <r>
      <t>Stem volume</t>
    </r>
    <r>
      <rPr>
        <sz val="10"/>
        <color theme="1"/>
        <rFont val="Times New Roman"/>
        <family val="1"/>
      </rPr>
      <t>（</t>
    </r>
    <r>
      <rPr>
        <sz val="10"/>
        <color theme="1"/>
        <rFont val="Calibri"/>
        <family val="2"/>
      </rPr>
      <t>m3/sample plot</t>
    </r>
    <r>
      <rPr>
        <sz val="10"/>
        <color theme="1"/>
        <rFont val="Times New Roman"/>
        <family val="1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</si>
</sst>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#,##0.00_ "/>
    <numFmt numFmtId="177" formatCode="0.0_ "/>
    <numFmt numFmtId="178" formatCode="#,##0.0000_ "/>
    <numFmt numFmtId="179" formatCode="#,##0_ "/>
    <numFmt numFmtId="180" formatCode="0.0000"/>
    <numFmt numFmtId="181" formatCode="_ * #,##0.000_ ;_ * \-#,##0.000_ ;_ * &quot;-&quot;??_ ;_ @_ "/>
    <numFmt numFmtId="182" formatCode="0.000"/>
    <numFmt numFmtId="183" formatCode="_ * #,##0_ ;_ * \-#,##0_ ;_ * &quot;-&quot;??_ ;_ @_ "/>
  </numFmts>
  <fonts count="2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vertAlign val="subscript"/>
      <sz val="11"/>
      <color theme="1"/>
      <name val="Calibri"/>
      <family val="2"/>
    </font>
    <font>
      <sz val="11"/>
      <color theme="1"/>
      <name val="宋体"/>
      <family val="2"/>
      <charset val="134"/>
      <scheme val="minor"/>
    </font>
    <font>
      <b/>
      <sz val="11"/>
      <color rgb="FF008000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theme="1"/>
      <name val="宋体"/>
      <family val="1"/>
      <charset val="134"/>
    </font>
    <font>
      <sz val="9"/>
      <name val="宋体"/>
      <family val="2"/>
      <charset val="136"/>
      <scheme val="minor"/>
    </font>
    <font>
      <sz val="10"/>
      <color theme="1"/>
      <name val="宋体"/>
      <family val="3"/>
      <charset val="134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</font>
    <font>
      <i/>
      <sz val="11"/>
      <color rgb="FF000000"/>
      <name val="Calibri"/>
      <family val="2"/>
    </font>
    <font>
      <i/>
      <vertAlign val="subscript"/>
      <sz val="11"/>
      <color rgb="FF000000"/>
      <name val="Calibri"/>
      <family val="2"/>
    </font>
    <font>
      <sz val="11"/>
      <color rgb="FF000000"/>
      <name val="Calibri"/>
      <family val="2"/>
    </font>
    <font>
      <i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Yu Gothic UI Semilight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4" borderId="4" xfId="0" applyFont="1" applyFill="1" applyBorder="1">
      <alignment vertical="center"/>
    </xf>
    <xf numFmtId="178" fontId="7" fillId="3" borderId="5" xfId="1" applyNumberFormat="1" applyFont="1" applyFill="1" applyBorder="1">
      <alignment vertical="center"/>
    </xf>
    <xf numFmtId="0" fontId="2" fillId="3" borderId="6" xfId="0" applyFont="1" applyFill="1" applyBorder="1" applyAlignment="1">
      <alignment horizontal="right" vertical="center"/>
    </xf>
    <xf numFmtId="43" fontId="2" fillId="3" borderId="5" xfId="1" applyFont="1" applyFill="1" applyBorder="1">
      <alignment vertical="center"/>
    </xf>
    <xf numFmtId="43" fontId="6" fillId="3" borderId="5" xfId="1" applyFont="1" applyFill="1" applyBorder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77" fontId="2" fillId="3" borderId="5" xfId="0" applyNumberFormat="1" applyFont="1" applyFill="1" applyBorder="1" applyAlignment="1">
      <alignment horizontal="right" vertical="center"/>
    </xf>
    <xf numFmtId="43" fontId="6" fillId="3" borderId="7" xfId="1" applyFont="1" applyFill="1" applyBorder="1">
      <alignment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10" fillId="3" borderId="5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/>
    <xf numFmtId="0" fontId="2" fillId="0" borderId="11" xfId="0" applyFont="1" applyBorder="1" applyAlignment="1"/>
    <xf numFmtId="43" fontId="6" fillId="0" borderId="11" xfId="1" applyFont="1" applyBorder="1" applyAlignment="1"/>
    <xf numFmtId="176" fontId="2" fillId="0" borderId="11" xfId="1" applyNumberFormat="1" applyFont="1" applyBorder="1" applyAlignment="1"/>
    <xf numFmtId="0" fontId="23" fillId="0" borderId="11" xfId="0" applyFont="1" applyBorder="1" applyAlignment="1"/>
    <xf numFmtId="181" fontId="2" fillId="0" borderId="11" xfId="1" applyNumberFormat="1" applyFont="1" applyBorder="1" applyAlignment="1"/>
    <xf numFmtId="43" fontId="2" fillId="0" borderId="11" xfId="1" applyFont="1" applyBorder="1" applyAlignment="1"/>
    <xf numFmtId="181" fontId="2" fillId="0" borderId="0" xfId="1" applyNumberFormat="1" applyFont="1" applyAlignment="1"/>
    <xf numFmtId="10" fontId="2" fillId="0" borderId="11" xfId="2" applyNumberFormat="1" applyFont="1" applyBorder="1" applyAlignment="1"/>
    <xf numFmtId="43" fontId="2" fillId="0" borderId="11" xfId="1" applyFont="1" applyFill="1" applyBorder="1" applyAlignment="1"/>
    <xf numFmtId="43" fontId="2" fillId="0" borderId="11" xfId="0" applyNumberFormat="1" applyFont="1" applyBorder="1" applyAlignment="1"/>
    <xf numFmtId="0" fontId="21" fillId="0" borderId="11" xfId="0" applyFont="1" applyBorder="1" applyAlignment="1">
      <alignment wrapText="1"/>
    </xf>
    <xf numFmtId="43" fontId="2" fillId="0" borderId="11" xfId="1" applyFont="1" applyBorder="1" applyAlignment="1">
      <alignment vertical="center"/>
    </xf>
    <xf numFmtId="10" fontId="6" fillId="0" borderId="11" xfId="2" applyNumberFormat="1" applyFont="1" applyBorder="1" applyAlignment="1"/>
    <xf numFmtId="179" fontId="6" fillId="0" borderId="11" xfId="1" applyNumberFormat="1" applyFont="1" applyFill="1" applyBorder="1" applyAlignment="1"/>
    <xf numFmtId="0" fontId="2" fillId="0" borderId="11" xfId="0" applyFont="1" applyBorder="1" applyAlignment="1">
      <alignment horizontal="center" vertical="center" wrapText="1"/>
    </xf>
    <xf numFmtId="179" fontId="2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9" fontId="19" fillId="0" borderId="11" xfId="1" applyNumberFormat="1" applyFont="1" applyFill="1" applyBorder="1" applyAlignment="1">
      <alignment horizontal="center" vertical="center" wrapText="1"/>
    </xf>
    <xf numFmtId="176" fontId="19" fillId="0" borderId="11" xfId="1" applyNumberFormat="1" applyFont="1" applyFill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180" fontId="19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2" fontId="19" fillId="0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6" fontId="19" fillId="0" borderId="0" xfId="1" applyNumberFormat="1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9" fillId="7" borderId="11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/>
    </xf>
    <xf numFmtId="2" fontId="19" fillId="5" borderId="11" xfId="0" applyNumberFormat="1" applyFont="1" applyFill="1" applyBorder="1" applyAlignment="1">
      <alignment horizontal="center" vertical="center"/>
    </xf>
    <xf numFmtId="2" fontId="19" fillId="7" borderId="11" xfId="0" applyNumberFormat="1" applyFont="1" applyFill="1" applyBorder="1" applyAlignment="1">
      <alignment horizontal="center" vertical="center"/>
    </xf>
    <xf numFmtId="2" fontId="19" fillId="8" borderId="11" xfId="0" applyNumberFormat="1" applyFont="1" applyFill="1" applyBorder="1" applyAlignment="1">
      <alignment horizontal="center" vertical="center"/>
    </xf>
    <xf numFmtId="2" fontId="19" fillId="9" borderId="11" xfId="0" applyNumberFormat="1" applyFont="1" applyFill="1" applyBorder="1" applyAlignment="1">
      <alignment horizontal="center" vertical="center"/>
    </xf>
    <xf numFmtId="2" fontId="19" fillId="6" borderId="11" xfId="0" applyNumberFormat="1" applyFont="1" applyFill="1" applyBorder="1" applyAlignment="1">
      <alignment horizontal="center" vertical="center"/>
    </xf>
    <xf numFmtId="1" fontId="19" fillId="6" borderId="0" xfId="0" applyNumberFormat="1" applyFont="1" applyFill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182" fontId="19" fillId="5" borderId="11" xfId="0" applyNumberFormat="1" applyFont="1" applyFill="1" applyBorder="1" applyAlignment="1">
      <alignment horizontal="center" vertical="center"/>
    </xf>
    <xf numFmtId="182" fontId="19" fillId="7" borderId="11" xfId="0" applyNumberFormat="1" applyFont="1" applyFill="1" applyBorder="1" applyAlignment="1">
      <alignment horizontal="center" vertical="center"/>
    </xf>
    <xf numFmtId="182" fontId="19" fillId="8" borderId="11" xfId="0" applyNumberFormat="1" applyFont="1" applyFill="1" applyBorder="1" applyAlignment="1">
      <alignment horizontal="center" vertical="center"/>
    </xf>
    <xf numFmtId="182" fontId="19" fillId="9" borderId="11" xfId="0" applyNumberFormat="1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43" fontId="2" fillId="3" borderId="11" xfId="1" applyFont="1" applyFill="1" applyBorder="1" applyAlignment="1"/>
    <xf numFmtId="43" fontId="2" fillId="3" borderId="11" xfId="1" applyFont="1" applyFill="1" applyBorder="1" applyAlignment="1">
      <alignment vertical="center"/>
    </xf>
    <xf numFmtId="9" fontId="2" fillId="3" borderId="11" xfId="0" applyNumberFormat="1" applyFont="1" applyFill="1" applyBorder="1" applyAlignment="1"/>
    <xf numFmtId="10" fontId="2" fillId="3" borderId="11" xfId="2" applyNumberFormat="1" applyFont="1" applyFill="1" applyBorder="1" applyAlignment="1"/>
    <xf numFmtId="0" fontId="6" fillId="3" borderId="11" xfId="0" applyFont="1" applyFill="1" applyBorder="1" applyAlignment="1">
      <alignment horizontal="center" vertical="center" wrapText="1"/>
    </xf>
    <xf numFmtId="180" fontId="2" fillId="3" borderId="11" xfId="0" applyNumberFormat="1" applyFont="1" applyFill="1" applyBorder="1" applyAlignment="1">
      <alignment horizontal="center" vertical="center"/>
    </xf>
    <xf numFmtId="183" fontId="6" fillId="3" borderId="5" xfId="1" applyNumberFormat="1" applyFont="1" applyFill="1" applyBorder="1">
      <alignment vertical="center"/>
    </xf>
    <xf numFmtId="179" fontId="6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5" borderId="11" xfId="0" applyNumberFormat="1" applyFont="1" applyFill="1" applyBorder="1" applyAlignment="1">
      <alignment horizontal="center" vertical="center"/>
    </xf>
    <xf numFmtId="49" fontId="19" fillId="7" borderId="11" xfId="0" applyNumberFormat="1" applyFont="1" applyFill="1" applyBorder="1" applyAlignment="1">
      <alignment horizontal="center" vertical="center"/>
    </xf>
    <xf numFmtId="49" fontId="19" fillId="8" borderId="12" xfId="0" applyNumberFormat="1" applyFont="1" applyFill="1" applyBorder="1" applyAlignment="1">
      <alignment horizontal="center" vertical="center"/>
    </xf>
    <xf numFmtId="49" fontId="19" fillId="8" borderId="13" xfId="0" applyNumberFormat="1" applyFont="1" applyFill="1" applyBorder="1" applyAlignment="1">
      <alignment horizontal="center" vertical="center"/>
    </xf>
    <xf numFmtId="49" fontId="19" fillId="8" borderId="14" xfId="0" applyNumberFormat="1" applyFont="1" applyFill="1" applyBorder="1" applyAlignment="1">
      <alignment horizontal="center" vertical="center"/>
    </xf>
    <xf numFmtId="49" fontId="19" fillId="5" borderId="12" xfId="0" applyNumberFormat="1" applyFont="1" applyFill="1" applyBorder="1" applyAlignment="1">
      <alignment horizontal="center" vertical="center"/>
    </xf>
    <xf numFmtId="49" fontId="19" fillId="5" borderId="13" xfId="0" applyNumberFormat="1" applyFont="1" applyFill="1" applyBorder="1" applyAlignment="1">
      <alignment horizontal="center" vertical="center"/>
    </xf>
    <xf numFmtId="49" fontId="19" fillId="5" borderId="14" xfId="0" applyNumberFormat="1" applyFont="1" applyFill="1" applyBorder="1" applyAlignment="1">
      <alignment horizontal="center" vertical="center"/>
    </xf>
    <xf numFmtId="49" fontId="19" fillId="7" borderId="12" xfId="0" applyNumberFormat="1" applyFont="1" applyFill="1" applyBorder="1" applyAlignment="1">
      <alignment horizontal="center" vertical="center"/>
    </xf>
    <xf numFmtId="49" fontId="19" fillId="7" borderId="13" xfId="0" applyNumberFormat="1" applyFont="1" applyFill="1" applyBorder="1" applyAlignment="1">
      <alignment horizontal="center" vertical="center"/>
    </xf>
    <xf numFmtId="49" fontId="19" fillId="7" borderId="14" xfId="0" applyNumberFormat="1" applyFont="1" applyFill="1" applyBorder="1" applyAlignment="1">
      <alignment horizontal="center" vertical="center"/>
    </xf>
    <xf numFmtId="49" fontId="19" fillId="8" borderId="11" xfId="0" applyNumberFormat="1" applyFont="1" applyFill="1" applyBorder="1" applyAlignment="1">
      <alignment horizontal="center" vertical="center"/>
    </xf>
    <xf numFmtId="49" fontId="19" fillId="9" borderId="11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183" fontId="19" fillId="0" borderId="1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D6E3BC"/>
      <color rgb="FF9BBB59"/>
      <color rgb="FF008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9"/>
  <sheetViews>
    <sheetView tabSelected="1" workbookViewId="0">
      <selection activeCell="H4" sqref="H4"/>
    </sheetView>
  </sheetViews>
  <sheetFormatPr defaultRowHeight="14.4" x14ac:dyDescent="0.25"/>
  <cols>
    <col min="1" max="1" width="2.77734375" style="1" customWidth="1"/>
    <col min="2" max="2" width="21.5546875" style="1" customWidth="1"/>
    <col min="3" max="3" width="9.6640625" style="1" customWidth="1"/>
    <col min="4" max="4" width="12.88671875" style="1" customWidth="1"/>
    <col min="5" max="5" width="10.44140625" style="1" customWidth="1"/>
    <col min="6" max="6" width="11.44140625" style="1" customWidth="1"/>
    <col min="7" max="7" width="12.21875" style="1" customWidth="1"/>
    <col min="8" max="8" width="11.88671875" style="1" customWidth="1"/>
    <col min="9" max="16384" width="8.88671875" style="1"/>
  </cols>
  <sheetData>
    <row r="2" spans="2:8" x14ac:dyDescent="0.3">
      <c r="B2" s="26" t="s">
        <v>62</v>
      </c>
      <c r="C2" s="27" t="s">
        <v>55</v>
      </c>
      <c r="D2" s="27" t="s">
        <v>56</v>
      </c>
      <c r="E2" s="27">
        <v>1</v>
      </c>
      <c r="F2" s="27">
        <v>2</v>
      </c>
      <c r="G2" s="27">
        <v>3</v>
      </c>
      <c r="H2" s="27"/>
    </row>
    <row r="3" spans="2:8" ht="15.6" x14ac:dyDescent="0.35">
      <c r="B3" s="26" t="s">
        <v>127</v>
      </c>
      <c r="C3" s="27" t="s">
        <v>57</v>
      </c>
      <c r="D3" s="28">
        <f>SUM(E3:G3)</f>
        <v>1370.96</v>
      </c>
      <c r="E3" s="29">
        <v>190</v>
      </c>
      <c r="F3" s="29">
        <v>708.44</v>
      </c>
      <c r="G3" s="29">
        <v>472.52</v>
      </c>
      <c r="H3" s="27"/>
    </row>
    <row r="4" spans="2:8" ht="15.6" x14ac:dyDescent="0.35">
      <c r="B4" s="30" t="s">
        <v>128</v>
      </c>
      <c r="C4" s="27" t="s">
        <v>58</v>
      </c>
      <c r="D4" s="31">
        <v>1.645</v>
      </c>
      <c r="E4" s="32"/>
      <c r="F4" s="32"/>
      <c r="G4" s="32"/>
      <c r="H4" s="27" t="s">
        <v>59</v>
      </c>
    </row>
    <row r="5" spans="2:8" ht="15.6" x14ac:dyDescent="0.35">
      <c r="B5" s="30" t="s">
        <v>129</v>
      </c>
      <c r="C5" s="27"/>
      <c r="D5" s="33">
        <f>TINV(0.1,D17-3)</f>
        <v>1.812461122811676</v>
      </c>
      <c r="E5" s="32"/>
      <c r="F5" s="32"/>
      <c r="G5" s="32"/>
      <c r="H5" s="27"/>
    </row>
    <row r="6" spans="2:8" ht="15.6" x14ac:dyDescent="0.35">
      <c r="B6" s="26" t="s">
        <v>130</v>
      </c>
      <c r="C6" s="27" t="s">
        <v>58</v>
      </c>
      <c r="D6" s="32"/>
      <c r="E6" s="34">
        <f>E3/$D3</f>
        <v>0.1385890179144541</v>
      </c>
      <c r="F6" s="34">
        <f t="shared" ref="F6:G6" si="0">F3/$D3</f>
        <v>0.51674738869113612</v>
      </c>
      <c r="G6" s="34">
        <f t="shared" si="0"/>
        <v>0.34466359339440972</v>
      </c>
      <c r="H6" s="27"/>
    </row>
    <row r="7" spans="2:8" ht="16.8" x14ac:dyDescent="0.35">
      <c r="B7" s="26" t="s">
        <v>131</v>
      </c>
      <c r="C7" s="27"/>
      <c r="D7" s="32"/>
      <c r="E7" s="32">
        <f>E6^2</f>
        <v>1.9206915886492881E-2</v>
      </c>
      <c r="F7" s="32">
        <f>F6^2</f>
        <v>0.26702786371910814</v>
      </c>
      <c r="G7" s="32">
        <f>G6^2</f>
        <v>0.11879299261154699</v>
      </c>
      <c r="H7" s="27"/>
    </row>
    <row r="8" spans="2:8" ht="16.8" x14ac:dyDescent="0.35">
      <c r="B8" s="26" t="s">
        <v>132</v>
      </c>
      <c r="C8" s="27" t="s">
        <v>133</v>
      </c>
      <c r="D8" s="32">
        <f>SUMPRODUCT(E6:G6,E8:G8)</f>
        <v>0.46304511423173711</v>
      </c>
      <c r="E8" s="32">
        <f>'MU1'!D17</f>
        <v>0.61484859718798635</v>
      </c>
      <c r="F8" s="32">
        <f>'MU2'!D21</f>
        <v>7.0588870788735922E-2</v>
      </c>
      <c r="G8" s="32">
        <f>'MU3'!D17</f>
        <v>0.99040700228530631</v>
      </c>
      <c r="H8" s="27"/>
    </row>
    <row r="9" spans="2:8" ht="16.8" x14ac:dyDescent="0.35">
      <c r="B9" s="26" t="s">
        <v>134</v>
      </c>
      <c r="C9" s="27" t="s">
        <v>133</v>
      </c>
      <c r="D9" s="32"/>
      <c r="E9" s="32">
        <f>'MU1'!D18</f>
        <v>0.61484859718798635</v>
      </c>
      <c r="F9" s="32">
        <f>'MU2'!D22</f>
        <v>7.0588870788735922E-2</v>
      </c>
      <c r="G9" s="32">
        <f>'MU3'!D18</f>
        <v>0.99040700228530631</v>
      </c>
      <c r="H9" s="27"/>
    </row>
    <row r="10" spans="2:8" ht="17.399999999999999" x14ac:dyDescent="0.4">
      <c r="B10" s="26" t="s">
        <v>135</v>
      </c>
      <c r="C10" s="27"/>
      <c r="D10" s="35"/>
      <c r="E10" s="36">
        <f>E9^2/E17</f>
        <v>9.450969936600867E-2</v>
      </c>
      <c r="F10" s="36">
        <f t="shared" ref="F10:G10" si="1">F9^2/F17</f>
        <v>1.2456971698072139E-3</v>
      </c>
      <c r="G10" s="36">
        <f t="shared" si="1"/>
        <v>0.19618120603515335</v>
      </c>
      <c r="H10" s="27"/>
    </row>
    <row r="11" spans="2:8" ht="16.8" x14ac:dyDescent="0.35">
      <c r="B11" s="37" t="s">
        <v>136</v>
      </c>
      <c r="C11" s="27" t="s">
        <v>133</v>
      </c>
      <c r="D11" s="32">
        <f>SUMPRODUCT(E3:G3,E11:G11)/D3</f>
        <v>3.0035743960672496</v>
      </c>
      <c r="E11" s="32">
        <f>'MU1'!C17</f>
        <v>5.4152959622847447</v>
      </c>
      <c r="F11" s="32">
        <f>'MU2'!C21</f>
        <v>0.42626362076191149</v>
      </c>
      <c r="G11" s="32">
        <f>'MU3'!C17</f>
        <v>5.8979343132686166</v>
      </c>
      <c r="H11" s="27"/>
    </row>
    <row r="12" spans="2:8" ht="16.8" x14ac:dyDescent="0.35">
      <c r="B12" s="37" t="s">
        <v>137</v>
      </c>
      <c r="C12" s="27" t="s">
        <v>133</v>
      </c>
      <c r="D12" s="32">
        <f>SUMPRODUCT(E3:G3,E12:G12)/D3</f>
        <v>3.0035743960672496</v>
      </c>
      <c r="E12" s="32">
        <f>'MU1'!C18</f>
        <v>5.4152959622847447</v>
      </c>
      <c r="F12" s="32">
        <f>'MU2'!C22</f>
        <v>0.42626362076191149</v>
      </c>
      <c r="G12" s="32">
        <f>'MU3'!C18</f>
        <v>5.8979343132686166</v>
      </c>
      <c r="H12" s="95">
        <v>0.2</v>
      </c>
    </row>
    <row r="13" spans="2:8" ht="16.2" x14ac:dyDescent="0.3">
      <c r="B13" s="30" t="s">
        <v>60</v>
      </c>
      <c r="C13" s="27" t="s">
        <v>133</v>
      </c>
      <c r="D13" s="32">
        <f>D11*10%</f>
        <v>0.30035743960672501</v>
      </c>
      <c r="E13" s="93">
        <f>E11*$H$12</f>
        <v>1.083059192456949</v>
      </c>
      <c r="F13" s="93">
        <f t="shared" ref="F13" si="2">F11*$H$12</f>
        <v>8.5252724152382303E-2</v>
      </c>
      <c r="G13" s="93">
        <f>G11*$H$12</f>
        <v>1.1795868626537234</v>
      </c>
      <c r="H13" s="27"/>
    </row>
    <row r="14" spans="2:8" x14ac:dyDescent="0.3">
      <c r="B14" s="26" t="s">
        <v>61</v>
      </c>
      <c r="C14" s="27"/>
      <c r="D14" s="38">
        <f>(D4/D13)^2*(SUMPRODUCT(E6:G6,E8:G8))^2</f>
        <v>6.4313423716990821</v>
      </c>
      <c r="E14" s="94">
        <f>($D$4/E13*E9)^2</f>
        <v>0.87209499091704312</v>
      </c>
      <c r="F14" s="94">
        <f t="shared" ref="F14:G14" si="3">($D$4/F13*F8)^2</f>
        <v>1.8551872167431145</v>
      </c>
      <c r="G14" s="94">
        <f t="shared" si="3"/>
        <v>1.9076528900917</v>
      </c>
      <c r="H14" s="27"/>
    </row>
    <row r="15" spans="2:8" ht="15.6" x14ac:dyDescent="0.35">
      <c r="B15" s="26" t="s">
        <v>138</v>
      </c>
      <c r="C15" s="27"/>
      <c r="D15" s="32"/>
      <c r="E15" s="32">
        <f>$D$14*E6*E8/$D$8</f>
        <v>1.1835192534043193</v>
      </c>
      <c r="F15" s="32">
        <f t="shared" ref="F15" si="4">$D$14*F6*F8/$D$8</f>
        <v>0.50663227009454637</v>
      </c>
      <c r="G15" s="32">
        <f>$D$14*G6*G8/$D$8</f>
        <v>4.7411908482002172</v>
      </c>
      <c r="H15" s="27"/>
    </row>
    <row r="16" spans="2:8" x14ac:dyDescent="0.3">
      <c r="B16" s="27"/>
      <c r="C16" s="27"/>
      <c r="D16" s="32"/>
      <c r="E16" s="93">
        <f>ROUNDUP(E14,0)</f>
        <v>1</v>
      </c>
      <c r="F16" s="93">
        <f t="shared" ref="F16:G16" si="5">ROUNDUP(F14,0)</f>
        <v>2</v>
      </c>
      <c r="G16" s="93">
        <f t="shared" si="5"/>
        <v>2</v>
      </c>
      <c r="H16" s="27"/>
    </row>
    <row r="17" spans="2:8" x14ac:dyDescent="0.3">
      <c r="B17" s="27"/>
      <c r="C17" s="27"/>
      <c r="D17" s="28">
        <f>SUM(E17:G17)</f>
        <v>13</v>
      </c>
      <c r="E17" s="32">
        <v>4</v>
      </c>
      <c r="F17" s="32">
        <v>4</v>
      </c>
      <c r="G17" s="32">
        <v>5</v>
      </c>
      <c r="H17" s="27"/>
    </row>
    <row r="18" spans="2:8" ht="15.6" x14ac:dyDescent="0.35">
      <c r="B18" s="26" t="s">
        <v>139</v>
      </c>
      <c r="C18" s="27"/>
      <c r="D18" s="39">
        <f>(SUMPRODUCT(E7:G7,E10:G10))^0.5*D5/D12</f>
        <v>9.6271631055750165E-2</v>
      </c>
      <c r="E18" s="96">
        <f>$D$4*E9/E12/(E17^0.5)</f>
        <v>9.3386026305708233E-2</v>
      </c>
      <c r="F18" s="96">
        <f>$D$4*F9/F12/(F17^0.5)</f>
        <v>0.13620525748821574</v>
      </c>
      <c r="G18" s="96">
        <f>$D$4*G9/G12/(G17^0.5)</f>
        <v>0.12353632308245864</v>
      </c>
      <c r="H18" s="27"/>
    </row>
    <row r="19" spans="2:8" ht="16.8" x14ac:dyDescent="0.35">
      <c r="B19" s="37" t="s">
        <v>140</v>
      </c>
      <c r="C19" s="27" t="s">
        <v>141</v>
      </c>
      <c r="D19" s="32"/>
      <c r="E19" s="29">
        <f>'MU1'!C20</f>
        <v>19.856085195044063</v>
      </c>
      <c r="F19" s="29">
        <f>'MU2'!C24</f>
        <v>1.5629666094603425</v>
      </c>
      <c r="G19" s="29">
        <f>'MU3'!C20</f>
        <v>21.625759148651593</v>
      </c>
      <c r="H19" s="27"/>
    </row>
    <row r="20" spans="2:8" ht="16.8" x14ac:dyDescent="0.35">
      <c r="B20" s="37" t="s">
        <v>142</v>
      </c>
      <c r="C20" s="27" t="s">
        <v>141</v>
      </c>
      <c r="D20" s="40">
        <f>ROUNDDOWN(SUMPRODUCT(E3:G3,E19:G19),0)</f>
        <v>15098</v>
      </c>
      <c r="E20" s="32"/>
      <c r="F20" s="32"/>
      <c r="G20" s="32"/>
      <c r="H20" s="27"/>
    </row>
    <row r="22" spans="2:8" ht="44.4" x14ac:dyDescent="0.25">
      <c r="B22" s="97" t="s">
        <v>76</v>
      </c>
      <c r="C22" s="97" t="s">
        <v>143</v>
      </c>
      <c r="D22" s="97" t="s">
        <v>144</v>
      </c>
      <c r="E22" s="97" t="s">
        <v>145</v>
      </c>
      <c r="F22" s="97" t="s">
        <v>146</v>
      </c>
      <c r="G22" s="97" t="s">
        <v>147</v>
      </c>
      <c r="H22" s="97" t="s">
        <v>148</v>
      </c>
    </row>
    <row r="23" spans="2:8" x14ac:dyDescent="0.25">
      <c r="B23" s="41" t="s">
        <v>112</v>
      </c>
      <c r="C23" s="42">
        <f>Baseline!C25</f>
        <v>487</v>
      </c>
      <c r="D23" s="42">
        <f>'Annual CO2 fixation'!G54</f>
        <v>93</v>
      </c>
      <c r="E23" s="42">
        <v>0</v>
      </c>
      <c r="F23" s="42">
        <f>D23-C23-E23</f>
        <v>-394</v>
      </c>
      <c r="G23" s="42">
        <v>0</v>
      </c>
      <c r="H23" s="129">
        <v>0</v>
      </c>
    </row>
    <row r="24" spans="2:8" x14ac:dyDescent="0.25">
      <c r="B24" s="41" t="s">
        <v>113</v>
      </c>
      <c r="C24" s="42">
        <f>Baseline!D25</f>
        <v>3025</v>
      </c>
      <c r="D24" s="42">
        <f>'Annual CO2 fixation'!G55</f>
        <v>198</v>
      </c>
      <c r="E24" s="42">
        <v>0</v>
      </c>
      <c r="F24" s="42">
        <f t="shared" ref="F24:F28" si="6">D24-C24-E24</f>
        <v>-2827</v>
      </c>
      <c r="G24" s="42">
        <v>0</v>
      </c>
      <c r="H24" s="129">
        <v>0</v>
      </c>
    </row>
    <row r="25" spans="2:8" x14ac:dyDescent="0.25">
      <c r="B25" s="41" t="s">
        <v>114</v>
      </c>
      <c r="C25" s="42"/>
      <c r="D25" s="42">
        <f>'Annual CO2 fixation'!G56</f>
        <v>916</v>
      </c>
      <c r="E25" s="42">
        <v>0</v>
      </c>
      <c r="F25" s="42">
        <f t="shared" si="6"/>
        <v>916</v>
      </c>
      <c r="G25" s="42">
        <v>0</v>
      </c>
      <c r="H25" s="129">
        <v>0</v>
      </c>
    </row>
    <row r="26" spans="2:8" x14ac:dyDescent="0.25">
      <c r="B26" s="41" t="s">
        <v>115</v>
      </c>
      <c r="C26" s="42"/>
      <c r="D26" s="42">
        <f>'Annual CO2 fixation'!G57</f>
        <v>2039</v>
      </c>
      <c r="E26" s="42">
        <v>0</v>
      </c>
      <c r="F26" s="42">
        <f t="shared" si="6"/>
        <v>2039</v>
      </c>
      <c r="G26" s="42">
        <v>0</v>
      </c>
      <c r="H26" s="129">
        <v>0</v>
      </c>
    </row>
    <row r="27" spans="2:8" x14ac:dyDescent="0.25">
      <c r="B27" s="41" t="s">
        <v>116</v>
      </c>
      <c r="C27" s="42"/>
      <c r="D27" s="42">
        <f>'Annual CO2 fixation'!G58</f>
        <v>4485</v>
      </c>
      <c r="E27" s="42">
        <v>0</v>
      </c>
      <c r="F27" s="42">
        <f t="shared" si="6"/>
        <v>4485</v>
      </c>
      <c r="G27" s="42">
        <f>ROUND(SUM(F23:F27)*0.2,0)</f>
        <v>844</v>
      </c>
      <c r="H27" s="129">
        <f>SUM(F23:F27)-G27</f>
        <v>3375</v>
      </c>
    </row>
    <row r="28" spans="2:8" x14ac:dyDescent="0.25">
      <c r="B28" s="41" t="s">
        <v>117</v>
      </c>
      <c r="C28" s="42"/>
      <c r="D28" s="42">
        <f>'Annual CO2 fixation'!G59</f>
        <v>7368</v>
      </c>
      <c r="E28" s="42">
        <v>0</v>
      </c>
      <c r="F28" s="42">
        <f t="shared" si="6"/>
        <v>7368</v>
      </c>
      <c r="G28" s="42">
        <f>ROUND(F28*0.2,0)</f>
        <v>1474</v>
      </c>
      <c r="H28" s="129">
        <f>F28-G28</f>
        <v>5894</v>
      </c>
    </row>
    <row r="29" spans="2:8" x14ac:dyDescent="0.25">
      <c r="B29" s="43" t="s">
        <v>77</v>
      </c>
      <c r="C29" s="100">
        <f>SUM(C23:C28)</f>
        <v>3512</v>
      </c>
      <c r="D29" s="100">
        <f t="shared" ref="D29:H29" si="7">SUM(D23:D28)</f>
        <v>15099</v>
      </c>
      <c r="E29" s="100">
        <f t="shared" si="7"/>
        <v>0</v>
      </c>
      <c r="F29" s="100">
        <f t="shared" si="7"/>
        <v>11587</v>
      </c>
      <c r="G29" s="100">
        <f t="shared" si="7"/>
        <v>2318</v>
      </c>
      <c r="H29" s="100">
        <f t="shared" si="7"/>
        <v>9269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6"/>
  <sheetViews>
    <sheetView workbookViewId="0">
      <selection activeCell="D26" sqref="D26"/>
    </sheetView>
  </sheetViews>
  <sheetFormatPr defaultColWidth="9" defaultRowHeight="14.4" x14ac:dyDescent="0.25"/>
  <cols>
    <col min="1" max="1" width="2.21875" style="1" customWidth="1"/>
    <col min="2" max="2" width="27.44140625" style="1" customWidth="1"/>
    <col min="3" max="4" width="16" style="1" customWidth="1"/>
    <col min="5" max="5" width="15.21875" style="1" customWidth="1"/>
    <col min="6" max="6" width="20.21875" style="1" customWidth="1"/>
    <col min="7" max="7" width="9" style="1"/>
    <col min="8" max="8" width="12.77734375" style="1" customWidth="1"/>
    <col min="9" max="9" width="24.21875" style="1" customWidth="1"/>
    <col min="10" max="10" width="12.44140625" style="1" customWidth="1"/>
    <col min="11" max="16384" width="9" style="1"/>
  </cols>
  <sheetData>
    <row r="1" spans="2:9" ht="15" thickBot="1" x14ac:dyDescent="0.3">
      <c r="C1" s="1" t="s">
        <v>124</v>
      </c>
      <c r="D1" s="1" t="s">
        <v>125</v>
      </c>
    </row>
    <row r="2" spans="2:9" x14ac:dyDescent="0.25">
      <c r="B2" s="2" t="s">
        <v>24</v>
      </c>
      <c r="C2" s="3" t="s">
        <v>25</v>
      </c>
      <c r="D2" s="3" t="s">
        <v>25</v>
      </c>
      <c r="E2" s="3" t="s">
        <v>26</v>
      </c>
      <c r="F2" s="4" t="s">
        <v>27</v>
      </c>
      <c r="H2" s="23" t="s">
        <v>30</v>
      </c>
    </row>
    <row r="3" spans="2:9" ht="15.6" x14ac:dyDescent="0.25">
      <c r="B3" s="5" t="s">
        <v>10</v>
      </c>
      <c r="C3" s="24" t="s">
        <v>18</v>
      </c>
      <c r="D3" s="24" t="s">
        <v>18</v>
      </c>
      <c r="E3" s="7"/>
      <c r="F3" s="8"/>
      <c r="H3" s="1" t="s">
        <v>32</v>
      </c>
      <c r="I3" s="1" t="s">
        <v>31</v>
      </c>
    </row>
    <row r="4" spans="2:9" x14ac:dyDescent="0.25">
      <c r="B4" s="9" t="s">
        <v>22</v>
      </c>
      <c r="C4" s="10">
        <f>0.7025+0.0963</f>
        <v>0.79879999999999995</v>
      </c>
      <c r="D4" s="10">
        <f>0.7025+0.0963</f>
        <v>0.79879999999999995</v>
      </c>
      <c r="E4" s="6" t="s">
        <v>21</v>
      </c>
      <c r="F4" s="11" t="s">
        <v>33</v>
      </c>
    </row>
    <row r="5" spans="2:9" x14ac:dyDescent="0.25">
      <c r="B5" s="9" t="s">
        <v>0</v>
      </c>
      <c r="C5" s="12">
        <v>0.5</v>
      </c>
      <c r="D5" s="12">
        <v>0.5</v>
      </c>
      <c r="E5" s="6" t="s">
        <v>15</v>
      </c>
      <c r="F5" s="11" t="s">
        <v>23</v>
      </c>
    </row>
    <row r="6" spans="2:9" ht="15.6" x14ac:dyDescent="0.25">
      <c r="B6" s="9" t="s">
        <v>17</v>
      </c>
      <c r="C6" s="12">
        <f>44/12</f>
        <v>3.6666666666666665</v>
      </c>
      <c r="D6" s="12">
        <f>44/12</f>
        <v>3.6666666666666665</v>
      </c>
      <c r="E6" s="6" t="s">
        <v>16</v>
      </c>
      <c r="F6" s="11" t="s">
        <v>23</v>
      </c>
    </row>
    <row r="7" spans="2:9" x14ac:dyDescent="0.25">
      <c r="B7" s="9" t="s">
        <v>1</v>
      </c>
      <c r="C7" s="12">
        <f>(0.5175+0.0553)/C4</f>
        <v>0.71707561342013015</v>
      </c>
      <c r="D7" s="12">
        <f>(0.5175+0.0553)/D4</f>
        <v>0.71707561342013015</v>
      </c>
      <c r="E7" s="6"/>
      <c r="F7" s="11" t="s">
        <v>33</v>
      </c>
    </row>
    <row r="8" spans="2:9" ht="15.6" x14ac:dyDescent="0.25">
      <c r="B8" s="9" t="s">
        <v>2</v>
      </c>
      <c r="C8" s="12">
        <f>C4*C5*C6</f>
        <v>1.4644666666666666</v>
      </c>
      <c r="D8" s="12">
        <f>D4*D5*D6</f>
        <v>1.4644666666666666</v>
      </c>
      <c r="E8" s="6" t="s">
        <v>4</v>
      </c>
      <c r="F8" s="11"/>
    </row>
    <row r="9" spans="2:9" ht="15.6" x14ac:dyDescent="0.25">
      <c r="B9" s="9" t="s">
        <v>6</v>
      </c>
      <c r="C9" s="12">
        <f>C8*C7</f>
        <v>1.0501333333333331</v>
      </c>
      <c r="D9" s="12">
        <f>D8*D7</f>
        <v>1.0501333333333331</v>
      </c>
      <c r="E9" s="6" t="s">
        <v>4</v>
      </c>
      <c r="F9" s="11"/>
    </row>
    <row r="10" spans="2:9" ht="15.6" x14ac:dyDescent="0.25">
      <c r="B10" s="5" t="s">
        <v>12</v>
      </c>
      <c r="C10" s="13">
        <f>C8+C9</f>
        <v>2.5145999999999997</v>
      </c>
      <c r="D10" s="13">
        <f>D8+D9</f>
        <v>2.5145999999999997</v>
      </c>
      <c r="E10" s="6" t="s">
        <v>4</v>
      </c>
      <c r="F10" s="11"/>
    </row>
    <row r="11" spans="2:9" x14ac:dyDescent="0.25">
      <c r="B11" s="9" t="s">
        <v>3</v>
      </c>
      <c r="C11" s="12">
        <f>'CO2 certificates'!E3</f>
        <v>190</v>
      </c>
      <c r="D11" s="12">
        <f>'CO2 certificates'!F3+'CO2 certificates'!G3</f>
        <v>1180.96</v>
      </c>
      <c r="E11" s="6" t="s">
        <v>5</v>
      </c>
      <c r="F11" s="11"/>
    </row>
    <row r="12" spans="2:9" ht="15.6" x14ac:dyDescent="0.25">
      <c r="B12" s="5" t="s">
        <v>12</v>
      </c>
      <c r="C12" s="13">
        <f>C10*C11</f>
        <v>477.77399999999994</v>
      </c>
      <c r="D12" s="13">
        <f>D10*D11</f>
        <v>2969.6420159999998</v>
      </c>
      <c r="E12" s="14" t="s">
        <v>19</v>
      </c>
      <c r="F12" s="15"/>
    </row>
    <row r="13" spans="2:9" x14ac:dyDescent="0.25">
      <c r="B13" s="16"/>
      <c r="C13" s="17"/>
      <c r="D13" s="17"/>
      <c r="E13" s="17"/>
      <c r="F13" s="18"/>
    </row>
    <row r="14" spans="2:9" ht="15.6" x14ac:dyDescent="0.25">
      <c r="B14" s="5" t="s">
        <v>11</v>
      </c>
      <c r="C14" s="24" t="s">
        <v>28</v>
      </c>
      <c r="D14" s="24" t="s">
        <v>28</v>
      </c>
      <c r="E14" s="7"/>
      <c r="F14" s="8"/>
    </row>
    <row r="15" spans="2:9" x14ac:dyDescent="0.25">
      <c r="B15" s="9" t="s">
        <v>7</v>
      </c>
      <c r="C15" s="10">
        <v>3.2199999999999999E-2</v>
      </c>
      <c r="D15" s="10">
        <v>3.2199999999999999E-2</v>
      </c>
      <c r="E15" s="6" t="s">
        <v>14</v>
      </c>
      <c r="F15" s="11" t="s">
        <v>33</v>
      </c>
    </row>
    <row r="16" spans="2:9" x14ac:dyDescent="0.25">
      <c r="B16" s="9" t="s">
        <v>0</v>
      </c>
      <c r="C16" s="12">
        <v>0.4</v>
      </c>
      <c r="D16" s="12">
        <v>0.4</v>
      </c>
      <c r="E16" s="19" t="s">
        <v>15</v>
      </c>
      <c r="F16" s="11" t="s">
        <v>23</v>
      </c>
    </row>
    <row r="17" spans="2:6" ht="15.6" x14ac:dyDescent="0.25">
      <c r="B17" s="9" t="s">
        <v>17</v>
      </c>
      <c r="C17" s="12">
        <f>44/12</f>
        <v>3.6666666666666665</v>
      </c>
      <c r="D17" s="12">
        <f>44/12</f>
        <v>3.6666666666666665</v>
      </c>
      <c r="E17" s="6" t="s">
        <v>16</v>
      </c>
      <c r="F17" s="11" t="s">
        <v>23</v>
      </c>
    </row>
    <row r="18" spans="2:6" x14ac:dyDescent="0.25">
      <c r="B18" s="9" t="s">
        <v>1</v>
      </c>
      <c r="C18" s="12">
        <v>0</v>
      </c>
      <c r="D18" s="12">
        <v>0</v>
      </c>
      <c r="E18" s="6"/>
      <c r="F18" s="11" t="s">
        <v>33</v>
      </c>
    </row>
    <row r="19" spans="2:6" ht="15.6" x14ac:dyDescent="0.25">
      <c r="B19" s="9" t="s">
        <v>8</v>
      </c>
      <c r="C19" s="12">
        <f>C15*C16*C17</f>
        <v>4.7226666666666667E-2</v>
      </c>
      <c r="D19" s="12">
        <f>D15*D16*D17</f>
        <v>4.7226666666666667E-2</v>
      </c>
      <c r="E19" s="6" t="s">
        <v>4</v>
      </c>
      <c r="F19" s="11"/>
    </row>
    <row r="20" spans="2:6" ht="15.6" x14ac:dyDescent="0.25">
      <c r="B20" s="9" t="s">
        <v>9</v>
      </c>
      <c r="C20" s="12">
        <f>C19*C18</f>
        <v>0</v>
      </c>
      <c r="D20" s="12">
        <f>D19*D18</f>
        <v>0</v>
      </c>
      <c r="E20" s="6" t="s">
        <v>4</v>
      </c>
      <c r="F20" s="11"/>
    </row>
    <row r="21" spans="2:6" ht="15.6" x14ac:dyDescent="0.25">
      <c r="B21" s="5" t="s">
        <v>13</v>
      </c>
      <c r="C21" s="13">
        <f>C19+C20</f>
        <v>4.7226666666666667E-2</v>
      </c>
      <c r="D21" s="13">
        <f>D19+D20</f>
        <v>4.7226666666666667E-2</v>
      </c>
      <c r="E21" s="6" t="s">
        <v>4</v>
      </c>
      <c r="F21" s="11"/>
    </row>
    <row r="22" spans="2:6" x14ac:dyDescent="0.25">
      <c r="B22" s="9" t="s">
        <v>3</v>
      </c>
      <c r="C22" s="12">
        <f>'CO2 certificates'!E3</f>
        <v>190</v>
      </c>
      <c r="D22" s="12">
        <f>'CO2 certificates'!F3+'CO2 certificates'!G3</f>
        <v>1180.96</v>
      </c>
      <c r="E22" s="6" t="s">
        <v>5</v>
      </c>
      <c r="F22" s="11"/>
    </row>
    <row r="23" spans="2:6" ht="15.6" x14ac:dyDescent="0.25">
      <c r="B23" s="5" t="s">
        <v>13</v>
      </c>
      <c r="C23" s="13">
        <f>C21*C22</f>
        <v>8.9730666666666661</v>
      </c>
      <c r="D23" s="13">
        <f>D21*D22</f>
        <v>55.772804266666668</v>
      </c>
      <c r="E23" s="14" t="s">
        <v>19</v>
      </c>
      <c r="F23" s="15"/>
    </row>
    <row r="24" spans="2:6" x14ac:dyDescent="0.25">
      <c r="B24" s="16"/>
      <c r="C24" s="17"/>
      <c r="D24" s="17"/>
      <c r="E24" s="17"/>
      <c r="F24" s="18"/>
    </row>
    <row r="25" spans="2:6" ht="15.6" x14ac:dyDescent="0.25">
      <c r="B25" s="102" t="s">
        <v>20</v>
      </c>
      <c r="C25" s="99">
        <f>ROUND(C12+C23,0)</f>
        <v>487</v>
      </c>
      <c r="D25" s="99">
        <f>ROUND((D12+D23),0)</f>
        <v>3025</v>
      </c>
      <c r="E25" s="14" t="s">
        <v>19</v>
      </c>
      <c r="F25" s="15"/>
    </row>
    <row r="26" spans="2:6" ht="16.2" thickBot="1" x14ac:dyDescent="0.3">
      <c r="B26" s="103"/>
      <c r="C26" s="20">
        <f>C25/C22</f>
        <v>2.5631578947368423</v>
      </c>
      <c r="D26" s="20">
        <f>D25/D22</f>
        <v>2.5614754098360657</v>
      </c>
      <c r="E26" s="21" t="s">
        <v>29</v>
      </c>
      <c r="F26" s="22"/>
    </row>
  </sheetData>
  <mergeCells count="1">
    <mergeCell ref="B25:B2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73"/>
  <sheetViews>
    <sheetView topLeftCell="A49" workbookViewId="0">
      <selection activeCell="D71" sqref="D71"/>
    </sheetView>
  </sheetViews>
  <sheetFormatPr defaultRowHeight="14.4" x14ac:dyDescent="0.25"/>
  <cols>
    <col min="1" max="1" width="2.109375" style="49" customWidth="1"/>
    <col min="2" max="2" width="18.6640625" style="49" customWidth="1"/>
    <col min="3" max="3" width="8.88671875" style="49"/>
    <col min="4" max="4" width="15" style="49" customWidth="1"/>
    <col min="5" max="5" width="8.88671875" style="49"/>
    <col min="6" max="6" width="11.33203125" style="49" customWidth="1"/>
    <col min="7" max="7" width="8.88671875" style="49"/>
    <col min="8" max="8" width="16.77734375" style="49" customWidth="1"/>
    <col min="9" max="16384" width="8.88671875" style="49"/>
  </cols>
  <sheetData>
    <row r="2" spans="2:9" s="45" customFormat="1" ht="27.6" x14ac:dyDescent="0.25">
      <c r="B2" s="90" t="s">
        <v>34</v>
      </c>
      <c r="C2" s="25" t="s">
        <v>45</v>
      </c>
      <c r="D2" s="25" t="s">
        <v>46</v>
      </c>
      <c r="E2" s="25" t="s">
        <v>47</v>
      </c>
      <c r="F2" s="25" t="s">
        <v>83</v>
      </c>
      <c r="G2" s="25" t="s">
        <v>35</v>
      </c>
      <c r="I2" s="46" t="s">
        <v>149</v>
      </c>
    </row>
    <row r="3" spans="2:9" s="45" customFormat="1" x14ac:dyDescent="0.25">
      <c r="B3" s="90" t="s">
        <v>36</v>
      </c>
      <c r="C3" s="47">
        <v>122.18639528</v>
      </c>
      <c r="D3" s="47">
        <v>122.18047077</v>
      </c>
      <c r="E3" s="47">
        <v>122.14586199999999</v>
      </c>
      <c r="F3" s="45">
        <v>122.13290000000001</v>
      </c>
      <c r="G3" s="47"/>
    </row>
    <row r="4" spans="2:9" x14ac:dyDescent="0.25">
      <c r="B4" s="90" t="s">
        <v>37</v>
      </c>
      <c r="C4" s="47">
        <v>43.20479229</v>
      </c>
      <c r="D4" s="47">
        <v>43.204705529999998</v>
      </c>
      <c r="E4" s="47">
        <v>43.206161999999999</v>
      </c>
      <c r="F4" s="48">
        <v>43.2074</v>
      </c>
      <c r="G4" s="47"/>
    </row>
    <row r="5" spans="2:9" x14ac:dyDescent="0.25">
      <c r="B5" s="90" t="s">
        <v>64</v>
      </c>
      <c r="C5" s="25">
        <f>20*20/10000</f>
        <v>0.04</v>
      </c>
      <c r="D5" s="25">
        <f>20*20/10000</f>
        <v>0.04</v>
      </c>
      <c r="E5" s="25">
        <f>20*20/10000</f>
        <v>0.04</v>
      </c>
      <c r="F5" s="25">
        <f>20*20/10000</f>
        <v>0.04</v>
      </c>
      <c r="G5" s="47"/>
    </row>
    <row r="6" spans="2:9" x14ac:dyDescent="0.25">
      <c r="B6" s="90" t="s">
        <v>38</v>
      </c>
      <c r="C6" s="50">
        <f>C69</f>
        <v>4.179318181818183</v>
      </c>
      <c r="D6" s="50">
        <f>F68</f>
        <v>4.3806976744186041</v>
      </c>
      <c r="E6" s="50">
        <f>I65</f>
        <v>4.9712499999999995</v>
      </c>
      <c r="F6" s="51">
        <f>L66</f>
        <v>4.7339024390243916</v>
      </c>
      <c r="G6" s="52" t="s">
        <v>43</v>
      </c>
    </row>
    <row r="7" spans="2:9" x14ac:dyDescent="0.25">
      <c r="B7" s="90" t="s">
        <v>39</v>
      </c>
      <c r="C7" s="50">
        <f>D69</f>
        <v>4.519318181818182</v>
      </c>
      <c r="D7" s="50">
        <f>G68</f>
        <v>4.7988372093023264</v>
      </c>
      <c r="E7" s="50">
        <f>J65</f>
        <v>5.0097499999999995</v>
      </c>
      <c r="F7" s="51">
        <f>M66</f>
        <v>4.7717073170731705</v>
      </c>
      <c r="G7" s="52" t="s">
        <v>43</v>
      </c>
    </row>
    <row r="8" spans="2:9" x14ac:dyDescent="0.25">
      <c r="B8" s="90" t="s">
        <v>40</v>
      </c>
      <c r="C8" s="53">
        <v>44</v>
      </c>
      <c r="D8" s="53">
        <v>48</v>
      </c>
      <c r="E8" s="53">
        <v>40</v>
      </c>
      <c r="F8" s="48">
        <v>41</v>
      </c>
      <c r="G8" s="52" t="s">
        <v>43</v>
      </c>
    </row>
    <row r="9" spans="2:9" x14ac:dyDescent="0.25">
      <c r="B9" s="90" t="s">
        <v>65</v>
      </c>
      <c r="C9" s="54">
        <v>0.2</v>
      </c>
      <c r="D9" s="54">
        <v>0.2</v>
      </c>
      <c r="E9" s="54">
        <v>0.2</v>
      </c>
      <c r="F9" s="48">
        <v>0.2</v>
      </c>
      <c r="G9" s="52"/>
    </row>
    <row r="10" spans="2:9" ht="27.6" x14ac:dyDescent="0.25">
      <c r="B10" s="90" t="s">
        <v>54</v>
      </c>
      <c r="C10" s="55">
        <f>E69/1000</f>
        <v>0.18493222220518188</v>
      </c>
      <c r="D10" s="55">
        <f>H68/1000</f>
        <v>0.21823061736004282</v>
      </c>
      <c r="E10" s="55">
        <f>K65/1000</f>
        <v>0.2449940496198775</v>
      </c>
      <c r="F10" s="51">
        <f>N66/1000</f>
        <v>0.21829046478045697</v>
      </c>
      <c r="G10" s="52" t="s">
        <v>43</v>
      </c>
    </row>
    <row r="11" spans="2:9" ht="26.4" customHeight="1" x14ac:dyDescent="0.25">
      <c r="B11" s="90" t="s">
        <v>63</v>
      </c>
      <c r="C11" s="54">
        <f>C10/C5</f>
        <v>4.623305555129547</v>
      </c>
      <c r="D11" s="54">
        <f>D10/D5</f>
        <v>5.4557654340010702</v>
      </c>
      <c r="E11" s="54">
        <f>E10/E5</f>
        <v>6.1248512404969375</v>
      </c>
      <c r="F11" s="54">
        <f>F10/F5</f>
        <v>5.4572616195114243</v>
      </c>
      <c r="G11" s="52" t="s">
        <v>43</v>
      </c>
    </row>
    <row r="12" spans="2:9" x14ac:dyDescent="0.25">
      <c r="B12" s="91" t="s">
        <v>41</v>
      </c>
      <c r="C12" s="51">
        <f>C11*44/12</f>
        <v>16.952120368808341</v>
      </c>
      <c r="D12" s="51">
        <f t="shared" ref="D12:E12" si="0">D11*44/12</f>
        <v>20.004473258003923</v>
      </c>
      <c r="E12" s="51">
        <f t="shared" si="0"/>
        <v>22.457787881822103</v>
      </c>
      <c r="F12" s="51">
        <f t="shared" ref="F12" si="1">F11*44/12</f>
        <v>20.009959271541888</v>
      </c>
      <c r="G12" s="51"/>
    </row>
    <row r="15" spans="2:9" ht="27.6" x14ac:dyDescent="0.25">
      <c r="B15" s="90"/>
      <c r="C15" s="47" t="s">
        <v>70</v>
      </c>
      <c r="D15" s="25" t="s">
        <v>71</v>
      </c>
    </row>
    <row r="16" spans="2:9" x14ac:dyDescent="0.25">
      <c r="B16" s="90"/>
      <c r="C16" s="47" t="s">
        <v>72</v>
      </c>
      <c r="D16" s="47" t="s">
        <v>72</v>
      </c>
    </row>
    <row r="17" spans="2:14" x14ac:dyDescent="0.25">
      <c r="B17" s="90" t="s">
        <v>73</v>
      </c>
      <c r="C17" s="57">
        <f>AVERAGE(C11:F11)</f>
        <v>5.4152959622847447</v>
      </c>
      <c r="D17" s="57">
        <f>STDEVA(C11:F11)</f>
        <v>0.61484859718798635</v>
      </c>
      <c r="L17" s="46"/>
    </row>
    <row r="18" spans="2:14" x14ac:dyDescent="0.25">
      <c r="B18" s="90" t="s">
        <v>74</v>
      </c>
      <c r="C18" s="57">
        <f>AVERAGE(C11:F11)</f>
        <v>5.4152959622847447</v>
      </c>
      <c r="D18" s="57">
        <f>STDEVA(C11:F11)</f>
        <v>0.61484859718798635</v>
      </c>
    </row>
    <row r="19" spans="2:14" x14ac:dyDescent="0.25">
      <c r="B19" s="90"/>
      <c r="C19" s="57"/>
      <c r="D19" s="57"/>
    </row>
    <row r="20" spans="2:14" x14ac:dyDescent="0.25">
      <c r="B20" s="91" t="s">
        <v>75</v>
      </c>
      <c r="C20" s="57">
        <f>AVERAGE(C12:F12)</f>
        <v>19.856085195044063</v>
      </c>
      <c r="D20" s="57"/>
    </row>
    <row r="23" spans="2:14" x14ac:dyDescent="0.25">
      <c r="B23" s="48"/>
      <c r="C23" s="104" t="s">
        <v>45</v>
      </c>
      <c r="D23" s="104"/>
      <c r="E23" s="104"/>
      <c r="F23" s="104" t="s">
        <v>78</v>
      </c>
      <c r="G23" s="104"/>
      <c r="H23" s="104"/>
      <c r="I23" s="104" t="s">
        <v>79</v>
      </c>
      <c r="J23" s="104"/>
      <c r="K23" s="104"/>
      <c r="L23" s="104" t="s">
        <v>83</v>
      </c>
      <c r="M23" s="104"/>
      <c r="N23" s="104"/>
    </row>
    <row r="24" spans="2:14" ht="41.4" x14ac:dyDescent="0.25">
      <c r="B24" s="48" t="s">
        <v>126</v>
      </c>
      <c r="C24" s="48" t="s">
        <v>84</v>
      </c>
      <c r="D24" s="58" t="s">
        <v>85</v>
      </c>
      <c r="E24" s="60" t="s">
        <v>54</v>
      </c>
      <c r="F24" s="58" t="s">
        <v>84</v>
      </c>
      <c r="G24" s="58" t="s">
        <v>85</v>
      </c>
      <c r="H24" s="60" t="s">
        <v>54</v>
      </c>
      <c r="I24" s="58" t="s">
        <v>84</v>
      </c>
      <c r="J24" s="58" t="s">
        <v>85</v>
      </c>
      <c r="K24" s="60" t="s">
        <v>54</v>
      </c>
      <c r="L24" s="58" t="s">
        <v>84</v>
      </c>
      <c r="M24" s="58" t="s">
        <v>85</v>
      </c>
      <c r="N24" s="60" t="s">
        <v>54</v>
      </c>
    </row>
    <row r="25" spans="2:14" x14ac:dyDescent="0.25">
      <c r="B25" s="48">
        <v>1</v>
      </c>
      <c r="C25" s="48">
        <v>7.03</v>
      </c>
      <c r="D25" s="48">
        <v>5.6</v>
      </c>
      <c r="E25" s="51">
        <f>0.045*(C25^2*D25)^0.906*(1+$C$9)</f>
        <v>8.809173450551345</v>
      </c>
      <c r="F25" s="48">
        <v>5.3</v>
      </c>
      <c r="G25" s="48">
        <v>4.0999999999999996</v>
      </c>
      <c r="H25" s="51">
        <f>0.045*(F25^2*G25)^0.906*(1+$D$9)</f>
        <v>3.9807399719479486</v>
      </c>
      <c r="I25" s="48">
        <v>3.55</v>
      </c>
      <c r="J25" s="48">
        <v>4.63</v>
      </c>
      <c r="K25" s="51">
        <f>0.045*(I25^2*J25)^0.906*(1+$E$9)</f>
        <v>2.1499279879418194</v>
      </c>
      <c r="L25" s="48">
        <v>3.38</v>
      </c>
      <c r="M25" s="48">
        <v>4.41</v>
      </c>
      <c r="N25" s="51">
        <f>0.045*(L25^2*M25)^0.906*(1+$E$9)</f>
        <v>1.8821411189178492</v>
      </c>
    </row>
    <row r="26" spans="2:14" x14ac:dyDescent="0.25">
      <c r="B26" s="48">
        <v>2</v>
      </c>
      <c r="C26" s="48">
        <v>1.69</v>
      </c>
      <c r="D26" s="48">
        <v>3.1</v>
      </c>
      <c r="E26" s="51">
        <f t="shared" ref="E26:E68" si="2">0.045*(C26^2*D26)^0.906*(1+$C$9)</f>
        <v>0.38949166038582644</v>
      </c>
      <c r="F26" s="48">
        <v>0.78</v>
      </c>
      <c r="G26" s="48">
        <v>2.2999999999999998</v>
      </c>
      <c r="H26" s="51">
        <f t="shared" ref="H26:H67" si="3">0.045*(F26^2*G26)^0.906*(1+$D$9)</f>
        <v>7.3214078293921042E-2</v>
      </c>
      <c r="I26" s="48">
        <v>5.6</v>
      </c>
      <c r="J26" s="48">
        <v>4.91</v>
      </c>
      <c r="K26" s="51">
        <f t="shared" ref="K26:K64" si="4">0.045*(I26^2*J26)^0.906*(1+$E$9)</f>
        <v>5.1788138002944928</v>
      </c>
      <c r="L26" s="48">
        <v>5.33</v>
      </c>
      <c r="M26" s="48">
        <v>4.68</v>
      </c>
      <c r="N26" s="51">
        <f t="shared" ref="N26:N65" si="5">0.045*(L26^2*M26)^0.906*(1+$E$9)</f>
        <v>4.5338401642240038</v>
      </c>
    </row>
    <row r="27" spans="2:14" x14ac:dyDescent="0.25">
      <c r="B27" s="48">
        <v>3</v>
      </c>
      <c r="C27" s="48">
        <v>5.15</v>
      </c>
      <c r="D27" s="48">
        <v>5.2</v>
      </c>
      <c r="E27" s="51">
        <f t="shared" si="2"/>
        <v>4.686919433112271</v>
      </c>
      <c r="F27" s="48">
        <v>3.71</v>
      </c>
      <c r="G27" s="48">
        <v>5.0999999999999996</v>
      </c>
      <c r="H27" s="51">
        <f t="shared" si="3"/>
        <v>2.5418965026571798</v>
      </c>
      <c r="I27" s="48">
        <v>1.64</v>
      </c>
      <c r="J27" s="48">
        <v>3.09</v>
      </c>
      <c r="K27" s="51">
        <f t="shared" si="4"/>
        <v>0.36778430739939089</v>
      </c>
      <c r="L27" s="48">
        <v>1.56</v>
      </c>
      <c r="M27" s="48">
        <v>2.94</v>
      </c>
      <c r="N27" s="51">
        <f t="shared" si="5"/>
        <v>0.32111324060612739</v>
      </c>
    </row>
    <row r="28" spans="2:14" x14ac:dyDescent="0.25">
      <c r="B28" s="48">
        <v>4</v>
      </c>
      <c r="C28" s="48">
        <v>1.3</v>
      </c>
      <c r="D28" s="48">
        <v>2.65</v>
      </c>
      <c r="E28" s="51">
        <f t="shared" si="2"/>
        <v>0.2100486409813761</v>
      </c>
      <c r="F28" s="48">
        <v>3.03</v>
      </c>
      <c r="G28" s="48">
        <v>4</v>
      </c>
      <c r="H28" s="51">
        <f t="shared" si="3"/>
        <v>1.4132993356606065</v>
      </c>
      <c r="I28" s="48">
        <v>7.69</v>
      </c>
      <c r="J28" s="48">
        <v>5.63</v>
      </c>
      <c r="K28" s="51">
        <f>0.045*(I32^2*J32)^0.906*(1+$E$9)</f>
        <v>2.1524555642607179</v>
      </c>
      <c r="L28" s="48">
        <v>7.32</v>
      </c>
      <c r="M28" s="48">
        <v>5.36</v>
      </c>
      <c r="N28" s="51">
        <f>0.045*(L35^2*M35)^0.906*(1+$E$9)</f>
        <v>1.8821411189178492</v>
      </c>
    </row>
    <row r="29" spans="2:14" x14ac:dyDescent="0.25">
      <c r="B29" s="48">
        <v>5</v>
      </c>
      <c r="C29" s="48">
        <v>2.95</v>
      </c>
      <c r="D29" s="48">
        <v>4.3</v>
      </c>
      <c r="E29" s="51">
        <f t="shared" si="2"/>
        <v>1.4375854664234011</v>
      </c>
      <c r="F29" s="48">
        <v>2.4300000000000002</v>
      </c>
      <c r="G29" s="48">
        <v>3.5</v>
      </c>
      <c r="H29" s="51">
        <f t="shared" si="3"/>
        <v>0.83953339414920902</v>
      </c>
      <c r="I29" s="48">
        <v>2.4300000000000002</v>
      </c>
      <c r="J29" s="48">
        <v>3.27</v>
      </c>
      <c r="K29" s="51">
        <f>0.045*(I37^2*J37)^0.906*(1+$E$9)</f>
        <v>5.1788138002944928</v>
      </c>
      <c r="L29" s="48">
        <v>2.31</v>
      </c>
      <c r="M29" s="48">
        <v>3.11</v>
      </c>
      <c r="N29" s="51">
        <f>0.045*(L44^2*M44)^0.906*(1+$E$9)</f>
        <v>4.5338401642240038</v>
      </c>
    </row>
    <row r="30" spans="2:14" x14ac:dyDescent="0.25">
      <c r="B30" s="48">
        <v>6</v>
      </c>
      <c r="C30" s="48">
        <v>5.35</v>
      </c>
      <c r="D30" s="48">
        <v>5.0999999999999996</v>
      </c>
      <c r="E30" s="51">
        <f t="shared" si="2"/>
        <v>4.9343436494544912</v>
      </c>
      <c r="F30" s="48">
        <v>1.08</v>
      </c>
      <c r="G30" s="48">
        <v>2.5</v>
      </c>
      <c r="H30" s="51">
        <f t="shared" si="3"/>
        <v>0.14239385659823675</v>
      </c>
      <c r="I30" s="48">
        <v>11.18</v>
      </c>
      <c r="J30" s="48">
        <v>7.27</v>
      </c>
      <c r="K30" s="51">
        <f>0.045*(I45^2*J45)^0.906*(1+$E$9)</f>
        <v>0.36778430739939089</v>
      </c>
      <c r="L30" s="48">
        <v>10.65</v>
      </c>
      <c r="M30" s="48">
        <v>6.92</v>
      </c>
      <c r="N30" s="51">
        <f>0.045*(L56^2*M56)^0.906*(1+$E$9)</f>
        <v>0.32111324060612739</v>
      </c>
    </row>
    <row r="31" spans="2:14" x14ac:dyDescent="0.25">
      <c r="B31" s="48">
        <v>7</v>
      </c>
      <c r="C31" s="48">
        <v>1.05</v>
      </c>
      <c r="D31" s="48">
        <v>2.2999999999999998</v>
      </c>
      <c r="E31" s="51">
        <f t="shared" si="2"/>
        <v>0.12546257280322129</v>
      </c>
      <c r="F31" s="48">
        <v>2.62</v>
      </c>
      <c r="G31" s="48">
        <v>3.5</v>
      </c>
      <c r="H31" s="51">
        <f t="shared" si="3"/>
        <v>0.96223543901784225</v>
      </c>
      <c r="I31" s="48">
        <v>5.08</v>
      </c>
      <c r="J31" s="48">
        <v>6.9</v>
      </c>
      <c r="K31" s="51">
        <f>0.045*(I28^2*J28)^0.906*(1+$E$9)</f>
        <v>10.414846975532571</v>
      </c>
      <c r="L31" s="48">
        <v>4.84</v>
      </c>
      <c r="M31" s="48">
        <v>6.57</v>
      </c>
      <c r="N31" s="51">
        <f t="shared" ref="N31:N37" si="6">0.045*(L28^2*M28)^0.906*(1+$E$9)</f>
        <v>9.1098481559920987</v>
      </c>
    </row>
    <row r="32" spans="2:14" x14ac:dyDescent="0.25">
      <c r="B32" s="48">
        <v>8</v>
      </c>
      <c r="C32" s="48">
        <v>6.28</v>
      </c>
      <c r="D32" s="48">
        <v>5.5</v>
      </c>
      <c r="E32" s="51">
        <f t="shared" si="2"/>
        <v>7.0642365100589579</v>
      </c>
      <c r="F32" s="48">
        <v>0.45</v>
      </c>
      <c r="G32" s="48">
        <v>1.5</v>
      </c>
      <c r="H32" s="51">
        <f t="shared" si="3"/>
        <v>1.8346512261892486E-2</v>
      </c>
      <c r="I32" s="48">
        <v>3.56</v>
      </c>
      <c r="J32" s="48">
        <v>4.6100000000000003</v>
      </c>
      <c r="K32" s="51">
        <f>0.045*(I29^2*J29)^0.906*(1+$E$9)</f>
        <v>0.78939176501100794</v>
      </c>
      <c r="L32" s="48">
        <v>5.73</v>
      </c>
      <c r="M32" s="48">
        <v>6.49</v>
      </c>
      <c r="N32" s="51">
        <f t="shared" si="6"/>
        <v>0.68817609068542807</v>
      </c>
    </row>
    <row r="33" spans="2:14" x14ac:dyDescent="0.25">
      <c r="B33" s="48">
        <v>9</v>
      </c>
      <c r="C33" s="48">
        <v>4.42</v>
      </c>
      <c r="D33" s="48">
        <v>5.0999999999999996</v>
      </c>
      <c r="E33" s="51">
        <f t="shared" si="2"/>
        <v>3.4910614343529676</v>
      </c>
      <c r="F33" s="48">
        <v>0.89</v>
      </c>
      <c r="G33" s="48">
        <v>1.45</v>
      </c>
      <c r="H33" s="51">
        <f t="shared" si="3"/>
        <v>6.121922986453255E-2</v>
      </c>
      <c r="I33" s="48">
        <v>6.02</v>
      </c>
      <c r="J33" s="48">
        <v>6.81</v>
      </c>
      <c r="K33" s="51">
        <f>0.045*(I30^2*J30)^0.906*(1+$E$9)</f>
        <v>25.865476535667849</v>
      </c>
      <c r="L33" s="48">
        <v>7.45</v>
      </c>
      <c r="M33" s="48">
        <v>6.75</v>
      </c>
      <c r="N33" s="51">
        <f t="shared" si="6"/>
        <v>22.650999510451896</v>
      </c>
    </row>
    <row r="34" spans="2:14" x14ac:dyDescent="0.25">
      <c r="B34" s="48">
        <v>10</v>
      </c>
      <c r="C34" s="48">
        <v>8.58</v>
      </c>
      <c r="D34" s="48">
        <v>5.9</v>
      </c>
      <c r="E34" s="51">
        <f t="shared" si="2"/>
        <v>13.251488010021326</v>
      </c>
      <c r="F34" s="48">
        <v>3.78</v>
      </c>
      <c r="G34" s="48">
        <v>4.4000000000000004</v>
      </c>
      <c r="H34" s="51">
        <f t="shared" si="3"/>
        <v>2.3002605223599275</v>
      </c>
      <c r="I34" s="48">
        <v>7.82</v>
      </c>
      <c r="J34" s="48">
        <v>7.09</v>
      </c>
      <c r="K34" s="51">
        <f>0.045*(I31^2*J31)^0.906*(1+$E$9)</f>
        <v>5.907668025970966</v>
      </c>
      <c r="L34" s="48">
        <v>7.26</v>
      </c>
      <c r="M34" s="48">
        <v>6.66</v>
      </c>
      <c r="N34" s="51">
        <f t="shared" si="6"/>
        <v>5.176637808340022</v>
      </c>
    </row>
    <row r="35" spans="2:14" x14ac:dyDescent="0.25">
      <c r="B35" s="48">
        <v>11</v>
      </c>
      <c r="C35" s="48">
        <v>6.71</v>
      </c>
      <c r="D35" s="48">
        <v>6</v>
      </c>
      <c r="E35" s="51">
        <f t="shared" si="2"/>
        <v>8.6182680816358168</v>
      </c>
      <c r="F35" s="48">
        <v>2.12</v>
      </c>
      <c r="G35" s="48">
        <v>3.4</v>
      </c>
      <c r="H35" s="51">
        <f t="shared" si="3"/>
        <v>0.63860782930219051</v>
      </c>
      <c r="I35" s="48">
        <v>7.62</v>
      </c>
      <c r="J35" s="48">
        <v>6.99</v>
      </c>
      <c r="K35" s="51">
        <f>0.045*(I33^2*J33)^0.906*(1+$E$9)</f>
        <v>7.9406103480608472</v>
      </c>
      <c r="L35" s="48">
        <v>3.38</v>
      </c>
      <c r="M35" s="48">
        <v>4.41</v>
      </c>
      <c r="N35" s="51">
        <f t="shared" si="6"/>
        <v>6.9512615569345924</v>
      </c>
    </row>
    <row r="36" spans="2:14" x14ac:dyDescent="0.25">
      <c r="B36" s="48">
        <v>12</v>
      </c>
      <c r="C36" s="48">
        <v>7.91</v>
      </c>
      <c r="D36" s="48">
        <v>5.8</v>
      </c>
      <c r="E36" s="51">
        <f t="shared" si="2"/>
        <v>11.260438684155941</v>
      </c>
      <c r="F36" s="48">
        <v>5.89</v>
      </c>
      <c r="G36" s="48">
        <v>7.6</v>
      </c>
      <c r="H36" s="51">
        <f t="shared" si="3"/>
        <v>8.4306253216569633</v>
      </c>
      <c r="I36" s="48">
        <v>5.31</v>
      </c>
      <c r="J36" s="48">
        <v>5.63</v>
      </c>
      <c r="K36" s="51">
        <f>0.045*(I34^2*J34)^0.906*(1+$E$9)</f>
        <v>13.230305892326848</v>
      </c>
      <c r="L36" s="48">
        <v>5.0599999999999996</v>
      </c>
      <c r="M36" s="48">
        <v>5.36</v>
      </c>
      <c r="N36" s="51">
        <f t="shared" si="6"/>
        <v>11.59017902456892</v>
      </c>
    </row>
    <row r="37" spans="2:14" x14ac:dyDescent="0.25">
      <c r="B37" s="48">
        <v>13</v>
      </c>
      <c r="C37" s="48">
        <v>2.58</v>
      </c>
      <c r="D37" s="48">
        <v>3.5</v>
      </c>
      <c r="E37" s="51">
        <f t="shared" si="2"/>
        <v>0.93578119852247876</v>
      </c>
      <c r="F37" s="48">
        <v>6.98</v>
      </c>
      <c r="G37" s="48">
        <v>7.5</v>
      </c>
      <c r="H37" s="51">
        <f t="shared" si="3"/>
        <v>11.330923051326939</v>
      </c>
      <c r="I37" s="48">
        <v>5.6</v>
      </c>
      <c r="J37" s="48">
        <v>4.91</v>
      </c>
      <c r="K37" s="51">
        <f>0.045*(I35^2*J35)^0.906*(1+$E$9)</f>
        <v>12.462136077215435</v>
      </c>
      <c r="L37" s="48">
        <v>3.08</v>
      </c>
      <c r="M37" s="48">
        <v>4.41</v>
      </c>
      <c r="N37" s="51">
        <f t="shared" si="6"/>
        <v>10.926437053822831</v>
      </c>
    </row>
    <row r="38" spans="2:14" x14ac:dyDescent="0.25">
      <c r="B38" s="48">
        <v>14</v>
      </c>
      <c r="C38" s="48">
        <v>3.22</v>
      </c>
      <c r="D38" s="48">
        <v>4.2</v>
      </c>
      <c r="E38" s="51">
        <f t="shared" si="2"/>
        <v>1.6492726474741992</v>
      </c>
      <c r="F38" s="48">
        <v>9.08</v>
      </c>
      <c r="G38" s="48">
        <v>7.8</v>
      </c>
      <c r="H38" s="51">
        <f t="shared" si="3"/>
        <v>18.909629833850222</v>
      </c>
      <c r="I38" s="48">
        <v>3.23</v>
      </c>
      <c r="J38" s="48">
        <v>4.63</v>
      </c>
      <c r="K38" s="51">
        <f>0.045*(I36^2*J36)^0.906*(1+$E$9)</f>
        <v>5.3238478801526439</v>
      </c>
      <c r="L38" s="48">
        <v>3.7</v>
      </c>
      <c r="M38" s="48">
        <v>4.5</v>
      </c>
      <c r="N38" s="51">
        <f t="shared" ref="N38:N45" si="7">0.045*(L36^2*M36)^0.906*(1+$E$9)</f>
        <v>4.6659254525961602</v>
      </c>
    </row>
    <row r="39" spans="2:14" x14ac:dyDescent="0.25">
      <c r="B39" s="48">
        <v>15</v>
      </c>
      <c r="C39" s="48">
        <v>3.9</v>
      </c>
      <c r="D39" s="48">
        <v>5</v>
      </c>
      <c r="E39" s="51">
        <f t="shared" si="2"/>
        <v>2.7331889212822964</v>
      </c>
      <c r="F39" s="48">
        <v>8.84</v>
      </c>
      <c r="G39" s="48">
        <v>7.7</v>
      </c>
      <c r="H39" s="51">
        <f t="shared" si="3"/>
        <v>17.804339256037114</v>
      </c>
      <c r="I39" s="48">
        <v>3.88</v>
      </c>
      <c r="J39" s="48">
        <v>4.72</v>
      </c>
      <c r="K39" s="51">
        <f t="shared" ref="K39:K45" si="8">0.045*(I38^2*J38)^0.906*(1+$E$9)</f>
        <v>1.8116950934669638</v>
      </c>
      <c r="L39" s="48">
        <v>5.43</v>
      </c>
      <c r="M39" s="48">
        <v>4.68</v>
      </c>
      <c r="N39" s="51">
        <f t="shared" si="7"/>
        <v>1.590409715861671</v>
      </c>
    </row>
    <row r="40" spans="2:14" x14ac:dyDescent="0.25">
      <c r="B40" s="48">
        <v>16</v>
      </c>
      <c r="C40" s="48">
        <v>4.88</v>
      </c>
      <c r="D40" s="48">
        <v>5.2</v>
      </c>
      <c r="E40" s="51">
        <f t="shared" si="2"/>
        <v>4.2511801245657361</v>
      </c>
      <c r="F40" s="48">
        <v>6.16</v>
      </c>
      <c r="G40" s="48">
        <v>6.2</v>
      </c>
      <c r="H40" s="51">
        <f t="shared" si="3"/>
        <v>7.6036283443182873</v>
      </c>
      <c r="I40" s="48">
        <v>5.7</v>
      </c>
      <c r="J40" s="48">
        <v>4.91</v>
      </c>
      <c r="K40" s="51">
        <f t="shared" si="8"/>
        <v>2.5700897960766671</v>
      </c>
      <c r="L40" s="48">
        <v>0.45</v>
      </c>
      <c r="M40" s="48">
        <v>1.73</v>
      </c>
      <c r="N40" s="51">
        <f t="shared" si="7"/>
        <v>2.2583217710799799</v>
      </c>
    </row>
    <row r="41" spans="2:14" x14ac:dyDescent="0.25">
      <c r="B41" s="48">
        <v>17</v>
      </c>
      <c r="C41" s="48">
        <v>1.5</v>
      </c>
      <c r="D41" s="48">
        <v>2.9</v>
      </c>
      <c r="E41" s="51">
        <f t="shared" si="2"/>
        <v>0.29539538590993364</v>
      </c>
      <c r="F41" s="48">
        <v>3.75</v>
      </c>
      <c r="G41" s="48">
        <v>5.0999999999999996</v>
      </c>
      <c r="H41" s="51">
        <f t="shared" si="3"/>
        <v>2.5917732102739288</v>
      </c>
      <c r="I41" s="48">
        <v>0.47</v>
      </c>
      <c r="J41" s="48">
        <v>1.82</v>
      </c>
      <c r="K41" s="51">
        <f t="shared" si="8"/>
        <v>5.3475989601214513</v>
      </c>
      <c r="L41" s="48">
        <v>2.56</v>
      </c>
      <c r="M41" s="48">
        <v>3.98</v>
      </c>
      <c r="N41" s="51">
        <f t="shared" si="7"/>
        <v>4.6891464199718884</v>
      </c>
    </row>
    <row r="42" spans="2:14" x14ac:dyDescent="0.25">
      <c r="B42" s="48">
        <v>18</v>
      </c>
      <c r="C42" s="48">
        <v>4.45</v>
      </c>
      <c r="D42" s="48">
        <v>5.0999999999999996</v>
      </c>
      <c r="E42" s="51">
        <f t="shared" si="2"/>
        <v>3.5341150157428065</v>
      </c>
      <c r="F42" s="48">
        <v>4.5</v>
      </c>
      <c r="G42" s="48">
        <v>5.2</v>
      </c>
      <c r="H42" s="51">
        <f t="shared" si="3"/>
        <v>3.6704039543809741</v>
      </c>
      <c r="I42" s="48">
        <v>2.69</v>
      </c>
      <c r="J42" s="48">
        <v>4.18</v>
      </c>
      <c r="K42" s="51">
        <f t="shared" si="8"/>
        <v>2.3651558087328328E-2</v>
      </c>
      <c r="L42" s="48">
        <v>3.55</v>
      </c>
      <c r="M42" s="48">
        <v>4.07</v>
      </c>
      <c r="N42" s="51">
        <f t="shared" si="7"/>
        <v>2.0877793812841085E-2</v>
      </c>
    </row>
    <row r="43" spans="2:14" x14ac:dyDescent="0.25">
      <c r="B43" s="48">
        <v>19</v>
      </c>
      <c r="C43" s="48">
        <v>7.78</v>
      </c>
      <c r="D43" s="48">
        <v>6.1</v>
      </c>
      <c r="E43" s="51">
        <f t="shared" si="2"/>
        <v>11.438198263186347</v>
      </c>
      <c r="F43" s="48">
        <v>6.61</v>
      </c>
      <c r="G43" s="48">
        <v>5.4</v>
      </c>
      <c r="H43" s="51">
        <f t="shared" si="3"/>
        <v>7.6233796905908795</v>
      </c>
      <c r="I43" s="48">
        <v>3.73</v>
      </c>
      <c r="J43" s="48">
        <v>4.2699999999999996</v>
      </c>
      <c r="K43" s="51">
        <f t="shared" si="8"/>
        <v>1.1854700940640759</v>
      </c>
      <c r="L43" s="48">
        <v>5.08</v>
      </c>
      <c r="M43" s="48">
        <v>5.19</v>
      </c>
      <c r="N43" s="51">
        <f t="shared" si="7"/>
        <v>1.0366177482757255</v>
      </c>
    </row>
    <row r="44" spans="2:14" x14ac:dyDescent="0.25">
      <c r="B44" s="48">
        <v>20</v>
      </c>
      <c r="C44" s="48">
        <v>5.95</v>
      </c>
      <c r="D44" s="48">
        <v>5.8</v>
      </c>
      <c r="E44" s="51">
        <f t="shared" si="2"/>
        <v>6.7217795315603386</v>
      </c>
      <c r="F44" s="48">
        <v>0.55000000000000004</v>
      </c>
      <c r="G44" s="48">
        <v>2</v>
      </c>
      <c r="H44" s="51">
        <f t="shared" si="3"/>
        <v>3.425028023718666E-2</v>
      </c>
      <c r="I44" s="48">
        <v>5.33</v>
      </c>
      <c r="J44" s="48">
        <v>5.45</v>
      </c>
      <c r="K44" s="51">
        <f t="shared" si="8"/>
        <v>2.1852333396470836</v>
      </c>
      <c r="L44" s="48">
        <v>5.33</v>
      </c>
      <c r="M44" s="48">
        <v>4.68</v>
      </c>
      <c r="N44" s="51">
        <f t="shared" si="7"/>
        <v>1.9129343702065336</v>
      </c>
    </row>
    <row r="45" spans="2:14" x14ac:dyDescent="0.25">
      <c r="B45" s="48">
        <v>21</v>
      </c>
      <c r="C45" s="48">
        <v>3.4</v>
      </c>
      <c r="D45" s="48">
        <v>4.7</v>
      </c>
      <c r="E45" s="51">
        <f t="shared" si="2"/>
        <v>2.0153673421465013</v>
      </c>
      <c r="F45" s="48">
        <v>3.12</v>
      </c>
      <c r="G45" s="48">
        <v>4.5999999999999996</v>
      </c>
      <c r="H45" s="51">
        <f t="shared" si="3"/>
        <v>1.6914551227497994</v>
      </c>
      <c r="I45" s="48">
        <v>1.64</v>
      </c>
      <c r="J45" s="48">
        <v>3.09</v>
      </c>
      <c r="K45" s="51">
        <f t="shared" si="8"/>
        <v>5.204735855830914</v>
      </c>
      <c r="L45" s="48">
        <v>2.29</v>
      </c>
      <c r="M45" s="48">
        <v>3.46</v>
      </c>
      <c r="N45" s="51">
        <f t="shared" si="7"/>
        <v>4.5641555037299364</v>
      </c>
    </row>
    <row r="46" spans="2:14" x14ac:dyDescent="0.25">
      <c r="B46" s="48">
        <v>22</v>
      </c>
      <c r="C46" s="48">
        <v>3.78</v>
      </c>
      <c r="D46" s="48">
        <v>4.5999999999999996</v>
      </c>
      <c r="E46" s="51">
        <f t="shared" si="2"/>
        <v>2.3947903344435315</v>
      </c>
      <c r="F46" s="48">
        <v>4.33</v>
      </c>
      <c r="G46" s="48">
        <v>4.7</v>
      </c>
      <c r="H46" s="51">
        <f t="shared" si="3"/>
        <v>3.12342072238263</v>
      </c>
      <c r="I46" s="48">
        <v>2.4</v>
      </c>
      <c r="J46" s="48">
        <v>3.63</v>
      </c>
      <c r="K46" s="51">
        <f t="shared" si="4"/>
        <v>0.84842202076039419</v>
      </c>
      <c r="L46" s="48">
        <v>3.16</v>
      </c>
      <c r="M46" s="48">
        <v>4.32</v>
      </c>
      <c r="N46" s="51">
        <f t="shared" ref="N46:N56" si="9">0.045*(L45^2*M45)^0.906*(1+$E$9)</f>
        <v>0.74613703897502237</v>
      </c>
    </row>
    <row r="47" spans="2:14" x14ac:dyDescent="0.25">
      <c r="B47" s="48">
        <v>23</v>
      </c>
      <c r="C47" s="48">
        <v>3.24</v>
      </c>
      <c r="D47" s="48">
        <v>4.2</v>
      </c>
      <c r="E47" s="51">
        <f t="shared" si="2"/>
        <v>1.6678814380417741</v>
      </c>
      <c r="F47" s="48">
        <v>6.18</v>
      </c>
      <c r="G47" s="48">
        <v>6</v>
      </c>
      <c r="H47" s="51">
        <f t="shared" si="3"/>
        <v>7.4245461230059382</v>
      </c>
      <c r="I47" s="48">
        <v>3.32</v>
      </c>
      <c r="J47" s="48">
        <v>4.54</v>
      </c>
      <c r="K47" s="51">
        <f t="shared" si="4"/>
        <v>1.8706329081658692</v>
      </c>
      <c r="L47" s="48">
        <v>2.72</v>
      </c>
      <c r="M47" s="48">
        <v>4.07</v>
      </c>
      <c r="N47" s="51">
        <f t="shared" si="9"/>
        <v>1.6352156244235732</v>
      </c>
    </row>
    <row r="48" spans="2:14" x14ac:dyDescent="0.25">
      <c r="B48" s="48">
        <v>24</v>
      </c>
      <c r="C48" s="48">
        <v>0.48</v>
      </c>
      <c r="D48" s="48">
        <v>1.5</v>
      </c>
      <c r="E48" s="51">
        <f t="shared" si="2"/>
        <v>2.0622511889126238E-2</v>
      </c>
      <c r="F48" s="48">
        <v>2.79</v>
      </c>
      <c r="G48" s="48">
        <v>4</v>
      </c>
      <c r="H48" s="51">
        <f t="shared" si="3"/>
        <v>1.2170121900213848</v>
      </c>
      <c r="I48" s="48">
        <v>2.86</v>
      </c>
      <c r="J48" s="48">
        <v>4.2699999999999996</v>
      </c>
      <c r="K48" s="51">
        <f t="shared" si="4"/>
        <v>1.35050646216698</v>
      </c>
      <c r="L48" s="48">
        <v>2.67</v>
      </c>
      <c r="M48" s="48">
        <v>3.98</v>
      </c>
      <c r="N48" s="51">
        <f t="shared" si="9"/>
        <v>1.1806608123612308</v>
      </c>
    </row>
    <row r="49" spans="2:14" x14ac:dyDescent="0.25">
      <c r="B49" s="48">
        <v>25</v>
      </c>
      <c r="C49" s="48">
        <v>4.12</v>
      </c>
      <c r="D49" s="48">
        <v>4.2</v>
      </c>
      <c r="E49" s="51">
        <f t="shared" si="2"/>
        <v>2.577812779518077</v>
      </c>
      <c r="F49" s="48">
        <v>3.85</v>
      </c>
      <c r="G49" s="48">
        <v>5</v>
      </c>
      <c r="H49" s="51">
        <f t="shared" si="3"/>
        <v>2.6700256015627688</v>
      </c>
      <c r="I49" s="48">
        <v>2.8</v>
      </c>
      <c r="J49" s="48">
        <v>4.18</v>
      </c>
      <c r="K49" s="51">
        <f t="shared" si="4"/>
        <v>1.2747640987154292</v>
      </c>
      <c r="L49" s="48">
        <v>5.0199999999999996</v>
      </c>
      <c r="M49" s="48">
        <v>4.68</v>
      </c>
      <c r="N49" s="51">
        <f t="shared" si="9"/>
        <v>1.1187324327070951</v>
      </c>
    </row>
    <row r="50" spans="2:14" x14ac:dyDescent="0.25">
      <c r="B50" s="48">
        <v>26</v>
      </c>
      <c r="C50" s="48">
        <v>6.3</v>
      </c>
      <c r="D50" s="48">
        <v>6.4</v>
      </c>
      <c r="E50" s="51">
        <f t="shared" si="2"/>
        <v>8.1507559908930283</v>
      </c>
      <c r="F50" s="48">
        <v>3.32</v>
      </c>
      <c r="G50" s="48">
        <v>4.7</v>
      </c>
      <c r="H50" s="51">
        <f t="shared" si="3"/>
        <v>1.930263625563768</v>
      </c>
      <c r="I50" s="48">
        <v>5.27</v>
      </c>
      <c r="J50" s="48">
        <v>4.91</v>
      </c>
      <c r="K50" s="51">
        <f t="shared" si="4"/>
        <v>4.6391073942586178</v>
      </c>
      <c r="L50" s="48">
        <v>6.17</v>
      </c>
      <c r="M50" s="48">
        <v>5.19</v>
      </c>
      <c r="N50" s="51">
        <f t="shared" si="9"/>
        <v>4.0673508675953212</v>
      </c>
    </row>
    <row r="51" spans="2:14" x14ac:dyDescent="0.25">
      <c r="B51" s="48">
        <v>27</v>
      </c>
      <c r="C51" s="48">
        <v>5.56</v>
      </c>
      <c r="D51" s="48">
        <v>5.9</v>
      </c>
      <c r="E51" s="51">
        <f t="shared" si="2"/>
        <v>6.0375564551215755</v>
      </c>
      <c r="F51" s="48">
        <v>3.25</v>
      </c>
      <c r="G51" s="48">
        <v>4.5999999999999996</v>
      </c>
      <c r="H51" s="51">
        <f t="shared" si="3"/>
        <v>1.8213147527670599</v>
      </c>
      <c r="I51" s="48">
        <v>6.48</v>
      </c>
      <c r="J51" s="48">
        <v>5.45</v>
      </c>
      <c r="K51" s="51">
        <f t="shared" si="4"/>
        <v>7.4155420431999834</v>
      </c>
      <c r="L51" s="48">
        <v>2.5099999999999998</v>
      </c>
      <c r="M51" s="48">
        <v>3.03</v>
      </c>
      <c r="N51" s="51">
        <f t="shared" si="9"/>
        <v>6.4913063141422276</v>
      </c>
    </row>
    <row r="52" spans="2:14" x14ac:dyDescent="0.25">
      <c r="B52" s="48">
        <v>28</v>
      </c>
      <c r="C52" s="48">
        <v>5.05</v>
      </c>
      <c r="D52" s="48">
        <v>5.8</v>
      </c>
      <c r="E52" s="51">
        <f t="shared" si="2"/>
        <v>4.9937120835423707</v>
      </c>
      <c r="F52" s="48">
        <v>6.11</v>
      </c>
      <c r="G52" s="48">
        <v>5.4</v>
      </c>
      <c r="H52" s="51">
        <f t="shared" si="3"/>
        <v>6.6107263378574848</v>
      </c>
      <c r="I52" s="48">
        <v>2.64</v>
      </c>
      <c r="J52" s="48">
        <v>3.18</v>
      </c>
      <c r="K52" s="51">
        <f t="shared" si="4"/>
        <v>0.89441494228226304</v>
      </c>
      <c r="L52" s="48">
        <v>10</v>
      </c>
      <c r="M52" s="48">
        <v>5.8</v>
      </c>
      <c r="N52" s="51">
        <f t="shared" si="9"/>
        <v>0.78124916210694262</v>
      </c>
    </row>
    <row r="53" spans="2:14" x14ac:dyDescent="0.25">
      <c r="B53" s="48">
        <v>29</v>
      </c>
      <c r="C53" s="48">
        <v>5.71</v>
      </c>
      <c r="D53" s="48">
        <v>5.8</v>
      </c>
      <c r="E53" s="51">
        <f t="shared" si="2"/>
        <v>6.2385570382543643</v>
      </c>
      <c r="F53" s="48">
        <v>7.52</v>
      </c>
      <c r="G53" s="48">
        <v>6</v>
      </c>
      <c r="H53" s="51">
        <f t="shared" si="3"/>
        <v>10.595111215972191</v>
      </c>
      <c r="I53" s="48">
        <v>10.5</v>
      </c>
      <c r="J53" s="48">
        <v>6.09</v>
      </c>
      <c r="K53" s="51">
        <f t="shared" si="4"/>
        <v>19.663102216894398</v>
      </c>
      <c r="L53" s="48">
        <v>5.7</v>
      </c>
      <c r="M53" s="48">
        <v>6.06</v>
      </c>
      <c r="N53" s="51">
        <f t="shared" si="9"/>
        <v>17.221045809075367</v>
      </c>
    </row>
    <row r="54" spans="2:14" x14ac:dyDescent="0.25">
      <c r="B54" s="48">
        <v>30</v>
      </c>
      <c r="C54" s="48">
        <v>3.62</v>
      </c>
      <c r="D54" s="48">
        <v>5</v>
      </c>
      <c r="E54" s="51">
        <f t="shared" si="2"/>
        <v>2.3880340424601116</v>
      </c>
      <c r="F54" s="48">
        <v>3.06</v>
      </c>
      <c r="G54" s="48">
        <v>3.5</v>
      </c>
      <c r="H54" s="51">
        <f t="shared" si="3"/>
        <v>1.2748134379992011</v>
      </c>
      <c r="I54" s="48">
        <v>5.99</v>
      </c>
      <c r="J54" s="48">
        <v>6.36</v>
      </c>
      <c r="K54" s="51">
        <f t="shared" si="4"/>
        <v>7.3964497105368121</v>
      </c>
      <c r="L54" s="48">
        <v>4.7300000000000004</v>
      </c>
      <c r="M54" s="48">
        <v>4.7699999999999996</v>
      </c>
      <c r="N54" s="51">
        <f t="shared" si="9"/>
        <v>6.4708181622236909</v>
      </c>
    </row>
    <row r="55" spans="2:14" x14ac:dyDescent="0.25">
      <c r="B55" s="48">
        <v>31</v>
      </c>
      <c r="C55" s="48">
        <v>8.7799999999999994</v>
      </c>
      <c r="D55" s="48">
        <v>6.8</v>
      </c>
      <c r="E55" s="51">
        <f t="shared" si="2"/>
        <v>15.712992295407311</v>
      </c>
      <c r="F55" s="48">
        <v>6.95</v>
      </c>
      <c r="G55" s="48">
        <v>7</v>
      </c>
      <c r="H55" s="51">
        <f t="shared" si="3"/>
        <v>10.561583817812599</v>
      </c>
      <c r="I55" s="48">
        <v>10.79</v>
      </c>
      <c r="J55" s="48">
        <v>7.45</v>
      </c>
      <c r="K55" s="51">
        <f t="shared" si="4"/>
        <v>24.797174642273372</v>
      </c>
      <c r="L55" s="48">
        <v>10.28</v>
      </c>
      <c r="M55" s="48">
        <v>7.1</v>
      </c>
      <c r="N55" s="51">
        <f t="shared" si="9"/>
        <v>3.7151794707430961</v>
      </c>
    </row>
    <row r="56" spans="2:14" x14ac:dyDescent="0.25">
      <c r="B56" s="48">
        <v>32</v>
      </c>
      <c r="C56" s="48">
        <v>2</v>
      </c>
      <c r="D56" s="48">
        <v>3.2</v>
      </c>
      <c r="E56" s="51">
        <f t="shared" si="2"/>
        <v>0.54390868342951215</v>
      </c>
      <c r="F56" s="48">
        <v>6.89</v>
      </c>
      <c r="G56" s="48">
        <v>7.8</v>
      </c>
      <c r="H56" s="51">
        <f t="shared" si="3"/>
        <v>11.467921196251705</v>
      </c>
      <c r="I56" s="48">
        <v>5.94</v>
      </c>
      <c r="J56" s="48">
        <v>7.09</v>
      </c>
      <c r="K56" s="51">
        <f t="shared" si="4"/>
        <v>8.0385975652238599</v>
      </c>
      <c r="L56" s="48">
        <v>1.56</v>
      </c>
      <c r="M56" s="48">
        <v>2.94</v>
      </c>
      <c r="N56" s="51">
        <f t="shared" si="9"/>
        <v>21.745297191996588</v>
      </c>
    </row>
    <row r="57" spans="2:14" x14ac:dyDescent="0.25">
      <c r="B57" s="48">
        <v>33</v>
      </c>
      <c r="C57" s="48">
        <v>6.11</v>
      </c>
      <c r="D57" s="48">
        <v>5.4</v>
      </c>
      <c r="E57" s="51">
        <f t="shared" si="2"/>
        <v>6.6107263378574848</v>
      </c>
      <c r="F57" s="48">
        <v>0.98</v>
      </c>
      <c r="G57" s="48">
        <v>1.55</v>
      </c>
      <c r="H57" s="51">
        <f t="shared" si="3"/>
        <v>7.7434754807139169E-2</v>
      </c>
      <c r="I57" s="48">
        <v>0.84</v>
      </c>
      <c r="J57" s="48">
        <v>1.41</v>
      </c>
      <c r="K57" s="51">
        <f t="shared" si="4"/>
        <v>5.3750231890232335E-2</v>
      </c>
      <c r="L57" s="48">
        <v>5.66</v>
      </c>
      <c r="M57" s="48">
        <v>6.75</v>
      </c>
      <c r="N57" s="51">
        <f t="shared" si="5"/>
        <v>7.0444380029667029</v>
      </c>
    </row>
    <row r="58" spans="2:14" x14ac:dyDescent="0.25">
      <c r="B58" s="48">
        <v>34</v>
      </c>
      <c r="C58" s="48">
        <v>1.88</v>
      </c>
      <c r="D58" s="48">
        <v>3.2</v>
      </c>
      <c r="E58" s="51">
        <f t="shared" si="2"/>
        <v>0.48622094497650264</v>
      </c>
      <c r="F58" s="48">
        <v>3.31</v>
      </c>
      <c r="G58" s="48">
        <v>4.5999999999999996</v>
      </c>
      <c r="H58" s="51">
        <f t="shared" si="3"/>
        <v>1.8826980814787302</v>
      </c>
      <c r="I58" s="48">
        <v>2.85</v>
      </c>
      <c r="J58" s="48">
        <v>4.18</v>
      </c>
      <c r="K58" s="51">
        <f t="shared" si="4"/>
        <v>1.3163105358804639</v>
      </c>
      <c r="L58" s="48">
        <v>0.8</v>
      </c>
      <c r="M58" s="48">
        <v>1.34</v>
      </c>
      <c r="N58" s="51">
        <f t="shared" si="5"/>
        <v>4.6983975738080538E-2</v>
      </c>
    </row>
    <row r="59" spans="2:14" x14ac:dyDescent="0.25">
      <c r="B59" s="48">
        <v>35</v>
      </c>
      <c r="C59" s="48">
        <v>2.52</v>
      </c>
      <c r="D59" s="48">
        <v>3.7</v>
      </c>
      <c r="E59" s="51">
        <f t="shared" si="2"/>
        <v>0.94302303597415105</v>
      </c>
      <c r="F59" s="48">
        <v>8.92</v>
      </c>
      <c r="G59" s="48">
        <v>7.1</v>
      </c>
      <c r="H59" s="51">
        <f t="shared" si="3"/>
        <v>16.814925206395383</v>
      </c>
      <c r="I59" s="48">
        <v>7.69</v>
      </c>
      <c r="J59" s="48">
        <v>6.45</v>
      </c>
      <c r="K59" s="51">
        <f t="shared" si="4"/>
        <v>11.780219670826362</v>
      </c>
      <c r="L59" s="48">
        <v>2.71</v>
      </c>
      <c r="M59" s="48">
        <v>3.98</v>
      </c>
      <c r="N59" s="51">
        <f t="shared" si="5"/>
        <v>1.1492861635406568</v>
      </c>
    </row>
    <row r="60" spans="2:14" x14ac:dyDescent="0.25">
      <c r="B60" s="48">
        <v>36</v>
      </c>
      <c r="C60" s="48">
        <v>8.26</v>
      </c>
      <c r="D60" s="48">
        <v>6.2</v>
      </c>
      <c r="E60" s="51">
        <f t="shared" si="2"/>
        <v>12.938039605454557</v>
      </c>
      <c r="F60" s="48">
        <v>7.63</v>
      </c>
      <c r="G60" s="48">
        <v>7.3</v>
      </c>
      <c r="H60" s="51">
        <f t="shared" si="3"/>
        <v>12.992679749707376</v>
      </c>
      <c r="I60" s="48">
        <v>6.58</v>
      </c>
      <c r="J60" s="48">
        <v>6.63</v>
      </c>
      <c r="K60" s="51">
        <f t="shared" si="4"/>
        <v>9.105637058680486</v>
      </c>
      <c r="L60" s="48">
        <v>7.32</v>
      </c>
      <c r="M60" s="48">
        <v>6.14</v>
      </c>
      <c r="N60" s="51">
        <f t="shared" si="5"/>
        <v>10.303111100967579</v>
      </c>
    </row>
    <row r="61" spans="2:14" x14ac:dyDescent="0.25">
      <c r="B61" s="48">
        <v>37</v>
      </c>
      <c r="C61" s="48">
        <v>7.56</v>
      </c>
      <c r="D61" s="48">
        <v>6</v>
      </c>
      <c r="E61" s="51">
        <f t="shared" si="2"/>
        <v>10.69745051370211</v>
      </c>
      <c r="F61" s="48">
        <v>8.2100000000000009</v>
      </c>
      <c r="G61" s="48">
        <v>6.8</v>
      </c>
      <c r="H61" s="51">
        <f t="shared" si="3"/>
        <v>13.913507787529474</v>
      </c>
      <c r="I61" s="48">
        <v>8.1</v>
      </c>
      <c r="J61" s="48">
        <v>6.36</v>
      </c>
      <c r="K61" s="51">
        <f t="shared" si="4"/>
        <v>12.779114482433572</v>
      </c>
      <c r="L61" s="48">
        <v>6.27</v>
      </c>
      <c r="M61" s="48">
        <v>6.31</v>
      </c>
      <c r="N61" s="51">
        <f t="shared" si="5"/>
        <v>7.9775428072636592</v>
      </c>
    </row>
    <row r="62" spans="2:14" x14ac:dyDescent="0.25">
      <c r="B62" s="48">
        <v>38</v>
      </c>
      <c r="C62" s="48">
        <v>0.95</v>
      </c>
      <c r="D62" s="48">
        <v>2.5</v>
      </c>
      <c r="E62" s="51">
        <f t="shared" si="2"/>
        <v>0.11286585619448251</v>
      </c>
      <c r="F62" s="48">
        <v>7.03</v>
      </c>
      <c r="G62" s="48">
        <v>5.7</v>
      </c>
      <c r="H62" s="51">
        <f t="shared" si="3"/>
        <v>8.9515744492990628</v>
      </c>
      <c r="I62" s="48">
        <v>7.08</v>
      </c>
      <c r="J62" s="48">
        <v>6.18</v>
      </c>
      <c r="K62" s="51">
        <f t="shared" si="4"/>
        <v>9.7563996328960343</v>
      </c>
      <c r="L62" s="48">
        <v>7.71</v>
      </c>
      <c r="M62" s="48">
        <v>6.06</v>
      </c>
      <c r="N62" s="51">
        <f t="shared" si="5"/>
        <v>11.185528027231891</v>
      </c>
    </row>
    <row r="63" spans="2:14" x14ac:dyDescent="0.25">
      <c r="B63" s="48">
        <v>39</v>
      </c>
      <c r="C63" s="48">
        <v>3.71</v>
      </c>
      <c r="D63" s="48">
        <v>5</v>
      </c>
      <c r="E63" s="51">
        <f t="shared" si="2"/>
        <v>2.4966985438624265</v>
      </c>
      <c r="F63" s="48">
        <v>1.03</v>
      </c>
      <c r="G63" s="48">
        <v>2.25</v>
      </c>
      <c r="H63" s="51">
        <f t="shared" si="3"/>
        <v>0.11877695090073707</v>
      </c>
      <c r="I63" s="48">
        <v>6.06</v>
      </c>
      <c r="J63" s="48">
        <v>5.18</v>
      </c>
      <c r="K63" s="51">
        <f t="shared" si="4"/>
        <v>6.2721569478697488</v>
      </c>
      <c r="L63" s="48">
        <v>6.74</v>
      </c>
      <c r="M63" s="48">
        <v>5.89</v>
      </c>
      <c r="N63" s="51">
        <f t="shared" si="5"/>
        <v>8.5437778863142668</v>
      </c>
    </row>
    <row r="64" spans="2:14" x14ac:dyDescent="0.25">
      <c r="B64" s="48">
        <v>40</v>
      </c>
      <c r="C64" s="48">
        <v>1.75</v>
      </c>
      <c r="D64" s="48">
        <v>2.9</v>
      </c>
      <c r="E64" s="51">
        <f t="shared" si="2"/>
        <v>0.39058115930712345</v>
      </c>
      <c r="F64" s="48">
        <v>4.12</v>
      </c>
      <c r="G64" s="48">
        <v>5.0999999999999996</v>
      </c>
      <c r="H64" s="51">
        <f t="shared" si="3"/>
        <v>3.0735911343873545</v>
      </c>
      <c r="I64" s="48">
        <v>0.89</v>
      </c>
      <c r="J64" s="48">
        <v>2.04</v>
      </c>
      <c r="K64" s="51">
        <f t="shared" si="4"/>
        <v>8.3409090099671138E-2</v>
      </c>
      <c r="L64" s="48">
        <v>5.77</v>
      </c>
      <c r="M64" s="48">
        <v>4.93</v>
      </c>
      <c r="N64" s="51">
        <f t="shared" si="5"/>
        <v>5.4873623876303803</v>
      </c>
    </row>
    <row r="65" spans="2:14" x14ac:dyDescent="0.25">
      <c r="B65" s="48">
        <v>41</v>
      </c>
      <c r="C65" s="48">
        <v>1.52</v>
      </c>
      <c r="D65" s="48">
        <v>3</v>
      </c>
      <c r="E65" s="51">
        <f t="shared" si="2"/>
        <v>0.31200833645532339</v>
      </c>
      <c r="F65" s="48">
        <v>6.5</v>
      </c>
      <c r="G65" s="48">
        <v>5.4</v>
      </c>
      <c r="H65" s="51">
        <f t="shared" si="3"/>
        <v>7.3950567043355715</v>
      </c>
      <c r="I65" s="92">
        <f>AVERAGE(I25:I64)</f>
        <v>4.9712499999999995</v>
      </c>
      <c r="J65" s="92">
        <f>AVERAGE(J25:J64)</f>
        <v>5.0097499999999995</v>
      </c>
      <c r="K65" s="92">
        <f>SUM(K25:K64)</f>
        <v>244.9940496198775</v>
      </c>
      <c r="L65" s="48">
        <v>0.85</v>
      </c>
      <c r="M65" s="48">
        <v>1.94</v>
      </c>
      <c r="N65" s="51">
        <f t="shared" si="5"/>
        <v>7.332451862713138E-2</v>
      </c>
    </row>
    <row r="66" spans="2:14" x14ac:dyDescent="0.25">
      <c r="B66" s="48">
        <v>42</v>
      </c>
      <c r="C66" s="48">
        <v>1.75</v>
      </c>
      <c r="D66" s="48">
        <v>3.1</v>
      </c>
      <c r="E66" s="51">
        <f t="shared" si="2"/>
        <v>0.41490856361415934</v>
      </c>
      <c r="F66" s="48">
        <v>1.9</v>
      </c>
      <c r="G66" s="48">
        <v>3.4</v>
      </c>
      <c r="H66" s="51">
        <f t="shared" si="3"/>
        <v>0.52361874276633458</v>
      </c>
      <c r="I66" s="48"/>
      <c r="J66" s="48"/>
      <c r="K66" s="48"/>
      <c r="L66" s="92">
        <f>AVERAGE(L25:L65)</f>
        <v>4.7339024390243916</v>
      </c>
      <c r="M66" s="92">
        <f>AVERAGE(M25:M65)</f>
        <v>4.7717073170731705</v>
      </c>
      <c r="N66" s="92">
        <f>SUM(N25:N65)</f>
        <v>218.29046478045697</v>
      </c>
    </row>
    <row r="67" spans="2:14" x14ac:dyDescent="0.25">
      <c r="B67" s="48">
        <v>43</v>
      </c>
      <c r="C67" s="48">
        <v>2.54</v>
      </c>
      <c r="D67" s="48">
        <v>3.5</v>
      </c>
      <c r="E67" s="51">
        <f t="shared" si="2"/>
        <v>0.90965791463112755</v>
      </c>
      <c r="F67" s="48">
        <v>2.82</v>
      </c>
      <c r="G67" s="48">
        <v>3.6</v>
      </c>
      <c r="H67" s="51">
        <f t="shared" si="3"/>
        <v>1.127860039703191</v>
      </c>
      <c r="I67" s="48"/>
      <c r="J67" s="48"/>
      <c r="K67" s="48"/>
      <c r="L67" s="48"/>
      <c r="M67" s="48"/>
      <c r="N67" s="48"/>
    </row>
    <row r="68" spans="2:14" x14ac:dyDescent="0.25">
      <c r="B68" s="48">
        <v>44</v>
      </c>
      <c r="C68" s="48">
        <v>0.62</v>
      </c>
      <c r="D68" s="48">
        <v>1.9</v>
      </c>
      <c r="E68" s="51">
        <f t="shared" si="2"/>
        <v>4.0621715824043135E-2</v>
      </c>
      <c r="F68" s="92">
        <f>AVERAGE(F25:F67)</f>
        <v>4.3806976744186041</v>
      </c>
      <c r="G68" s="92">
        <f>AVERAGE(G25:G67)</f>
        <v>4.7988372093023264</v>
      </c>
      <c r="H68" s="92">
        <f>SUM(H25:H67)</f>
        <v>218.23061736004283</v>
      </c>
      <c r="I68" s="48"/>
      <c r="J68" s="48"/>
      <c r="K68" s="48"/>
      <c r="L68" s="48"/>
      <c r="M68" s="48"/>
      <c r="N68" s="48"/>
    </row>
    <row r="69" spans="2:14" x14ac:dyDescent="0.25">
      <c r="B69" s="48">
        <v>45</v>
      </c>
      <c r="C69" s="92">
        <f>AVERAGE(C25:C68)</f>
        <v>4.179318181818183</v>
      </c>
      <c r="D69" s="92">
        <f>AVERAGE(D25:D68)</f>
        <v>4.519318181818182</v>
      </c>
      <c r="E69" s="92">
        <f>SUM(E25:E68)</f>
        <v>184.93222220518189</v>
      </c>
      <c r="F69" s="48"/>
      <c r="G69" s="48"/>
      <c r="H69" s="48"/>
      <c r="I69" s="48"/>
      <c r="J69" s="48"/>
      <c r="K69" s="48"/>
      <c r="L69" s="48"/>
      <c r="M69" s="48"/>
      <c r="N69" s="48"/>
    </row>
    <row r="70" spans="2:14" x14ac:dyDescent="0.25">
      <c r="B70" s="48">
        <v>46</v>
      </c>
      <c r="C70" s="58"/>
      <c r="D70" s="58"/>
      <c r="E70" s="59"/>
      <c r="F70" s="48"/>
      <c r="G70" s="48"/>
      <c r="H70" s="51"/>
      <c r="I70" s="48"/>
      <c r="J70" s="48"/>
      <c r="K70" s="48"/>
      <c r="L70" s="48"/>
      <c r="M70" s="48"/>
      <c r="N70" s="48"/>
    </row>
    <row r="71" spans="2:14" x14ac:dyDescent="0.25">
      <c r="B71" s="48">
        <v>47</v>
      </c>
      <c r="C71" s="58"/>
      <c r="D71" s="58"/>
      <c r="E71" s="59"/>
      <c r="F71" s="48"/>
      <c r="G71" s="48"/>
      <c r="H71" s="51"/>
      <c r="I71" s="48"/>
      <c r="J71" s="48"/>
      <c r="K71" s="48"/>
      <c r="L71" s="48"/>
      <c r="M71" s="48"/>
      <c r="N71" s="48"/>
    </row>
    <row r="72" spans="2:14" x14ac:dyDescent="0.25">
      <c r="B72" s="48">
        <v>48</v>
      </c>
      <c r="C72" s="58"/>
      <c r="D72" s="58"/>
      <c r="E72" s="59"/>
      <c r="F72" s="48"/>
      <c r="G72" s="48"/>
      <c r="H72" s="51"/>
      <c r="I72" s="48"/>
      <c r="J72" s="48"/>
      <c r="K72" s="48"/>
      <c r="L72" s="48"/>
      <c r="M72" s="48"/>
      <c r="N72" s="48"/>
    </row>
    <row r="73" spans="2:14" x14ac:dyDescent="0.25">
      <c r="B73" s="48">
        <v>49</v>
      </c>
      <c r="C73" s="58"/>
      <c r="D73" s="58"/>
      <c r="E73" s="59"/>
      <c r="F73" s="48"/>
      <c r="G73" s="48"/>
      <c r="H73" s="51"/>
      <c r="I73" s="48"/>
      <c r="J73" s="48"/>
      <c r="K73" s="48"/>
      <c r="L73" s="48"/>
      <c r="M73" s="48"/>
      <c r="N73" s="48"/>
    </row>
  </sheetData>
  <mergeCells count="4">
    <mergeCell ref="C23:E23"/>
    <mergeCell ref="F23:H23"/>
    <mergeCell ref="I23:K23"/>
    <mergeCell ref="L23:N23"/>
  </mergeCells>
  <phoneticPr fontId="1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5CCC-FB82-4B03-BCD4-157324DFE222}">
  <dimension ref="B2:R114"/>
  <sheetViews>
    <sheetView topLeftCell="A87" workbookViewId="0">
      <selection activeCell="B60" sqref="B60:B113"/>
    </sheetView>
  </sheetViews>
  <sheetFormatPr defaultRowHeight="14.4" x14ac:dyDescent="0.25"/>
  <cols>
    <col min="1" max="1" width="2.6640625" style="1" customWidth="1"/>
    <col min="2" max="2" width="22.21875" style="1" customWidth="1"/>
    <col min="3" max="3" width="8.88671875" style="1"/>
    <col min="4" max="4" width="13" style="1" customWidth="1"/>
    <col min="5" max="6" width="8.88671875" style="1"/>
    <col min="7" max="7" width="12.77734375" style="1" customWidth="1"/>
    <col min="8" max="8" width="14.21875" style="1" customWidth="1"/>
    <col min="9" max="16384" width="8.88671875" style="1"/>
  </cols>
  <sheetData>
    <row r="2" spans="2:11" ht="19.8" customHeight="1" x14ac:dyDescent="0.25">
      <c r="B2" s="90" t="s">
        <v>34</v>
      </c>
      <c r="C2" s="25" t="s">
        <v>48</v>
      </c>
      <c r="D2" s="25" t="s">
        <v>49</v>
      </c>
      <c r="E2" s="25" t="s">
        <v>50</v>
      </c>
      <c r="F2" s="25" t="s">
        <v>51</v>
      </c>
      <c r="G2" s="25" t="s">
        <v>35</v>
      </c>
      <c r="I2" s="49"/>
      <c r="J2" s="46" t="s">
        <v>150</v>
      </c>
      <c r="K2" s="49"/>
    </row>
    <row r="3" spans="2:11" ht="19.8" customHeight="1" x14ac:dyDescent="0.25">
      <c r="B3" s="90" t="s">
        <v>36</v>
      </c>
      <c r="C3" s="47">
        <v>122.37105621000001</v>
      </c>
      <c r="D3" s="47">
        <v>122.35744115999999</v>
      </c>
      <c r="E3" s="47">
        <v>122.37098039999999</v>
      </c>
      <c r="F3" s="48">
        <v>122.36723000000001</v>
      </c>
      <c r="G3" s="48"/>
      <c r="I3" s="49"/>
      <c r="J3" s="46" t="s">
        <v>151</v>
      </c>
      <c r="K3" s="49"/>
    </row>
    <row r="4" spans="2:11" ht="19.8" customHeight="1" x14ac:dyDescent="0.25">
      <c r="B4" s="90" t="s">
        <v>37</v>
      </c>
      <c r="C4" s="47">
        <v>43.448091210000001</v>
      </c>
      <c r="D4" s="47">
        <v>43.420032200000001</v>
      </c>
      <c r="E4" s="47">
        <v>43.419231000000003</v>
      </c>
      <c r="F4" s="48">
        <v>43.397680000000001</v>
      </c>
      <c r="G4" s="48"/>
      <c r="I4" s="49"/>
      <c r="J4" s="49"/>
      <c r="K4" s="49"/>
    </row>
    <row r="5" spans="2:11" ht="19.8" customHeight="1" x14ac:dyDescent="0.25">
      <c r="B5" s="90" t="s">
        <v>64</v>
      </c>
      <c r="C5" s="25">
        <f>20*20/10000</f>
        <v>0.04</v>
      </c>
      <c r="D5" s="25">
        <f>20*20/10000</f>
        <v>0.04</v>
      </c>
      <c r="E5" s="25">
        <f>20*20/10000</f>
        <v>0.04</v>
      </c>
      <c r="F5" s="25">
        <f>20*20/10000</f>
        <v>0.04</v>
      </c>
      <c r="G5" s="47"/>
      <c r="I5" s="49"/>
      <c r="J5" s="49"/>
      <c r="K5" s="49"/>
    </row>
    <row r="6" spans="2:11" ht="19.8" customHeight="1" x14ac:dyDescent="0.25">
      <c r="B6" s="90" t="s">
        <v>44</v>
      </c>
      <c r="C6" s="50">
        <v>5.7</v>
      </c>
      <c r="D6" s="50">
        <v>6.12</v>
      </c>
      <c r="E6" s="50">
        <v>4.68</v>
      </c>
      <c r="F6" s="51">
        <v>3.96</v>
      </c>
      <c r="G6" s="52" t="s">
        <v>42</v>
      </c>
      <c r="I6" s="49"/>
      <c r="J6" s="49"/>
      <c r="K6" s="49"/>
    </row>
    <row r="7" spans="2:11" ht="19.8" customHeight="1" x14ac:dyDescent="0.25">
      <c r="B7" s="90" t="s">
        <v>39</v>
      </c>
      <c r="C7" s="50">
        <v>1.5</v>
      </c>
      <c r="D7" s="50">
        <v>1.99</v>
      </c>
      <c r="E7" s="50">
        <v>1.55</v>
      </c>
      <c r="F7" s="51">
        <v>1.8</v>
      </c>
      <c r="G7" s="52" t="s">
        <v>42</v>
      </c>
      <c r="I7" s="49"/>
      <c r="J7" s="49"/>
      <c r="K7" s="49"/>
    </row>
    <row r="8" spans="2:11" ht="19.8" customHeight="1" x14ac:dyDescent="0.25">
      <c r="B8" s="90" t="s">
        <v>40</v>
      </c>
      <c r="C8" s="53">
        <v>36</v>
      </c>
      <c r="D8" s="53">
        <v>31</v>
      </c>
      <c r="E8" s="53">
        <v>46</v>
      </c>
      <c r="F8" s="48">
        <v>86</v>
      </c>
      <c r="G8" s="52" t="s">
        <v>42</v>
      </c>
      <c r="I8" s="49"/>
      <c r="J8" s="49"/>
      <c r="K8" s="49"/>
    </row>
    <row r="9" spans="2:11" ht="26.4" customHeight="1" x14ac:dyDescent="0.25">
      <c r="B9" s="90" t="s">
        <v>152</v>
      </c>
      <c r="C9" s="61">
        <f>F64</f>
        <v>9.7982892578261316E-2</v>
      </c>
      <c r="D9" s="61">
        <f>J59</f>
        <v>9.833005012436162E-2</v>
      </c>
      <c r="E9" s="61">
        <f>N74</f>
        <v>7.0203619740942927E-2</v>
      </c>
      <c r="F9" s="61">
        <f>R114</f>
        <v>7.793888867717072E-2</v>
      </c>
      <c r="G9" s="52" t="s">
        <v>42</v>
      </c>
      <c r="I9" s="49"/>
      <c r="J9" s="49"/>
      <c r="K9" s="49"/>
    </row>
    <row r="10" spans="2:11" ht="26.4" customHeight="1" x14ac:dyDescent="0.25">
      <c r="B10" s="90" t="s">
        <v>153</v>
      </c>
      <c r="C10" s="54">
        <f>C9/C5</f>
        <v>2.4495723144565327</v>
      </c>
      <c r="D10" s="54">
        <f>D9/D5</f>
        <v>2.4582512531090406</v>
      </c>
      <c r="E10" s="54">
        <f>E9/E5</f>
        <v>1.7550904935235732</v>
      </c>
      <c r="F10" s="54">
        <f>F9/F5</f>
        <v>1.9484722169292679</v>
      </c>
      <c r="G10" s="52" t="s">
        <v>42</v>
      </c>
      <c r="I10" s="49"/>
      <c r="J10" s="49"/>
      <c r="K10" s="49"/>
    </row>
    <row r="11" spans="2:11" ht="26.4" customHeight="1" x14ac:dyDescent="0.25">
      <c r="B11" s="90" t="s">
        <v>66</v>
      </c>
      <c r="C11" s="48">
        <v>1.1000000000000001</v>
      </c>
      <c r="D11" s="48">
        <v>1.1000000000000001</v>
      </c>
      <c r="E11" s="48">
        <v>1.1000000000000001</v>
      </c>
      <c r="F11" s="48">
        <v>1.1000000000000001</v>
      </c>
      <c r="G11" s="52" t="s">
        <v>42</v>
      </c>
      <c r="I11" s="49"/>
      <c r="J11" s="49"/>
      <c r="K11" s="49"/>
    </row>
    <row r="12" spans="2:11" x14ac:dyDescent="0.25">
      <c r="B12" s="90" t="s">
        <v>67</v>
      </c>
      <c r="C12" s="51">
        <v>0.3</v>
      </c>
      <c r="D12" s="51">
        <v>0.3</v>
      </c>
      <c r="E12" s="51">
        <v>0.3</v>
      </c>
      <c r="F12" s="51">
        <v>0.3</v>
      </c>
      <c r="G12" s="52" t="s">
        <v>42</v>
      </c>
      <c r="J12" s="49"/>
      <c r="K12" s="49"/>
    </row>
    <row r="13" spans="2:11" x14ac:dyDescent="0.25">
      <c r="B13" s="90" t="s">
        <v>68</v>
      </c>
      <c r="C13" s="51">
        <v>0.5</v>
      </c>
      <c r="D13" s="51">
        <v>0.5</v>
      </c>
      <c r="E13" s="51">
        <v>0.5</v>
      </c>
      <c r="F13" s="51">
        <v>0.5</v>
      </c>
      <c r="G13" s="52" t="s">
        <v>42</v>
      </c>
      <c r="J13" s="49"/>
      <c r="K13" s="49"/>
    </row>
    <row r="14" spans="2:11" x14ac:dyDescent="0.25">
      <c r="B14" s="90" t="s">
        <v>69</v>
      </c>
      <c r="C14" s="51">
        <v>0.2</v>
      </c>
      <c r="D14" s="51">
        <v>0.2</v>
      </c>
      <c r="E14" s="51">
        <v>0.2</v>
      </c>
      <c r="F14" s="51">
        <v>0.2</v>
      </c>
      <c r="G14" s="52" t="s">
        <v>42</v>
      </c>
      <c r="J14" s="49"/>
      <c r="K14" s="49"/>
    </row>
    <row r="15" spans="2:11" x14ac:dyDescent="0.25">
      <c r="B15" s="90" t="s">
        <v>63</v>
      </c>
      <c r="C15" s="51">
        <f>C10*C11*C12*C13*(1+C14)</f>
        <v>0.48501531826239352</v>
      </c>
      <c r="D15" s="51">
        <f t="shared" ref="D15:F15" si="0">D10*D11*D12*D13*(1+D14)</f>
        <v>0.48673374811559</v>
      </c>
      <c r="E15" s="51">
        <f t="shared" si="0"/>
        <v>0.34750791771766748</v>
      </c>
      <c r="F15" s="51">
        <f t="shared" si="0"/>
        <v>0.38579749895199511</v>
      </c>
      <c r="G15" s="52"/>
      <c r="J15" s="49"/>
      <c r="K15" s="49"/>
    </row>
    <row r="16" spans="2:11" x14ac:dyDescent="0.25">
      <c r="B16" s="91" t="s">
        <v>41</v>
      </c>
      <c r="C16" s="51">
        <f>C15*44/12</f>
        <v>1.7783895002954431</v>
      </c>
      <c r="D16" s="51">
        <f t="shared" ref="D16:F16" si="1">D15*44/12</f>
        <v>1.7846904097571634</v>
      </c>
      <c r="E16" s="51">
        <f t="shared" si="1"/>
        <v>1.274195698298114</v>
      </c>
      <c r="F16" s="51">
        <f t="shared" si="1"/>
        <v>1.4145908294906488</v>
      </c>
      <c r="G16" s="62"/>
      <c r="J16" s="49"/>
      <c r="K16" s="49"/>
    </row>
    <row r="17" spans="2:18" x14ac:dyDescent="0.25">
      <c r="B17" s="65"/>
      <c r="C17" s="63"/>
      <c r="D17" s="63"/>
      <c r="E17" s="63"/>
      <c r="F17" s="63"/>
      <c r="G17" s="63"/>
      <c r="H17" s="64"/>
      <c r="J17" s="49"/>
      <c r="K17" s="49"/>
    </row>
    <row r="18" spans="2:18" x14ac:dyDescent="0.25">
      <c r="J18" s="49"/>
      <c r="K18" s="49"/>
    </row>
    <row r="19" spans="2:18" ht="27.6" x14ac:dyDescent="0.25">
      <c r="B19" s="90"/>
      <c r="C19" s="47" t="s">
        <v>70</v>
      </c>
      <c r="D19" s="25" t="s">
        <v>71</v>
      </c>
    </row>
    <row r="20" spans="2:18" x14ac:dyDescent="0.25">
      <c r="B20" s="90"/>
      <c r="C20" s="47" t="s">
        <v>72</v>
      </c>
      <c r="D20" s="47" t="s">
        <v>72</v>
      </c>
    </row>
    <row r="21" spans="2:18" x14ac:dyDescent="0.25">
      <c r="B21" s="90" t="s">
        <v>73</v>
      </c>
      <c r="C21" s="57">
        <f>AVERAGE(C15:F15)</f>
        <v>0.42626362076191149</v>
      </c>
      <c r="D21" s="57">
        <f>STDEVA(C15:F15)</f>
        <v>7.0588870788735922E-2</v>
      </c>
    </row>
    <row r="22" spans="2:18" x14ac:dyDescent="0.25">
      <c r="B22" s="90" t="s">
        <v>74</v>
      </c>
      <c r="C22" s="57">
        <f>AVERAGE(C15:F15)</f>
        <v>0.42626362076191149</v>
      </c>
      <c r="D22" s="57">
        <f>STDEVA(C15:F15)</f>
        <v>7.0588870788735922E-2</v>
      </c>
    </row>
    <row r="23" spans="2:18" x14ac:dyDescent="0.25">
      <c r="B23" s="90"/>
      <c r="C23" s="57"/>
      <c r="D23" s="57"/>
    </row>
    <row r="24" spans="2:18" x14ac:dyDescent="0.25">
      <c r="B24" s="91" t="s">
        <v>75</v>
      </c>
      <c r="C24" s="57">
        <f>AVERAGE(C16:F16)</f>
        <v>1.5629666094603425</v>
      </c>
      <c r="D24" s="57"/>
    </row>
    <row r="27" spans="2:18" ht="43.2" x14ac:dyDescent="0.25">
      <c r="B27" s="48" t="s">
        <v>126</v>
      </c>
      <c r="C27" s="48" t="s">
        <v>84</v>
      </c>
      <c r="D27" s="58" t="s">
        <v>85</v>
      </c>
      <c r="E27" s="66" t="s">
        <v>86</v>
      </c>
      <c r="F27" s="60" t="s">
        <v>154</v>
      </c>
      <c r="G27" s="58" t="s">
        <v>84</v>
      </c>
      <c r="H27" s="58" t="s">
        <v>85</v>
      </c>
      <c r="I27" s="66" t="s">
        <v>86</v>
      </c>
      <c r="J27" s="60" t="s">
        <v>154</v>
      </c>
      <c r="K27" s="58" t="s">
        <v>84</v>
      </c>
      <c r="L27" s="58" t="s">
        <v>85</v>
      </c>
      <c r="M27" s="66" t="s">
        <v>86</v>
      </c>
      <c r="N27" s="60" t="s">
        <v>154</v>
      </c>
      <c r="O27" s="58" t="s">
        <v>84</v>
      </c>
      <c r="P27" s="58" t="s">
        <v>85</v>
      </c>
      <c r="Q27" s="66" t="s">
        <v>86</v>
      </c>
      <c r="R27" s="60" t="s">
        <v>154</v>
      </c>
    </row>
    <row r="28" spans="2:18" x14ac:dyDescent="0.25">
      <c r="B28" s="48">
        <v>1</v>
      </c>
      <c r="C28" s="48"/>
      <c r="D28" s="48">
        <v>1.25</v>
      </c>
      <c r="E28" s="48">
        <v>4.7</v>
      </c>
      <c r="F28" s="61">
        <f>0.00001235*E28^3.017</f>
        <v>1.3163949118618862E-3</v>
      </c>
      <c r="G28" s="48">
        <v>3.5</v>
      </c>
      <c r="H28" s="48">
        <v>2</v>
      </c>
      <c r="I28" s="48">
        <v>5.6</v>
      </c>
      <c r="J28" s="61">
        <f>0.00001235*I28^3.017</f>
        <v>2.2333162969687286E-3</v>
      </c>
      <c r="K28" s="48"/>
      <c r="L28" s="48">
        <v>1.2</v>
      </c>
      <c r="M28" s="48">
        <v>4.4000000000000004</v>
      </c>
      <c r="N28" s="61">
        <f>0.00001235*M28^3.017</f>
        <v>1.0788565001522729E-3</v>
      </c>
      <c r="O28" s="48">
        <v>3.2</v>
      </c>
      <c r="P28" s="48">
        <v>2.1</v>
      </c>
      <c r="Q28" s="48">
        <v>5.9</v>
      </c>
      <c r="R28" s="61">
        <f>0.00001235*Q28^3.017</f>
        <v>2.6141317792187169E-3</v>
      </c>
    </row>
    <row r="29" spans="2:18" x14ac:dyDescent="0.25">
      <c r="B29" s="48">
        <v>2</v>
      </c>
      <c r="C29" s="48"/>
      <c r="D29" s="48">
        <v>1.45</v>
      </c>
      <c r="E29" s="48">
        <v>5.5</v>
      </c>
      <c r="F29" s="61">
        <f t="shared" ref="F29:F63" si="2">0.00001235*E29^3.017</f>
        <v>2.1151500981555814E-3</v>
      </c>
      <c r="G29" s="48"/>
      <c r="H29" s="48">
        <v>1.25</v>
      </c>
      <c r="I29" s="48">
        <v>4.2</v>
      </c>
      <c r="J29" s="61">
        <f t="shared" ref="J29:J58" si="3">0.00001235*I29^3.017</f>
        <v>9.3758373939026285E-4</v>
      </c>
      <c r="K29" s="48">
        <v>1.3</v>
      </c>
      <c r="L29" s="48">
        <v>1.5</v>
      </c>
      <c r="M29" s="48">
        <v>4.9000000000000004</v>
      </c>
      <c r="N29" s="61">
        <f t="shared" ref="N29:N73" si="4">0.00001235*M29^3.017</f>
        <v>1.4927549880079912E-3</v>
      </c>
      <c r="O29" s="48">
        <v>2.1</v>
      </c>
      <c r="P29" s="48">
        <v>2.25</v>
      </c>
      <c r="Q29" s="48">
        <v>5</v>
      </c>
      <c r="R29" s="61">
        <f t="shared" ref="R29:R92" si="5">0.00001235*Q29^3.017</f>
        <v>1.5865708132062179E-3</v>
      </c>
    </row>
    <row r="30" spans="2:18" x14ac:dyDescent="0.25">
      <c r="B30" s="48">
        <v>3</v>
      </c>
      <c r="C30" s="48"/>
      <c r="D30" s="48">
        <v>1.4</v>
      </c>
      <c r="E30" s="48">
        <v>5.25</v>
      </c>
      <c r="F30" s="61">
        <f t="shared" si="2"/>
        <v>1.8381780506679885E-3</v>
      </c>
      <c r="G30" s="48">
        <v>4.8</v>
      </c>
      <c r="H30" s="48">
        <v>2.6</v>
      </c>
      <c r="I30" s="48">
        <v>7.2</v>
      </c>
      <c r="J30" s="61">
        <f t="shared" si="3"/>
        <v>4.7669335645837878E-3</v>
      </c>
      <c r="K30" s="48">
        <v>2.1</v>
      </c>
      <c r="L30" s="48">
        <v>1.9</v>
      </c>
      <c r="M30" s="48">
        <v>5.0999999999999996</v>
      </c>
      <c r="N30" s="61">
        <f t="shared" si="4"/>
        <v>1.6842485373970448E-3</v>
      </c>
      <c r="O30" s="48">
        <v>1.7</v>
      </c>
      <c r="P30" s="48">
        <v>1.7</v>
      </c>
      <c r="Q30" s="48">
        <v>3.9</v>
      </c>
      <c r="R30" s="61">
        <f t="shared" si="5"/>
        <v>7.4973688417939016E-4</v>
      </c>
    </row>
    <row r="31" spans="2:18" x14ac:dyDescent="0.25">
      <c r="B31" s="48">
        <v>4</v>
      </c>
      <c r="C31" s="48">
        <v>1.7</v>
      </c>
      <c r="D31" s="48">
        <v>1.66</v>
      </c>
      <c r="E31" s="48">
        <v>5.69</v>
      </c>
      <c r="F31" s="61">
        <f t="shared" si="2"/>
        <v>2.3433689184569548E-3</v>
      </c>
      <c r="G31" s="48">
        <v>2.4</v>
      </c>
      <c r="H31" s="48">
        <v>2</v>
      </c>
      <c r="I31" s="48">
        <v>4.8</v>
      </c>
      <c r="J31" s="61">
        <f t="shared" si="3"/>
        <v>1.4027225243088224E-3</v>
      </c>
      <c r="K31" s="48">
        <v>1.5</v>
      </c>
      <c r="L31" s="48">
        <v>1.7</v>
      </c>
      <c r="M31" s="48">
        <v>5.6</v>
      </c>
      <c r="N31" s="61">
        <f t="shared" si="4"/>
        <v>2.2333162969687286E-3</v>
      </c>
      <c r="O31" s="48">
        <v>1.3</v>
      </c>
      <c r="P31" s="48">
        <v>1.9</v>
      </c>
      <c r="Q31" s="48">
        <v>3.9</v>
      </c>
      <c r="R31" s="61">
        <f t="shared" si="5"/>
        <v>7.4973688417939016E-4</v>
      </c>
    </row>
    <row r="32" spans="2:18" x14ac:dyDescent="0.25">
      <c r="B32" s="48">
        <v>5</v>
      </c>
      <c r="C32" s="48">
        <v>2.72</v>
      </c>
      <c r="D32" s="48">
        <v>1.88</v>
      </c>
      <c r="E32" s="48">
        <v>6.42</v>
      </c>
      <c r="F32" s="61">
        <f t="shared" si="2"/>
        <v>3.3728741527457242E-3</v>
      </c>
      <c r="G32" s="48">
        <v>3.6</v>
      </c>
      <c r="H32" s="48">
        <v>2.25</v>
      </c>
      <c r="I32" s="48">
        <v>7</v>
      </c>
      <c r="J32" s="61">
        <f t="shared" si="3"/>
        <v>4.3785240985053488E-3</v>
      </c>
      <c r="K32" s="48"/>
      <c r="L32" s="48">
        <v>1.3</v>
      </c>
      <c r="M32" s="48">
        <v>4.5999999999999996</v>
      </c>
      <c r="N32" s="61">
        <f t="shared" si="4"/>
        <v>1.2336936682251108E-3</v>
      </c>
      <c r="O32" s="48">
        <v>2.4</v>
      </c>
      <c r="P32" s="48">
        <v>2.2999999999999998</v>
      </c>
      <c r="Q32" s="48">
        <v>4.5</v>
      </c>
      <c r="R32" s="61">
        <f t="shared" si="5"/>
        <v>1.1545403393427955E-3</v>
      </c>
    </row>
    <row r="33" spans="2:18" x14ac:dyDescent="0.25">
      <c r="B33" s="48">
        <v>6</v>
      </c>
      <c r="C33" s="48"/>
      <c r="D33" s="48">
        <v>1.26</v>
      </c>
      <c r="E33" s="48">
        <v>6.13</v>
      </c>
      <c r="F33" s="61">
        <f t="shared" si="2"/>
        <v>2.9338317838283391E-3</v>
      </c>
      <c r="G33" s="48">
        <v>3.2</v>
      </c>
      <c r="H33" s="48">
        <v>2.2999999999999998</v>
      </c>
      <c r="I33" s="48">
        <v>6.9</v>
      </c>
      <c r="J33" s="61">
        <f t="shared" si="3"/>
        <v>4.1925153788876061E-3</v>
      </c>
      <c r="K33" s="48"/>
      <c r="L33" s="48">
        <v>1.35</v>
      </c>
      <c r="M33" s="48">
        <v>3.9</v>
      </c>
      <c r="N33" s="61">
        <f t="shared" si="4"/>
        <v>7.4973688417939016E-4</v>
      </c>
      <c r="O33" s="48">
        <v>1.3</v>
      </c>
      <c r="P33" s="48">
        <v>1.8</v>
      </c>
      <c r="Q33" s="48">
        <v>4.9000000000000004</v>
      </c>
      <c r="R33" s="61">
        <f t="shared" si="5"/>
        <v>1.4927549880079912E-3</v>
      </c>
    </row>
    <row r="34" spans="2:18" x14ac:dyDescent="0.25">
      <c r="B34" s="48">
        <v>7</v>
      </c>
      <c r="C34" s="48"/>
      <c r="D34" s="48">
        <v>1.3</v>
      </c>
      <c r="E34" s="48">
        <v>5.12</v>
      </c>
      <c r="F34" s="61">
        <f t="shared" si="2"/>
        <v>1.7042544233000648E-3</v>
      </c>
      <c r="G34" s="48">
        <v>1.9</v>
      </c>
      <c r="H34" s="48">
        <v>2</v>
      </c>
      <c r="I34" s="48">
        <v>6.3</v>
      </c>
      <c r="J34" s="61">
        <f t="shared" si="3"/>
        <v>3.1862320020202652E-3</v>
      </c>
      <c r="K34" s="48"/>
      <c r="L34" s="48">
        <v>1.3</v>
      </c>
      <c r="M34" s="48">
        <v>4.0999999999999996</v>
      </c>
      <c r="N34" s="61">
        <f t="shared" si="4"/>
        <v>8.7183811850422943E-4</v>
      </c>
      <c r="O34" s="48">
        <v>1</v>
      </c>
      <c r="P34" s="48">
        <v>1.75</v>
      </c>
      <c r="Q34" s="48">
        <v>3.6</v>
      </c>
      <c r="R34" s="61">
        <f t="shared" si="5"/>
        <v>5.8888650544192491E-4</v>
      </c>
    </row>
    <row r="35" spans="2:18" x14ac:dyDescent="0.25">
      <c r="B35" s="48">
        <v>8</v>
      </c>
      <c r="C35" s="48"/>
      <c r="D35" s="48">
        <v>1.05</v>
      </c>
      <c r="E35" s="48">
        <v>4.51</v>
      </c>
      <c r="F35" s="61">
        <f t="shared" si="2"/>
        <v>1.1622982514114303E-3</v>
      </c>
      <c r="G35" s="48">
        <v>2.7</v>
      </c>
      <c r="H35" s="48">
        <v>2.4</v>
      </c>
      <c r="I35" s="48">
        <v>7.6</v>
      </c>
      <c r="J35" s="61">
        <f t="shared" si="3"/>
        <v>5.6115335720130586E-3</v>
      </c>
      <c r="K35" s="48">
        <v>2</v>
      </c>
      <c r="L35" s="48">
        <v>1.8</v>
      </c>
      <c r="M35" s="48">
        <v>5.0999999999999996</v>
      </c>
      <c r="N35" s="61">
        <f t="shared" si="4"/>
        <v>1.6842485373970448E-3</v>
      </c>
      <c r="O35" s="48">
        <v>2.1</v>
      </c>
      <c r="P35" s="48">
        <v>2.2000000000000002</v>
      </c>
      <c r="Q35" s="48">
        <v>5.2</v>
      </c>
      <c r="R35" s="61">
        <f t="shared" si="5"/>
        <v>1.785866724784815E-3</v>
      </c>
    </row>
    <row r="36" spans="2:18" x14ac:dyDescent="0.25">
      <c r="B36" s="48">
        <v>9</v>
      </c>
      <c r="C36" s="48">
        <v>1.0900000000000001</v>
      </c>
      <c r="D36" s="48">
        <v>1.46</v>
      </c>
      <c r="E36" s="48">
        <v>5.65</v>
      </c>
      <c r="F36" s="61">
        <f t="shared" si="2"/>
        <v>2.2940196026060354E-3</v>
      </c>
      <c r="G36" s="48">
        <v>2</v>
      </c>
      <c r="H36" s="48">
        <v>2</v>
      </c>
      <c r="I36" s="48">
        <v>5.0999999999999996</v>
      </c>
      <c r="J36" s="61">
        <f t="shared" si="3"/>
        <v>1.6842485373970448E-3</v>
      </c>
      <c r="K36" s="48">
        <v>0.9</v>
      </c>
      <c r="L36" s="48">
        <v>1.6</v>
      </c>
      <c r="M36" s="48">
        <v>4.3</v>
      </c>
      <c r="N36" s="61">
        <f t="shared" si="4"/>
        <v>1.0065637552173462E-3</v>
      </c>
      <c r="O36" s="48">
        <v>1.1000000000000001</v>
      </c>
      <c r="P36" s="48">
        <v>1.55</v>
      </c>
      <c r="Q36" s="48">
        <v>4</v>
      </c>
      <c r="R36" s="61">
        <f t="shared" si="5"/>
        <v>8.0924859009864078E-4</v>
      </c>
    </row>
    <row r="37" spans="2:18" x14ac:dyDescent="0.25">
      <c r="B37" s="48">
        <v>10</v>
      </c>
      <c r="C37" s="48">
        <v>1.54</v>
      </c>
      <c r="D37" s="48">
        <v>1.75</v>
      </c>
      <c r="E37" s="48">
        <v>6.05</v>
      </c>
      <c r="F37" s="61">
        <f t="shared" si="2"/>
        <v>2.8198299757491289E-3</v>
      </c>
      <c r="G37" s="48"/>
      <c r="H37" s="48">
        <v>1.35</v>
      </c>
      <c r="I37" s="48">
        <v>4</v>
      </c>
      <c r="J37" s="61">
        <f t="shared" si="3"/>
        <v>8.0924859009864078E-4</v>
      </c>
      <c r="K37" s="48">
        <v>0.7</v>
      </c>
      <c r="L37" s="48">
        <v>1.6</v>
      </c>
      <c r="M37" s="48">
        <v>4.5</v>
      </c>
      <c r="N37" s="61">
        <f t="shared" si="4"/>
        <v>1.1545403393427955E-3</v>
      </c>
      <c r="O37" s="48">
        <v>1.2</v>
      </c>
      <c r="P37" s="48">
        <v>1.95</v>
      </c>
      <c r="Q37" s="48">
        <v>3.6</v>
      </c>
      <c r="R37" s="61">
        <f t="shared" si="5"/>
        <v>5.8888650544192491E-4</v>
      </c>
    </row>
    <row r="38" spans="2:18" x14ac:dyDescent="0.25">
      <c r="B38" s="48">
        <v>11</v>
      </c>
      <c r="C38" s="48">
        <v>2.3199999999999998</v>
      </c>
      <c r="D38" s="48">
        <v>1.68</v>
      </c>
      <c r="E38" s="48">
        <v>6.45</v>
      </c>
      <c r="F38" s="61">
        <f t="shared" si="2"/>
        <v>3.4206498195381474E-3</v>
      </c>
      <c r="G38" s="48">
        <v>0.7</v>
      </c>
      <c r="H38" s="48">
        <v>1.6</v>
      </c>
      <c r="I38" s="48">
        <v>4.7</v>
      </c>
      <c r="J38" s="61">
        <f t="shared" si="3"/>
        <v>1.3163949118618862E-3</v>
      </c>
      <c r="K38" s="48">
        <v>2.2000000000000002</v>
      </c>
      <c r="L38" s="48">
        <v>2</v>
      </c>
      <c r="M38" s="48">
        <v>7.7</v>
      </c>
      <c r="N38" s="61">
        <f t="shared" si="4"/>
        <v>5.8372658816372826E-3</v>
      </c>
      <c r="O38" s="48">
        <v>1.6</v>
      </c>
      <c r="P38" s="48">
        <v>1.95</v>
      </c>
      <c r="Q38" s="48">
        <v>3.5</v>
      </c>
      <c r="R38" s="61">
        <f t="shared" si="5"/>
        <v>5.4090406766287751E-4</v>
      </c>
    </row>
    <row r="39" spans="2:18" x14ac:dyDescent="0.25">
      <c r="B39" s="48">
        <v>12</v>
      </c>
      <c r="C39" s="48"/>
      <c r="D39" s="48">
        <v>1</v>
      </c>
      <c r="E39" s="48">
        <v>3.12</v>
      </c>
      <c r="F39" s="61">
        <f t="shared" si="2"/>
        <v>3.8241187308937286E-4</v>
      </c>
      <c r="G39" s="48">
        <v>1.9</v>
      </c>
      <c r="H39" s="48">
        <v>2.0499999999999998</v>
      </c>
      <c r="I39" s="48">
        <v>6</v>
      </c>
      <c r="J39" s="61">
        <f t="shared" si="3"/>
        <v>2.750105027460174E-3</v>
      </c>
      <c r="K39" s="48"/>
      <c r="L39" s="48">
        <v>1.3</v>
      </c>
      <c r="M39" s="48">
        <v>4.0999999999999996</v>
      </c>
      <c r="N39" s="61">
        <f t="shared" si="4"/>
        <v>8.7183811850422943E-4</v>
      </c>
      <c r="O39" s="48"/>
      <c r="P39" s="48">
        <v>1.5</v>
      </c>
      <c r="Q39" s="48">
        <v>2.8</v>
      </c>
      <c r="R39" s="61">
        <f t="shared" si="5"/>
        <v>2.7589430644461783E-4</v>
      </c>
    </row>
    <row r="40" spans="2:18" x14ac:dyDescent="0.25">
      <c r="B40" s="48">
        <v>13</v>
      </c>
      <c r="C40" s="48">
        <v>2.59</v>
      </c>
      <c r="D40" s="48">
        <v>1.9</v>
      </c>
      <c r="E40" s="48">
        <v>5.98</v>
      </c>
      <c r="F40" s="61">
        <f t="shared" si="2"/>
        <v>2.7225410060861435E-3</v>
      </c>
      <c r="G40" s="48">
        <v>1.9</v>
      </c>
      <c r="H40" s="48">
        <v>1.85</v>
      </c>
      <c r="I40" s="48">
        <v>6.7</v>
      </c>
      <c r="J40" s="61">
        <f t="shared" si="3"/>
        <v>3.8364950071659402E-3</v>
      </c>
      <c r="K40" s="48">
        <v>1.4</v>
      </c>
      <c r="L40" s="48">
        <v>1.65</v>
      </c>
      <c r="M40" s="48">
        <v>4.5</v>
      </c>
      <c r="N40" s="61">
        <f t="shared" si="4"/>
        <v>1.1545403393427955E-3</v>
      </c>
      <c r="O40" s="48">
        <v>1.8</v>
      </c>
      <c r="P40" s="48">
        <v>2.2999999999999998</v>
      </c>
      <c r="Q40" s="48">
        <v>4.4000000000000004</v>
      </c>
      <c r="R40" s="61">
        <f t="shared" si="5"/>
        <v>1.0788565001522729E-3</v>
      </c>
    </row>
    <row r="41" spans="2:18" x14ac:dyDescent="0.25">
      <c r="B41" s="48">
        <v>14</v>
      </c>
      <c r="C41" s="48">
        <v>2.65</v>
      </c>
      <c r="D41" s="48">
        <v>1.87</v>
      </c>
      <c r="E41" s="48">
        <v>7.21</v>
      </c>
      <c r="F41" s="61">
        <f t="shared" si="2"/>
        <v>4.7869363320983908E-3</v>
      </c>
      <c r="G41" s="48">
        <v>1.8</v>
      </c>
      <c r="H41" s="48">
        <v>2.15</v>
      </c>
      <c r="I41" s="48">
        <v>6.4</v>
      </c>
      <c r="J41" s="61">
        <f t="shared" si="3"/>
        <v>3.3412728293488836E-3</v>
      </c>
      <c r="K41" s="48">
        <v>1.9</v>
      </c>
      <c r="L41" s="48">
        <v>1.95</v>
      </c>
      <c r="M41" s="48">
        <v>5.4</v>
      </c>
      <c r="N41" s="61">
        <f t="shared" si="4"/>
        <v>2.001238876451903E-3</v>
      </c>
      <c r="O41" s="48">
        <v>1.8</v>
      </c>
      <c r="P41" s="48">
        <v>2</v>
      </c>
      <c r="Q41" s="48">
        <v>4</v>
      </c>
      <c r="R41" s="61">
        <f t="shared" si="5"/>
        <v>8.0924859009864078E-4</v>
      </c>
    </row>
    <row r="42" spans="2:18" x14ac:dyDescent="0.25">
      <c r="B42" s="48">
        <v>15</v>
      </c>
      <c r="C42" s="48">
        <v>2.3199999999999998</v>
      </c>
      <c r="D42" s="48">
        <v>1.86</v>
      </c>
      <c r="E42" s="48">
        <v>7.45</v>
      </c>
      <c r="F42" s="61">
        <f t="shared" si="2"/>
        <v>5.2839954196026769E-3</v>
      </c>
      <c r="G42" s="48">
        <v>1.6</v>
      </c>
      <c r="H42" s="48">
        <v>2.25</v>
      </c>
      <c r="I42" s="48">
        <v>6.6</v>
      </c>
      <c r="J42" s="61">
        <f t="shared" si="3"/>
        <v>3.6663254298845318E-3</v>
      </c>
      <c r="K42" s="48">
        <v>1.7</v>
      </c>
      <c r="L42" s="48">
        <v>1.8</v>
      </c>
      <c r="M42" s="48">
        <v>6.1</v>
      </c>
      <c r="N42" s="61">
        <f t="shared" si="4"/>
        <v>2.8907269397488869E-3</v>
      </c>
      <c r="O42" s="48">
        <v>1.6</v>
      </c>
      <c r="P42" s="48">
        <v>2.0499999999999998</v>
      </c>
      <c r="Q42" s="48">
        <v>4</v>
      </c>
      <c r="R42" s="61">
        <f t="shared" si="5"/>
        <v>8.0924859009864078E-4</v>
      </c>
    </row>
    <row r="43" spans="2:18" x14ac:dyDescent="0.25">
      <c r="B43" s="48">
        <v>16</v>
      </c>
      <c r="C43" s="48">
        <v>1.62</v>
      </c>
      <c r="D43" s="48">
        <v>1.58</v>
      </c>
      <c r="E43" s="48">
        <v>5.29</v>
      </c>
      <c r="F43" s="61">
        <f t="shared" si="2"/>
        <v>1.8807571438996414E-3</v>
      </c>
      <c r="G43" s="48">
        <v>0.5</v>
      </c>
      <c r="H43" s="48">
        <v>1.35</v>
      </c>
      <c r="I43" s="48">
        <v>5.0999999999999996</v>
      </c>
      <c r="J43" s="61">
        <f t="shared" si="3"/>
        <v>1.6842485373970448E-3</v>
      </c>
      <c r="K43" s="48">
        <v>0.7</v>
      </c>
      <c r="L43" s="48">
        <v>1.5</v>
      </c>
      <c r="M43" s="48">
        <v>3.4</v>
      </c>
      <c r="N43" s="61">
        <f t="shared" si="4"/>
        <v>4.9560861881810258E-4</v>
      </c>
      <c r="O43" s="48">
        <v>1.5</v>
      </c>
      <c r="P43" s="48">
        <v>1.9</v>
      </c>
      <c r="Q43" s="48">
        <v>4</v>
      </c>
      <c r="R43" s="61">
        <f t="shared" si="5"/>
        <v>8.0924859009864078E-4</v>
      </c>
    </row>
    <row r="44" spans="2:18" x14ac:dyDescent="0.25">
      <c r="B44" s="48">
        <v>17</v>
      </c>
      <c r="C44" s="48">
        <v>1.52</v>
      </c>
      <c r="D44" s="48">
        <v>1.53</v>
      </c>
      <c r="E44" s="48">
        <v>6.21</v>
      </c>
      <c r="F44" s="61">
        <f t="shared" si="2"/>
        <v>3.050874305735534E-3</v>
      </c>
      <c r="G44" s="48">
        <v>2.4</v>
      </c>
      <c r="H44" s="48">
        <v>2.0499999999999998</v>
      </c>
      <c r="I44" s="48">
        <v>6.3</v>
      </c>
      <c r="J44" s="61">
        <f t="shared" si="3"/>
        <v>3.1862320020202652E-3</v>
      </c>
      <c r="K44" s="48">
        <v>0.9</v>
      </c>
      <c r="L44" s="48">
        <v>1.6</v>
      </c>
      <c r="M44" s="48">
        <v>6</v>
      </c>
      <c r="N44" s="61">
        <f t="shared" si="4"/>
        <v>2.750105027460174E-3</v>
      </c>
      <c r="O44" s="48">
        <v>2.4</v>
      </c>
      <c r="P44" s="48">
        <v>2.2999999999999998</v>
      </c>
      <c r="Q44" s="48">
        <v>5.4</v>
      </c>
      <c r="R44" s="61">
        <f t="shared" si="5"/>
        <v>2.001238876451903E-3</v>
      </c>
    </row>
    <row r="45" spans="2:18" x14ac:dyDescent="0.25">
      <c r="B45" s="48">
        <v>18</v>
      </c>
      <c r="C45" s="48">
        <v>1.5</v>
      </c>
      <c r="D45" s="48">
        <v>1.4</v>
      </c>
      <c r="E45" s="48">
        <v>5.98</v>
      </c>
      <c r="F45" s="61">
        <f t="shared" si="2"/>
        <v>2.7225410060861435E-3</v>
      </c>
      <c r="G45" s="48">
        <v>2.2000000000000002</v>
      </c>
      <c r="H45" s="48">
        <v>1.6</v>
      </c>
      <c r="I45" s="48">
        <v>6.4</v>
      </c>
      <c r="J45" s="61">
        <f t="shared" si="3"/>
        <v>3.3412728293488836E-3</v>
      </c>
      <c r="K45" s="48"/>
      <c r="L45" s="48">
        <v>1.35</v>
      </c>
      <c r="M45" s="48">
        <v>2.4</v>
      </c>
      <c r="N45" s="61">
        <f t="shared" si="4"/>
        <v>1.7328631797641211E-4</v>
      </c>
      <c r="O45" s="48"/>
      <c r="P45" s="48">
        <v>1.1000000000000001</v>
      </c>
      <c r="Q45" s="48">
        <v>1.6</v>
      </c>
      <c r="R45" s="61">
        <f t="shared" si="5"/>
        <v>5.0991401093981359E-5</v>
      </c>
    </row>
    <row r="46" spans="2:18" x14ac:dyDescent="0.25">
      <c r="B46" s="48">
        <v>19</v>
      </c>
      <c r="C46" s="48">
        <v>1.72</v>
      </c>
      <c r="D46" s="48">
        <v>1.8</v>
      </c>
      <c r="E46" s="48">
        <v>6.4</v>
      </c>
      <c r="F46" s="61">
        <f t="shared" si="2"/>
        <v>3.3412728293488836E-3</v>
      </c>
      <c r="G46" s="48">
        <v>2.1</v>
      </c>
      <c r="H46" s="48">
        <v>1.9</v>
      </c>
      <c r="I46" s="48">
        <v>6.5</v>
      </c>
      <c r="J46" s="61">
        <f t="shared" si="3"/>
        <v>3.5012776747308299E-3</v>
      </c>
      <c r="K46" s="48">
        <v>0.6</v>
      </c>
      <c r="L46" s="48">
        <v>1.55</v>
      </c>
      <c r="M46" s="48">
        <v>4</v>
      </c>
      <c r="N46" s="61">
        <f t="shared" si="4"/>
        <v>8.0924859009864078E-4</v>
      </c>
      <c r="O46" s="48">
        <v>1.9</v>
      </c>
      <c r="P46" s="48">
        <v>2.1</v>
      </c>
      <c r="Q46" s="48">
        <v>4.5999999999999996</v>
      </c>
      <c r="R46" s="61">
        <f t="shared" si="5"/>
        <v>1.2336936682251108E-3</v>
      </c>
    </row>
    <row r="47" spans="2:18" x14ac:dyDescent="0.25">
      <c r="B47" s="48">
        <v>20</v>
      </c>
      <c r="C47" s="48"/>
      <c r="D47" s="48">
        <v>0.84</v>
      </c>
      <c r="E47" s="48">
        <v>3.65</v>
      </c>
      <c r="F47" s="61">
        <f t="shared" si="2"/>
        <v>6.139097483629951E-4</v>
      </c>
      <c r="G47" s="48">
        <v>2.1</v>
      </c>
      <c r="H47" s="48">
        <v>2.15</v>
      </c>
      <c r="I47" s="48">
        <v>7.7</v>
      </c>
      <c r="J47" s="61">
        <f t="shared" si="3"/>
        <v>5.8372658816372826E-3</v>
      </c>
      <c r="K47" s="48">
        <v>0.9</v>
      </c>
      <c r="L47" s="48">
        <v>1.55</v>
      </c>
      <c r="M47" s="48">
        <v>4.2</v>
      </c>
      <c r="N47" s="61">
        <f t="shared" si="4"/>
        <v>9.3758373939026285E-4</v>
      </c>
      <c r="O47" s="48">
        <v>1.4</v>
      </c>
      <c r="P47" s="48">
        <v>1.65</v>
      </c>
      <c r="Q47" s="48">
        <v>3.3</v>
      </c>
      <c r="R47" s="61">
        <f t="shared" si="5"/>
        <v>4.5292210201089249E-4</v>
      </c>
    </row>
    <row r="48" spans="2:18" x14ac:dyDescent="0.25">
      <c r="B48" s="48">
        <v>21</v>
      </c>
      <c r="C48" s="48">
        <v>2.9</v>
      </c>
      <c r="D48" s="48">
        <v>1.8</v>
      </c>
      <c r="E48" s="48">
        <v>6.81</v>
      </c>
      <c r="F48" s="61">
        <f t="shared" si="2"/>
        <v>4.0296914534929985E-3</v>
      </c>
      <c r="G48" s="48">
        <v>2</v>
      </c>
      <c r="H48" s="48">
        <v>1.9</v>
      </c>
      <c r="I48" s="48">
        <v>5.6</v>
      </c>
      <c r="J48" s="61">
        <f t="shared" si="3"/>
        <v>2.2333162969687286E-3</v>
      </c>
      <c r="K48" s="48">
        <v>1.9</v>
      </c>
      <c r="L48" s="48">
        <v>1.9</v>
      </c>
      <c r="M48" s="48">
        <v>5.5</v>
      </c>
      <c r="N48" s="61">
        <f t="shared" si="4"/>
        <v>2.1151500981555814E-3</v>
      </c>
      <c r="O48" s="48"/>
      <c r="P48" s="48">
        <v>1.55</v>
      </c>
      <c r="Q48" s="48">
        <v>2.7</v>
      </c>
      <c r="R48" s="61">
        <f t="shared" si="5"/>
        <v>2.4722445835285794E-4</v>
      </c>
    </row>
    <row r="49" spans="2:18" x14ac:dyDescent="0.25">
      <c r="B49" s="48">
        <v>22</v>
      </c>
      <c r="C49" s="48"/>
      <c r="D49" s="48">
        <v>0.35</v>
      </c>
      <c r="E49" s="48">
        <v>1.72</v>
      </c>
      <c r="F49" s="61">
        <f t="shared" si="2"/>
        <v>6.3424387508287822E-5</v>
      </c>
      <c r="G49" s="48">
        <v>1.2</v>
      </c>
      <c r="H49" s="48">
        <v>1.7</v>
      </c>
      <c r="I49" s="48">
        <v>4.5999999999999996</v>
      </c>
      <c r="J49" s="61">
        <f t="shared" si="3"/>
        <v>1.2336936682251108E-3</v>
      </c>
      <c r="K49" s="48"/>
      <c r="L49" s="48">
        <v>1.55</v>
      </c>
      <c r="M49" s="48">
        <v>4.8</v>
      </c>
      <c r="N49" s="61">
        <f t="shared" si="4"/>
        <v>1.4027225243088224E-3</v>
      </c>
      <c r="O49" s="48">
        <v>1.3</v>
      </c>
      <c r="P49" s="48">
        <v>1.8</v>
      </c>
      <c r="Q49" s="48">
        <v>4.0999999999999996</v>
      </c>
      <c r="R49" s="61">
        <f t="shared" si="5"/>
        <v>8.7183811850422943E-4</v>
      </c>
    </row>
    <row r="50" spans="2:18" x14ac:dyDescent="0.25">
      <c r="B50" s="48">
        <v>23</v>
      </c>
      <c r="C50" s="48"/>
      <c r="D50" s="48">
        <v>1.3</v>
      </c>
      <c r="E50" s="48">
        <v>6.01</v>
      </c>
      <c r="F50" s="61">
        <f t="shared" si="2"/>
        <v>2.7639567286834163E-3</v>
      </c>
      <c r="G50" s="48">
        <v>4.2</v>
      </c>
      <c r="H50" s="48">
        <v>2.8</v>
      </c>
      <c r="I50" s="48">
        <v>7.4</v>
      </c>
      <c r="J50" s="61">
        <f t="shared" si="3"/>
        <v>5.1777259015217932E-3</v>
      </c>
      <c r="K50" s="48">
        <v>1</v>
      </c>
      <c r="L50" s="48">
        <v>1.7</v>
      </c>
      <c r="M50" s="48">
        <v>5.8</v>
      </c>
      <c r="N50" s="61">
        <f t="shared" si="4"/>
        <v>2.4827284114555164E-3</v>
      </c>
      <c r="O50" s="48">
        <v>1.2</v>
      </c>
      <c r="P50" s="48">
        <v>2</v>
      </c>
      <c r="Q50" s="48">
        <v>3.8</v>
      </c>
      <c r="R50" s="61">
        <f t="shared" si="5"/>
        <v>6.9322476401689488E-4</v>
      </c>
    </row>
    <row r="51" spans="2:18" x14ac:dyDescent="0.25">
      <c r="B51" s="48">
        <v>24</v>
      </c>
      <c r="C51" s="48"/>
      <c r="D51" s="48">
        <v>1.1599999999999999</v>
      </c>
      <c r="E51" s="48">
        <v>4.82</v>
      </c>
      <c r="F51" s="61">
        <f t="shared" si="2"/>
        <v>1.4204301170173655E-3</v>
      </c>
      <c r="G51" s="48">
        <v>1</v>
      </c>
      <c r="H51" s="48">
        <v>1.7</v>
      </c>
      <c r="I51" s="48">
        <v>5.2</v>
      </c>
      <c r="J51" s="61">
        <f t="shared" si="3"/>
        <v>1.785866724784815E-3</v>
      </c>
      <c r="K51" s="48">
        <v>0.8</v>
      </c>
      <c r="L51" s="48">
        <v>1.6</v>
      </c>
      <c r="M51" s="48">
        <v>3.9</v>
      </c>
      <c r="N51" s="61">
        <f t="shared" si="4"/>
        <v>7.4973688417939016E-4</v>
      </c>
      <c r="O51" s="48"/>
      <c r="P51" s="48">
        <v>1.55</v>
      </c>
      <c r="Q51" s="48">
        <v>2.9</v>
      </c>
      <c r="R51" s="61">
        <f t="shared" si="5"/>
        <v>3.067056082018366E-4</v>
      </c>
    </row>
    <row r="52" spans="2:18" x14ac:dyDescent="0.25">
      <c r="B52" s="48">
        <v>25</v>
      </c>
      <c r="C52" s="48"/>
      <c r="D52" s="48">
        <v>1.42</v>
      </c>
      <c r="E52" s="48">
        <v>6.61</v>
      </c>
      <c r="F52" s="61">
        <f t="shared" si="2"/>
        <v>3.6831106033859504E-3</v>
      </c>
      <c r="G52" s="48">
        <v>2.1</v>
      </c>
      <c r="H52" s="48">
        <v>2.0499999999999998</v>
      </c>
      <c r="I52" s="48">
        <v>6.8</v>
      </c>
      <c r="J52" s="61">
        <f t="shared" si="3"/>
        <v>4.0118653392610584E-3</v>
      </c>
      <c r="K52" s="48"/>
      <c r="L52" s="48">
        <v>1</v>
      </c>
      <c r="M52" s="48">
        <v>3.1</v>
      </c>
      <c r="N52" s="61">
        <f t="shared" si="4"/>
        <v>3.750638332343773E-4</v>
      </c>
      <c r="O52" s="48">
        <v>0.9</v>
      </c>
      <c r="P52" s="48">
        <v>1.8</v>
      </c>
      <c r="Q52" s="48">
        <v>3.6</v>
      </c>
      <c r="R52" s="61">
        <f t="shared" si="5"/>
        <v>5.8888650544192491E-4</v>
      </c>
    </row>
    <row r="53" spans="2:18" x14ac:dyDescent="0.25">
      <c r="B53" s="48">
        <v>26</v>
      </c>
      <c r="C53" s="48"/>
      <c r="D53" s="48">
        <v>1.17</v>
      </c>
      <c r="E53" s="48">
        <v>3.25</v>
      </c>
      <c r="F53" s="61">
        <f t="shared" si="2"/>
        <v>4.3253281098204103E-4</v>
      </c>
      <c r="G53" s="48">
        <v>1.4</v>
      </c>
      <c r="H53" s="48">
        <v>1.75</v>
      </c>
      <c r="I53" s="48">
        <v>5.2</v>
      </c>
      <c r="J53" s="61">
        <f t="shared" si="3"/>
        <v>1.785866724784815E-3</v>
      </c>
      <c r="K53" s="48">
        <v>0.6</v>
      </c>
      <c r="L53" s="48">
        <v>1.5</v>
      </c>
      <c r="M53" s="48">
        <v>4.4000000000000004</v>
      </c>
      <c r="N53" s="61">
        <f t="shared" si="4"/>
        <v>1.0788565001522729E-3</v>
      </c>
      <c r="O53" s="48">
        <v>0.7</v>
      </c>
      <c r="P53" s="48">
        <v>1.8</v>
      </c>
      <c r="Q53" s="48">
        <v>3</v>
      </c>
      <c r="R53" s="61">
        <f t="shared" si="5"/>
        <v>3.3973616734486473E-4</v>
      </c>
    </row>
    <row r="54" spans="2:18" x14ac:dyDescent="0.25">
      <c r="B54" s="48">
        <v>27</v>
      </c>
      <c r="C54" s="48">
        <v>2.57</v>
      </c>
      <c r="D54" s="48">
        <v>2.06</v>
      </c>
      <c r="E54" s="48">
        <v>5.94</v>
      </c>
      <c r="F54" s="61">
        <f t="shared" si="2"/>
        <v>2.6679682814824512E-3</v>
      </c>
      <c r="G54" s="48">
        <v>2.1</v>
      </c>
      <c r="H54" s="48">
        <v>2.2000000000000002</v>
      </c>
      <c r="I54" s="48">
        <v>6.2</v>
      </c>
      <c r="J54" s="61">
        <f t="shared" si="3"/>
        <v>3.0360763219810785E-3</v>
      </c>
      <c r="K54" s="48"/>
      <c r="L54" s="48">
        <v>1.3</v>
      </c>
      <c r="M54" s="48">
        <v>3</v>
      </c>
      <c r="N54" s="61">
        <f t="shared" si="4"/>
        <v>3.3973616734486473E-4</v>
      </c>
      <c r="O54" s="48"/>
      <c r="P54" s="48">
        <v>1.35</v>
      </c>
      <c r="Q54" s="48">
        <v>2.2000000000000002</v>
      </c>
      <c r="R54" s="61">
        <f t="shared" si="5"/>
        <v>1.3327729989109864E-4</v>
      </c>
    </row>
    <row r="55" spans="2:18" x14ac:dyDescent="0.25">
      <c r="B55" s="48">
        <v>28</v>
      </c>
      <c r="C55" s="48">
        <v>1.58</v>
      </c>
      <c r="D55" s="48">
        <v>1.48</v>
      </c>
      <c r="E55" s="48">
        <v>5.25</v>
      </c>
      <c r="F55" s="61">
        <f t="shared" si="2"/>
        <v>1.8381780506679885E-3</v>
      </c>
      <c r="G55" s="48">
        <v>1.6</v>
      </c>
      <c r="H55" s="48">
        <v>1.95</v>
      </c>
      <c r="I55" s="48">
        <v>6.8</v>
      </c>
      <c r="J55" s="61">
        <f t="shared" si="3"/>
        <v>4.0118653392610584E-3</v>
      </c>
      <c r="K55" s="48">
        <v>1.1000000000000001</v>
      </c>
      <c r="L55" s="48">
        <v>1.55</v>
      </c>
      <c r="M55" s="48">
        <v>3.6</v>
      </c>
      <c r="N55" s="61">
        <f t="shared" si="4"/>
        <v>5.8888650544192491E-4</v>
      </c>
      <c r="O55" s="48">
        <v>1</v>
      </c>
      <c r="P55" s="48">
        <v>1.65</v>
      </c>
      <c r="Q55" s="48">
        <v>3.7</v>
      </c>
      <c r="R55" s="61">
        <f t="shared" si="5"/>
        <v>6.3963402698471018E-4</v>
      </c>
    </row>
    <row r="56" spans="2:18" x14ac:dyDescent="0.25">
      <c r="B56" s="48">
        <v>29</v>
      </c>
      <c r="C56" s="48">
        <v>2.9</v>
      </c>
      <c r="D56" s="48">
        <v>1.93</v>
      </c>
      <c r="E56" s="48">
        <v>6.78</v>
      </c>
      <c r="F56" s="61">
        <f t="shared" si="2"/>
        <v>3.9763714230125809E-3</v>
      </c>
      <c r="G56" s="48">
        <v>2</v>
      </c>
      <c r="H56" s="48">
        <v>1.8</v>
      </c>
      <c r="I56" s="48">
        <v>6.9</v>
      </c>
      <c r="J56" s="61">
        <f t="shared" si="3"/>
        <v>4.1925153788876061E-3</v>
      </c>
      <c r="K56" s="48">
        <v>1.2</v>
      </c>
      <c r="L56" s="48">
        <v>1.7</v>
      </c>
      <c r="M56" s="48">
        <v>5</v>
      </c>
      <c r="N56" s="61">
        <f t="shared" si="4"/>
        <v>1.5865708132062179E-3</v>
      </c>
      <c r="O56" s="48">
        <v>2.1</v>
      </c>
      <c r="P56" s="48">
        <v>2.2999999999999998</v>
      </c>
      <c r="Q56" s="48">
        <v>4</v>
      </c>
      <c r="R56" s="61">
        <f t="shared" si="5"/>
        <v>8.0924859009864078E-4</v>
      </c>
    </row>
    <row r="57" spans="2:18" x14ac:dyDescent="0.25">
      <c r="B57" s="48">
        <v>30</v>
      </c>
      <c r="C57" s="48">
        <v>1.68</v>
      </c>
      <c r="D57" s="48">
        <v>1.45</v>
      </c>
      <c r="E57" s="48">
        <v>5.21</v>
      </c>
      <c r="F57" s="61">
        <f t="shared" si="2"/>
        <v>1.796248294505601E-3</v>
      </c>
      <c r="G57" s="48">
        <v>2.6</v>
      </c>
      <c r="H57" s="48">
        <v>2.2000000000000002</v>
      </c>
      <c r="I57" s="48">
        <v>7.9</v>
      </c>
      <c r="J57" s="61">
        <f t="shared" si="3"/>
        <v>6.3067830539073983E-3</v>
      </c>
      <c r="K57" s="48">
        <v>1.2</v>
      </c>
      <c r="L57" s="48">
        <v>1.6</v>
      </c>
      <c r="M57" s="48">
        <v>6.3</v>
      </c>
      <c r="N57" s="61">
        <f t="shared" si="4"/>
        <v>3.1862320020202652E-3</v>
      </c>
      <c r="O57" s="48">
        <v>0.8</v>
      </c>
      <c r="P57" s="48">
        <v>1.75</v>
      </c>
      <c r="Q57" s="48">
        <v>2.2000000000000002</v>
      </c>
      <c r="R57" s="61">
        <f t="shared" si="5"/>
        <v>1.3327729989109864E-4</v>
      </c>
    </row>
    <row r="58" spans="2:18" x14ac:dyDescent="0.25">
      <c r="B58" s="48">
        <v>31</v>
      </c>
      <c r="C58" s="48"/>
      <c r="D58" s="48">
        <v>1.3</v>
      </c>
      <c r="E58" s="48">
        <v>7.5</v>
      </c>
      <c r="F58" s="61">
        <f t="shared" si="2"/>
        <v>5.3917132797082212E-3</v>
      </c>
      <c r="G58" s="48">
        <v>2.7</v>
      </c>
      <c r="H58" s="48">
        <v>2.4</v>
      </c>
      <c r="I58" s="48">
        <v>6.1</v>
      </c>
      <c r="J58" s="61">
        <f t="shared" si="3"/>
        <v>2.8907269397488869E-3</v>
      </c>
      <c r="K58" s="48">
        <v>1.6</v>
      </c>
      <c r="L58" s="48">
        <v>1.65</v>
      </c>
      <c r="M58" s="48">
        <v>4.4000000000000004</v>
      </c>
      <c r="N58" s="61">
        <f t="shared" si="4"/>
        <v>1.0788565001522729E-3</v>
      </c>
      <c r="O58" s="48">
        <v>1</v>
      </c>
      <c r="P58" s="48">
        <v>1.65</v>
      </c>
      <c r="Q58" s="48">
        <v>3.4</v>
      </c>
      <c r="R58" s="61">
        <f t="shared" si="5"/>
        <v>4.9560861881810258E-4</v>
      </c>
    </row>
    <row r="59" spans="2:18" x14ac:dyDescent="0.25">
      <c r="B59" s="48">
        <v>32</v>
      </c>
      <c r="C59" s="48"/>
      <c r="D59" s="48">
        <v>1.1299999999999999</v>
      </c>
      <c r="E59" s="48">
        <v>4.32</v>
      </c>
      <c r="F59" s="61">
        <f t="shared" si="2"/>
        <v>1.0207547786326202E-3</v>
      </c>
      <c r="G59" s="92">
        <f>AVERAGE(G28:G58)</f>
        <v>2.2137931034482765</v>
      </c>
      <c r="H59" s="92">
        <f>AVERAGE(H28:H58)</f>
        <v>1.985483870967742</v>
      </c>
      <c r="I59" s="92">
        <f>AVERAGE(I28:I58)</f>
        <v>6.1225806451612907</v>
      </c>
      <c r="J59" s="98">
        <f>SUM(J28:J58)</f>
        <v>9.833005012436162E-2</v>
      </c>
      <c r="K59" s="48">
        <v>1.4</v>
      </c>
      <c r="L59" s="48">
        <v>1.65</v>
      </c>
      <c r="M59" s="48">
        <v>5.9</v>
      </c>
      <c r="N59" s="61">
        <f t="shared" si="4"/>
        <v>2.6141317792187169E-3</v>
      </c>
      <c r="O59" s="48"/>
      <c r="P59" s="48">
        <v>1.1000000000000001</v>
      </c>
      <c r="Q59" s="48">
        <v>2.6</v>
      </c>
      <c r="R59" s="61">
        <f t="shared" si="5"/>
        <v>2.2061830744968012E-4</v>
      </c>
    </row>
    <row r="60" spans="2:18" x14ac:dyDescent="0.25">
      <c r="B60" s="48">
        <v>33</v>
      </c>
      <c r="C60" s="48">
        <v>3.32</v>
      </c>
      <c r="D60" s="48">
        <v>1.97</v>
      </c>
      <c r="E60" s="48">
        <v>7.7</v>
      </c>
      <c r="F60" s="61">
        <f t="shared" si="2"/>
        <v>5.8372658816372826E-3</v>
      </c>
      <c r="G60" s="62"/>
      <c r="H60" s="62"/>
      <c r="I60" s="62"/>
      <c r="J60" s="62"/>
      <c r="K60" s="48"/>
      <c r="L60" s="48">
        <v>1.35</v>
      </c>
      <c r="M60" s="48">
        <v>4.2</v>
      </c>
      <c r="N60" s="61">
        <f t="shared" si="4"/>
        <v>9.3758373939026285E-4</v>
      </c>
      <c r="O60" s="48">
        <v>1.2</v>
      </c>
      <c r="P60" s="48">
        <v>1.8</v>
      </c>
      <c r="Q60" s="48">
        <v>3.4</v>
      </c>
      <c r="R60" s="61">
        <f t="shared" si="5"/>
        <v>4.9560861881810258E-4</v>
      </c>
    </row>
    <row r="61" spans="2:18" x14ac:dyDescent="0.25">
      <c r="B61" s="48">
        <v>34</v>
      </c>
      <c r="C61" s="48">
        <v>1.9</v>
      </c>
      <c r="D61" s="48">
        <v>1.61</v>
      </c>
      <c r="E61" s="48">
        <v>6</v>
      </c>
      <c r="F61" s="61">
        <f t="shared" si="2"/>
        <v>2.750105027460174E-3</v>
      </c>
      <c r="G61" s="62"/>
      <c r="H61" s="62"/>
      <c r="I61" s="62"/>
      <c r="J61" s="62"/>
      <c r="K61" s="48">
        <v>1.8</v>
      </c>
      <c r="L61" s="48">
        <v>1.85</v>
      </c>
      <c r="M61" s="48">
        <v>5.0999999999999996</v>
      </c>
      <c r="N61" s="61">
        <f t="shared" si="4"/>
        <v>1.6842485373970448E-3</v>
      </c>
      <c r="O61" s="48">
        <v>1.2</v>
      </c>
      <c r="P61" s="48">
        <v>1.85</v>
      </c>
      <c r="Q61" s="48">
        <v>3.6</v>
      </c>
      <c r="R61" s="61">
        <f t="shared" si="5"/>
        <v>5.8888650544192491E-4</v>
      </c>
    </row>
    <row r="62" spans="2:18" x14ac:dyDescent="0.25">
      <c r="B62" s="48">
        <v>35</v>
      </c>
      <c r="C62" s="48">
        <v>3.14</v>
      </c>
      <c r="D62" s="48">
        <v>2</v>
      </c>
      <c r="E62" s="48">
        <v>8.34</v>
      </c>
      <c r="F62" s="61">
        <f t="shared" si="2"/>
        <v>7.4271968121286192E-3</v>
      </c>
      <c r="G62" s="62"/>
      <c r="H62" s="62"/>
      <c r="I62" s="62"/>
      <c r="J62" s="62"/>
      <c r="K62" s="48">
        <v>0.8</v>
      </c>
      <c r="L62" s="48">
        <v>1.7</v>
      </c>
      <c r="M62" s="48">
        <v>5.5</v>
      </c>
      <c r="N62" s="61">
        <f t="shared" si="4"/>
        <v>2.1151500981555814E-3</v>
      </c>
      <c r="O62" s="48">
        <v>1.2</v>
      </c>
      <c r="P62" s="48">
        <v>2</v>
      </c>
      <c r="Q62" s="48">
        <v>4.8</v>
      </c>
      <c r="R62" s="61">
        <f t="shared" si="5"/>
        <v>1.4027225243088224E-3</v>
      </c>
    </row>
    <row r="63" spans="2:18" x14ac:dyDescent="0.25">
      <c r="B63" s="48">
        <v>36</v>
      </c>
      <c r="C63" s="48">
        <v>3.01</v>
      </c>
      <c r="D63" s="48">
        <v>1.9</v>
      </c>
      <c r="E63" s="48">
        <v>6.02</v>
      </c>
      <c r="F63" s="61">
        <f t="shared" si="2"/>
        <v>2.7778549953246527E-3</v>
      </c>
      <c r="G63" s="62"/>
      <c r="H63" s="62"/>
      <c r="I63" s="62"/>
      <c r="J63" s="62"/>
      <c r="K63" s="48">
        <v>0.9</v>
      </c>
      <c r="L63" s="48">
        <v>1.55</v>
      </c>
      <c r="M63" s="48">
        <v>5.5</v>
      </c>
      <c r="N63" s="61">
        <f t="shared" si="4"/>
        <v>2.1151500981555814E-3</v>
      </c>
      <c r="O63" s="48">
        <v>1</v>
      </c>
      <c r="P63" s="48">
        <v>1.95</v>
      </c>
      <c r="Q63" s="48">
        <v>4.4000000000000004</v>
      </c>
      <c r="R63" s="61">
        <f t="shared" si="5"/>
        <v>1.0788565001522729E-3</v>
      </c>
    </row>
    <row r="64" spans="2:18" x14ac:dyDescent="0.25">
      <c r="B64" s="48">
        <v>37</v>
      </c>
      <c r="C64" s="92">
        <f>AVERAGE(C28:C63)</f>
        <v>2.2042857142857137</v>
      </c>
      <c r="D64" s="92">
        <f>AVERAGE(D28:D63)</f>
        <v>1.4986111111111109</v>
      </c>
      <c r="E64" s="92">
        <f>AVERAGE(E28:E63)</f>
        <v>5.6955555555555568</v>
      </c>
      <c r="F64" s="98">
        <f>SUM(F28:F63)</f>
        <v>9.7982892578261316E-2</v>
      </c>
      <c r="G64" s="62"/>
      <c r="H64" s="62"/>
      <c r="I64" s="62"/>
      <c r="J64" s="62"/>
      <c r="K64" s="48"/>
      <c r="L64" s="48">
        <v>1.1000000000000001</v>
      </c>
      <c r="M64" s="48">
        <v>3.7</v>
      </c>
      <c r="N64" s="61">
        <f t="shared" si="4"/>
        <v>6.3963402698471018E-4</v>
      </c>
      <c r="O64" s="48">
        <v>0.8</v>
      </c>
      <c r="P64" s="48">
        <v>1.7</v>
      </c>
      <c r="Q64" s="48">
        <v>3.1</v>
      </c>
      <c r="R64" s="61">
        <f t="shared" si="5"/>
        <v>3.750638332343773E-4</v>
      </c>
    </row>
    <row r="65" spans="2:18" x14ac:dyDescent="0.25">
      <c r="B65" s="48">
        <v>38</v>
      </c>
      <c r="C65" s="62"/>
      <c r="D65" s="62"/>
      <c r="E65" s="62"/>
      <c r="F65" s="62"/>
      <c r="G65" s="62"/>
      <c r="H65" s="62"/>
      <c r="I65" s="62"/>
      <c r="J65" s="62"/>
      <c r="K65" s="48"/>
      <c r="L65" s="48">
        <v>1.35</v>
      </c>
      <c r="M65" s="48">
        <v>4.0999999999999996</v>
      </c>
      <c r="N65" s="61">
        <f t="shared" si="4"/>
        <v>8.7183811850422943E-4</v>
      </c>
      <c r="O65" s="48">
        <v>0.9</v>
      </c>
      <c r="P65" s="48">
        <v>1.75</v>
      </c>
      <c r="Q65" s="48">
        <v>3.5</v>
      </c>
      <c r="R65" s="61">
        <f t="shared" si="5"/>
        <v>5.4090406766287751E-4</v>
      </c>
    </row>
    <row r="66" spans="2:18" x14ac:dyDescent="0.25">
      <c r="B66" s="48">
        <v>39</v>
      </c>
      <c r="C66" s="62"/>
      <c r="D66" s="62"/>
      <c r="E66" s="62"/>
      <c r="F66" s="62"/>
      <c r="G66" s="62"/>
      <c r="H66" s="62"/>
      <c r="I66" s="62"/>
      <c r="J66" s="62"/>
      <c r="K66" s="48">
        <v>0.6</v>
      </c>
      <c r="L66" s="48">
        <v>1.4</v>
      </c>
      <c r="M66" s="48">
        <v>4.3</v>
      </c>
      <c r="N66" s="61">
        <f t="shared" si="4"/>
        <v>1.0065637552173462E-3</v>
      </c>
      <c r="O66" s="48">
        <v>1.7</v>
      </c>
      <c r="P66" s="48">
        <v>2</v>
      </c>
      <c r="Q66" s="48">
        <v>4.7</v>
      </c>
      <c r="R66" s="61">
        <f t="shared" si="5"/>
        <v>1.3163949118618862E-3</v>
      </c>
    </row>
    <row r="67" spans="2:18" x14ac:dyDescent="0.25">
      <c r="B67" s="48">
        <v>40</v>
      </c>
      <c r="C67" s="62"/>
      <c r="D67" s="62"/>
      <c r="E67" s="62"/>
      <c r="F67" s="62"/>
      <c r="G67" s="62"/>
      <c r="H67" s="62"/>
      <c r="I67" s="62"/>
      <c r="J67" s="62"/>
      <c r="K67" s="48">
        <v>2.2000000000000002</v>
      </c>
      <c r="L67" s="48">
        <v>1.85</v>
      </c>
      <c r="M67" s="48">
        <v>6.2</v>
      </c>
      <c r="N67" s="61">
        <f t="shared" si="4"/>
        <v>3.0360763219810785E-3</v>
      </c>
      <c r="O67" s="48">
        <v>1.3</v>
      </c>
      <c r="P67" s="48">
        <v>2.1</v>
      </c>
      <c r="Q67" s="48">
        <v>5.0999999999999996</v>
      </c>
      <c r="R67" s="61">
        <f t="shared" si="5"/>
        <v>1.6842485373970448E-3</v>
      </c>
    </row>
    <row r="68" spans="2:18" x14ac:dyDescent="0.25">
      <c r="B68" s="48">
        <v>41</v>
      </c>
      <c r="C68" s="62"/>
      <c r="D68" s="62"/>
      <c r="E68" s="62"/>
      <c r="F68" s="62"/>
      <c r="G68" s="62"/>
      <c r="H68" s="62"/>
      <c r="I68" s="62"/>
      <c r="J68" s="62"/>
      <c r="K68" s="48"/>
      <c r="L68" s="48">
        <v>1.3</v>
      </c>
      <c r="M68" s="48">
        <v>3.2</v>
      </c>
      <c r="N68" s="61">
        <f t="shared" si="4"/>
        <v>4.1276649937434446E-4</v>
      </c>
      <c r="O68" s="48">
        <v>2</v>
      </c>
      <c r="P68" s="48">
        <v>2.25</v>
      </c>
      <c r="Q68" s="48">
        <v>5.0999999999999996</v>
      </c>
      <c r="R68" s="61">
        <f t="shared" si="5"/>
        <v>1.6842485373970448E-3</v>
      </c>
    </row>
    <row r="69" spans="2:18" x14ac:dyDescent="0.25">
      <c r="B69" s="48">
        <v>42</v>
      </c>
      <c r="C69" s="62"/>
      <c r="D69" s="62"/>
      <c r="E69" s="62"/>
      <c r="F69" s="62"/>
      <c r="G69" s="62"/>
      <c r="H69" s="62"/>
      <c r="I69" s="62"/>
      <c r="J69" s="62"/>
      <c r="K69" s="48"/>
      <c r="L69" s="48">
        <v>1.3</v>
      </c>
      <c r="M69" s="48">
        <v>3.1</v>
      </c>
      <c r="N69" s="61">
        <f t="shared" si="4"/>
        <v>3.750638332343773E-4</v>
      </c>
      <c r="O69" s="48">
        <v>1.5</v>
      </c>
      <c r="P69" s="48">
        <v>1.8</v>
      </c>
      <c r="Q69" s="48">
        <v>4.5999999999999996</v>
      </c>
      <c r="R69" s="61">
        <f t="shared" si="5"/>
        <v>1.2336936682251108E-3</v>
      </c>
    </row>
    <row r="70" spans="2:18" x14ac:dyDescent="0.25">
      <c r="B70" s="48">
        <v>43</v>
      </c>
      <c r="C70" s="62"/>
      <c r="D70" s="62"/>
      <c r="E70" s="62"/>
      <c r="F70" s="62"/>
      <c r="G70" s="62"/>
      <c r="H70" s="62"/>
      <c r="I70" s="62"/>
      <c r="J70" s="62"/>
      <c r="K70" s="48">
        <v>0.7</v>
      </c>
      <c r="L70" s="48">
        <v>1.5</v>
      </c>
      <c r="M70" s="48">
        <v>5.2</v>
      </c>
      <c r="N70" s="61">
        <f t="shared" si="4"/>
        <v>1.785866724784815E-3</v>
      </c>
      <c r="O70" s="48">
        <v>1</v>
      </c>
      <c r="P70" s="48">
        <v>1.55</v>
      </c>
      <c r="Q70" s="48">
        <v>3.4</v>
      </c>
      <c r="R70" s="61">
        <f t="shared" si="5"/>
        <v>4.9560861881810258E-4</v>
      </c>
    </row>
    <row r="71" spans="2:18" x14ac:dyDescent="0.25">
      <c r="B71" s="48">
        <v>44</v>
      </c>
      <c r="C71" s="62"/>
      <c r="D71" s="62"/>
      <c r="E71" s="62"/>
      <c r="F71" s="62"/>
      <c r="G71" s="62"/>
      <c r="H71" s="62"/>
      <c r="I71" s="62"/>
      <c r="J71" s="62"/>
      <c r="K71" s="48">
        <v>1.6</v>
      </c>
      <c r="L71" s="48">
        <v>1.8</v>
      </c>
      <c r="M71" s="48">
        <v>7.2</v>
      </c>
      <c r="N71" s="61">
        <f t="shared" si="4"/>
        <v>4.7669335645837878E-3</v>
      </c>
      <c r="O71" s="48">
        <v>1</v>
      </c>
      <c r="P71" s="48">
        <v>1.8</v>
      </c>
      <c r="Q71" s="48">
        <v>3.6</v>
      </c>
      <c r="R71" s="61">
        <f t="shared" si="5"/>
        <v>5.8888650544192491E-4</v>
      </c>
    </row>
    <row r="72" spans="2:18" x14ac:dyDescent="0.25">
      <c r="B72" s="48">
        <v>45</v>
      </c>
      <c r="C72" s="62"/>
      <c r="D72" s="62"/>
      <c r="E72" s="62"/>
      <c r="F72" s="62"/>
      <c r="G72" s="62"/>
      <c r="H72" s="62"/>
      <c r="I72" s="62"/>
      <c r="J72" s="62"/>
      <c r="K72" s="48">
        <v>1.5</v>
      </c>
      <c r="L72" s="48">
        <v>1.7</v>
      </c>
      <c r="M72" s="48">
        <v>4</v>
      </c>
      <c r="N72" s="61">
        <f t="shared" si="4"/>
        <v>8.0924859009864078E-4</v>
      </c>
      <c r="O72" s="48">
        <v>1.2</v>
      </c>
      <c r="P72" s="48">
        <v>1.65</v>
      </c>
      <c r="Q72" s="48">
        <v>3</v>
      </c>
      <c r="R72" s="61">
        <f t="shared" si="5"/>
        <v>3.3973616734486473E-4</v>
      </c>
    </row>
    <row r="73" spans="2:18" x14ac:dyDescent="0.25">
      <c r="B73" s="48">
        <v>46</v>
      </c>
      <c r="C73" s="62"/>
      <c r="D73" s="62"/>
      <c r="E73" s="62"/>
      <c r="F73" s="62"/>
      <c r="G73" s="62"/>
      <c r="H73" s="62"/>
      <c r="I73" s="62"/>
      <c r="J73" s="62"/>
      <c r="K73" s="48"/>
      <c r="L73" s="48">
        <v>1.4</v>
      </c>
      <c r="M73" s="48">
        <v>4.2</v>
      </c>
      <c r="N73" s="61">
        <f t="shared" si="4"/>
        <v>9.3758373939026285E-4</v>
      </c>
      <c r="O73" s="48">
        <v>1.4</v>
      </c>
      <c r="P73" s="48">
        <v>1.9</v>
      </c>
      <c r="Q73" s="48">
        <v>3.6</v>
      </c>
      <c r="R73" s="61">
        <f t="shared" si="5"/>
        <v>5.8888650544192491E-4</v>
      </c>
    </row>
    <row r="74" spans="2:18" x14ac:dyDescent="0.25">
      <c r="B74" s="48">
        <v>47</v>
      </c>
      <c r="C74" s="62"/>
      <c r="D74" s="62"/>
      <c r="E74" s="62"/>
      <c r="F74" s="62"/>
      <c r="G74" s="62"/>
      <c r="H74" s="62"/>
      <c r="I74" s="62"/>
      <c r="J74" s="62"/>
      <c r="K74" s="92">
        <f>AVERAGE(K28:K73)</f>
        <v>1.2806451612903227</v>
      </c>
      <c r="L74" s="92">
        <f>AVERAGE(L28:L73)</f>
        <v>1.5510869565217393</v>
      </c>
      <c r="M74" s="92">
        <f>AVERAGE(M28:M73)</f>
        <v>4.6847826086956506</v>
      </c>
      <c r="N74" s="98">
        <f>SUM(N28:N73)</f>
        <v>7.0203619740942927E-2</v>
      </c>
      <c r="O74" s="48">
        <v>1</v>
      </c>
      <c r="P74" s="48">
        <v>1.7</v>
      </c>
      <c r="Q74" s="48">
        <v>3.9</v>
      </c>
      <c r="R74" s="61">
        <f t="shared" si="5"/>
        <v>7.4973688417939016E-4</v>
      </c>
    </row>
    <row r="75" spans="2:18" x14ac:dyDescent="0.25">
      <c r="B75" s="48">
        <v>48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48"/>
      <c r="P75" s="48">
        <v>1.3</v>
      </c>
      <c r="Q75" s="48">
        <v>3</v>
      </c>
      <c r="R75" s="61">
        <f t="shared" si="5"/>
        <v>3.3973616734486473E-4</v>
      </c>
    </row>
    <row r="76" spans="2:18" x14ac:dyDescent="0.25">
      <c r="B76" s="48">
        <v>49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8">
        <v>0.8</v>
      </c>
      <c r="P76" s="48">
        <v>1.65</v>
      </c>
      <c r="Q76" s="48">
        <v>3</v>
      </c>
      <c r="R76" s="61">
        <f t="shared" si="5"/>
        <v>3.3973616734486473E-4</v>
      </c>
    </row>
    <row r="77" spans="2:18" x14ac:dyDescent="0.25">
      <c r="B77" s="48">
        <v>50</v>
      </c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48">
        <v>1.1000000000000001</v>
      </c>
      <c r="P77" s="48">
        <v>1.85</v>
      </c>
      <c r="Q77" s="48">
        <v>3.7</v>
      </c>
      <c r="R77" s="61">
        <f t="shared" si="5"/>
        <v>6.3963402698471018E-4</v>
      </c>
    </row>
    <row r="78" spans="2:18" x14ac:dyDescent="0.25">
      <c r="B78" s="48">
        <v>51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48">
        <v>0.7</v>
      </c>
      <c r="P78" s="48">
        <v>1.55</v>
      </c>
      <c r="Q78" s="48">
        <v>3.7</v>
      </c>
      <c r="R78" s="61">
        <f t="shared" si="5"/>
        <v>6.3963402698471018E-4</v>
      </c>
    </row>
    <row r="79" spans="2:18" x14ac:dyDescent="0.25">
      <c r="B79" s="48">
        <v>52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48"/>
      <c r="P79" s="48">
        <v>1.1000000000000001</v>
      </c>
      <c r="Q79" s="48">
        <v>2.6</v>
      </c>
      <c r="R79" s="61">
        <f t="shared" si="5"/>
        <v>2.2061830744968012E-4</v>
      </c>
    </row>
    <row r="80" spans="2:18" x14ac:dyDescent="0.25">
      <c r="B80" s="48">
        <v>53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8">
        <v>1.1000000000000001</v>
      </c>
      <c r="P80" s="48">
        <v>1.65</v>
      </c>
      <c r="Q80" s="48">
        <v>3.4</v>
      </c>
      <c r="R80" s="61">
        <f t="shared" si="5"/>
        <v>4.9560861881810258E-4</v>
      </c>
    </row>
    <row r="81" spans="2:18" x14ac:dyDescent="0.25">
      <c r="B81" s="48">
        <v>54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48"/>
      <c r="P81" s="48">
        <v>1.35</v>
      </c>
      <c r="Q81" s="48">
        <v>2.4</v>
      </c>
      <c r="R81" s="61">
        <f t="shared" si="5"/>
        <v>1.7328631797641211E-4</v>
      </c>
    </row>
    <row r="82" spans="2:18" x14ac:dyDescent="0.25">
      <c r="B82" s="48">
        <v>55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48"/>
      <c r="P82" s="48">
        <v>1.35</v>
      </c>
      <c r="Q82" s="48">
        <v>3.9</v>
      </c>
      <c r="R82" s="61">
        <f t="shared" si="5"/>
        <v>7.4973688417939016E-4</v>
      </c>
    </row>
    <row r="83" spans="2:18" x14ac:dyDescent="0.25">
      <c r="B83" s="48">
        <v>56</v>
      </c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48">
        <v>1.1000000000000001</v>
      </c>
      <c r="P83" s="48">
        <v>1.6</v>
      </c>
      <c r="Q83" s="48">
        <v>4.8</v>
      </c>
      <c r="R83" s="61">
        <f t="shared" si="5"/>
        <v>1.4027225243088224E-3</v>
      </c>
    </row>
    <row r="84" spans="2:18" x14ac:dyDescent="0.25">
      <c r="B84" s="48">
        <v>57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8"/>
      <c r="P84" s="48">
        <v>1.3</v>
      </c>
      <c r="Q84" s="48">
        <v>2.7</v>
      </c>
      <c r="R84" s="61">
        <f t="shared" si="5"/>
        <v>2.4722445835285794E-4</v>
      </c>
    </row>
    <row r="85" spans="2:18" x14ac:dyDescent="0.25">
      <c r="B85" s="48">
        <v>58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48">
        <v>2.2999999999999998</v>
      </c>
      <c r="P85" s="48">
        <v>1.75</v>
      </c>
      <c r="Q85" s="48">
        <v>4.5</v>
      </c>
      <c r="R85" s="61">
        <f t="shared" si="5"/>
        <v>1.1545403393427955E-3</v>
      </c>
    </row>
    <row r="86" spans="2:18" x14ac:dyDescent="0.25">
      <c r="B86" s="48">
        <v>59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48"/>
      <c r="P86" s="48">
        <v>1.35</v>
      </c>
      <c r="Q86" s="48">
        <v>3.5</v>
      </c>
      <c r="R86" s="61">
        <f t="shared" si="5"/>
        <v>5.4090406766287751E-4</v>
      </c>
    </row>
    <row r="87" spans="2:18" x14ac:dyDescent="0.25">
      <c r="B87" s="48">
        <v>60</v>
      </c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48">
        <v>1.1000000000000001</v>
      </c>
      <c r="P87" s="48">
        <v>1.65</v>
      </c>
      <c r="Q87" s="48">
        <v>3.6</v>
      </c>
      <c r="R87" s="61">
        <f t="shared" si="5"/>
        <v>5.8888650544192491E-4</v>
      </c>
    </row>
    <row r="88" spans="2:18" x14ac:dyDescent="0.25">
      <c r="B88" s="48">
        <v>61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48">
        <v>1.2</v>
      </c>
      <c r="P88" s="48">
        <v>1.7</v>
      </c>
      <c r="Q88" s="48">
        <v>4</v>
      </c>
      <c r="R88" s="61">
        <f t="shared" si="5"/>
        <v>8.0924859009864078E-4</v>
      </c>
    </row>
    <row r="89" spans="2:18" x14ac:dyDescent="0.25">
      <c r="B89" s="48">
        <v>62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48"/>
      <c r="P89" s="48">
        <v>1.25</v>
      </c>
      <c r="Q89" s="48">
        <v>2.8</v>
      </c>
      <c r="R89" s="61">
        <f t="shared" si="5"/>
        <v>2.7589430644461783E-4</v>
      </c>
    </row>
    <row r="90" spans="2:18" x14ac:dyDescent="0.25">
      <c r="B90" s="48">
        <v>63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48"/>
      <c r="P90" s="48">
        <v>1</v>
      </c>
      <c r="Q90" s="48">
        <v>2.7</v>
      </c>
      <c r="R90" s="61">
        <f t="shared" si="5"/>
        <v>2.4722445835285794E-4</v>
      </c>
    </row>
    <row r="91" spans="2:18" x14ac:dyDescent="0.25">
      <c r="B91" s="48">
        <v>64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48">
        <v>1</v>
      </c>
      <c r="P91" s="48">
        <v>1.5</v>
      </c>
      <c r="Q91" s="48">
        <v>3</v>
      </c>
      <c r="R91" s="61">
        <f t="shared" si="5"/>
        <v>3.3973616734486473E-4</v>
      </c>
    </row>
    <row r="92" spans="2:18" x14ac:dyDescent="0.25">
      <c r="B92" s="48">
        <v>65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48">
        <v>1.7</v>
      </c>
      <c r="P92" s="48">
        <v>2</v>
      </c>
      <c r="Q92" s="48">
        <v>4.5999999999999996</v>
      </c>
      <c r="R92" s="61">
        <f t="shared" si="5"/>
        <v>1.2336936682251108E-3</v>
      </c>
    </row>
    <row r="93" spans="2:18" x14ac:dyDescent="0.25">
      <c r="B93" s="48">
        <v>66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48">
        <v>1</v>
      </c>
      <c r="P93" s="48">
        <v>1.65</v>
      </c>
      <c r="Q93" s="48">
        <v>3</v>
      </c>
      <c r="R93" s="61">
        <f t="shared" ref="R93:R113" si="6">0.00001235*Q93^3.017</f>
        <v>3.3973616734486473E-4</v>
      </c>
    </row>
    <row r="94" spans="2:18" x14ac:dyDescent="0.25">
      <c r="B94" s="48">
        <v>67</v>
      </c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48">
        <v>1.5</v>
      </c>
      <c r="P94" s="48">
        <v>1.8</v>
      </c>
      <c r="Q94" s="48">
        <v>4.4000000000000004</v>
      </c>
      <c r="R94" s="61">
        <f t="shared" si="6"/>
        <v>1.0788565001522729E-3</v>
      </c>
    </row>
    <row r="95" spans="2:18" x14ac:dyDescent="0.25">
      <c r="B95" s="48">
        <v>68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48">
        <v>1.4</v>
      </c>
      <c r="P95" s="48">
        <v>1.65</v>
      </c>
      <c r="Q95" s="48">
        <v>3.7</v>
      </c>
      <c r="R95" s="61">
        <f t="shared" si="6"/>
        <v>6.3963402698471018E-4</v>
      </c>
    </row>
    <row r="96" spans="2:18" x14ac:dyDescent="0.25">
      <c r="B96" s="48">
        <v>69</v>
      </c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48">
        <v>2</v>
      </c>
      <c r="P96" s="48">
        <v>1.8</v>
      </c>
      <c r="Q96" s="48">
        <v>4.0999999999999996</v>
      </c>
      <c r="R96" s="61">
        <f t="shared" si="6"/>
        <v>8.7183811850422943E-4</v>
      </c>
    </row>
    <row r="97" spans="2:18" x14ac:dyDescent="0.25">
      <c r="B97" s="48">
        <v>70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48">
        <v>1.5</v>
      </c>
      <c r="P97" s="48">
        <v>1.85</v>
      </c>
      <c r="Q97" s="48">
        <v>4.0999999999999996</v>
      </c>
      <c r="R97" s="61">
        <f t="shared" si="6"/>
        <v>8.7183811850422943E-4</v>
      </c>
    </row>
    <row r="98" spans="2:18" x14ac:dyDescent="0.25">
      <c r="B98" s="48">
        <v>71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48">
        <v>2.2999999999999998</v>
      </c>
      <c r="P98" s="48">
        <v>1.95</v>
      </c>
      <c r="Q98" s="48">
        <v>4.7</v>
      </c>
      <c r="R98" s="61">
        <f t="shared" si="6"/>
        <v>1.3163949118618862E-3</v>
      </c>
    </row>
    <row r="99" spans="2:18" x14ac:dyDescent="0.25">
      <c r="B99" s="48">
        <v>72</v>
      </c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48">
        <v>2</v>
      </c>
      <c r="P99" s="48">
        <v>2</v>
      </c>
      <c r="Q99" s="48">
        <v>4.9000000000000004</v>
      </c>
      <c r="R99" s="61">
        <f t="shared" si="6"/>
        <v>1.4927549880079912E-3</v>
      </c>
    </row>
    <row r="100" spans="2:18" x14ac:dyDescent="0.25">
      <c r="B100" s="48">
        <v>73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48">
        <v>2.2999999999999998</v>
      </c>
      <c r="P100" s="48">
        <v>1.9</v>
      </c>
      <c r="Q100" s="48">
        <v>4.8</v>
      </c>
      <c r="R100" s="61">
        <f t="shared" si="6"/>
        <v>1.4027225243088224E-3</v>
      </c>
    </row>
    <row r="101" spans="2:18" x14ac:dyDescent="0.25">
      <c r="B101" s="48">
        <v>74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48">
        <v>2.4</v>
      </c>
      <c r="P101" s="48">
        <v>2.0499999999999998</v>
      </c>
      <c r="Q101" s="48">
        <v>4.8</v>
      </c>
      <c r="R101" s="61">
        <f t="shared" si="6"/>
        <v>1.4027225243088224E-3</v>
      </c>
    </row>
    <row r="102" spans="2:18" x14ac:dyDescent="0.25">
      <c r="B102" s="48">
        <v>75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48">
        <v>2.4</v>
      </c>
      <c r="P102" s="48">
        <v>2.2999999999999998</v>
      </c>
      <c r="Q102" s="48">
        <v>5.7</v>
      </c>
      <c r="R102" s="61">
        <f t="shared" si="6"/>
        <v>2.3558161633007941E-3</v>
      </c>
    </row>
    <row r="103" spans="2:18" x14ac:dyDescent="0.25">
      <c r="B103" s="48">
        <v>76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48">
        <v>1.9</v>
      </c>
      <c r="P103" s="48">
        <v>2</v>
      </c>
      <c r="Q103" s="48">
        <v>4.3</v>
      </c>
      <c r="R103" s="61">
        <f t="shared" si="6"/>
        <v>1.0065637552173462E-3</v>
      </c>
    </row>
    <row r="104" spans="2:18" x14ac:dyDescent="0.25">
      <c r="B104" s="48">
        <v>77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48">
        <v>2.2999999999999998</v>
      </c>
      <c r="P104" s="48">
        <v>2.1</v>
      </c>
      <c r="Q104" s="48">
        <v>5</v>
      </c>
      <c r="R104" s="61">
        <f t="shared" si="6"/>
        <v>1.5865708132062179E-3</v>
      </c>
    </row>
    <row r="105" spans="2:18" x14ac:dyDescent="0.25">
      <c r="B105" s="48">
        <v>78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48">
        <v>1.8</v>
      </c>
      <c r="P105" s="48">
        <v>2.1</v>
      </c>
      <c r="Q105" s="48">
        <v>5.4</v>
      </c>
      <c r="R105" s="61">
        <f t="shared" si="6"/>
        <v>2.001238876451903E-3</v>
      </c>
    </row>
    <row r="106" spans="2:18" x14ac:dyDescent="0.25">
      <c r="B106" s="48">
        <v>79</v>
      </c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48">
        <v>1.6</v>
      </c>
      <c r="P106" s="48">
        <v>1.8</v>
      </c>
      <c r="Q106" s="48">
        <v>4</v>
      </c>
      <c r="R106" s="61">
        <f t="shared" si="6"/>
        <v>8.0924859009864078E-4</v>
      </c>
    </row>
    <row r="107" spans="2:18" x14ac:dyDescent="0.25">
      <c r="B107" s="48">
        <v>80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48">
        <v>1.4</v>
      </c>
      <c r="P107" s="48">
        <v>2</v>
      </c>
      <c r="Q107" s="48">
        <v>4.5</v>
      </c>
      <c r="R107" s="61">
        <f t="shared" si="6"/>
        <v>1.1545403393427955E-3</v>
      </c>
    </row>
    <row r="108" spans="2:18" x14ac:dyDescent="0.25">
      <c r="B108" s="48">
        <v>81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48">
        <v>3</v>
      </c>
      <c r="P108" s="48">
        <v>2.65</v>
      </c>
      <c r="Q108" s="48">
        <v>5.5</v>
      </c>
      <c r="R108" s="61">
        <f t="shared" si="6"/>
        <v>2.1151500981555814E-3</v>
      </c>
    </row>
    <row r="109" spans="2:18" x14ac:dyDescent="0.25">
      <c r="B109" s="48">
        <v>82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48">
        <v>2.5</v>
      </c>
      <c r="P109" s="48">
        <v>2.2999999999999998</v>
      </c>
      <c r="Q109" s="48">
        <v>5</v>
      </c>
      <c r="R109" s="61">
        <f t="shared" si="6"/>
        <v>1.5865708132062179E-3</v>
      </c>
    </row>
    <row r="110" spans="2:18" x14ac:dyDescent="0.25">
      <c r="B110" s="48">
        <v>83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48">
        <v>2.1</v>
      </c>
      <c r="P110" s="48">
        <v>1.75</v>
      </c>
      <c r="Q110" s="48">
        <v>5</v>
      </c>
      <c r="R110" s="61">
        <f t="shared" si="6"/>
        <v>1.5865708132062179E-3</v>
      </c>
    </row>
    <row r="111" spans="2:18" x14ac:dyDescent="0.25">
      <c r="B111" s="48">
        <v>84</v>
      </c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48">
        <v>2.4</v>
      </c>
      <c r="P111" s="48">
        <v>2.0499999999999998</v>
      </c>
      <c r="Q111" s="48">
        <v>5.0999999999999996</v>
      </c>
      <c r="R111" s="61">
        <f t="shared" si="6"/>
        <v>1.6842485373970448E-3</v>
      </c>
    </row>
    <row r="112" spans="2:18" x14ac:dyDescent="0.25">
      <c r="B112" s="48">
        <v>85</v>
      </c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48">
        <v>2.4</v>
      </c>
      <c r="P112" s="48">
        <v>1.95</v>
      </c>
      <c r="Q112" s="48">
        <v>5</v>
      </c>
      <c r="R112" s="61">
        <f t="shared" si="6"/>
        <v>1.5865708132062179E-3</v>
      </c>
    </row>
    <row r="113" spans="2:18" x14ac:dyDescent="0.25">
      <c r="B113" s="48">
        <v>86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48">
        <v>2.5</v>
      </c>
      <c r="P113" s="48">
        <v>2.0499999999999998</v>
      </c>
      <c r="Q113" s="48">
        <v>5.2</v>
      </c>
      <c r="R113" s="61">
        <f t="shared" si="6"/>
        <v>1.785866724784815E-3</v>
      </c>
    </row>
    <row r="114" spans="2:18" x14ac:dyDescent="0.25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92">
        <f>AVERAGE(O28:O113)</f>
        <v>1.5777777777777784</v>
      </c>
      <c r="P114" s="92">
        <f>AVERAGE(P28:P113)</f>
        <v>1.8029069767441861</v>
      </c>
      <c r="Q114" s="92">
        <f>AVERAGE(Q28:Q113)</f>
        <v>3.9558139534883714</v>
      </c>
      <c r="R114" s="98">
        <f>SUM(R28:R113)</f>
        <v>7.793888867717072E-2</v>
      </c>
    </row>
  </sheetData>
  <phoneticPr fontId="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CA19-369F-4EB1-9843-B52D85DADE71}">
  <dimension ref="B2:Q69"/>
  <sheetViews>
    <sheetView topLeftCell="A55" workbookViewId="0">
      <selection activeCell="G67" sqref="G67"/>
    </sheetView>
  </sheetViews>
  <sheetFormatPr defaultRowHeight="14.4" x14ac:dyDescent="0.25"/>
  <cols>
    <col min="1" max="1" width="4.6640625" style="1" customWidth="1"/>
    <col min="2" max="2" width="19.6640625" style="1" customWidth="1"/>
    <col min="3" max="7" width="8.88671875" style="1"/>
    <col min="8" max="8" width="13.77734375" style="1" customWidth="1"/>
    <col min="9" max="9" width="15.109375" style="1" customWidth="1"/>
    <col min="10" max="16384" width="8.88671875" style="1"/>
  </cols>
  <sheetData>
    <row r="2" spans="2:11" ht="18.600000000000001" customHeight="1" x14ac:dyDescent="0.25">
      <c r="B2" s="90" t="s">
        <v>34</v>
      </c>
      <c r="C2" s="25" t="s">
        <v>52</v>
      </c>
      <c r="D2" s="25" t="s">
        <v>80</v>
      </c>
      <c r="E2" s="25" t="s">
        <v>53</v>
      </c>
      <c r="F2" s="25" t="s">
        <v>81</v>
      </c>
      <c r="G2" s="25" t="s">
        <v>82</v>
      </c>
      <c r="H2" s="25" t="s">
        <v>35</v>
      </c>
      <c r="K2" s="46" t="s">
        <v>149</v>
      </c>
    </row>
    <row r="3" spans="2:11" ht="18.600000000000001" customHeight="1" x14ac:dyDescent="0.25">
      <c r="B3" s="90" t="s">
        <v>36</v>
      </c>
      <c r="C3" s="47">
        <v>122.35209999999999</v>
      </c>
      <c r="D3" s="48">
        <v>122.377</v>
      </c>
      <c r="E3" s="48">
        <v>122.35687339</v>
      </c>
      <c r="F3" s="47">
        <v>122.3711187</v>
      </c>
      <c r="G3" s="47">
        <v>122.3776172</v>
      </c>
      <c r="H3" s="47"/>
      <c r="K3" s="49"/>
    </row>
    <row r="4" spans="2:11" ht="18.600000000000001" customHeight="1" x14ac:dyDescent="0.25">
      <c r="B4" s="90" t="s">
        <v>37</v>
      </c>
      <c r="C4" s="47">
        <v>43.428899999999999</v>
      </c>
      <c r="D4" s="48">
        <v>43.447899999999997</v>
      </c>
      <c r="E4" s="48">
        <v>43.427113570000003</v>
      </c>
      <c r="F4" s="47">
        <v>43.450764409999998</v>
      </c>
      <c r="G4" s="47">
        <v>43.455977730000001</v>
      </c>
      <c r="H4" s="47"/>
      <c r="K4" s="49"/>
    </row>
    <row r="5" spans="2:11" ht="18.600000000000001" customHeight="1" x14ac:dyDescent="0.25">
      <c r="B5" s="90" t="s">
        <v>64</v>
      </c>
      <c r="C5" s="25">
        <f>20*20/10000</f>
        <v>0.04</v>
      </c>
      <c r="D5" s="25">
        <f>20*20/10000</f>
        <v>0.04</v>
      </c>
      <c r="E5" s="48">
        <v>0.04</v>
      </c>
      <c r="F5" s="25">
        <f>20*20/10000</f>
        <v>0.04</v>
      </c>
      <c r="G5" s="25">
        <f>20*20/10000</f>
        <v>0.04</v>
      </c>
      <c r="H5" s="47"/>
      <c r="K5" s="49"/>
    </row>
    <row r="6" spans="2:11" ht="18.600000000000001" customHeight="1" x14ac:dyDescent="0.25">
      <c r="B6" s="90" t="s">
        <v>38</v>
      </c>
      <c r="C6" s="50">
        <f>C62</f>
        <v>5.6029729729729736</v>
      </c>
      <c r="D6" s="50">
        <f>F60</f>
        <v>6.089428571428571</v>
      </c>
      <c r="E6" s="51">
        <f>I59</f>
        <v>7.1864705882352942</v>
      </c>
      <c r="F6" s="50">
        <f>L56</f>
        <v>5.8625806451612892</v>
      </c>
      <c r="G6" s="47">
        <v>5.15</v>
      </c>
      <c r="H6" s="52" t="s">
        <v>43</v>
      </c>
      <c r="K6" s="49"/>
    </row>
    <row r="7" spans="2:11" ht="18.600000000000001" customHeight="1" x14ac:dyDescent="0.25">
      <c r="B7" s="90" t="s">
        <v>39</v>
      </c>
      <c r="C7" s="50">
        <f>D62</f>
        <v>5.2167567567567579</v>
      </c>
      <c r="D7" s="50">
        <f>G60</f>
        <v>4.9694285714285709</v>
      </c>
      <c r="E7" s="67">
        <f>J59</f>
        <v>4.3717647058823514</v>
      </c>
      <c r="F7" s="50">
        <f>M56</f>
        <v>4.8948387096774191</v>
      </c>
      <c r="G7" s="50">
        <v>4.7</v>
      </c>
      <c r="H7" s="52" t="s">
        <v>43</v>
      </c>
      <c r="K7" s="49"/>
    </row>
    <row r="8" spans="2:11" ht="18.600000000000001" customHeight="1" x14ac:dyDescent="0.25">
      <c r="B8" s="90" t="s">
        <v>40</v>
      </c>
      <c r="C8" s="53">
        <v>37</v>
      </c>
      <c r="D8" s="53">
        <v>34</v>
      </c>
      <c r="E8" s="53">
        <v>32</v>
      </c>
      <c r="F8" s="53">
        <v>31</v>
      </c>
      <c r="G8" s="53">
        <v>44</v>
      </c>
      <c r="H8" s="52" t="s">
        <v>43</v>
      </c>
      <c r="K8" s="49"/>
    </row>
    <row r="9" spans="2:11" ht="18.600000000000001" customHeight="1" x14ac:dyDescent="0.25">
      <c r="B9" s="90" t="s">
        <v>65</v>
      </c>
      <c r="C9" s="54">
        <v>0.2</v>
      </c>
      <c r="D9" s="54">
        <v>0.2</v>
      </c>
      <c r="E9" s="54">
        <v>0.2</v>
      </c>
      <c r="F9" s="54">
        <v>0.2</v>
      </c>
      <c r="G9" s="54">
        <v>0.2</v>
      </c>
      <c r="H9" s="52" t="s">
        <v>43</v>
      </c>
      <c r="K9" s="49"/>
    </row>
    <row r="10" spans="2:11" ht="25.8" customHeight="1" x14ac:dyDescent="0.25">
      <c r="B10" s="90" t="s">
        <v>54</v>
      </c>
      <c r="C10" s="55">
        <f>E62/1000</f>
        <v>0.21997590095621625</v>
      </c>
      <c r="D10" s="55">
        <f>H60/1000</f>
        <v>0.24511869393792909</v>
      </c>
      <c r="E10" s="55">
        <f>K59/1000</f>
        <v>0.30048473641467094</v>
      </c>
      <c r="F10" s="55">
        <f>N56/1000</f>
        <v>0.2000014103724789</v>
      </c>
      <c r="G10" s="55">
        <f>Q69/1000</f>
        <v>0.21400612097242813</v>
      </c>
      <c r="H10" s="52" t="s">
        <v>43</v>
      </c>
      <c r="K10" s="49"/>
    </row>
    <row r="11" spans="2:11" ht="25.8" customHeight="1" x14ac:dyDescent="0.25">
      <c r="B11" s="90" t="s">
        <v>63</v>
      </c>
      <c r="C11" s="54">
        <f t="shared" ref="C11" si="0">C10/C5</f>
        <v>5.4993975239054063</v>
      </c>
      <c r="D11" s="54">
        <f>D10/D5</f>
        <v>6.1279673484482275</v>
      </c>
      <c r="E11" s="54">
        <f>E10/E5</f>
        <v>7.5121184103667735</v>
      </c>
      <c r="F11" s="54">
        <f>F10/F5</f>
        <v>5.0000352593119723</v>
      </c>
      <c r="G11" s="54">
        <f>G10/G5</f>
        <v>5.3501530243107034</v>
      </c>
      <c r="H11" s="52" t="s">
        <v>43</v>
      </c>
      <c r="K11" s="49"/>
    </row>
    <row r="12" spans="2:11" x14ac:dyDescent="0.25">
      <c r="B12" s="91" t="s">
        <v>41</v>
      </c>
      <c r="C12" s="51">
        <f>C11*44/12</f>
        <v>20.164457587653157</v>
      </c>
      <c r="D12" s="51">
        <f>D11*44/12</f>
        <v>22.469213610976833</v>
      </c>
      <c r="E12" s="51">
        <f>E11*44/12</f>
        <v>27.544434171344836</v>
      </c>
      <c r="F12" s="51">
        <f t="shared" ref="F12:G12" si="1">F11*44/12</f>
        <v>18.333462617477231</v>
      </c>
      <c r="G12" s="51">
        <f t="shared" si="1"/>
        <v>19.617227755805914</v>
      </c>
      <c r="H12" s="51"/>
    </row>
    <row r="15" spans="2:11" ht="27.6" x14ac:dyDescent="0.25">
      <c r="B15" s="90"/>
      <c r="C15" s="47" t="s">
        <v>70</v>
      </c>
      <c r="D15" s="25" t="s">
        <v>71</v>
      </c>
    </row>
    <row r="16" spans="2:11" x14ac:dyDescent="0.25">
      <c r="B16" s="90"/>
      <c r="C16" s="47" t="s">
        <v>72</v>
      </c>
      <c r="D16" s="47" t="s">
        <v>72</v>
      </c>
    </row>
    <row r="17" spans="2:17" x14ac:dyDescent="0.25">
      <c r="B17" s="90" t="s">
        <v>73</v>
      </c>
      <c r="C17" s="57">
        <f>AVERAGE(C11:G11)</f>
        <v>5.8979343132686166</v>
      </c>
      <c r="D17" s="57">
        <f>STDEVA(C11:G11)</f>
        <v>0.99040700228530631</v>
      </c>
    </row>
    <row r="18" spans="2:17" x14ac:dyDescent="0.25">
      <c r="B18" s="90" t="s">
        <v>74</v>
      </c>
      <c r="C18" s="57">
        <f>AVERAGE(C11:G11)</f>
        <v>5.8979343132686166</v>
      </c>
      <c r="D18" s="57">
        <f>STDEVA(C11:G11)</f>
        <v>0.99040700228530631</v>
      </c>
    </row>
    <row r="19" spans="2:17" x14ac:dyDescent="0.25">
      <c r="B19" s="90"/>
      <c r="C19" s="57"/>
      <c r="D19" s="57"/>
    </row>
    <row r="20" spans="2:17" x14ac:dyDescent="0.25">
      <c r="B20" s="91" t="s">
        <v>75</v>
      </c>
      <c r="C20" s="57">
        <f>AVERAGE(C12:G12)</f>
        <v>21.625759148651593</v>
      </c>
      <c r="D20" s="57"/>
    </row>
    <row r="23" spans="2:17" x14ac:dyDescent="0.25">
      <c r="B23" s="48"/>
      <c r="C23" s="105" t="s">
        <v>52</v>
      </c>
      <c r="D23" s="106"/>
      <c r="E23" s="107"/>
      <c r="F23" s="105" t="s">
        <v>80</v>
      </c>
      <c r="G23" s="106"/>
      <c r="H23" s="107"/>
      <c r="I23" s="105" t="s">
        <v>53</v>
      </c>
      <c r="J23" s="106"/>
      <c r="K23" s="107"/>
      <c r="L23" s="105" t="s">
        <v>81</v>
      </c>
      <c r="M23" s="106"/>
      <c r="N23" s="107"/>
      <c r="O23" s="105" t="s">
        <v>82</v>
      </c>
      <c r="P23" s="106"/>
      <c r="Q23" s="107"/>
    </row>
    <row r="24" spans="2:17" ht="41.4" x14ac:dyDescent="0.25">
      <c r="B24" s="48" t="s">
        <v>126</v>
      </c>
      <c r="C24" s="48" t="s">
        <v>84</v>
      </c>
      <c r="D24" s="58" t="s">
        <v>85</v>
      </c>
      <c r="E24" s="60" t="s">
        <v>54</v>
      </c>
      <c r="F24" s="58" t="s">
        <v>84</v>
      </c>
      <c r="G24" s="58" t="s">
        <v>85</v>
      </c>
      <c r="H24" s="60" t="s">
        <v>54</v>
      </c>
      <c r="I24" s="58" t="s">
        <v>84</v>
      </c>
      <c r="J24" s="58" t="s">
        <v>85</v>
      </c>
      <c r="K24" s="60" t="s">
        <v>54</v>
      </c>
      <c r="L24" s="58" t="s">
        <v>84</v>
      </c>
      <c r="M24" s="58" t="s">
        <v>85</v>
      </c>
      <c r="N24" s="60" t="s">
        <v>54</v>
      </c>
      <c r="O24" s="58" t="s">
        <v>84</v>
      </c>
      <c r="P24" s="58" t="s">
        <v>85</v>
      </c>
      <c r="Q24" s="60" t="s">
        <v>54</v>
      </c>
    </row>
    <row r="25" spans="2:17" x14ac:dyDescent="0.25">
      <c r="B25" s="48">
        <v>1</v>
      </c>
      <c r="C25" s="48">
        <v>5.32</v>
      </c>
      <c r="D25" s="48">
        <v>5.12</v>
      </c>
      <c r="E25" s="51">
        <f>0.045*(C25^2*D25)^0.906*(1+$C$9)</f>
        <v>4.9016717237261807</v>
      </c>
      <c r="F25" s="48">
        <v>8.61</v>
      </c>
      <c r="G25" s="48">
        <v>5.62</v>
      </c>
      <c r="H25" s="51">
        <f t="shared" ref="H25:H59" si="2">0.045*(F25^2*G25)^0.906*(1+$D$9)</f>
        <v>12.760878456410408</v>
      </c>
      <c r="I25" s="48">
        <v>7.49</v>
      </c>
      <c r="J25" s="48">
        <v>4.75</v>
      </c>
      <c r="K25" s="51">
        <f t="shared" ref="K25:K58" si="3">0.045*(I25^2*J25)^0.906*(1+$E$9)</f>
        <v>8.5121491320213902</v>
      </c>
      <c r="L25" s="58">
        <v>5.4</v>
      </c>
      <c r="M25" s="58">
        <v>4.8</v>
      </c>
      <c r="N25" s="51">
        <f t="shared" ref="N25:N55" si="4">0.045*(L25^2*M25)^0.906*(1+$F$9)</f>
        <v>4.7500241064764053</v>
      </c>
      <c r="O25" s="48">
        <v>3.4</v>
      </c>
      <c r="P25" s="48">
        <v>3.3</v>
      </c>
      <c r="Q25" s="51">
        <f t="shared" ref="Q25:Q68" si="5">0.045*(O25^2*P25)^0.906*(1+$G$9)</f>
        <v>1.4628748955575213</v>
      </c>
    </row>
    <row r="26" spans="2:17" x14ac:dyDescent="0.25">
      <c r="B26" s="48">
        <v>2</v>
      </c>
      <c r="C26" s="48">
        <v>4.82</v>
      </c>
      <c r="D26" s="48">
        <v>5.5</v>
      </c>
      <c r="E26" s="51">
        <f t="shared" ref="E26:E61" si="6">0.045*(C26^2*D26)^0.906*(1+$C$9)</f>
        <v>4.3736456090166724</v>
      </c>
      <c r="F26" s="48">
        <v>9.51</v>
      </c>
      <c r="G26" s="48">
        <v>6.35</v>
      </c>
      <c r="H26" s="51">
        <f t="shared" si="2"/>
        <v>17.067497646139859</v>
      </c>
      <c r="I26" s="48">
        <v>6.79</v>
      </c>
      <c r="J26" s="48">
        <v>4.17</v>
      </c>
      <c r="K26" s="51">
        <f t="shared" si="3"/>
        <v>6.3326437446883208</v>
      </c>
      <c r="L26" s="58">
        <v>6.36</v>
      </c>
      <c r="M26" s="58">
        <v>5.4</v>
      </c>
      <c r="N26" s="51">
        <f t="shared" si="4"/>
        <v>7.1089719360785928</v>
      </c>
      <c r="O26" s="48">
        <v>5.6</v>
      </c>
      <c r="P26" s="48">
        <v>4.9000000000000004</v>
      </c>
      <c r="Q26" s="51">
        <f t="shared" si="5"/>
        <v>5.1692568659362754</v>
      </c>
    </row>
    <row r="27" spans="2:17" x14ac:dyDescent="0.25">
      <c r="B27" s="48">
        <v>3</v>
      </c>
      <c r="C27" s="48">
        <v>4.55</v>
      </c>
      <c r="D27" s="48">
        <v>4.9400000000000004</v>
      </c>
      <c r="E27" s="51">
        <f t="shared" si="6"/>
        <v>3.5745965040562915</v>
      </c>
      <c r="F27" s="48">
        <v>7.56</v>
      </c>
      <c r="G27" s="48">
        <v>5.62</v>
      </c>
      <c r="H27" s="51">
        <f t="shared" si="2"/>
        <v>10.081760011402849</v>
      </c>
      <c r="I27" s="48">
        <v>6.41</v>
      </c>
      <c r="J27" s="48">
        <v>4.58</v>
      </c>
      <c r="K27" s="51">
        <f t="shared" si="3"/>
        <v>6.2110443792258323</v>
      </c>
      <c r="L27" s="58">
        <v>4.5599999999999996</v>
      </c>
      <c r="M27" s="58">
        <v>4.4400000000000004</v>
      </c>
      <c r="N27" s="51">
        <f t="shared" si="4"/>
        <v>3.2581196238699044</v>
      </c>
      <c r="O27" s="48">
        <v>6.1</v>
      </c>
      <c r="P27" s="48">
        <v>6</v>
      </c>
      <c r="Q27" s="51">
        <f t="shared" si="5"/>
        <v>7.2513096945765572</v>
      </c>
    </row>
    <row r="28" spans="2:17" x14ac:dyDescent="0.25">
      <c r="B28" s="48">
        <v>4</v>
      </c>
      <c r="C28" s="48">
        <v>7.31</v>
      </c>
      <c r="D28" s="48">
        <v>5.48</v>
      </c>
      <c r="E28" s="51">
        <f t="shared" si="6"/>
        <v>9.2714408695535191</v>
      </c>
      <c r="F28" s="48">
        <v>9.93</v>
      </c>
      <c r="G28" s="48">
        <v>5.98</v>
      </c>
      <c r="H28" s="51">
        <f t="shared" si="2"/>
        <v>17.480629608919465</v>
      </c>
      <c r="I28" s="48">
        <v>10.29</v>
      </c>
      <c r="J28" s="48">
        <v>5.08</v>
      </c>
      <c r="K28" s="51">
        <f t="shared" si="3"/>
        <v>16.084328790379605</v>
      </c>
      <c r="L28" s="58">
        <v>5.04</v>
      </c>
      <c r="M28" s="58">
        <v>4.8</v>
      </c>
      <c r="N28" s="51">
        <f t="shared" si="4"/>
        <v>4.1918183349316207</v>
      </c>
      <c r="O28" s="48">
        <v>5.3</v>
      </c>
      <c r="P28" s="48">
        <v>5.5</v>
      </c>
      <c r="Q28" s="51">
        <f t="shared" si="5"/>
        <v>5.1945775257531785</v>
      </c>
    </row>
    <row r="29" spans="2:17" x14ac:dyDescent="0.25">
      <c r="B29" s="48">
        <v>5</v>
      </c>
      <c r="C29" s="48">
        <v>7.04</v>
      </c>
      <c r="D29" s="48">
        <v>5.85</v>
      </c>
      <c r="E29" s="51">
        <f t="shared" si="6"/>
        <v>9.1883733361472064</v>
      </c>
      <c r="F29" s="48">
        <v>8.59</v>
      </c>
      <c r="G29" s="48">
        <v>4.8</v>
      </c>
      <c r="H29" s="51">
        <f t="shared" si="2"/>
        <v>11.015239232787691</v>
      </c>
      <c r="I29" s="48">
        <v>9.91</v>
      </c>
      <c r="J29" s="48">
        <v>5.42</v>
      </c>
      <c r="K29" s="51">
        <f t="shared" si="3"/>
        <v>15.93245040810689</v>
      </c>
      <c r="L29" s="58">
        <v>8.16</v>
      </c>
      <c r="M29" s="58">
        <v>5.4</v>
      </c>
      <c r="N29" s="51">
        <f t="shared" si="4"/>
        <v>11.166705789580591</v>
      </c>
      <c r="O29" s="48">
        <v>3.2</v>
      </c>
      <c r="P29" s="48">
        <v>3.5</v>
      </c>
      <c r="Q29" s="51">
        <f t="shared" si="5"/>
        <v>1.3824555256799793</v>
      </c>
    </row>
    <row r="30" spans="2:17" x14ac:dyDescent="0.25">
      <c r="B30" s="48">
        <v>6</v>
      </c>
      <c r="C30" s="48">
        <v>8.73</v>
      </c>
      <c r="D30" s="48">
        <v>6.47</v>
      </c>
      <c r="E30" s="51">
        <f t="shared" si="6"/>
        <v>14.865887699130663</v>
      </c>
      <c r="F30" s="48">
        <v>6.31</v>
      </c>
      <c r="G30" s="48">
        <v>4.62</v>
      </c>
      <c r="H30" s="51">
        <f t="shared" si="2"/>
        <v>6.0843275830247121</v>
      </c>
      <c r="I30" s="48">
        <v>12.29</v>
      </c>
      <c r="J30" s="48">
        <v>6</v>
      </c>
      <c r="K30" s="51">
        <f t="shared" si="3"/>
        <v>25.802798117821958</v>
      </c>
      <c r="L30" s="58">
        <v>5.4</v>
      </c>
      <c r="M30" s="58">
        <v>4.92</v>
      </c>
      <c r="N30" s="51">
        <f t="shared" si="4"/>
        <v>4.8574868741723325</v>
      </c>
      <c r="O30" s="48">
        <v>5.4</v>
      </c>
      <c r="P30" s="48">
        <v>5</v>
      </c>
      <c r="Q30" s="51">
        <f t="shared" si="5"/>
        <v>4.9289915832144802</v>
      </c>
    </row>
    <row r="31" spans="2:17" x14ac:dyDescent="0.25">
      <c r="B31" s="48">
        <v>7</v>
      </c>
      <c r="C31" s="48">
        <v>4.91</v>
      </c>
      <c r="D31" s="48">
        <v>4.76</v>
      </c>
      <c r="E31" s="51">
        <f t="shared" si="6"/>
        <v>3.9677593407226355</v>
      </c>
      <c r="F31" s="48">
        <v>7.76</v>
      </c>
      <c r="G31" s="48">
        <v>5.71</v>
      </c>
      <c r="H31" s="51">
        <f t="shared" si="2"/>
        <v>10.723474238902165</v>
      </c>
      <c r="I31" s="48">
        <v>0.73</v>
      </c>
      <c r="J31" s="48">
        <v>1.42</v>
      </c>
      <c r="K31" s="51">
        <f t="shared" si="3"/>
        <v>4.1947687346953332E-2</v>
      </c>
      <c r="L31" s="58">
        <v>6.48</v>
      </c>
      <c r="M31" s="58">
        <v>3.6</v>
      </c>
      <c r="N31" s="51">
        <f t="shared" si="4"/>
        <v>5.0930476118692329</v>
      </c>
      <c r="O31" s="48">
        <v>6.3</v>
      </c>
      <c r="P31" s="48">
        <v>4.9000000000000004</v>
      </c>
      <c r="Q31" s="51">
        <f t="shared" si="5"/>
        <v>6.3990644445043028</v>
      </c>
    </row>
    <row r="32" spans="2:17" x14ac:dyDescent="0.25">
      <c r="B32" s="48">
        <v>8</v>
      </c>
      <c r="C32" s="48">
        <v>5.13</v>
      </c>
      <c r="D32" s="48">
        <v>4.1399999999999997</v>
      </c>
      <c r="E32" s="51">
        <f t="shared" si="6"/>
        <v>3.785547800720519</v>
      </c>
      <c r="F32" s="48">
        <v>3.85</v>
      </c>
      <c r="G32" s="48">
        <v>3.89</v>
      </c>
      <c r="H32" s="51">
        <f t="shared" si="2"/>
        <v>2.126879770248332</v>
      </c>
      <c r="I32" s="48">
        <v>4.43</v>
      </c>
      <c r="J32" s="48">
        <v>3.83</v>
      </c>
      <c r="K32" s="51">
        <f t="shared" si="3"/>
        <v>2.7043033176746261</v>
      </c>
      <c r="L32" s="58">
        <v>1.8</v>
      </c>
      <c r="M32" s="58">
        <v>2.4</v>
      </c>
      <c r="N32" s="51">
        <f t="shared" si="4"/>
        <v>0.34627323481518618</v>
      </c>
      <c r="O32" s="48">
        <v>6.2</v>
      </c>
      <c r="P32" s="48">
        <v>5.5</v>
      </c>
      <c r="Q32" s="51">
        <f t="shared" si="5"/>
        <v>6.9020181638159972</v>
      </c>
    </row>
    <row r="33" spans="2:17" x14ac:dyDescent="0.25">
      <c r="B33" s="48">
        <v>9</v>
      </c>
      <c r="C33" s="48">
        <v>7.32</v>
      </c>
      <c r="D33" s="48">
        <v>5.57</v>
      </c>
      <c r="E33" s="51">
        <f t="shared" si="6"/>
        <v>9.432626659349161</v>
      </c>
      <c r="F33" s="48">
        <v>4.3499999999999996</v>
      </c>
      <c r="G33" s="48">
        <v>4.62</v>
      </c>
      <c r="H33" s="51">
        <f t="shared" si="2"/>
        <v>3.1010011213247295</v>
      </c>
      <c r="I33" s="48">
        <v>4.01</v>
      </c>
      <c r="J33" s="48">
        <v>3.33</v>
      </c>
      <c r="K33" s="51">
        <f t="shared" si="3"/>
        <v>1.9889590357663924</v>
      </c>
      <c r="L33" s="58">
        <v>4.8</v>
      </c>
      <c r="M33" s="58">
        <v>4.08</v>
      </c>
      <c r="N33" s="51">
        <f t="shared" si="4"/>
        <v>3.3117762681260903</v>
      </c>
      <c r="O33" s="48">
        <v>6.6</v>
      </c>
      <c r="P33" s="48">
        <v>6</v>
      </c>
      <c r="Q33" s="51">
        <f t="shared" si="5"/>
        <v>8.3639687955051567</v>
      </c>
    </row>
    <row r="34" spans="2:17" x14ac:dyDescent="0.25">
      <c r="B34" s="48">
        <v>10</v>
      </c>
      <c r="C34" s="48">
        <v>8.08</v>
      </c>
      <c r="D34" s="48">
        <v>6.29</v>
      </c>
      <c r="E34" s="51">
        <f t="shared" si="6"/>
        <v>12.595071298894165</v>
      </c>
      <c r="F34" s="48">
        <v>6.35</v>
      </c>
      <c r="G34" s="48">
        <v>5.53</v>
      </c>
      <c r="H34" s="51">
        <f t="shared" si="2"/>
        <v>7.2431706777006397</v>
      </c>
      <c r="I34" s="48">
        <v>3.95</v>
      </c>
      <c r="J34" s="48">
        <v>3.58</v>
      </c>
      <c r="K34" s="51">
        <f t="shared" si="3"/>
        <v>2.0665490567643676</v>
      </c>
      <c r="L34" s="58">
        <v>4.92</v>
      </c>
      <c r="M34" s="58">
        <v>5.4</v>
      </c>
      <c r="N34" s="51">
        <f t="shared" si="4"/>
        <v>4.4646073761560148</v>
      </c>
      <c r="O34" s="48">
        <v>7.1</v>
      </c>
      <c r="P34" s="48">
        <v>5.9</v>
      </c>
      <c r="Q34" s="51">
        <f t="shared" si="5"/>
        <v>9.402986449410653</v>
      </c>
    </row>
    <row r="35" spans="2:17" x14ac:dyDescent="0.25">
      <c r="B35" s="48">
        <v>11</v>
      </c>
      <c r="C35" s="48">
        <v>6.43</v>
      </c>
      <c r="D35" s="48">
        <v>5.57</v>
      </c>
      <c r="E35" s="51">
        <f t="shared" si="6"/>
        <v>7.457905045367589</v>
      </c>
      <c r="F35" s="48">
        <v>7.19</v>
      </c>
      <c r="G35" s="48">
        <v>6.16</v>
      </c>
      <c r="H35" s="51">
        <f t="shared" si="2"/>
        <v>10.003376952305656</v>
      </c>
      <c r="I35" s="48">
        <v>9.51</v>
      </c>
      <c r="J35" s="48">
        <v>5</v>
      </c>
      <c r="K35" s="51">
        <f t="shared" si="3"/>
        <v>13.744333369262193</v>
      </c>
      <c r="L35" s="58">
        <v>4.2</v>
      </c>
      <c r="M35" s="58">
        <v>4.4400000000000004</v>
      </c>
      <c r="N35" s="51">
        <f t="shared" si="4"/>
        <v>2.8070519161837728</v>
      </c>
      <c r="O35" s="48">
        <v>2.8</v>
      </c>
      <c r="P35" s="48">
        <v>3.9</v>
      </c>
      <c r="Q35" s="51">
        <f t="shared" si="5"/>
        <v>1.1971502114732857</v>
      </c>
    </row>
    <row r="36" spans="2:17" x14ac:dyDescent="0.25">
      <c r="B36" s="48">
        <v>12</v>
      </c>
      <c r="C36" s="48">
        <v>8.44</v>
      </c>
      <c r="D36" s="48">
        <v>5.93</v>
      </c>
      <c r="E36" s="51">
        <f t="shared" si="6"/>
        <v>12.921526580581782</v>
      </c>
      <c r="F36" s="48">
        <v>4.3499999999999996</v>
      </c>
      <c r="G36" s="48">
        <v>4.62</v>
      </c>
      <c r="H36" s="51">
        <f t="shared" si="2"/>
        <v>3.1010011213247295</v>
      </c>
      <c r="I36" s="48">
        <v>6.91</v>
      </c>
      <c r="J36" s="48">
        <v>4.42</v>
      </c>
      <c r="K36" s="51">
        <f t="shared" si="3"/>
        <v>6.8909731494144619</v>
      </c>
      <c r="L36" s="58">
        <v>10.32</v>
      </c>
      <c r="M36" s="58">
        <v>6.36</v>
      </c>
      <c r="N36" s="51">
        <f t="shared" si="4"/>
        <v>19.82045035075685</v>
      </c>
      <c r="O36" s="48">
        <v>3.6</v>
      </c>
      <c r="P36" s="48">
        <v>4.3</v>
      </c>
      <c r="Q36" s="51">
        <f t="shared" si="5"/>
        <v>2.0622262561459146</v>
      </c>
    </row>
    <row r="37" spans="2:17" x14ac:dyDescent="0.25">
      <c r="B37" s="48">
        <v>13</v>
      </c>
      <c r="C37" s="48">
        <v>7.3</v>
      </c>
      <c r="D37" s="48">
        <v>5.76</v>
      </c>
      <c r="E37" s="51">
        <f t="shared" si="6"/>
        <v>9.6755921243186798</v>
      </c>
      <c r="F37" s="48">
        <v>6.35</v>
      </c>
      <c r="G37" s="48">
        <v>5.53</v>
      </c>
      <c r="H37" s="51">
        <f t="shared" si="2"/>
        <v>7.2431706777006397</v>
      </c>
      <c r="I37" s="48">
        <v>5.81</v>
      </c>
      <c r="J37" s="48">
        <v>3.83</v>
      </c>
      <c r="K37" s="51">
        <f t="shared" si="3"/>
        <v>4.4203738487581941</v>
      </c>
      <c r="L37" s="58">
        <v>2.4</v>
      </c>
      <c r="M37" s="58">
        <v>2.9</v>
      </c>
      <c r="N37" s="51">
        <f t="shared" si="4"/>
        <v>0.6922598053155391</v>
      </c>
      <c r="O37" s="48">
        <v>5.4</v>
      </c>
      <c r="P37" s="48">
        <v>4.0999999999999996</v>
      </c>
      <c r="Q37" s="51">
        <f t="shared" si="5"/>
        <v>4.1178775367313598</v>
      </c>
    </row>
    <row r="38" spans="2:17" x14ac:dyDescent="0.25">
      <c r="B38" s="48">
        <v>14</v>
      </c>
      <c r="C38" s="48">
        <v>5.37</v>
      </c>
      <c r="D38" s="48">
        <v>6.58</v>
      </c>
      <c r="E38" s="51">
        <f t="shared" si="6"/>
        <v>6.2577732883478463</v>
      </c>
      <c r="F38" s="48">
        <v>5.35</v>
      </c>
      <c r="G38" s="48">
        <v>4.9800000000000004</v>
      </c>
      <c r="H38" s="51">
        <f t="shared" si="2"/>
        <v>4.8290377162549989</v>
      </c>
      <c r="I38" s="48">
        <v>10.31</v>
      </c>
      <c r="J38" s="48">
        <v>5.17</v>
      </c>
      <c r="K38" s="51">
        <f t="shared" si="3"/>
        <v>16.399888424286971</v>
      </c>
      <c r="L38" s="48">
        <v>5.5</v>
      </c>
      <c r="M38" s="48">
        <v>4</v>
      </c>
      <c r="N38" s="51">
        <f t="shared" si="4"/>
        <v>4.1629127181246117</v>
      </c>
      <c r="O38" s="48">
        <v>3.1</v>
      </c>
      <c r="P38" s="48">
        <v>3.4</v>
      </c>
      <c r="Q38" s="51">
        <f t="shared" si="5"/>
        <v>1.2713380577992537</v>
      </c>
    </row>
    <row r="39" spans="2:17" x14ac:dyDescent="0.25">
      <c r="B39" s="48">
        <v>15</v>
      </c>
      <c r="C39" s="48">
        <v>6.6</v>
      </c>
      <c r="D39" s="48">
        <v>5.66</v>
      </c>
      <c r="E39" s="51">
        <f t="shared" si="6"/>
        <v>7.933394626236586</v>
      </c>
      <c r="F39" s="48">
        <v>8.6</v>
      </c>
      <c r="G39" s="48">
        <v>5.53</v>
      </c>
      <c r="H39" s="51">
        <f t="shared" si="2"/>
        <v>12.549138788116247</v>
      </c>
      <c r="I39" s="48">
        <v>9.3800000000000008</v>
      </c>
      <c r="J39" s="48">
        <v>5.83</v>
      </c>
      <c r="K39" s="51">
        <f t="shared" si="3"/>
        <v>15.407103980648436</v>
      </c>
      <c r="L39" s="48">
        <v>6.4</v>
      </c>
      <c r="M39" s="48">
        <v>5</v>
      </c>
      <c r="N39" s="51">
        <f t="shared" si="4"/>
        <v>6.7059250725766626</v>
      </c>
      <c r="O39" s="48">
        <v>7.1</v>
      </c>
      <c r="P39" s="48">
        <v>5.3</v>
      </c>
      <c r="Q39" s="51">
        <f t="shared" si="5"/>
        <v>8.5323335658478818</v>
      </c>
    </row>
    <row r="40" spans="2:17" x14ac:dyDescent="0.25">
      <c r="B40" s="48">
        <v>16</v>
      </c>
      <c r="C40" s="48">
        <v>4.2699999999999996</v>
      </c>
      <c r="D40" s="48">
        <v>5.86</v>
      </c>
      <c r="E40" s="51">
        <f t="shared" si="6"/>
        <v>3.71915526572886</v>
      </c>
      <c r="F40" s="48">
        <v>8.2799999999999994</v>
      </c>
      <c r="G40" s="48">
        <v>5.9</v>
      </c>
      <c r="H40" s="51">
        <f t="shared" si="2"/>
        <v>12.423862968972962</v>
      </c>
      <c r="I40" s="48">
        <v>9.06</v>
      </c>
      <c r="J40" s="48">
        <v>5.17</v>
      </c>
      <c r="K40" s="51">
        <f t="shared" si="3"/>
        <v>12.97575049400519</v>
      </c>
      <c r="L40" s="48">
        <v>7.1</v>
      </c>
      <c r="M40" s="48">
        <v>5.0999999999999996</v>
      </c>
      <c r="N40" s="51">
        <f t="shared" si="4"/>
        <v>8.2400997157277036</v>
      </c>
      <c r="O40" s="48">
        <v>6.2</v>
      </c>
      <c r="P40" s="48">
        <v>5.0999999999999996</v>
      </c>
      <c r="Q40" s="51">
        <f t="shared" si="5"/>
        <v>6.4456405190602091</v>
      </c>
    </row>
    <row r="41" spans="2:17" x14ac:dyDescent="0.25">
      <c r="B41" s="48">
        <v>17</v>
      </c>
      <c r="C41" s="48">
        <v>4.6900000000000004</v>
      </c>
      <c r="D41" s="48">
        <v>4.58</v>
      </c>
      <c r="E41" s="51">
        <f t="shared" si="6"/>
        <v>3.5261686008594961</v>
      </c>
      <c r="F41" s="48">
        <v>10.27</v>
      </c>
      <c r="G41" s="48">
        <v>6.53</v>
      </c>
      <c r="H41" s="51">
        <f t="shared" si="2"/>
        <v>20.121981522210103</v>
      </c>
      <c r="I41" s="48">
        <v>9.89</v>
      </c>
      <c r="J41" s="48">
        <v>5.5</v>
      </c>
      <c r="K41" s="51">
        <f t="shared" si="3"/>
        <v>16.086369379952242</v>
      </c>
      <c r="L41" s="48">
        <v>6.1</v>
      </c>
      <c r="M41" s="48">
        <v>4.3</v>
      </c>
      <c r="N41" s="51">
        <f t="shared" si="4"/>
        <v>5.3620868206570584</v>
      </c>
      <c r="O41" s="48">
        <v>5.3</v>
      </c>
      <c r="P41" s="48">
        <v>3.5</v>
      </c>
      <c r="Q41" s="51">
        <f t="shared" si="5"/>
        <v>3.4491118940504584</v>
      </c>
    </row>
    <row r="42" spans="2:17" x14ac:dyDescent="0.25">
      <c r="B42" s="48">
        <v>18</v>
      </c>
      <c r="C42" s="48">
        <v>5.4</v>
      </c>
      <c r="D42" s="48">
        <v>5.48</v>
      </c>
      <c r="E42" s="51">
        <f t="shared" si="6"/>
        <v>5.3558257458682803</v>
      </c>
      <c r="F42" s="48">
        <v>5.77</v>
      </c>
      <c r="G42" s="48">
        <v>4.8</v>
      </c>
      <c r="H42" s="51">
        <f t="shared" si="2"/>
        <v>5.3561026823889311</v>
      </c>
      <c r="I42" s="48">
        <v>10.28</v>
      </c>
      <c r="J42" s="48">
        <v>4.42</v>
      </c>
      <c r="K42" s="51">
        <f t="shared" si="3"/>
        <v>14.153956600430369</v>
      </c>
      <c r="L42" s="48">
        <v>7.1</v>
      </c>
      <c r="M42" s="48">
        <v>4.4000000000000004</v>
      </c>
      <c r="N42" s="51">
        <f t="shared" si="4"/>
        <v>7.2084520281926503</v>
      </c>
      <c r="O42" s="48">
        <v>4.4000000000000004</v>
      </c>
      <c r="P42" s="48">
        <v>4</v>
      </c>
      <c r="Q42" s="51">
        <f t="shared" si="5"/>
        <v>2.7784101813646265</v>
      </c>
    </row>
    <row r="43" spans="2:17" x14ac:dyDescent="0.25">
      <c r="B43" s="48">
        <v>19</v>
      </c>
      <c r="C43" s="48">
        <v>6.11</v>
      </c>
      <c r="D43" s="48">
        <v>6.11</v>
      </c>
      <c r="E43" s="51">
        <f t="shared" si="6"/>
        <v>7.3935628543588336</v>
      </c>
      <c r="F43" s="48">
        <v>4.8499999999999996</v>
      </c>
      <c r="G43" s="48">
        <v>4.18</v>
      </c>
      <c r="H43" s="51">
        <f t="shared" si="2"/>
        <v>3.449399542738909</v>
      </c>
      <c r="I43" s="48">
        <v>7.56</v>
      </c>
      <c r="J43" s="48">
        <v>4.25</v>
      </c>
      <c r="K43" s="51">
        <f t="shared" si="3"/>
        <v>7.8270052278635536</v>
      </c>
      <c r="L43" s="48">
        <v>3.2</v>
      </c>
      <c r="M43" s="48">
        <v>3.7</v>
      </c>
      <c r="N43" s="51">
        <f t="shared" si="4"/>
        <v>1.4538388918286549</v>
      </c>
      <c r="O43" s="48">
        <v>4.5999999999999996</v>
      </c>
      <c r="P43" s="48">
        <v>4.2</v>
      </c>
      <c r="Q43" s="51">
        <f t="shared" si="5"/>
        <v>3.1475657283264771</v>
      </c>
    </row>
    <row r="44" spans="2:17" x14ac:dyDescent="0.25">
      <c r="B44" s="48">
        <v>20</v>
      </c>
      <c r="C44" s="48">
        <v>5.47</v>
      </c>
      <c r="D44" s="48">
        <v>6.03</v>
      </c>
      <c r="E44" s="51">
        <f t="shared" si="6"/>
        <v>5.9785281702350535</v>
      </c>
      <c r="F44" s="48">
        <v>6.43</v>
      </c>
      <c r="G44" s="48">
        <v>6.08</v>
      </c>
      <c r="H44" s="51">
        <f t="shared" si="2"/>
        <v>8.0739988939885947</v>
      </c>
      <c r="I44" s="48">
        <v>9.3000000000000007</v>
      </c>
      <c r="J44" s="48">
        <v>5.25</v>
      </c>
      <c r="K44" s="51">
        <f t="shared" si="3"/>
        <v>13.795873118755358</v>
      </c>
      <c r="L44" s="48">
        <v>5.4</v>
      </c>
      <c r="M44" s="48">
        <v>5.0999999999999996</v>
      </c>
      <c r="N44" s="51">
        <f t="shared" si="4"/>
        <v>5.0182215621502486</v>
      </c>
      <c r="O44" s="48">
        <v>3.9</v>
      </c>
      <c r="P44" s="48">
        <v>4</v>
      </c>
      <c r="Q44" s="51">
        <f t="shared" si="5"/>
        <v>2.2328995176637974</v>
      </c>
    </row>
    <row r="45" spans="2:17" x14ac:dyDescent="0.25">
      <c r="B45" s="48">
        <v>21</v>
      </c>
      <c r="C45" s="48">
        <v>5.47</v>
      </c>
      <c r="D45" s="48">
        <v>6.57</v>
      </c>
      <c r="E45" s="51">
        <f t="shared" si="6"/>
        <v>6.4616141357750401</v>
      </c>
      <c r="F45" s="48">
        <v>6.43</v>
      </c>
      <c r="G45" s="48">
        <v>6.63</v>
      </c>
      <c r="H45" s="51">
        <f t="shared" si="2"/>
        <v>8.7329967693308799</v>
      </c>
      <c r="I45" s="48">
        <v>0.4</v>
      </c>
      <c r="J45" s="48">
        <v>1.38</v>
      </c>
      <c r="K45" s="51">
        <f t="shared" si="3"/>
        <v>1.3742220616479787E-2</v>
      </c>
      <c r="L45" s="48">
        <v>5.5</v>
      </c>
      <c r="M45" s="48">
        <v>4</v>
      </c>
      <c r="N45" s="51">
        <f t="shared" si="4"/>
        <v>4.1629127181246117</v>
      </c>
      <c r="O45" s="48">
        <v>4.7</v>
      </c>
      <c r="P45" s="48">
        <v>4.2</v>
      </c>
      <c r="Q45" s="51">
        <f t="shared" si="5"/>
        <v>3.2726452841795388</v>
      </c>
    </row>
    <row r="46" spans="2:17" x14ac:dyDescent="0.25">
      <c r="B46" s="48">
        <v>22</v>
      </c>
      <c r="C46" s="48">
        <v>5.4</v>
      </c>
      <c r="D46" s="48">
        <v>5.4</v>
      </c>
      <c r="E46" s="51">
        <f t="shared" si="6"/>
        <v>5.2849392443264973</v>
      </c>
      <c r="F46" s="48">
        <v>6.35</v>
      </c>
      <c r="G46" s="48">
        <v>5.45</v>
      </c>
      <c r="H46" s="51">
        <f t="shared" si="2"/>
        <v>7.14817178800243</v>
      </c>
      <c r="I46" s="48">
        <v>7.66</v>
      </c>
      <c r="J46" s="48">
        <v>5.42</v>
      </c>
      <c r="K46" s="51">
        <f t="shared" si="3"/>
        <v>9.9912458134941264</v>
      </c>
      <c r="L46" s="48">
        <v>5.9</v>
      </c>
      <c r="M46" s="48">
        <v>5</v>
      </c>
      <c r="N46" s="51">
        <f t="shared" si="4"/>
        <v>5.7868793626064035</v>
      </c>
      <c r="O46" s="48">
        <v>6</v>
      </c>
      <c r="P46" s="48">
        <v>5.5</v>
      </c>
      <c r="Q46" s="51">
        <f t="shared" si="5"/>
        <v>6.5038785398829129</v>
      </c>
    </row>
    <row r="47" spans="2:17" x14ac:dyDescent="0.25">
      <c r="B47" s="48">
        <v>23</v>
      </c>
      <c r="C47" s="48">
        <v>5.26</v>
      </c>
      <c r="D47" s="48">
        <v>5.4</v>
      </c>
      <c r="E47" s="51">
        <f t="shared" si="6"/>
        <v>5.0392821429628745</v>
      </c>
      <c r="F47" s="48">
        <v>6.19</v>
      </c>
      <c r="G47" s="48">
        <v>5.45</v>
      </c>
      <c r="H47" s="51">
        <f t="shared" si="2"/>
        <v>6.8251538718022511</v>
      </c>
      <c r="I47" s="48">
        <v>8.8800000000000008</v>
      </c>
      <c r="J47" s="48">
        <v>5.83</v>
      </c>
      <c r="K47" s="51">
        <f t="shared" si="3"/>
        <v>13.951270664803179</v>
      </c>
      <c r="L47" s="48">
        <v>5</v>
      </c>
      <c r="M47" s="48">
        <v>4.0999999999999996</v>
      </c>
      <c r="N47" s="51">
        <f t="shared" si="4"/>
        <v>3.581868039601098</v>
      </c>
      <c r="O47" s="48">
        <v>5.8</v>
      </c>
      <c r="P47" s="48">
        <v>5.2</v>
      </c>
      <c r="Q47" s="51">
        <f t="shared" si="5"/>
        <v>5.8133211204425157</v>
      </c>
    </row>
    <row r="48" spans="2:17" x14ac:dyDescent="0.25">
      <c r="B48" s="48">
        <v>24</v>
      </c>
      <c r="C48" s="48">
        <v>5.23</v>
      </c>
      <c r="D48" s="48">
        <v>5.04</v>
      </c>
      <c r="E48" s="51">
        <f t="shared" si="6"/>
        <v>4.6851218028430752</v>
      </c>
      <c r="F48" s="48">
        <v>6.15</v>
      </c>
      <c r="G48" s="48">
        <v>5.09</v>
      </c>
      <c r="H48" s="51">
        <f t="shared" si="2"/>
        <v>6.3404747942411674</v>
      </c>
      <c r="I48" s="48">
        <v>6.76</v>
      </c>
      <c r="J48" s="48">
        <v>3.75</v>
      </c>
      <c r="K48" s="51">
        <f t="shared" si="3"/>
        <v>5.7059702295603927</v>
      </c>
      <c r="L48" s="48">
        <v>4.5999999999999996</v>
      </c>
      <c r="M48" s="48">
        <v>4.3</v>
      </c>
      <c r="N48" s="51">
        <f t="shared" si="4"/>
        <v>3.215387888685616</v>
      </c>
      <c r="O48" s="48">
        <v>3.4</v>
      </c>
      <c r="P48" s="48">
        <v>4</v>
      </c>
      <c r="Q48" s="51">
        <f t="shared" si="5"/>
        <v>1.7414054914154373</v>
      </c>
    </row>
    <row r="49" spans="2:17" x14ac:dyDescent="0.25">
      <c r="B49" s="48">
        <v>25</v>
      </c>
      <c r="C49" s="48">
        <v>4.1100000000000003</v>
      </c>
      <c r="D49" s="48">
        <v>5.22</v>
      </c>
      <c r="E49" s="51">
        <f t="shared" si="6"/>
        <v>3.1252489416868263</v>
      </c>
      <c r="F49" s="48">
        <v>4.83</v>
      </c>
      <c r="G49" s="48">
        <v>4.26</v>
      </c>
      <c r="H49" s="51">
        <f t="shared" si="2"/>
        <v>3.4829806165360089</v>
      </c>
      <c r="I49" s="48">
        <v>7.82</v>
      </c>
      <c r="J49" s="48">
        <v>4.17</v>
      </c>
      <c r="K49" s="51">
        <f t="shared" si="3"/>
        <v>8.1795170529030337</v>
      </c>
      <c r="L49" s="48">
        <v>5.2</v>
      </c>
      <c r="M49" s="48">
        <v>5.0999999999999996</v>
      </c>
      <c r="N49" s="51">
        <f t="shared" si="4"/>
        <v>4.6865191722187634</v>
      </c>
      <c r="O49" s="48">
        <v>5.2</v>
      </c>
      <c r="P49" s="48">
        <v>5</v>
      </c>
      <c r="Q49" s="51">
        <f t="shared" si="5"/>
        <v>4.6031872583444811</v>
      </c>
    </row>
    <row r="50" spans="2:17" x14ac:dyDescent="0.25">
      <c r="B50" s="48">
        <v>26</v>
      </c>
      <c r="C50" s="48">
        <v>4.05</v>
      </c>
      <c r="D50" s="48">
        <v>4.22</v>
      </c>
      <c r="E50" s="51">
        <f t="shared" si="6"/>
        <v>2.5097781986821279</v>
      </c>
      <c r="F50" s="48">
        <v>4.76</v>
      </c>
      <c r="G50" s="48">
        <v>4.26</v>
      </c>
      <c r="H50" s="51">
        <f t="shared" si="2"/>
        <v>3.3920531996097756</v>
      </c>
      <c r="I50" s="48">
        <v>7.38</v>
      </c>
      <c r="J50" s="48">
        <v>4.25</v>
      </c>
      <c r="K50" s="51">
        <f t="shared" si="3"/>
        <v>7.4925949986046589</v>
      </c>
      <c r="L50" s="48">
        <v>7.6</v>
      </c>
      <c r="M50" s="48">
        <v>6.1</v>
      </c>
      <c r="N50" s="51">
        <f t="shared" si="4"/>
        <v>10.963186939071425</v>
      </c>
      <c r="O50" s="48">
        <v>3.9</v>
      </c>
      <c r="P50" s="48">
        <v>4.3</v>
      </c>
      <c r="Q50" s="51">
        <f t="shared" si="5"/>
        <v>2.3841042861328758</v>
      </c>
    </row>
    <row r="51" spans="2:17" x14ac:dyDescent="0.25">
      <c r="B51" s="48">
        <v>27</v>
      </c>
      <c r="C51" s="48">
        <v>3.99</v>
      </c>
      <c r="D51" s="48">
        <v>3.33</v>
      </c>
      <c r="E51" s="51">
        <f t="shared" si="6"/>
        <v>1.9710204141915337</v>
      </c>
      <c r="F51" s="48">
        <v>3.52</v>
      </c>
      <c r="G51" s="48">
        <v>3.36</v>
      </c>
      <c r="H51" s="51">
        <f t="shared" si="2"/>
        <v>1.5834066018761195</v>
      </c>
      <c r="I51" s="48">
        <v>8.81</v>
      </c>
      <c r="J51" s="48">
        <v>4.33</v>
      </c>
      <c r="K51" s="51">
        <f t="shared" si="3"/>
        <v>10.503841021404964</v>
      </c>
      <c r="L51" s="48">
        <v>8.6</v>
      </c>
      <c r="M51" s="48">
        <v>6.8</v>
      </c>
      <c r="N51" s="51">
        <f t="shared" si="4"/>
        <v>15.134149800900767</v>
      </c>
      <c r="O51" s="48">
        <v>7.6</v>
      </c>
      <c r="P51" s="48">
        <v>5.8</v>
      </c>
      <c r="Q51" s="51">
        <f t="shared" si="5"/>
        <v>10.473546162205107</v>
      </c>
    </row>
    <row r="52" spans="2:17" x14ac:dyDescent="0.25">
      <c r="B52" s="48">
        <v>28</v>
      </c>
      <c r="C52" s="48">
        <v>7.48</v>
      </c>
      <c r="D52" s="48">
        <v>5.5</v>
      </c>
      <c r="E52" s="51">
        <f t="shared" si="6"/>
        <v>9.6977738408773018</v>
      </c>
      <c r="F52" s="48">
        <v>5.27</v>
      </c>
      <c r="G52" s="48">
        <v>4.54</v>
      </c>
      <c r="H52" s="51">
        <f t="shared" si="2"/>
        <v>4.3212281569800419</v>
      </c>
      <c r="I52" s="48">
        <v>7.41</v>
      </c>
      <c r="J52" s="48">
        <v>5</v>
      </c>
      <c r="K52" s="51">
        <f t="shared" si="3"/>
        <v>8.7452288054500418</v>
      </c>
      <c r="L52" s="48">
        <v>7.7</v>
      </c>
      <c r="M52" s="48">
        <v>6.7</v>
      </c>
      <c r="N52" s="51">
        <f t="shared" si="4"/>
        <v>12.221899974567519</v>
      </c>
      <c r="O52" s="48">
        <v>6.5</v>
      </c>
      <c r="P52" s="48">
        <v>6</v>
      </c>
      <c r="Q52" s="51">
        <f t="shared" si="5"/>
        <v>8.1357537473644808</v>
      </c>
    </row>
    <row r="53" spans="2:17" x14ac:dyDescent="0.25">
      <c r="B53" s="48">
        <v>29</v>
      </c>
      <c r="C53" s="48">
        <v>3.92</v>
      </c>
      <c r="D53" s="48">
        <v>4.04</v>
      </c>
      <c r="E53" s="51">
        <f t="shared" si="6"/>
        <v>2.2741003762825742</v>
      </c>
      <c r="F53" s="48">
        <v>4.62</v>
      </c>
      <c r="G53" s="48">
        <v>4.08</v>
      </c>
      <c r="H53" s="51">
        <f t="shared" si="2"/>
        <v>3.0901753742405704</v>
      </c>
      <c r="I53" s="48">
        <v>7.37</v>
      </c>
      <c r="J53" s="48">
        <v>4.67</v>
      </c>
      <c r="K53" s="51">
        <f t="shared" si="3"/>
        <v>8.140403673806885</v>
      </c>
      <c r="L53" s="48">
        <v>7.7</v>
      </c>
      <c r="M53" s="48">
        <v>7.3</v>
      </c>
      <c r="N53" s="51">
        <f t="shared" si="4"/>
        <v>13.209472196664263</v>
      </c>
      <c r="O53" s="48">
        <v>6.9</v>
      </c>
      <c r="P53" s="48">
        <v>5.8</v>
      </c>
      <c r="Q53" s="51">
        <f t="shared" si="5"/>
        <v>8.7913197155000908</v>
      </c>
    </row>
    <row r="54" spans="2:17" x14ac:dyDescent="0.25">
      <c r="B54" s="48">
        <v>30</v>
      </c>
      <c r="C54" s="48">
        <v>3.27</v>
      </c>
      <c r="D54" s="48">
        <v>3.33</v>
      </c>
      <c r="E54" s="51">
        <f t="shared" si="6"/>
        <v>1.3743228370372076</v>
      </c>
      <c r="F54" s="48">
        <v>2.67</v>
      </c>
      <c r="G54" s="48">
        <v>3.36</v>
      </c>
      <c r="H54" s="51">
        <f t="shared" si="2"/>
        <v>0.95961173600953054</v>
      </c>
      <c r="I54" s="48">
        <v>5.79</v>
      </c>
      <c r="J54" s="48">
        <v>3.92</v>
      </c>
      <c r="K54" s="51">
        <f t="shared" si="3"/>
        <v>4.4862605642305811</v>
      </c>
      <c r="L54" s="48">
        <v>7.6</v>
      </c>
      <c r="M54" s="48">
        <v>6</v>
      </c>
      <c r="N54" s="51">
        <f t="shared" si="4"/>
        <v>10.80023043845337</v>
      </c>
      <c r="O54" s="48">
        <v>8.5</v>
      </c>
      <c r="P54" s="48">
        <v>6.1</v>
      </c>
      <c r="Q54" s="51">
        <f t="shared" si="5"/>
        <v>13.427949019459486</v>
      </c>
    </row>
    <row r="55" spans="2:17" x14ac:dyDescent="0.25">
      <c r="B55" s="48">
        <v>31</v>
      </c>
      <c r="C55" s="48">
        <v>5.83</v>
      </c>
      <c r="D55" s="48">
        <v>4.58</v>
      </c>
      <c r="E55" s="51">
        <f t="shared" si="6"/>
        <v>5.2303325677811472</v>
      </c>
      <c r="F55" s="48">
        <v>4.51</v>
      </c>
      <c r="G55" s="48">
        <v>4.62</v>
      </c>
      <c r="H55" s="51">
        <f t="shared" si="2"/>
        <v>3.3107568292250771</v>
      </c>
      <c r="I55" s="48">
        <v>5.71</v>
      </c>
      <c r="J55" s="48">
        <v>3.92</v>
      </c>
      <c r="K55" s="51">
        <f t="shared" si="3"/>
        <v>4.3745719578323268</v>
      </c>
      <c r="L55" s="48">
        <v>5.7</v>
      </c>
      <c r="M55" s="48">
        <v>5.8</v>
      </c>
      <c r="N55" s="51">
        <f t="shared" si="4"/>
        <v>6.2187738039953242</v>
      </c>
      <c r="O55" s="48">
        <v>8.1</v>
      </c>
      <c r="P55" s="48">
        <v>5.8</v>
      </c>
      <c r="Q55" s="51">
        <f t="shared" si="5"/>
        <v>11.755317843672472</v>
      </c>
    </row>
    <row r="56" spans="2:17" x14ac:dyDescent="0.25">
      <c r="B56" s="48">
        <v>32</v>
      </c>
      <c r="C56" s="48">
        <v>3.91</v>
      </c>
      <c r="D56" s="48">
        <v>4.5999999999999996</v>
      </c>
      <c r="E56" s="51">
        <f t="shared" si="6"/>
        <v>2.5461069344912994</v>
      </c>
      <c r="F56" s="48">
        <v>4.6100000000000003</v>
      </c>
      <c r="G56" s="48">
        <v>3.63</v>
      </c>
      <c r="H56" s="51">
        <f t="shared" si="2"/>
        <v>2.7688232870388001</v>
      </c>
      <c r="I56" s="48">
        <v>4.21</v>
      </c>
      <c r="J56" s="48">
        <v>3.08</v>
      </c>
      <c r="K56" s="51">
        <f t="shared" si="3"/>
        <v>2.0240436149331065</v>
      </c>
      <c r="L56" s="92">
        <f>AVERAGE(L25:L55)</f>
        <v>5.8625806451612892</v>
      </c>
      <c r="M56" s="92">
        <f>AVERAGE(M25:M55)</f>
        <v>4.8948387096774191</v>
      </c>
      <c r="N56" s="92">
        <f>SUM(N25:N55)</f>
        <v>200.00141037247889</v>
      </c>
      <c r="O56" s="48">
        <v>3.4</v>
      </c>
      <c r="P56" s="48">
        <v>5</v>
      </c>
      <c r="Q56" s="51">
        <f t="shared" si="5"/>
        <v>2.1315738388338294</v>
      </c>
    </row>
    <row r="57" spans="2:17" x14ac:dyDescent="0.25">
      <c r="B57" s="48">
        <v>33</v>
      </c>
      <c r="C57" s="48">
        <v>4.1900000000000004</v>
      </c>
      <c r="D57" s="48">
        <v>4.5</v>
      </c>
      <c r="E57" s="51">
        <f t="shared" si="6"/>
        <v>2.829150865060222</v>
      </c>
      <c r="F57" s="48">
        <v>4.93</v>
      </c>
      <c r="G57" s="48">
        <v>4.54</v>
      </c>
      <c r="H57" s="51">
        <f t="shared" si="2"/>
        <v>3.8293492757219605</v>
      </c>
      <c r="I57" s="48">
        <v>6.31</v>
      </c>
      <c r="J57" s="48">
        <v>4.17</v>
      </c>
      <c r="K57" s="51">
        <f t="shared" si="3"/>
        <v>5.5448553945989305</v>
      </c>
      <c r="L57" s="48"/>
      <c r="M57" s="48"/>
      <c r="N57" s="48"/>
      <c r="O57" s="48">
        <v>5.0999999999999996</v>
      </c>
      <c r="P57" s="48">
        <v>4.9000000000000004</v>
      </c>
      <c r="Q57" s="51">
        <f t="shared" si="5"/>
        <v>4.3634355681087644</v>
      </c>
    </row>
    <row r="58" spans="2:17" x14ac:dyDescent="0.25">
      <c r="B58" s="48">
        <v>34</v>
      </c>
      <c r="C58" s="48">
        <v>6.55</v>
      </c>
      <c r="D58" s="48">
        <v>5.69</v>
      </c>
      <c r="E58" s="51">
        <f t="shared" si="6"/>
        <v>7.8623922870783378</v>
      </c>
      <c r="F58" s="48">
        <v>4.18</v>
      </c>
      <c r="G58" s="48">
        <v>3.72</v>
      </c>
      <c r="H58" s="51">
        <f t="shared" si="2"/>
        <v>2.3707026542035052</v>
      </c>
      <c r="I58" s="48">
        <v>5.52</v>
      </c>
      <c r="J58" s="48">
        <v>3.75</v>
      </c>
      <c r="K58" s="51">
        <f t="shared" si="3"/>
        <v>3.9523891392589254</v>
      </c>
      <c r="L58" s="48"/>
      <c r="M58" s="48"/>
      <c r="N58" s="48"/>
      <c r="O58" s="48">
        <v>1.5</v>
      </c>
      <c r="P58" s="48">
        <v>2.5</v>
      </c>
      <c r="Q58" s="51">
        <f t="shared" si="5"/>
        <v>0.25822885471901152</v>
      </c>
    </row>
    <row r="59" spans="2:17" x14ac:dyDescent="0.25">
      <c r="B59" s="48">
        <v>35</v>
      </c>
      <c r="C59" s="48">
        <v>4.2699999999999996</v>
      </c>
      <c r="D59" s="48">
        <v>3.86</v>
      </c>
      <c r="E59" s="51">
        <f t="shared" si="6"/>
        <v>2.5478694261477415</v>
      </c>
      <c r="F59" s="48">
        <v>3.85</v>
      </c>
      <c r="G59" s="48">
        <v>3.89</v>
      </c>
      <c r="H59" s="51">
        <f t="shared" si="2"/>
        <v>2.126879770248332</v>
      </c>
      <c r="I59" s="92">
        <f>AVERAGE(I25:I58)</f>
        <v>7.1864705882352942</v>
      </c>
      <c r="J59" s="92">
        <f>AVERAGE(J25:J58)</f>
        <v>4.3717647058823514</v>
      </c>
      <c r="K59" s="92">
        <f>SUM(K25:K58)</f>
        <v>300.48473641467092</v>
      </c>
      <c r="L59" s="48"/>
      <c r="M59" s="48"/>
      <c r="N59" s="48"/>
      <c r="O59" s="48">
        <v>4.5</v>
      </c>
      <c r="P59" s="48">
        <v>4.0999999999999996</v>
      </c>
      <c r="Q59" s="51">
        <f t="shared" si="5"/>
        <v>2.9593546139122515</v>
      </c>
    </row>
    <row r="60" spans="2:17" x14ac:dyDescent="0.25">
      <c r="B60" s="48">
        <v>36</v>
      </c>
      <c r="C60" s="48">
        <v>5.69</v>
      </c>
      <c r="D60" s="48">
        <v>4.58</v>
      </c>
      <c r="E60" s="51">
        <f t="shared" si="6"/>
        <v>5.0049680519041067</v>
      </c>
      <c r="F60" s="92">
        <f>AVERAGE(F25:F59)</f>
        <v>6.089428571428571</v>
      </c>
      <c r="G60" s="92">
        <f>AVERAGE(G25:G59)</f>
        <v>4.9694285714285709</v>
      </c>
      <c r="H60" s="92">
        <f>SUM(H25:H59)</f>
        <v>245.11869393792909</v>
      </c>
      <c r="I60" s="48"/>
      <c r="J60" s="48"/>
      <c r="K60" s="48"/>
      <c r="L60" s="48"/>
      <c r="M60" s="48"/>
      <c r="N60" s="48"/>
      <c r="O60" s="48">
        <v>3.4</v>
      </c>
      <c r="P60" s="48">
        <v>4.0999999999999996</v>
      </c>
      <c r="Q60" s="51">
        <f t="shared" si="5"/>
        <v>1.7808023975349745</v>
      </c>
    </row>
    <row r="61" spans="2:17" x14ac:dyDescent="0.25">
      <c r="B61" s="48">
        <v>37</v>
      </c>
      <c r="C61" s="48">
        <v>5.4</v>
      </c>
      <c r="D61" s="48">
        <v>5.48</v>
      </c>
      <c r="E61" s="51">
        <f t="shared" si="6"/>
        <v>5.3558257458682803</v>
      </c>
      <c r="F61" s="48"/>
      <c r="G61" s="48"/>
      <c r="H61" s="48"/>
      <c r="I61" s="48"/>
      <c r="J61" s="48"/>
      <c r="K61" s="48"/>
      <c r="L61" s="48"/>
      <c r="M61" s="48"/>
      <c r="N61" s="48"/>
      <c r="O61" s="48">
        <v>4.8</v>
      </c>
      <c r="P61" s="48">
        <v>4.0999999999999996</v>
      </c>
      <c r="Q61" s="51">
        <f t="shared" si="5"/>
        <v>3.3264810683559669</v>
      </c>
    </row>
    <row r="62" spans="2:17" x14ac:dyDescent="0.25">
      <c r="B62" s="48">
        <v>38</v>
      </c>
      <c r="C62" s="92">
        <f>AVERAGE(C25:C61)</f>
        <v>5.6029729729729736</v>
      </c>
      <c r="D62" s="92">
        <f>AVERAGE(D25:D61)</f>
        <v>5.2167567567567579</v>
      </c>
      <c r="E62" s="92">
        <f>SUM(E25:E61)</f>
        <v>219.97590095621624</v>
      </c>
      <c r="F62" s="48"/>
      <c r="G62" s="48"/>
      <c r="H62" s="48"/>
      <c r="I62" s="48"/>
      <c r="J62" s="48"/>
      <c r="K62" s="48"/>
      <c r="L62" s="48"/>
      <c r="M62" s="48"/>
      <c r="N62" s="48"/>
      <c r="O62" s="48">
        <v>3.4</v>
      </c>
      <c r="P62" s="48">
        <v>4</v>
      </c>
      <c r="Q62" s="51">
        <f t="shared" si="5"/>
        <v>1.7414054914154373</v>
      </c>
    </row>
    <row r="63" spans="2:17" x14ac:dyDescent="0.25">
      <c r="B63" s="48">
        <v>39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>
        <v>6</v>
      </c>
      <c r="P63" s="48">
        <v>5.2</v>
      </c>
      <c r="Q63" s="51">
        <f t="shared" si="5"/>
        <v>6.1816278356115371</v>
      </c>
    </row>
    <row r="64" spans="2:17" x14ac:dyDescent="0.25">
      <c r="B64" s="48">
        <v>40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>
        <v>5.9</v>
      </c>
      <c r="P64" s="48">
        <v>5</v>
      </c>
      <c r="Q64" s="51">
        <f t="shared" si="5"/>
        <v>5.7868793626064035</v>
      </c>
    </row>
    <row r="65" spans="2:17" x14ac:dyDescent="0.25">
      <c r="B65" s="48">
        <v>41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>
        <v>4.7</v>
      </c>
      <c r="P65" s="48">
        <v>3.8</v>
      </c>
      <c r="Q65" s="51">
        <f t="shared" si="5"/>
        <v>2.9889525246949273</v>
      </c>
    </row>
    <row r="66" spans="2:17" x14ac:dyDescent="0.25">
      <c r="B66" s="48">
        <v>42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>
        <v>4.8</v>
      </c>
      <c r="P66" s="48">
        <v>4</v>
      </c>
      <c r="Q66" s="51">
        <f t="shared" si="5"/>
        <v>3.2528889266675667</v>
      </c>
    </row>
    <row r="67" spans="2:17" x14ac:dyDescent="0.25">
      <c r="B67" s="48">
        <v>43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>
        <v>5.6</v>
      </c>
      <c r="P67" s="48">
        <v>5.0999999999999996</v>
      </c>
      <c r="Q67" s="51">
        <f t="shared" si="5"/>
        <v>5.3600525100436096</v>
      </c>
    </row>
    <row r="68" spans="2:17" x14ac:dyDescent="0.25">
      <c r="B68" s="48">
        <v>44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>
        <v>5.5</v>
      </c>
      <c r="P68" s="48">
        <v>5.2</v>
      </c>
      <c r="Q68" s="51">
        <f t="shared" si="5"/>
        <v>5.2799520989070983</v>
      </c>
    </row>
    <row r="69" spans="2:17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92">
        <f>AVERAGE(O25:O68)</f>
        <v>5.1545454545454552</v>
      </c>
      <c r="P69" s="92">
        <f>AVERAGE(P25:P68)</f>
        <v>4.7045454545454541</v>
      </c>
      <c r="Q69" s="92">
        <f>SUM(Q25:Q68)</f>
        <v>214.00612097242814</v>
      </c>
    </row>
  </sheetData>
  <mergeCells count="5">
    <mergeCell ref="C23:E23"/>
    <mergeCell ref="L23:N23"/>
    <mergeCell ref="O23:Q23"/>
    <mergeCell ref="F23:H23"/>
    <mergeCell ref="I23:K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5CA1-CA4F-468C-BA9E-A1BC0EC8354B}">
  <dimension ref="B2:AH59"/>
  <sheetViews>
    <sheetView topLeftCell="A40" workbookViewId="0">
      <selection activeCell="F56" sqref="F56"/>
    </sheetView>
  </sheetViews>
  <sheetFormatPr defaultRowHeight="13.8" x14ac:dyDescent="0.25"/>
  <cols>
    <col min="1" max="1" width="8.88671875" style="69"/>
    <col min="2" max="2" width="19.6640625" style="69" customWidth="1"/>
    <col min="3" max="8" width="14.88671875" style="69" customWidth="1"/>
    <col min="9" max="9" width="11.77734375" style="69" customWidth="1"/>
    <col min="10" max="10" width="14" style="69" customWidth="1"/>
    <col min="11" max="12" width="11.77734375" style="69" customWidth="1"/>
    <col min="13" max="13" width="14.33203125" style="69" customWidth="1"/>
    <col min="14" max="14" width="14.6640625" style="69" customWidth="1"/>
    <col min="15" max="18" width="13.21875" style="69" customWidth="1"/>
    <col min="19" max="19" width="16.109375" style="69" customWidth="1"/>
    <col min="20" max="20" width="12.33203125" style="69" customWidth="1"/>
    <col min="21" max="21" width="10" style="69" bestFit="1" customWidth="1"/>
    <col min="22" max="23" width="8.88671875" style="69"/>
    <col min="24" max="24" width="10" style="69" bestFit="1" customWidth="1"/>
    <col min="25" max="27" width="8.88671875" style="69"/>
    <col min="28" max="28" width="12.21875" style="69" bestFit="1" customWidth="1"/>
    <col min="29" max="16384" width="8.88671875" style="69"/>
  </cols>
  <sheetData>
    <row r="2" spans="2:28" ht="15" x14ac:dyDescent="0.25">
      <c r="B2" s="68" t="s">
        <v>155</v>
      </c>
    </row>
    <row r="3" spans="2:28" s="70" customFormat="1" x14ac:dyDescent="0.25">
      <c r="B3" s="90" t="s">
        <v>65</v>
      </c>
      <c r="C3" s="54">
        <v>0.2</v>
      </c>
      <c r="F3" s="71"/>
      <c r="G3" s="71"/>
      <c r="H3" s="71"/>
    </row>
    <row r="4" spans="2:28" x14ac:dyDescent="0.25">
      <c r="B4" s="90" t="s">
        <v>64</v>
      </c>
      <c r="C4" s="25">
        <f>20*20/10000</f>
        <v>0.04</v>
      </c>
      <c r="F4" s="70"/>
      <c r="G4" s="70"/>
      <c r="H4" s="70"/>
    </row>
    <row r="5" spans="2:28" x14ac:dyDescent="0.25">
      <c r="B5" s="90" t="s">
        <v>87</v>
      </c>
      <c r="C5" s="25">
        <v>190</v>
      </c>
      <c r="F5" s="70"/>
      <c r="G5" s="70"/>
      <c r="H5" s="70"/>
    </row>
    <row r="6" spans="2:28" x14ac:dyDescent="0.25">
      <c r="B6" s="70"/>
      <c r="C6" s="72"/>
      <c r="D6" s="72"/>
      <c r="E6" s="72"/>
      <c r="F6" s="72"/>
      <c r="G6" s="72"/>
      <c r="H6" s="72"/>
    </row>
    <row r="7" spans="2:28" x14ac:dyDescent="0.25">
      <c r="B7" s="124" t="s">
        <v>88</v>
      </c>
      <c r="C7" s="111" t="s">
        <v>102</v>
      </c>
      <c r="D7" s="111"/>
      <c r="E7" s="111"/>
      <c r="F7" s="111"/>
      <c r="G7" s="111"/>
      <c r="H7" s="111"/>
      <c r="I7" s="126" t="s">
        <v>103</v>
      </c>
      <c r="J7" s="126"/>
      <c r="K7" s="126"/>
      <c r="L7" s="126"/>
      <c r="M7" s="126"/>
      <c r="N7" s="126"/>
      <c r="O7" s="127" t="s">
        <v>104</v>
      </c>
      <c r="P7" s="127"/>
      <c r="Q7" s="127"/>
      <c r="R7" s="127"/>
      <c r="S7" s="127"/>
      <c r="T7" s="127"/>
      <c r="U7" s="128" t="s">
        <v>111</v>
      </c>
      <c r="V7" s="128"/>
      <c r="W7" s="128"/>
      <c r="X7" s="128"/>
      <c r="Y7" s="128"/>
      <c r="Z7" s="128"/>
      <c r="AA7" s="108" t="s">
        <v>41</v>
      </c>
      <c r="AB7" s="108" t="s">
        <v>118</v>
      </c>
    </row>
    <row r="8" spans="2:28" ht="55.2" x14ac:dyDescent="0.25">
      <c r="B8" s="125"/>
      <c r="C8" s="44" t="s">
        <v>156</v>
      </c>
      <c r="D8" s="44" t="s">
        <v>157</v>
      </c>
      <c r="E8" s="44" t="s">
        <v>158</v>
      </c>
      <c r="F8" s="44" t="s">
        <v>40</v>
      </c>
      <c r="G8" s="44" t="s">
        <v>89</v>
      </c>
      <c r="H8" s="44" t="s">
        <v>41</v>
      </c>
      <c r="I8" s="73" t="s">
        <v>156</v>
      </c>
      <c r="J8" s="73" t="s">
        <v>157</v>
      </c>
      <c r="K8" s="73" t="s">
        <v>158</v>
      </c>
      <c r="L8" s="73" t="s">
        <v>40</v>
      </c>
      <c r="M8" s="73" t="s">
        <v>89</v>
      </c>
      <c r="N8" s="73" t="s">
        <v>41</v>
      </c>
      <c r="O8" s="74" t="s">
        <v>156</v>
      </c>
      <c r="P8" s="74" t="s">
        <v>157</v>
      </c>
      <c r="Q8" s="74" t="s">
        <v>158</v>
      </c>
      <c r="R8" s="74" t="s">
        <v>90</v>
      </c>
      <c r="S8" s="74" t="s">
        <v>89</v>
      </c>
      <c r="T8" s="74" t="s">
        <v>41</v>
      </c>
      <c r="U8" s="75" t="s">
        <v>156</v>
      </c>
      <c r="V8" s="75" t="s">
        <v>157</v>
      </c>
      <c r="W8" s="75" t="s">
        <v>158</v>
      </c>
      <c r="X8" s="75" t="s">
        <v>90</v>
      </c>
      <c r="Y8" s="75" t="s">
        <v>89</v>
      </c>
      <c r="Z8" s="75" t="s">
        <v>41</v>
      </c>
      <c r="AA8" s="108"/>
      <c r="AB8" s="108"/>
    </row>
    <row r="9" spans="2:28" x14ac:dyDescent="0.25">
      <c r="B9" s="76" t="s">
        <v>91</v>
      </c>
      <c r="C9" s="77">
        <v>0.81</v>
      </c>
      <c r="D9" s="77">
        <v>1.22</v>
      </c>
      <c r="E9" s="77">
        <v>0</v>
      </c>
      <c r="F9" s="77">
        <v>50</v>
      </c>
      <c r="G9" s="77">
        <f>0.045*(E9^2*D9)^0.906*F9</f>
        <v>0</v>
      </c>
      <c r="H9" s="77">
        <f t="shared" ref="H9:H14" si="0">G9/$C$4*44/12/1000</f>
        <v>0</v>
      </c>
      <c r="I9" s="78">
        <v>0.95</v>
      </c>
      <c r="J9" s="78">
        <v>1.36</v>
      </c>
      <c r="K9" s="78">
        <v>0</v>
      </c>
      <c r="L9" s="78">
        <v>50</v>
      </c>
      <c r="M9" s="78">
        <f>0.045*(K9^2*J9)^0.906*L9</f>
        <v>0</v>
      </c>
      <c r="N9" s="78">
        <f t="shared" ref="N9:N14" si="1">M9/$C$4*44/12/1000</f>
        <v>0</v>
      </c>
      <c r="O9" s="79">
        <v>1.0900000000000001</v>
      </c>
      <c r="P9" s="79">
        <v>1.25</v>
      </c>
      <c r="Q9" s="79">
        <v>0</v>
      </c>
      <c r="R9" s="79">
        <v>50</v>
      </c>
      <c r="S9" s="79">
        <f>0.045*(Q9^2*P9)^0.906*R9</f>
        <v>0</v>
      </c>
      <c r="T9" s="79">
        <f t="shared" ref="T9:T14" si="2">S9/$C$4*44/12/1000</f>
        <v>0</v>
      </c>
      <c r="U9" s="80">
        <v>1.02</v>
      </c>
      <c r="V9" s="80">
        <v>1.25</v>
      </c>
      <c r="W9" s="80">
        <v>0</v>
      </c>
      <c r="X9" s="80">
        <v>50</v>
      </c>
      <c r="Y9" s="80">
        <f>0.045*(W9^2*V9)^0.906*X9</f>
        <v>0</v>
      </c>
      <c r="Z9" s="80">
        <f t="shared" ref="Z9:Z14" si="3">Y9/$C$4*44/12/1000</f>
        <v>0</v>
      </c>
      <c r="AA9" s="81">
        <f t="shared" ref="AA9:AA14" si="4">(H9+N9+T9+Z9)/4</f>
        <v>0</v>
      </c>
      <c r="AB9" s="82">
        <f>AA9*$C$5</f>
        <v>0</v>
      </c>
    </row>
    <row r="10" spans="2:28" x14ac:dyDescent="0.25">
      <c r="B10" s="76" t="s">
        <v>92</v>
      </c>
      <c r="C10" s="77">
        <v>0.82</v>
      </c>
      <c r="D10" s="77">
        <v>2.06</v>
      </c>
      <c r="E10" s="77">
        <v>0.73</v>
      </c>
      <c r="F10" s="77">
        <v>46</v>
      </c>
      <c r="G10" s="77">
        <f>0.045*(E10^2*D10)^0.906*F10</f>
        <v>2.2525532667261272</v>
      </c>
      <c r="H10" s="77">
        <f t="shared" si="0"/>
        <v>0.20648404944989499</v>
      </c>
      <c r="I10" s="78">
        <v>1.05</v>
      </c>
      <c r="J10" s="78">
        <v>1.54</v>
      </c>
      <c r="K10" s="78">
        <v>1.1200000000000001</v>
      </c>
      <c r="L10" s="78">
        <v>50</v>
      </c>
      <c r="M10" s="78">
        <f>0.045*(K10^2*J10)^0.906*L10</f>
        <v>4.085632958352968</v>
      </c>
      <c r="N10" s="78">
        <f t="shared" si="1"/>
        <v>0.37451635451568877</v>
      </c>
      <c r="O10" s="79">
        <v>1.58</v>
      </c>
      <c r="P10" s="79">
        <v>2.0099999999999998</v>
      </c>
      <c r="Q10" s="79">
        <v>1.45</v>
      </c>
      <c r="R10" s="79">
        <v>48</v>
      </c>
      <c r="S10" s="79">
        <f>0.045*(Q10^2*P10)^0.906*R10</f>
        <v>7.9716495729117716</v>
      </c>
      <c r="T10" s="79">
        <f t="shared" si="2"/>
        <v>0.73073454418357919</v>
      </c>
      <c r="U10" s="80">
        <v>1.49</v>
      </c>
      <c r="V10" s="80">
        <v>2.0099999999999998</v>
      </c>
      <c r="W10" s="80">
        <v>1.36</v>
      </c>
      <c r="X10" s="80">
        <v>48</v>
      </c>
      <c r="Y10" s="80">
        <f>0.045*(W10^2*V10)^0.906*X10</f>
        <v>7.0977693301858338</v>
      </c>
      <c r="Z10" s="80">
        <f t="shared" si="3"/>
        <v>0.65062885526703473</v>
      </c>
      <c r="AA10" s="81">
        <f t="shared" si="4"/>
        <v>0.49059095085404941</v>
      </c>
      <c r="AB10" s="82">
        <f t="shared" ref="AB10:AB15" si="5">AA10*$C$5</f>
        <v>93.212280662269393</v>
      </c>
    </row>
    <row r="11" spans="2:28" x14ac:dyDescent="0.25">
      <c r="B11" s="76" t="s">
        <v>93</v>
      </c>
      <c r="C11" s="77">
        <v>1.24</v>
      </c>
      <c r="D11" s="77">
        <v>3.22</v>
      </c>
      <c r="E11" s="77">
        <v>1.1299999999999999</v>
      </c>
      <c r="F11" s="77">
        <v>44</v>
      </c>
      <c r="G11" s="77">
        <f t="shared" ref="G11:G14" si="6">0.045*(E11^2*D11)^0.906*F11</f>
        <v>7.1278860726059667</v>
      </c>
      <c r="H11" s="77">
        <f t="shared" si="0"/>
        <v>0.65338955665554688</v>
      </c>
      <c r="I11" s="78">
        <v>1.68</v>
      </c>
      <c r="J11" s="78">
        <v>2.79</v>
      </c>
      <c r="K11" s="78">
        <v>1.67</v>
      </c>
      <c r="L11" s="78">
        <v>48</v>
      </c>
      <c r="M11" s="78">
        <f t="shared" ref="M11:M14" si="7">0.045*(K11^2*J11)^0.906*L11</f>
        <v>13.859048195076351</v>
      </c>
      <c r="N11" s="78">
        <f t="shared" si="1"/>
        <v>1.270412751215332</v>
      </c>
      <c r="O11" s="79">
        <v>2.14</v>
      </c>
      <c r="P11" s="79">
        <v>3.42</v>
      </c>
      <c r="Q11" s="79">
        <v>1.96</v>
      </c>
      <c r="R11" s="79">
        <v>48</v>
      </c>
      <c r="S11" s="79">
        <f t="shared" ref="S11:S14" si="8">0.045*(Q11^2*P11)^0.906*R11</f>
        <v>22.276625535735363</v>
      </c>
      <c r="T11" s="79">
        <f t="shared" si="2"/>
        <v>2.0420240074424081</v>
      </c>
      <c r="U11" s="80">
        <v>2.09</v>
      </c>
      <c r="V11" s="80">
        <v>3.42</v>
      </c>
      <c r="W11" s="80">
        <v>1.87</v>
      </c>
      <c r="X11" s="80">
        <v>48</v>
      </c>
      <c r="Y11" s="80">
        <f t="shared" ref="Y11:Y14" si="9">0.045*(W11^2*V11)^0.906*X11</f>
        <v>20.457774833634772</v>
      </c>
      <c r="Z11" s="80">
        <f t="shared" si="3"/>
        <v>1.8752960264165206</v>
      </c>
      <c r="AA11" s="81">
        <f t="shared" si="4"/>
        <v>1.4602805854324519</v>
      </c>
      <c r="AB11" s="82">
        <f t="shared" si="5"/>
        <v>277.45331123216585</v>
      </c>
    </row>
    <row r="12" spans="2:28" x14ac:dyDescent="0.25">
      <c r="B12" s="76" t="s">
        <v>94</v>
      </c>
      <c r="C12" s="77">
        <v>1.94</v>
      </c>
      <c r="D12" s="77">
        <v>4.78</v>
      </c>
      <c r="E12" s="77">
        <v>1.31</v>
      </c>
      <c r="F12" s="77">
        <v>44</v>
      </c>
      <c r="G12" s="77">
        <f t="shared" si="6"/>
        <v>13.3266948134748</v>
      </c>
      <c r="H12" s="77">
        <f t="shared" si="0"/>
        <v>1.22161369123519</v>
      </c>
      <c r="I12" s="78">
        <v>2.31</v>
      </c>
      <c r="J12" s="78">
        <v>3.96</v>
      </c>
      <c r="K12" s="78">
        <v>2.4300000000000002</v>
      </c>
      <c r="L12" s="78">
        <v>48</v>
      </c>
      <c r="M12" s="78">
        <f t="shared" si="7"/>
        <v>37.556417418998976</v>
      </c>
      <c r="N12" s="78">
        <f t="shared" si="1"/>
        <v>3.4426715967415729</v>
      </c>
      <c r="O12" s="79">
        <v>2.77</v>
      </c>
      <c r="P12" s="79">
        <v>5.17</v>
      </c>
      <c r="Q12" s="79">
        <v>2.65</v>
      </c>
      <c r="R12" s="79">
        <v>42</v>
      </c>
      <c r="S12" s="79">
        <f t="shared" si="8"/>
        <v>48.955981251201784</v>
      </c>
      <c r="T12" s="79">
        <f t="shared" si="2"/>
        <v>4.4876316146934965</v>
      </c>
      <c r="U12" s="80">
        <v>2.71</v>
      </c>
      <c r="V12" s="80">
        <v>5.17</v>
      </c>
      <c r="W12" s="80">
        <v>2.5499999999999998</v>
      </c>
      <c r="X12" s="80">
        <v>42</v>
      </c>
      <c r="Y12" s="80">
        <f t="shared" si="9"/>
        <v>45.659909163445946</v>
      </c>
      <c r="Z12" s="80">
        <f t="shared" si="3"/>
        <v>4.1854916733158776</v>
      </c>
      <c r="AA12" s="81">
        <f t="shared" si="4"/>
        <v>3.3343521439965338</v>
      </c>
      <c r="AB12" s="82">
        <f t="shared" si="5"/>
        <v>633.52690735934141</v>
      </c>
    </row>
    <row r="13" spans="2:28" x14ac:dyDescent="0.25">
      <c r="B13" s="76" t="s">
        <v>95</v>
      </c>
      <c r="C13" s="77">
        <v>2.78</v>
      </c>
      <c r="D13" s="77">
        <v>5.44</v>
      </c>
      <c r="E13" s="77">
        <v>2.34</v>
      </c>
      <c r="F13" s="77">
        <v>44</v>
      </c>
      <c r="G13" s="77">
        <f t="shared" si="6"/>
        <v>42.868365709312428</v>
      </c>
      <c r="H13" s="77">
        <f t="shared" si="0"/>
        <v>3.9296001900203059</v>
      </c>
      <c r="I13" s="78">
        <v>3.05</v>
      </c>
      <c r="J13" s="78">
        <v>5.1100000000000003</v>
      </c>
      <c r="K13" s="78">
        <v>2.95</v>
      </c>
      <c r="L13" s="78">
        <v>48</v>
      </c>
      <c r="M13" s="78">
        <f t="shared" si="7"/>
        <v>67.235800458747832</v>
      </c>
      <c r="N13" s="78">
        <f t="shared" si="1"/>
        <v>6.1632817087185501</v>
      </c>
      <c r="O13" s="79">
        <v>3.41</v>
      </c>
      <c r="P13" s="79">
        <v>6.82</v>
      </c>
      <c r="Q13" s="79">
        <v>3.31</v>
      </c>
      <c r="R13" s="79">
        <v>40</v>
      </c>
      <c r="S13" s="79">
        <f t="shared" si="8"/>
        <v>89.662217036656216</v>
      </c>
      <c r="T13" s="79">
        <f t="shared" si="2"/>
        <v>8.2190365616934873</v>
      </c>
      <c r="U13" s="80">
        <v>3.45</v>
      </c>
      <c r="V13" s="80">
        <v>6.82</v>
      </c>
      <c r="W13" s="80">
        <v>3.37</v>
      </c>
      <c r="X13" s="80">
        <v>41</v>
      </c>
      <c r="Y13" s="80">
        <f t="shared" si="9"/>
        <v>94.944627360987852</v>
      </c>
      <c r="Z13" s="80">
        <f t="shared" si="3"/>
        <v>8.7032575080905534</v>
      </c>
      <c r="AA13" s="81">
        <f t="shared" si="4"/>
        <v>6.7537939921307242</v>
      </c>
      <c r="AB13" s="82">
        <f t="shared" si="5"/>
        <v>1283.2208585048377</v>
      </c>
    </row>
    <row r="14" spans="2:28" x14ac:dyDescent="0.25">
      <c r="B14" s="76" t="s">
        <v>96</v>
      </c>
      <c r="C14" s="77">
        <v>3.43</v>
      </c>
      <c r="D14" s="77">
        <v>6.25</v>
      </c>
      <c r="E14" s="77">
        <v>2.97</v>
      </c>
      <c r="F14" s="77">
        <v>44</v>
      </c>
      <c r="G14" s="77">
        <f t="shared" si="6"/>
        <v>74.880230420577362</v>
      </c>
      <c r="H14" s="77">
        <f t="shared" si="0"/>
        <v>6.8640211218862577</v>
      </c>
      <c r="I14" s="78">
        <v>3.97</v>
      </c>
      <c r="J14" s="78">
        <v>6.63</v>
      </c>
      <c r="K14" s="78">
        <v>3.58</v>
      </c>
      <c r="L14" s="78">
        <v>48</v>
      </c>
      <c r="M14" s="78">
        <f t="shared" si="7"/>
        <v>120.88740420924466</v>
      </c>
      <c r="N14" s="78">
        <f t="shared" si="1"/>
        <v>11.081345385847429</v>
      </c>
      <c r="O14" s="79">
        <v>4.16</v>
      </c>
      <c r="P14" s="79">
        <v>8.24</v>
      </c>
      <c r="Q14" s="79">
        <v>4.05</v>
      </c>
      <c r="R14" s="79">
        <v>40</v>
      </c>
      <c r="S14" s="79">
        <f t="shared" si="8"/>
        <v>153.39494956429897</v>
      </c>
      <c r="T14" s="79">
        <f t="shared" si="2"/>
        <v>14.06120371006074</v>
      </c>
      <c r="U14" s="80">
        <v>4.07</v>
      </c>
      <c r="V14" s="80">
        <v>8.24</v>
      </c>
      <c r="W14" s="80">
        <v>3.98</v>
      </c>
      <c r="X14" s="80">
        <v>41</v>
      </c>
      <c r="Y14" s="80">
        <f t="shared" si="9"/>
        <v>152.34021033683604</v>
      </c>
      <c r="Z14" s="80">
        <f t="shared" si="3"/>
        <v>13.964519280876635</v>
      </c>
      <c r="AA14" s="81">
        <f t="shared" si="4"/>
        <v>11.492772374667766</v>
      </c>
      <c r="AB14" s="82">
        <f t="shared" si="5"/>
        <v>2183.6267511868755</v>
      </c>
    </row>
    <row r="15" spans="2:28" x14ac:dyDescent="0.25">
      <c r="B15" s="47">
        <v>202012</v>
      </c>
      <c r="C15" s="56">
        <v>4.5199999999999996</v>
      </c>
      <c r="D15" s="56">
        <v>7.63</v>
      </c>
      <c r="E15" s="56">
        <v>4.18</v>
      </c>
      <c r="F15" s="77">
        <v>44</v>
      </c>
      <c r="G15" s="77">
        <f>'MU1'!C10*1000</f>
        <v>184.93222220518189</v>
      </c>
      <c r="H15" s="77">
        <f>G15/$C$4*44/12/1000</f>
        <v>16.952120368808341</v>
      </c>
      <c r="I15" s="83">
        <v>4.79</v>
      </c>
      <c r="J15" s="83">
        <v>8.66</v>
      </c>
      <c r="K15" s="83">
        <v>4.38</v>
      </c>
      <c r="L15" s="78">
        <v>48</v>
      </c>
      <c r="M15" s="78">
        <f>'MU1'!D10*1000</f>
        <v>218.23061736004283</v>
      </c>
      <c r="N15" s="78">
        <f t="shared" ref="N15" si="10">M15/$C$4*44/12/1000</f>
        <v>20.004473258003923</v>
      </c>
      <c r="O15" s="79">
        <v>5.01</v>
      </c>
      <c r="P15" s="79">
        <v>10.210000000000001</v>
      </c>
      <c r="Q15" s="79">
        <v>4.97</v>
      </c>
      <c r="R15" s="79">
        <v>40</v>
      </c>
      <c r="S15" s="79">
        <f>'MU1'!E10*1000</f>
        <v>244.9940496198775</v>
      </c>
      <c r="T15" s="79">
        <f t="shared" ref="T15" si="11">S15/$C$4*44/12/1000</f>
        <v>22.457787881822103</v>
      </c>
      <c r="U15" s="80">
        <v>4.7699999999999996</v>
      </c>
      <c r="V15" s="80">
        <v>9.56</v>
      </c>
      <c r="W15" s="80">
        <v>4.7300000000000004</v>
      </c>
      <c r="X15" s="80">
        <v>41</v>
      </c>
      <c r="Y15" s="80">
        <f>'MU1'!F10*1000</f>
        <v>218.29046478045697</v>
      </c>
      <c r="Z15" s="80">
        <f t="shared" ref="Z15" si="12">Y15/$C$4*44/12/1000</f>
        <v>20.009959271541888</v>
      </c>
      <c r="AA15" s="81">
        <f>(H15+N15+T15+Z15)/4</f>
        <v>19.856085195044063</v>
      </c>
      <c r="AB15" s="82">
        <f t="shared" si="5"/>
        <v>3772.6561870583719</v>
      </c>
    </row>
    <row r="19" spans="2:24" ht="16.2" x14ac:dyDescent="0.25">
      <c r="B19" s="46" t="s">
        <v>150</v>
      </c>
    </row>
    <row r="20" spans="2:24" x14ac:dyDescent="0.25">
      <c r="B20" s="90" t="s">
        <v>64</v>
      </c>
      <c r="C20" s="25">
        <f>20*20/10000</f>
        <v>0.04</v>
      </c>
      <c r="E20" s="70"/>
    </row>
    <row r="21" spans="2:24" ht="27.6" x14ac:dyDescent="0.25">
      <c r="B21" s="90" t="s">
        <v>97</v>
      </c>
      <c r="C21" s="25">
        <v>1.1000000000000001</v>
      </c>
      <c r="E21" s="70"/>
    </row>
    <row r="22" spans="2:24" x14ac:dyDescent="0.25">
      <c r="B22" s="90" t="s">
        <v>98</v>
      </c>
      <c r="C22" s="25">
        <v>0.3</v>
      </c>
      <c r="E22" s="70"/>
    </row>
    <row r="23" spans="2:24" x14ac:dyDescent="0.25">
      <c r="B23" s="90" t="s">
        <v>99</v>
      </c>
      <c r="C23" s="25">
        <v>0.5</v>
      </c>
      <c r="E23" s="70"/>
    </row>
    <row r="24" spans="2:24" x14ac:dyDescent="0.25">
      <c r="B24" s="91" t="s">
        <v>65</v>
      </c>
      <c r="C24" s="54">
        <v>0.2</v>
      </c>
      <c r="E24" s="70"/>
    </row>
    <row r="25" spans="2:24" x14ac:dyDescent="0.25">
      <c r="B25" s="90" t="s">
        <v>87</v>
      </c>
      <c r="C25" s="25">
        <v>708.44</v>
      </c>
      <c r="E25" s="70"/>
    </row>
    <row r="27" spans="2:24" x14ac:dyDescent="0.25">
      <c r="B27" s="109" t="s">
        <v>100</v>
      </c>
      <c r="C27" s="111" t="s">
        <v>105</v>
      </c>
      <c r="D27" s="111"/>
      <c r="E27" s="111"/>
      <c r="F27" s="111"/>
      <c r="G27" s="111"/>
      <c r="H27" s="112" t="s">
        <v>106</v>
      </c>
      <c r="I27" s="112"/>
      <c r="J27" s="112"/>
      <c r="K27" s="112"/>
      <c r="L27" s="112"/>
      <c r="M27" s="122" t="s">
        <v>107</v>
      </c>
      <c r="N27" s="122"/>
      <c r="O27" s="122"/>
      <c r="P27" s="122"/>
      <c r="Q27" s="122"/>
      <c r="R27" s="123" t="s">
        <v>107</v>
      </c>
      <c r="S27" s="123"/>
      <c r="T27" s="123"/>
      <c r="U27" s="123"/>
      <c r="V27" s="123"/>
      <c r="W27" s="108" t="s">
        <v>41</v>
      </c>
      <c r="X27" s="108" t="s">
        <v>118</v>
      </c>
    </row>
    <row r="28" spans="2:24" ht="55.2" x14ac:dyDescent="0.25">
      <c r="B28" s="110"/>
      <c r="C28" s="44" t="s">
        <v>156</v>
      </c>
      <c r="D28" s="44" t="s">
        <v>157</v>
      </c>
      <c r="E28" s="44" t="s">
        <v>40</v>
      </c>
      <c r="F28" s="44" t="s">
        <v>159</v>
      </c>
      <c r="G28" s="44" t="s">
        <v>41</v>
      </c>
      <c r="H28" s="73" t="s">
        <v>156</v>
      </c>
      <c r="I28" s="73" t="s">
        <v>157</v>
      </c>
      <c r="J28" s="73" t="s">
        <v>90</v>
      </c>
      <c r="K28" s="73" t="s">
        <v>159</v>
      </c>
      <c r="L28" s="73" t="s">
        <v>41</v>
      </c>
      <c r="M28" s="74" t="s">
        <v>156</v>
      </c>
      <c r="N28" s="74" t="s">
        <v>157</v>
      </c>
      <c r="O28" s="74" t="s">
        <v>90</v>
      </c>
      <c r="P28" s="74" t="s">
        <v>159</v>
      </c>
      <c r="Q28" s="74" t="s">
        <v>41</v>
      </c>
      <c r="R28" s="75" t="s">
        <v>156</v>
      </c>
      <c r="S28" s="75" t="s">
        <v>157</v>
      </c>
      <c r="T28" s="75" t="s">
        <v>90</v>
      </c>
      <c r="U28" s="75" t="s">
        <v>159</v>
      </c>
      <c r="V28" s="75" t="s">
        <v>41</v>
      </c>
      <c r="W28" s="108"/>
      <c r="X28" s="108"/>
    </row>
    <row r="29" spans="2:24" x14ac:dyDescent="0.25">
      <c r="B29" s="76" t="s">
        <v>93</v>
      </c>
      <c r="C29" s="77">
        <v>0.41</v>
      </c>
      <c r="D29" s="77">
        <v>1.21</v>
      </c>
      <c r="E29" s="77">
        <v>40</v>
      </c>
      <c r="F29" s="84">
        <f>0.00001235*D29^3.017*E29</f>
        <v>8.7799170161528177E-4</v>
      </c>
      <c r="G29" s="77">
        <f>F29*$C$21*$C$22*$C$23*(1+$C$24)*44/12/$C$20</f>
        <v>1.5935549384317366E-2</v>
      </c>
      <c r="H29" s="78">
        <v>0.5</v>
      </c>
      <c r="I29" s="78">
        <v>1.05</v>
      </c>
      <c r="J29" s="78">
        <v>40</v>
      </c>
      <c r="K29" s="85">
        <f>0.00001235*I29^3.017*J29</f>
        <v>5.7234127179923023E-4</v>
      </c>
      <c r="L29" s="78">
        <f>K29*$C$21*$C$22*$C$23*(1+$C$24)*44/12/$C$20</f>
        <v>1.0387994083156027E-2</v>
      </c>
      <c r="M29" s="79">
        <v>0.45</v>
      </c>
      <c r="N29" s="79">
        <v>1.22</v>
      </c>
      <c r="O29" s="79">
        <v>40</v>
      </c>
      <c r="P29" s="86">
        <f>0.00001235*N29^3.017*O29</f>
        <v>9.0006641767860376E-4</v>
      </c>
      <c r="Q29" s="79">
        <f>P29*$C$21*$C$22*$C$23*(1+$C$24)*44/12/$C$20</f>
        <v>1.6336205480866658E-2</v>
      </c>
      <c r="R29" s="80">
        <v>0.44</v>
      </c>
      <c r="S29" s="80">
        <v>1.1299999999999999</v>
      </c>
      <c r="T29" s="80">
        <v>100</v>
      </c>
      <c r="U29" s="87">
        <f>0.00001235*S29^3.017*T29</f>
        <v>1.7856840587487908E-3</v>
      </c>
      <c r="V29" s="80">
        <f>U29*$C$21*$C$22*$C$23*(1+$C$24)*44/12/$C$20</f>
        <v>3.2410165666290548E-2</v>
      </c>
      <c r="W29" s="81">
        <f>(G29+L29+Q29+V29)/4</f>
        <v>1.8767478653657649E-2</v>
      </c>
      <c r="X29" s="82">
        <f>W29*$C$25</f>
        <v>13.295632577397226</v>
      </c>
    </row>
    <row r="30" spans="2:24" x14ac:dyDescent="0.25">
      <c r="B30" s="76" t="s">
        <v>94</v>
      </c>
      <c r="C30" s="77">
        <v>0.62</v>
      </c>
      <c r="D30" s="77">
        <v>1.96</v>
      </c>
      <c r="E30" s="77">
        <v>38</v>
      </c>
      <c r="F30" s="84">
        <f t="shared" ref="F30:F32" si="13">0.00001235*D30^3.017*E30</f>
        <v>3.5742680702509333E-3</v>
      </c>
      <c r="G30" s="77">
        <f t="shared" ref="G30:G32" si="14">F30*$C$21*$C$22*$C$23*(1+$C$24)*44/12/$C$20</f>
        <v>6.4872965475054445E-2</v>
      </c>
      <c r="H30" s="78">
        <v>0.83</v>
      </c>
      <c r="I30" s="78">
        <v>1.74</v>
      </c>
      <c r="J30" s="78">
        <v>38</v>
      </c>
      <c r="K30" s="85">
        <f t="shared" ref="K30:K32" si="15">0.00001235*I30^3.017*J30</f>
        <v>2.4956727457236521E-3</v>
      </c>
      <c r="L30" s="78">
        <f t="shared" ref="L30:L32" si="16">K30*$C$21*$C$22*$C$23*(1+$C$24)*44/12/$C$20</f>
        <v>4.5296460334884284E-2</v>
      </c>
      <c r="M30" s="79">
        <v>0.71</v>
      </c>
      <c r="N30" s="79">
        <v>1.89</v>
      </c>
      <c r="O30" s="79">
        <v>35</v>
      </c>
      <c r="P30" s="86">
        <f t="shared" ref="P30:P32" si="17">0.00001235*N30^3.017*O30</f>
        <v>2.9499881072122635E-3</v>
      </c>
      <c r="Q30" s="79">
        <f t="shared" ref="Q30:Q32" si="18">P30*$C$21*$C$22*$C$23*(1+$C$24)*44/12/$C$20</f>
        <v>5.3542284145902584E-2</v>
      </c>
      <c r="R30" s="80">
        <v>0.71</v>
      </c>
      <c r="S30" s="80">
        <v>1.65</v>
      </c>
      <c r="T30" s="80">
        <v>95</v>
      </c>
      <c r="U30" s="87">
        <f t="shared" ref="U30:U32" si="19">0.00001235*S30^3.017*T30</f>
        <v>5.3154449241458769E-3</v>
      </c>
      <c r="V30" s="80">
        <f t="shared" ref="V30:V32" si="20">U30*$C$21*$C$22*$C$23*(1+$C$24)*44/12/$C$20</f>
        <v>9.6475325373247656E-2</v>
      </c>
      <c r="W30" s="81">
        <f t="shared" ref="W30:W32" si="21">(G30+L30+Q30+V30)/4</f>
        <v>6.5046758832272233E-2</v>
      </c>
      <c r="X30" s="82">
        <f t="shared" ref="X30:X33" si="22">W30*$C$25</f>
        <v>46.081725827134946</v>
      </c>
    </row>
    <row r="31" spans="2:24" x14ac:dyDescent="0.25">
      <c r="B31" s="76" t="s">
        <v>95</v>
      </c>
      <c r="C31" s="77">
        <v>0.85</v>
      </c>
      <c r="D31" s="77">
        <v>2.81</v>
      </c>
      <c r="E31" s="77">
        <v>38</v>
      </c>
      <c r="F31" s="84">
        <f t="shared" si="13"/>
        <v>1.0597355936735289E-2</v>
      </c>
      <c r="G31" s="77">
        <f t="shared" si="14"/>
        <v>0.19234201025174549</v>
      </c>
      <c r="H31" s="78">
        <v>1.27</v>
      </c>
      <c r="I31" s="78">
        <v>2.79</v>
      </c>
      <c r="J31" s="78">
        <v>38</v>
      </c>
      <c r="K31" s="85">
        <f t="shared" si="15"/>
        <v>1.0371425103967963E-2</v>
      </c>
      <c r="L31" s="78">
        <f t="shared" si="16"/>
        <v>0.18824136563701852</v>
      </c>
      <c r="M31" s="79">
        <v>0.99</v>
      </c>
      <c r="N31" s="79">
        <v>2.64</v>
      </c>
      <c r="O31" s="79">
        <v>32</v>
      </c>
      <c r="P31" s="86">
        <f t="shared" si="17"/>
        <v>7.3925791534991455E-3</v>
      </c>
      <c r="Q31" s="79">
        <f t="shared" si="18"/>
        <v>0.13417531163600951</v>
      </c>
      <c r="R31" s="80">
        <v>1.0900000000000001</v>
      </c>
      <c r="S31" s="80">
        <v>2.41</v>
      </c>
      <c r="T31" s="80">
        <v>97</v>
      </c>
      <c r="U31" s="87">
        <f t="shared" si="19"/>
        <v>1.7020962281244181E-2</v>
      </c>
      <c r="V31" s="80">
        <f t="shared" si="20"/>
        <v>0.30893046540458191</v>
      </c>
      <c r="W31" s="81">
        <f t="shared" si="21"/>
        <v>0.20592228823233885</v>
      </c>
      <c r="X31" s="82">
        <f t="shared" si="22"/>
        <v>145.88358587531815</v>
      </c>
    </row>
    <row r="32" spans="2:24" x14ac:dyDescent="0.25">
      <c r="B32" s="76" t="s">
        <v>96</v>
      </c>
      <c r="C32" s="77">
        <v>1.17</v>
      </c>
      <c r="D32" s="77">
        <v>4.13</v>
      </c>
      <c r="E32" s="77">
        <v>37</v>
      </c>
      <c r="F32" s="84">
        <f t="shared" si="13"/>
        <v>3.2975393557986246E-2</v>
      </c>
      <c r="G32" s="77">
        <f t="shared" si="14"/>
        <v>0.59850339307745037</v>
      </c>
      <c r="H32" s="78">
        <v>1.59</v>
      </c>
      <c r="I32" s="78">
        <v>4.25</v>
      </c>
      <c r="J32" s="78">
        <v>36</v>
      </c>
      <c r="K32" s="85">
        <f t="shared" si="15"/>
        <v>3.4979923900267135E-2</v>
      </c>
      <c r="L32" s="78">
        <f t="shared" si="16"/>
        <v>0.6348856187898485</v>
      </c>
      <c r="M32" s="79">
        <v>1.24</v>
      </c>
      <c r="N32" s="79">
        <v>3.43</v>
      </c>
      <c r="O32" s="79">
        <v>32</v>
      </c>
      <c r="P32" s="86">
        <f t="shared" si="17"/>
        <v>1.6285432472432571E-2</v>
      </c>
      <c r="Q32" s="79">
        <f t="shared" si="18"/>
        <v>0.2955805993746512</v>
      </c>
      <c r="R32" s="80">
        <v>1.42</v>
      </c>
      <c r="S32" s="80">
        <v>3.27</v>
      </c>
      <c r="T32" s="80">
        <v>86</v>
      </c>
      <c r="U32" s="87">
        <f t="shared" si="19"/>
        <v>3.7892737264352064E-2</v>
      </c>
      <c r="V32" s="80">
        <f t="shared" si="20"/>
        <v>0.68775318134799002</v>
      </c>
      <c r="W32" s="81">
        <f t="shared" si="21"/>
        <v>0.55418069814748505</v>
      </c>
      <c r="X32" s="82">
        <f t="shared" si="22"/>
        <v>392.60377379560435</v>
      </c>
    </row>
    <row r="33" spans="2:34" x14ac:dyDescent="0.25">
      <c r="B33" s="47">
        <v>202012</v>
      </c>
      <c r="C33" s="56">
        <v>1.5</v>
      </c>
      <c r="D33" s="77">
        <v>5.7</v>
      </c>
      <c r="E33" s="77">
        <v>37</v>
      </c>
      <c r="F33" s="84">
        <f>'MU2'!C9</f>
        <v>9.7982892578261316E-2</v>
      </c>
      <c r="G33" s="77">
        <f>F33*$C$21*$C$22*$C$23/$C$20*(1+$C$24)*44/12</f>
        <v>1.7783895002954428</v>
      </c>
      <c r="H33" s="83">
        <v>1.99</v>
      </c>
      <c r="I33" s="83">
        <v>6.12</v>
      </c>
      <c r="J33" s="78">
        <v>34</v>
      </c>
      <c r="K33" s="85">
        <f>'MU2'!D9</f>
        <v>9.833005012436162E-2</v>
      </c>
      <c r="L33" s="78">
        <f>K33*$C$21*$C$22*$C$23/$C$20*(1+$C$24)*44/12</f>
        <v>1.784690409757163</v>
      </c>
      <c r="M33" s="88">
        <v>1.55</v>
      </c>
      <c r="N33" s="88">
        <v>4.68</v>
      </c>
      <c r="O33" s="79">
        <v>32</v>
      </c>
      <c r="P33" s="86">
        <f>'MU2'!E9</f>
        <v>7.0203619740942927E-2</v>
      </c>
      <c r="Q33" s="79">
        <f>P33*$C$21*$C$22*$C$23/$C$20*(1+$C$24)*44/12</f>
        <v>1.274195698298114</v>
      </c>
      <c r="R33" s="89">
        <v>1.8</v>
      </c>
      <c r="S33" s="89">
        <v>3.96</v>
      </c>
      <c r="T33" s="80">
        <v>86</v>
      </c>
      <c r="U33" s="87">
        <f>'MU2'!F9</f>
        <v>7.793888867717072E-2</v>
      </c>
      <c r="V33" s="80">
        <f>U33*$C$21*$C$22*$C$23/$C$20*(1+$C$24)*44/12</f>
        <v>1.4145908294906488</v>
      </c>
      <c r="W33" s="81">
        <f>(G33+L33+Q33+V33)/4</f>
        <v>1.5629666094603423</v>
      </c>
      <c r="X33" s="82">
        <f t="shared" si="22"/>
        <v>1107.268064806085</v>
      </c>
    </row>
    <row r="38" spans="2:34" ht="15" x14ac:dyDescent="0.25">
      <c r="B38" s="68" t="s">
        <v>155</v>
      </c>
    </row>
    <row r="39" spans="2:34" x14ac:dyDescent="0.25">
      <c r="B39" s="91" t="s">
        <v>65</v>
      </c>
      <c r="C39" s="54">
        <v>0.2</v>
      </c>
      <c r="F39" s="71"/>
    </row>
    <row r="40" spans="2:34" x14ac:dyDescent="0.25">
      <c r="B40" s="90" t="s">
        <v>64</v>
      </c>
      <c r="C40" s="25">
        <f>20*20/10000</f>
        <v>0.04</v>
      </c>
      <c r="F40" s="70"/>
    </row>
    <row r="41" spans="2:34" x14ac:dyDescent="0.25">
      <c r="B41" s="90" t="s">
        <v>87</v>
      </c>
      <c r="C41" s="25">
        <v>472.52</v>
      </c>
      <c r="F41" s="70"/>
    </row>
    <row r="43" spans="2:34" x14ac:dyDescent="0.25">
      <c r="B43" s="109" t="s">
        <v>100</v>
      </c>
      <c r="C43" s="111" t="s">
        <v>108</v>
      </c>
      <c r="D43" s="111"/>
      <c r="E43" s="111"/>
      <c r="F43" s="111"/>
      <c r="G43" s="111"/>
      <c r="H43" s="111"/>
      <c r="I43" s="112" t="s">
        <v>109</v>
      </c>
      <c r="J43" s="112"/>
      <c r="K43" s="112"/>
      <c r="L43" s="112"/>
      <c r="M43" s="112"/>
      <c r="N43" s="112"/>
      <c r="O43" s="113" t="s">
        <v>110</v>
      </c>
      <c r="P43" s="114"/>
      <c r="Q43" s="114"/>
      <c r="R43" s="114"/>
      <c r="S43" s="114"/>
      <c r="T43" s="115"/>
      <c r="U43" s="116" t="s">
        <v>81</v>
      </c>
      <c r="V43" s="117"/>
      <c r="W43" s="117"/>
      <c r="X43" s="117"/>
      <c r="Y43" s="117"/>
      <c r="Z43" s="118"/>
      <c r="AA43" s="119" t="s">
        <v>82</v>
      </c>
      <c r="AB43" s="120"/>
      <c r="AC43" s="120"/>
      <c r="AD43" s="120"/>
      <c r="AE43" s="120"/>
      <c r="AF43" s="121"/>
      <c r="AG43" s="108" t="s">
        <v>41</v>
      </c>
      <c r="AH43" s="108" t="s">
        <v>118</v>
      </c>
    </row>
    <row r="44" spans="2:34" ht="55.2" x14ac:dyDescent="0.25">
      <c r="B44" s="110"/>
      <c r="C44" s="44" t="s">
        <v>156</v>
      </c>
      <c r="D44" s="44" t="s">
        <v>157</v>
      </c>
      <c r="E44" s="44" t="s">
        <v>158</v>
      </c>
      <c r="F44" s="44" t="s">
        <v>40</v>
      </c>
      <c r="G44" s="44" t="s">
        <v>89</v>
      </c>
      <c r="H44" s="44" t="s">
        <v>41</v>
      </c>
      <c r="I44" s="73" t="s">
        <v>156</v>
      </c>
      <c r="J44" s="73" t="s">
        <v>157</v>
      </c>
      <c r="K44" s="73" t="s">
        <v>158</v>
      </c>
      <c r="L44" s="73" t="s">
        <v>90</v>
      </c>
      <c r="M44" s="73" t="s">
        <v>89</v>
      </c>
      <c r="N44" s="73" t="s">
        <v>41</v>
      </c>
      <c r="O44" s="74" t="s">
        <v>156</v>
      </c>
      <c r="P44" s="74" t="s">
        <v>157</v>
      </c>
      <c r="Q44" s="74" t="s">
        <v>158</v>
      </c>
      <c r="R44" s="74" t="s">
        <v>101</v>
      </c>
      <c r="S44" s="74" t="s">
        <v>89</v>
      </c>
      <c r="T44" s="74" t="s">
        <v>41</v>
      </c>
      <c r="U44" s="44" t="s">
        <v>156</v>
      </c>
      <c r="V44" s="44" t="s">
        <v>157</v>
      </c>
      <c r="W44" s="44" t="s">
        <v>158</v>
      </c>
      <c r="X44" s="44" t="s">
        <v>101</v>
      </c>
      <c r="Y44" s="44" t="s">
        <v>89</v>
      </c>
      <c r="Z44" s="44" t="s">
        <v>41</v>
      </c>
      <c r="AA44" s="73" t="s">
        <v>156</v>
      </c>
      <c r="AB44" s="73" t="s">
        <v>157</v>
      </c>
      <c r="AC44" s="73" t="s">
        <v>158</v>
      </c>
      <c r="AD44" s="73" t="s">
        <v>101</v>
      </c>
      <c r="AE44" s="73" t="s">
        <v>89</v>
      </c>
      <c r="AF44" s="73" t="s">
        <v>41</v>
      </c>
      <c r="AG44" s="108"/>
      <c r="AH44" s="108"/>
    </row>
    <row r="45" spans="2:34" x14ac:dyDescent="0.25">
      <c r="B45" s="76" t="s">
        <v>93</v>
      </c>
      <c r="C45" s="77">
        <v>0.88</v>
      </c>
      <c r="D45" s="77">
        <v>1.65</v>
      </c>
      <c r="E45" s="77">
        <v>0</v>
      </c>
      <c r="F45" s="77">
        <v>50</v>
      </c>
      <c r="G45" s="77">
        <f>0.045*(E45^2*D45)^0.906*F45</f>
        <v>0</v>
      </c>
      <c r="H45" s="77">
        <f t="shared" ref="H45:H48" si="23">G45/$C$4*44/12/1000</f>
        <v>0</v>
      </c>
      <c r="I45" s="78">
        <v>0.92</v>
      </c>
      <c r="J45" s="78">
        <v>1.77</v>
      </c>
      <c r="K45" s="78">
        <v>0</v>
      </c>
      <c r="L45" s="78">
        <v>50</v>
      </c>
      <c r="M45" s="78">
        <f>0.045*(K45^2*J45)^0.906*L45</f>
        <v>0</v>
      </c>
      <c r="N45" s="78">
        <f t="shared" ref="N45:N48" si="24">M45/$C$4*44/12/1000</f>
        <v>0</v>
      </c>
      <c r="O45" s="79">
        <v>0.91</v>
      </c>
      <c r="P45" s="79">
        <v>1.82</v>
      </c>
      <c r="Q45" s="79">
        <v>0</v>
      </c>
      <c r="R45" s="79">
        <v>50</v>
      </c>
      <c r="S45" s="79">
        <f>0.045*(Q45^2*P45)^0.906*R45</f>
        <v>0</v>
      </c>
      <c r="T45" s="79">
        <f t="shared" ref="T45:T48" si="25">S45/$C$4*44/12/1000</f>
        <v>0</v>
      </c>
      <c r="U45" s="77">
        <v>0.89</v>
      </c>
      <c r="V45" s="77">
        <v>1.77</v>
      </c>
      <c r="W45" s="77">
        <v>0</v>
      </c>
      <c r="X45" s="77">
        <v>50</v>
      </c>
      <c r="Y45" s="77">
        <f>0.045*(W45^2*V45)^0.906*X45</f>
        <v>0</v>
      </c>
      <c r="Z45" s="77">
        <f t="shared" ref="Z45:Z48" si="26">Y45/$C$4*44/12/1000</f>
        <v>0</v>
      </c>
      <c r="AA45" s="78">
        <v>0.91</v>
      </c>
      <c r="AB45" s="78">
        <v>1.9</v>
      </c>
      <c r="AC45" s="78">
        <v>0</v>
      </c>
      <c r="AD45" s="78">
        <v>50</v>
      </c>
      <c r="AE45" s="78">
        <f>0.045*(AC45^2*AB45)^0.906*AD45</f>
        <v>0</v>
      </c>
      <c r="AF45" s="78">
        <f t="shared" ref="AF45:AF48" si="27">AE45/$C$4*44/12/1000</f>
        <v>0</v>
      </c>
      <c r="AG45" s="81">
        <f t="shared" ref="AG45:AG48" si="28">(H45+N45+T45+Z45+AF45)/5</f>
        <v>0</v>
      </c>
      <c r="AH45" s="82">
        <f>AG45*$C$41</f>
        <v>0</v>
      </c>
    </row>
    <row r="46" spans="2:34" x14ac:dyDescent="0.25">
      <c r="B46" s="76" t="s">
        <v>94</v>
      </c>
      <c r="C46" s="77">
        <v>1.74</v>
      </c>
      <c r="D46" s="77">
        <v>3.48</v>
      </c>
      <c r="E46" s="77">
        <v>1.31</v>
      </c>
      <c r="F46" s="77">
        <v>38</v>
      </c>
      <c r="G46" s="77">
        <f>0.045*(E46^2*D46)^0.906*F46</f>
        <v>8.6330149529017</v>
      </c>
      <c r="H46" s="77">
        <f t="shared" si="23"/>
        <v>0.79135970401598921</v>
      </c>
      <c r="I46" s="78">
        <v>1.91</v>
      </c>
      <c r="J46" s="78">
        <v>3.81</v>
      </c>
      <c r="K46" s="78">
        <v>1.29</v>
      </c>
      <c r="L46" s="78">
        <v>38</v>
      </c>
      <c r="M46" s="78">
        <f>0.045*(K46^2*J46)^0.906*L46</f>
        <v>9.1138671436875143</v>
      </c>
      <c r="N46" s="78">
        <f t="shared" si="24"/>
        <v>0.8354378215046887</v>
      </c>
      <c r="O46" s="79">
        <v>2.0699999999999998</v>
      </c>
      <c r="P46" s="79">
        <v>4.01</v>
      </c>
      <c r="Q46" s="79">
        <v>1.65</v>
      </c>
      <c r="R46" s="79">
        <v>35</v>
      </c>
      <c r="S46" s="79">
        <f>0.045*(Q46^2*P46)^0.906*R46</f>
        <v>13.734418184844316</v>
      </c>
      <c r="T46" s="79">
        <f t="shared" si="25"/>
        <v>1.2589883336107288</v>
      </c>
      <c r="U46" s="77">
        <v>1.67</v>
      </c>
      <c r="V46" s="77">
        <v>3.98</v>
      </c>
      <c r="W46" s="77">
        <v>1.59</v>
      </c>
      <c r="X46" s="77">
        <v>35</v>
      </c>
      <c r="Y46" s="77">
        <f>0.045*(W46^2*V46)^0.906*X46</f>
        <v>12.755756220180054</v>
      </c>
      <c r="Z46" s="77">
        <f t="shared" si="26"/>
        <v>1.1692776535165048</v>
      </c>
      <c r="AA46" s="78">
        <v>1.73</v>
      </c>
      <c r="AB46" s="78">
        <v>3.89</v>
      </c>
      <c r="AC46" s="78">
        <v>1.6</v>
      </c>
      <c r="AD46" s="78">
        <v>46</v>
      </c>
      <c r="AE46" s="78">
        <f>0.045*(AC46^2*AB46)^0.906*AD46</f>
        <v>16.608487838933975</v>
      </c>
      <c r="AF46" s="78">
        <f t="shared" si="27"/>
        <v>1.5224447185689478</v>
      </c>
      <c r="AG46" s="81">
        <f t="shared" si="28"/>
        <v>1.1155016462433718</v>
      </c>
      <c r="AH46" s="82">
        <f t="shared" ref="AH46:AH49" si="29">AG46*$C$41</f>
        <v>527.09683788291807</v>
      </c>
    </row>
    <row r="47" spans="2:34" x14ac:dyDescent="0.25">
      <c r="B47" s="76" t="s">
        <v>95</v>
      </c>
      <c r="C47" s="77">
        <v>2.64</v>
      </c>
      <c r="D47" s="77">
        <v>5.64</v>
      </c>
      <c r="E47" s="77">
        <v>2.34</v>
      </c>
      <c r="F47" s="77">
        <v>38</v>
      </c>
      <c r="G47" s="77">
        <f t="shared" ref="G47:G48" si="30">0.045*(E47^2*D47)^0.906*F47</f>
        <v>38.25375853830036</v>
      </c>
      <c r="H47" s="77">
        <f t="shared" si="23"/>
        <v>3.5065945326775325</v>
      </c>
      <c r="I47" s="78">
        <v>3.15</v>
      </c>
      <c r="J47" s="78">
        <v>5.62</v>
      </c>
      <c r="K47" s="78">
        <v>2.54</v>
      </c>
      <c r="L47" s="78">
        <v>38</v>
      </c>
      <c r="M47" s="78">
        <f t="shared" ref="M47:M48" si="31">0.045*(K47^2*J47)^0.906*L47</f>
        <v>44.240080323372879</v>
      </c>
      <c r="N47" s="78">
        <f t="shared" si="24"/>
        <v>4.0553406963091803</v>
      </c>
      <c r="O47" s="79">
        <v>3.61</v>
      </c>
      <c r="P47" s="79">
        <v>6.17</v>
      </c>
      <c r="Q47" s="79">
        <v>2.46</v>
      </c>
      <c r="R47" s="79">
        <v>32</v>
      </c>
      <c r="S47" s="79">
        <f t="shared" ref="S47:S48" si="32">0.045*(Q47^2*P47)^0.906*R47</f>
        <v>38.259145389339999</v>
      </c>
      <c r="T47" s="79">
        <f t="shared" si="25"/>
        <v>3.5070883273561662</v>
      </c>
      <c r="U47" s="77">
        <v>3.41</v>
      </c>
      <c r="V47" s="77">
        <v>6.07</v>
      </c>
      <c r="W47" s="77">
        <v>2.38</v>
      </c>
      <c r="X47" s="77">
        <v>32</v>
      </c>
      <c r="Y47" s="77">
        <f t="shared" ref="Y47:Y48" si="33">0.045*(W47^2*V47)^0.906*X47</f>
        <v>35.504948937840602</v>
      </c>
      <c r="Z47" s="77">
        <f t="shared" si="26"/>
        <v>3.2546203193020551</v>
      </c>
      <c r="AA47" s="78">
        <v>2.88</v>
      </c>
      <c r="AB47" s="78">
        <v>6.23</v>
      </c>
      <c r="AC47" s="78">
        <v>2.4700000000000002</v>
      </c>
      <c r="AD47" s="78">
        <v>44</v>
      </c>
      <c r="AE47" s="78">
        <f t="shared" ref="AE47:AE48" si="34">0.045*(AC47^2*AB47)^0.906*AD47</f>
        <v>53.461143012218272</v>
      </c>
      <c r="AF47" s="78">
        <f t="shared" si="27"/>
        <v>4.9006047761200087</v>
      </c>
      <c r="AG47" s="81">
        <f t="shared" si="28"/>
        <v>3.8448497303529883</v>
      </c>
      <c r="AH47" s="82">
        <f t="shared" si="29"/>
        <v>1816.7683945863939</v>
      </c>
    </row>
    <row r="48" spans="2:34" x14ac:dyDescent="0.25">
      <c r="B48" s="76" t="s">
        <v>96</v>
      </c>
      <c r="C48" s="77">
        <v>4.12</v>
      </c>
      <c r="D48" s="77">
        <v>8.49</v>
      </c>
      <c r="E48" s="77">
        <v>3.97</v>
      </c>
      <c r="F48" s="77">
        <v>37</v>
      </c>
      <c r="G48" s="77">
        <f t="shared" si="30"/>
        <v>140.60896240289068</v>
      </c>
      <c r="H48" s="77">
        <f t="shared" si="23"/>
        <v>12.889154886931646</v>
      </c>
      <c r="I48" s="78">
        <v>4.43</v>
      </c>
      <c r="J48" s="78">
        <v>7.91</v>
      </c>
      <c r="K48" s="78">
        <v>3.71</v>
      </c>
      <c r="L48" s="78">
        <v>36</v>
      </c>
      <c r="M48" s="78">
        <f t="shared" si="31"/>
        <v>113.49283191246315</v>
      </c>
      <c r="N48" s="78">
        <f t="shared" si="24"/>
        <v>10.403509591975787</v>
      </c>
      <c r="O48" s="79">
        <v>5.36</v>
      </c>
      <c r="P48" s="79">
        <v>8.39</v>
      </c>
      <c r="Q48" s="79">
        <v>3.52</v>
      </c>
      <c r="R48" s="79">
        <v>32</v>
      </c>
      <c r="S48" s="79">
        <f t="shared" si="32"/>
        <v>96.744466677961853</v>
      </c>
      <c r="T48" s="79">
        <f t="shared" si="25"/>
        <v>8.8682427788131708</v>
      </c>
      <c r="U48" s="77">
        <v>4.0599999999999996</v>
      </c>
      <c r="V48" s="77">
        <v>8.1199999999999992</v>
      </c>
      <c r="W48" s="77">
        <v>3.55</v>
      </c>
      <c r="X48" s="77">
        <v>31</v>
      </c>
      <c r="Y48" s="77">
        <f t="shared" si="33"/>
        <v>92.394420485986075</v>
      </c>
      <c r="Z48" s="77">
        <f t="shared" si="26"/>
        <v>8.4694885445487209</v>
      </c>
      <c r="AA48" s="78">
        <v>3.96</v>
      </c>
      <c r="AB48" s="78">
        <v>9.8699999999999992</v>
      </c>
      <c r="AC48" s="78">
        <v>3.49</v>
      </c>
      <c r="AD48" s="78">
        <v>44</v>
      </c>
      <c r="AE48" s="78">
        <f t="shared" si="34"/>
        <v>151.74563391313666</v>
      </c>
      <c r="AF48" s="78">
        <f t="shared" si="27"/>
        <v>13.910016442037527</v>
      </c>
      <c r="AG48" s="81">
        <f t="shared" si="28"/>
        <v>10.90808244886137</v>
      </c>
      <c r="AH48" s="82">
        <f t="shared" si="29"/>
        <v>5154.2871187359742</v>
      </c>
    </row>
    <row r="49" spans="2:34" x14ac:dyDescent="0.25">
      <c r="B49" s="47">
        <v>202012</v>
      </c>
      <c r="C49" s="56">
        <v>5.6</v>
      </c>
      <c r="D49" s="56">
        <v>11.91</v>
      </c>
      <c r="E49" s="56">
        <v>5.22</v>
      </c>
      <c r="F49" s="77">
        <v>37</v>
      </c>
      <c r="G49" s="77">
        <f>'MU3'!C10*1000</f>
        <v>219.97590095621624</v>
      </c>
      <c r="H49" s="77">
        <f>G49/$C$40*44/12/1000</f>
        <v>20.164457587653157</v>
      </c>
      <c r="I49" s="83">
        <v>6.09</v>
      </c>
      <c r="J49" s="83">
        <v>10.56</v>
      </c>
      <c r="K49" s="83">
        <v>4.97</v>
      </c>
      <c r="L49" s="78">
        <v>34</v>
      </c>
      <c r="M49" s="78">
        <f>'MU3'!D10*1000</f>
        <v>245.11869393792909</v>
      </c>
      <c r="N49" s="78">
        <f>M49/$C$40*44/12/1000</f>
        <v>22.469213610976833</v>
      </c>
      <c r="O49" s="88">
        <v>7.19</v>
      </c>
      <c r="P49" s="88">
        <v>11.36</v>
      </c>
      <c r="Q49" s="88">
        <v>4.37</v>
      </c>
      <c r="R49" s="79">
        <v>32</v>
      </c>
      <c r="S49" s="79">
        <f>'MU3'!E10*1000</f>
        <v>300.48473641467092</v>
      </c>
      <c r="T49" s="79">
        <f>S49/$C$40*44/12/1000</f>
        <v>27.544434171344832</v>
      </c>
      <c r="U49" s="56">
        <v>5.86</v>
      </c>
      <c r="V49" s="56">
        <v>10.47</v>
      </c>
      <c r="W49" s="56">
        <v>4.8899999999999997</v>
      </c>
      <c r="X49" s="77">
        <v>31</v>
      </c>
      <c r="Y49" s="77">
        <f>'MU3'!F10*1000</f>
        <v>200.00141037247889</v>
      </c>
      <c r="Z49" s="77">
        <f>Y49/$C$40*44/12/1000</f>
        <v>18.333462617477231</v>
      </c>
      <c r="AA49" s="83">
        <v>5.15</v>
      </c>
      <c r="AB49" s="83">
        <v>12.44</v>
      </c>
      <c r="AC49" s="83">
        <v>4.7</v>
      </c>
      <c r="AD49" s="78">
        <v>44</v>
      </c>
      <c r="AE49" s="78">
        <f>'MU3'!G10*1000</f>
        <v>214.00612097242814</v>
      </c>
      <c r="AF49" s="78">
        <f>AE49/$C$40*44/12/1000</f>
        <v>19.617227755805914</v>
      </c>
      <c r="AG49" s="81">
        <f>(H49+N49+T49+Z49+AF49)/5</f>
        <v>21.625759148651593</v>
      </c>
      <c r="AH49" s="82">
        <f t="shared" si="29"/>
        <v>10218.603712920851</v>
      </c>
    </row>
    <row r="52" spans="2:34" ht="27.6" x14ac:dyDescent="0.25">
      <c r="B52" s="47"/>
      <c r="C52" s="47" t="s">
        <v>119</v>
      </c>
      <c r="D52" s="47" t="s">
        <v>120</v>
      </c>
      <c r="E52" s="47" t="s">
        <v>121</v>
      </c>
      <c r="F52" s="47" t="s">
        <v>122</v>
      </c>
      <c r="G52" s="101" t="s">
        <v>123</v>
      </c>
    </row>
    <row r="53" spans="2:34" x14ac:dyDescent="0.25">
      <c r="B53" s="76" t="s">
        <v>91</v>
      </c>
      <c r="C53" s="130">
        <f>AB9</f>
        <v>0</v>
      </c>
      <c r="D53" s="130"/>
      <c r="E53" s="130"/>
      <c r="F53" s="130">
        <f>ROUND(SUM(C53:E53),0)</f>
        <v>0</v>
      </c>
      <c r="G53" s="130">
        <f>F53</f>
        <v>0</v>
      </c>
    </row>
    <row r="54" spans="2:34" x14ac:dyDescent="0.25">
      <c r="B54" s="76" t="s">
        <v>92</v>
      </c>
      <c r="C54" s="130">
        <f t="shared" ref="C54:C59" si="35">AB10</f>
        <v>93.212280662269393</v>
      </c>
      <c r="D54" s="130"/>
      <c r="E54" s="130"/>
      <c r="F54" s="130">
        <f t="shared" ref="F54:F59" si="36">ROUND(SUM(C54:E54),0)</f>
        <v>93</v>
      </c>
      <c r="G54" s="130">
        <f>F54-F53</f>
        <v>93</v>
      </c>
    </row>
    <row r="55" spans="2:34" x14ac:dyDescent="0.25">
      <c r="B55" s="76" t="s">
        <v>93</v>
      </c>
      <c r="C55" s="130">
        <f t="shared" si="35"/>
        <v>277.45331123216585</v>
      </c>
      <c r="D55" s="130">
        <f>X29</f>
        <v>13.295632577397226</v>
      </c>
      <c r="E55" s="130">
        <f>AH45</f>
        <v>0</v>
      </c>
      <c r="F55" s="130">
        <f t="shared" si="36"/>
        <v>291</v>
      </c>
      <c r="G55" s="130">
        <f t="shared" ref="G55:G59" si="37">F55-F54</f>
        <v>198</v>
      </c>
    </row>
    <row r="56" spans="2:34" x14ac:dyDescent="0.25">
      <c r="B56" s="76" t="s">
        <v>94</v>
      </c>
      <c r="C56" s="130">
        <f t="shared" si="35"/>
        <v>633.52690735934141</v>
      </c>
      <c r="D56" s="130">
        <f t="shared" ref="D56:D59" si="38">X30</f>
        <v>46.081725827134946</v>
      </c>
      <c r="E56" s="130">
        <f t="shared" ref="E56:E59" si="39">AH46</f>
        <v>527.09683788291807</v>
      </c>
      <c r="F56" s="130">
        <f t="shared" si="36"/>
        <v>1207</v>
      </c>
      <c r="G56" s="130">
        <f t="shared" si="37"/>
        <v>916</v>
      </c>
    </row>
    <row r="57" spans="2:34" x14ac:dyDescent="0.25">
      <c r="B57" s="76" t="s">
        <v>95</v>
      </c>
      <c r="C57" s="130">
        <f t="shared" si="35"/>
        <v>1283.2208585048377</v>
      </c>
      <c r="D57" s="130">
        <f t="shared" si="38"/>
        <v>145.88358587531815</v>
      </c>
      <c r="E57" s="130">
        <f t="shared" si="39"/>
        <v>1816.7683945863939</v>
      </c>
      <c r="F57" s="130">
        <f t="shared" si="36"/>
        <v>3246</v>
      </c>
      <c r="G57" s="130">
        <f t="shared" si="37"/>
        <v>2039</v>
      </c>
    </row>
    <row r="58" spans="2:34" x14ac:dyDescent="0.25">
      <c r="B58" s="76" t="s">
        <v>96</v>
      </c>
      <c r="C58" s="130">
        <f t="shared" si="35"/>
        <v>2183.6267511868755</v>
      </c>
      <c r="D58" s="130">
        <f t="shared" si="38"/>
        <v>392.60377379560435</v>
      </c>
      <c r="E58" s="130">
        <f t="shared" si="39"/>
        <v>5154.2871187359742</v>
      </c>
      <c r="F58" s="130">
        <f t="shared" si="36"/>
        <v>7731</v>
      </c>
      <c r="G58" s="130">
        <f t="shared" si="37"/>
        <v>4485</v>
      </c>
    </row>
    <row r="59" spans="2:34" x14ac:dyDescent="0.25">
      <c r="B59" s="47">
        <v>202012</v>
      </c>
      <c r="C59" s="130">
        <f t="shared" si="35"/>
        <v>3772.6561870583719</v>
      </c>
      <c r="D59" s="130">
        <f t="shared" si="38"/>
        <v>1107.268064806085</v>
      </c>
      <c r="E59" s="130">
        <f t="shared" si="39"/>
        <v>10218.603712920851</v>
      </c>
      <c r="F59" s="130">
        <f t="shared" si="36"/>
        <v>15099</v>
      </c>
      <c r="G59" s="130">
        <f t="shared" si="37"/>
        <v>7368</v>
      </c>
    </row>
  </sheetData>
  <mergeCells count="22">
    <mergeCell ref="B7:B8"/>
    <mergeCell ref="C7:H7"/>
    <mergeCell ref="I7:N7"/>
    <mergeCell ref="O7:T7"/>
    <mergeCell ref="AA7:AA8"/>
    <mergeCell ref="U7:Z7"/>
    <mergeCell ref="AB7:AB8"/>
    <mergeCell ref="X27:X28"/>
    <mergeCell ref="AH43:AH44"/>
    <mergeCell ref="B43:B44"/>
    <mergeCell ref="C43:H43"/>
    <mergeCell ref="I43:N43"/>
    <mergeCell ref="O43:T43"/>
    <mergeCell ref="AG43:AG44"/>
    <mergeCell ref="U43:Z43"/>
    <mergeCell ref="AA43:AF43"/>
    <mergeCell ref="B27:B28"/>
    <mergeCell ref="C27:G27"/>
    <mergeCell ref="H27:L27"/>
    <mergeCell ref="M27:Q27"/>
    <mergeCell ref="W27:W28"/>
    <mergeCell ref="R27:V27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7803376DAB5428D78C1E230564B3C" ma:contentTypeVersion="18" ma:contentTypeDescription="Create a new document." ma:contentTypeScope="" ma:versionID="8d48410affeb271c132ffcbda8e48802">
  <xsd:schema xmlns:xsd="http://www.w3.org/2001/XMLSchema" xmlns:xs="http://www.w3.org/2001/XMLSchema" xmlns:p="http://schemas.microsoft.com/office/2006/metadata/properties" xmlns:ns2="40ff25b3-493e-4851-82b7-4e504def2eba" xmlns:ns3="87d2df8b-a2fd-4f62-8ef6-4a22c6824c33" xmlns:ns4="43bed21c-ff7a-4a80-97f4-856fc5de82a3" targetNamespace="http://schemas.microsoft.com/office/2006/metadata/properties" ma:root="true" ma:fieldsID="489bc3751daeada7a25861021e96acec" ns2:_="" ns3:_="" ns4:_="">
    <xsd:import namespace="40ff25b3-493e-4851-82b7-4e504def2eba"/>
    <xsd:import namespace="87d2df8b-a2fd-4f62-8ef6-4a22c6824c33"/>
    <xsd:import namespace="43bed21c-ff7a-4a80-97f4-856fc5de82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25b3-493e-4851-82b7-4e504def2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76a904-278e-435e-b259-2f7e11d2de08}" ma:internalName="TaxCatchAll" ma:showField="CatchAllData" ma:web="40ff25b3-493e-4851-82b7-4e504def2e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2df8b-a2fd-4f62-8ef6-4a22c6824c33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d21c-ff7a-4a80-97f4-856fc5de8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862acf3-5257-4c8e-a7f6-c800878fb9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f25b3-493e-4851-82b7-4e504def2eba" xsi:nil="true"/>
    <lcf76f155ced4ddcb4097134ff3c332f xmlns="43bed21c-ff7a-4a80-97f4-856fc5de82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58C35F-BC21-426B-812D-9A01F94740CA}"/>
</file>

<file path=customXml/itemProps2.xml><?xml version="1.0" encoding="utf-8"?>
<ds:datastoreItem xmlns:ds="http://schemas.openxmlformats.org/officeDocument/2006/customXml" ds:itemID="{CD517923-1A1B-47DD-B20C-36A7F15017E6}"/>
</file>

<file path=customXml/itemProps3.xml><?xml version="1.0" encoding="utf-8"?>
<ds:datastoreItem xmlns:ds="http://schemas.openxmlformats.org/officeDocument/2006/customXml" ds:itemID="{C5F7F382-B254-47C3-981F-57240B1A3E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CO2 certificates</vt:lpstr>
      <vt:lpstr>Baseline</vt:lpstr>
      <vt:lpstr>MU1</vt:lpstr>
      <vt:lpstr>MU2</vt:lpstr>
      <vt:lpstr>MU3</vt:lpstr>
      <vt:lpstr>Annual CO2 fixation</vt:lpstr>
      <vt:lpstr>Baseline!OLE_LINK10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2021-05-21T13:47:15Z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0x010100CF17803376DAB5428D78C1E230564B3C</vt:lpwstr>
  </property>
</Properties>
</file>