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DB09B11-FAFC-492D-8760-E3067A34D2F6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CO2 certificates" sheetId="6" r:id="rId1"/>
    <sheet name="Values estimated in ex ante PDD" sheetId="11" r:id="rId2"/>
    <sheet name="MU1" sheetId="2" r:id="rId3"/>
    <sheet name="MU2" sheetId="8" r:id="rId4"/>
    <sheet name="MU3" sheetId="9" r:id="rId5"/>
    <sheet name="Annual CO2 fixation" sheetId="10" r:id="rId6"/>
  </sheets>
  <definedNames>
    <definedName name="_xlnm._FilterDatabase" localSheetId="3" hidden="1">'MU2'!$B$26:$P$112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1" l="1"/>
  <c r="P3" i="11"/>
  <c r="O4" i="11"/>
  <c r="O3" i="11"/>
  <c r="N3" i="11"/>
  <c r="N4" i="11"/>
  <c r="M3" i="11"/>
  <c r="C21" i="8" l="1"/>
  <c r="F47" i="10" l="1"/>
  <c r="F46" i="10"/>
  <c r="G61" i="2" l="1"/>
  <c r="M58" i="2"/>
  <c r="L58" i="2"/>
  <c r="F61" i="2"/>
  <c r="G47" i="10"/>
  <c r="AH41" i="10"/>
  <c r="AH40" i="10"/>
  <c r="AG41" i="10"/>
  <c r="AG40" i="10"/>
  <c r="AF41" i="10"/>
  <c r="AF40" i="10"/>
  <c r="AE41" i="10"/>
  <c r="AE40" i="10"/>
  <c r="Y41" i="10"/>
  <c r="Y40" i="10"/>
  <c r="Z41" i="10"/>
  <c r="Z40" i="10"/>
  <c r="T41" i="10"/>
  <c r="T40" i="10"/>
  <c r="S41" i="10"/>
  <c r="S40" i="10"/>
  <c r="C35" i="11" l="1"/>
  <c r="M41" i="10"/>
  <c r="N41" i="10"/>
  <c r="M40" i="10"/>
  <c r="N40" i="10" s="1"/>
  <c r="H41" i="10"/>
  <c r="H40" i="10"/>
  <c r="G41" i="10"/>
  <c r="G40" i="10"/>
  <c r="AB25" i="10"/>
  <c r="AA25" i="10"/>
  <c r="Z26" i="10"/>
  <c r="Z25" i="10"/>
  <c r="Y26" i="10"/>
  <c r="Y25" i="10"/>
  <c r="T26" i="10"/>
  <c r="AA26" i="10" s="1"/>
  <c r="AB26" i="10" s="1"/>
  <c r="T25" i="10"/>
  <c r="S25" i="10"/>
  <c r="S26" i="10"/>
  <c r="N26" i="10"/>
  <c r="N25" i="10"/>
  <c r="M26" i="10" l="1"/>
  <c r="M25" i="10"/>
  <c r="G26" i="10"/>
  <c r="H26" i="10" s="1"/>
  <c r="G25" i="10"/>
  <c r="H25" i="10" s="1"/>
  <c r="E48" i="10"/>
  <c r="D48" i="10"/>
  <c r="E47" i="10"/>
  <c r="D47" i="10"/>
  <c r="AD42" i="10"/>
  <c r="X42" i="10"/>
  <c r="R42" i="10"/>
  <c r="L42" i="10"/>
  <c r="F8" i="8"/>
  <c r="Y11" i="10" l="1"/>
  <c r="Y10" i="10"/>
  <c r="S11" i="10"/>
  <c r="S10" i="10"/>
  <c r="M10" i="10"/>
  <c r="M11" i="10"/>
  <c r="G11" i="10"/>
  <c r="G10" i="10"/>
  <c r="C34" i="10" l="1"/>
  <c r="C16" i="10"/>
  <c r="C4" i="10"/>
  <c r="Z10" i="10" l="1"/>
  <c r="N11" i="10"/>
  <c r="T11" i="10"/>
  <c r="Z11" i="10"/>
  <c r="H10" i="10"/>
  <c r="H11" i="10"/>
  <c r="T10" i="10"/>
  <c r="N10" i="10"/>
  <c r="AA11" i="10" l="1"/>
  <c r="AB11" i="10" s="1"/>
  <c r="C48" i="10" s="1"/>
  <c r="F48" i="10" s="1"/>
  <c r="G48" i="10" s="1"/>
  <c r="AA10" i="10"/>
  <c r="AB10" i="10" s="1"/>
  <c r="C47" i="10" s="1"/>
  <c r="F8" i="2" l="1"/>
  <c r="X12" i="10" s="1"/>
  <c r="E8" i="2"/>
  <c r="R12" i="10" s="1"/>
  <c r="D8" i="2"/>
  <c r="L12" i="10" s="1"/>
  <c r="C8" i="2"/>
  <c r="F12" i="10" s="1"/>
  <c r="H55" i="9"/>
  <c r="H56" i="9"/>
  <c r="H57" i="9"/>
  <c r="G58" i="9"/>
  <c r="D7" i="9" s="1"/>
  <c r="I42" i="10" s="1"/>
  <c r="F58" i="9"/>
  <c r="D6" i="9" s="1"/>
  <c r="K42" i="10" s="1"/>
  <c r="J55" i="9"/>
  <c r="E7" i="9" s="1"/>
  <c r="O42" i="10" s="1"/>
  <c r="I55" i="9"/>
  <c r="E6" i="9" s="1"/>
  <c r="Q42" i="10" s="1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35" i="9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D66" i="2"/>
  <c r="C7" i="2" s="1"/>
  <c r="C12" i="10" s="1"/>
  <c r="C66" i="2"/>
  <c r="C6" i="2" s="1"/>
  <c r="E12" i="10" s="1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D4" i="6" l="1"/>
  <c r="N47" i="2" l="1"/>
  <c r="N48" i="2"/>
  <c r="N49" i="2"/>
  <c r="N50" i="2"/>
  <c r="N51" i="2"/>
  <c r="N52" i="2"/>
  <c r="N53" i="2"/>
  <c r="N54" i="2"/>
  <c r="N55" i="2"/>
  <c r="N56" i="2"/>
  <c r="N57" i="2"/>
  <c r="H26" i="9"/>
  <c r="H27" i="9"/>
  <c r="H25" i="9"/>
  <c r="P68" i="9"/>
  <c r="G7" i="9" s="1"/>
  <c r="AA42" i="10" s="1"/>
  <c r="O68" i="9"/>
  <c r="G6" i="9" s="1"/>
  <c r="AC42" i="10" s="1"/>
  <c r="Q66" i="9"/>
  <c r="Q67" i="9"/>
  <c r="M62" i="9"/>
  <c r="F7" i="9" s="1"/>
  <c r="U42" i="10" s="1"/>
  <c r="L62" i="9"/>
  <c r="F6" i="9" s="1"/>
  <c r="W42" i="10" s="1"/>
  <c r="N53" i="9"/>
  <c r="N54" i="9"/>
  <c r="N55" i="9"/>
  <c r="N56" i="9"/>
  <c r="N57" i="9"/>
  <c r="N58" i="9"/>
  <c r="N59" i="9"/>
  <c r="N60" i="9"/>
  <c r="N61" i="9"/>
  <c r="C8" i="9"/>
  <c r="F42" i="10" s="1"/>
  <c r="D55" i="9"/>
  <c r="C7" i="9" s="1"/>
  <c r="C42" i="10" s="1"/>
  <c r="P92" i="8"/>
  <c r="P87" i="8"/>
  <c r="P85" i="8"/>
  <c r="P82" i="8"/>
  <c r="P81" i="8"/>
  <c r="P78" i="8"/>
  <c r="P79" i="8"/>
  <c r="P77" i="8"/>
  <c r="P75" i="8"/>
  <c r="P71" i="8"/>
  <c r="P68" i="8"/>
  <c r="P66" i="8"/>
  <c r="P60" i="8"/>
  <c r="P61" i="8"/>
  <c r="P62" i="8"/>
  <c r="P63" i="8"/>
  <c r="P64" i="8"/>
  <c r="P59" i="8"/>
  <c r="P53" i="8"/>
  <c r="P54" i="8"/>
  <c r="P55" i="8"/>
  <c r="P56" i="8"/>
  <c r="P57" i="8"/>
  <c r="P52" i="8"/>
  <c r="P49" i="8"/>
  <c r="P45" i="8"/>
  <c r="P46" i="8"/>
  <c r="P44" i="8"/>
  <c r="P37" i="8"/>
  <c r="P35" i="8"/>
  <c r="P32" i="8"/>
  <c r="P33" i="8"/>
  <c r="P31" i="8"/>
  <c r="P28" i="8"/>
  <c r="L70" i="8"/>
  <c r="L50" i="8"/>
  <c r="L29" i="8"/>
  <c r="J77" i="8"/>
  <c r="K77" i="8"/>
  <c r="M95" i="8" l="1"/>
  <c r="F6" i="8" s="1"/>
  <c r="W27" i="10" s="1"/>
  <c r="O95" i="8"/>
  <c r="F7" i="8" s="1"/>
  <c r="U27" i="10" s="1"/>
  <c r="E8" i="8"/>
  <c r="E7" i="8"/>
  <c r="O27" i="10" s="1"/>
  <c r="I77" i="8"/>
  <c r="E6" i="8" s="1"/>
  <c r="Q27" i="10" s="1"/>
  <c r="L67" i="8"/>
  <c r="L68" i="8"/>
  <c r="L69" i="8"/>
  <c r="L71" i="8"/>
  <c r="L72" i="8"/>
  <c r="L73" i="8"/>
  <c r="L74" i="8"/>
  <c r="L75" i="8"/>
  <c r="L76" i="8"/>
  <c r="D8" i="8"/>
  <c r="L27" i="10" s="1"/>
  <c r="C8" i="8"/>
  <c r="F27" i="10" s="1"/>
  <c r="C63" i="8"/>
  <c r="C6" i="8" s="1"/>
  <c r="E27" i="10" s="1"/>
  <c r="D63" i="8"/>
  <c r="C7" i="8" s="1"/>
  <c r="C27" i="10" s="1"/>
  <c r="G63" i="8"/>
  <c r="D7" i="8" s="1"/>
  <c r="I27" i="10" s="1"/>
  <c r="F63" i="8"/>
  <c r="D6" i="8" s="1"/>
  <c r="K27" i="10" s="1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8" i="8"/>
  <c r="L27" i="8"/>
  <c r="H58" i="8"/>
  <c r="H59" i="8"/>
  <c r="H60" i="8"/>
  <c r="H61" i="8"/>
  <c r="H62" i="8"/>
  <c r="I6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24" i="2"/>
  <c r="H24" i="2"/>
  <c r="L77" i="8" l="1"/>
  <c r="E9" i="8" l="1"/>
  <c r="S27" i="10"/>
  <c r="T27" i="10" s="1"/>
  <c r="H26" i="6"/>
  <c r="D27" i="6"/>
  <c r="B27" i="6"/>
  <c r="E25" i="6"/>
  <c r="E24" i="6"/>
  <c r="E23" i="6"/>
  <c r="E26" i="6" l="1"/>
  <c r="N25" i="2" l="1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J64" i="2"/>
  <c r="E7" i="2" s="1"/>
  <c r="O12" i="10" s="1"/>
  <c r="P27" i="8" l="1"/>
  <c r="P29" i="8"/>
  <c r="P30" i="8"/>
  <c r="P34" i="8"/>
  <c r="P36" i="8"/>
  <c r="P38" i="8"/>
  <c r="P39" i="8"/>
  <c r="P40" i="8"/>
  <c r="P41" i="8"/>
  <c r="P42" i="8"/>
  <c r="P43" i="8"/>
  <c r="P47" i="8"/>
  <c r="P48" i="8"/>
  <c r="P50" i="8"/>
  <c r="P51" i="8"/>
  <c r="P58" i="8"/>
  <c r="P65" i="8"/>
  <c r="P67" i="8"/>
  <c r="P69" i="8"/>
  <c r="P70" i="8"/>
  <c r="P72" i="8"/>
  <c r="P73" i="8"/>
  <c r="P74" i="8"/>
  <c r="P76" i="8"/>
  <c r="P80" i="8"/>
  <c r="P83" i="8"/>
  <c r="P84" i="8"/>
  <c r="P86" i="8"/>
  <c r="P88" i="8"/>
  <c r="P89" i="8"/>
  <c r="P90" i="8"/>
  <c r="P91" i="8"/>
  <c r="P93" i="8"/>
  <c r="P94" i="8"/>
  <c r="P95" i="8" l="1"/>
  <c r="F9" i="8" l="1"/>
  <c r="Y27" i="10"/>
  <c r="Z27" i="10" s="1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27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27" i="8"/>
  <c r="E19" i="6"/>
  <c r="E63" i="8" l="1"/>
  <c r="H63" i="8"/>
  <c r="K23" i="9"/>
  <c r="K24" i="9"/>
  <c r="K25" i="9"/>
  <c r="K26" i="9"/>
  <c r="K27" i="9"/>
  <c r="K28" i="9"/>
  <c r="K29" i="9"/>
  <c r="K30" i="9"/>
  <c r="K31" i="9"/>
  <c r="K32" i="9"/>
  <c r="K33" i="9"/>
  <c r="K34" i="9"/>
  <c r="K36" i="9"/>
  <c r="K37" i="9"/>
  <c r="K38" i="9"/>
  <c r="K39" i="9"/>
  <c r="K40" i="9"/>
  <c r="K22" i="9"/>
  <c r="H23" i="9"/>
  <c r="H24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22" i="9"/>
  <c r="N24" i="2"/>
  <c r="H25" i="2"/>
  <c r="H26" i="2"/>
  <c r="E25" i="2"/>
  <c r="E26" i="2"/>
  <c r="E27" i="2"/>
  <c r="E28" i="2"/>
  <c r="E29" i="2"/>
  <c r="E24" i="2"/>
  <c r="D9" i="8" l="1"/>
  <c r="C22" i="8" s="1"/>
  <c r="M27" i="10"/>
  <c r="N27" i="10" s="1"/>
  <c r="C9" i="8"/>
  <c r="G27" i="10"/>
  <c r="H27" i="10" s="1"/>
  <c r="K55" i="9"/>
  <c r="H58" i="9"/>
  <c r="E66" i="2"/>
  <c r="H61" i="2"/>
  <c r="Q68" i="9"/>
  <c r="N62" i="9"/>
  <c r="E55" i="9"/>
  <c r="N58" i="2"/>
  <c r="K64" i="2"/>
  <c r="S12" i="10" s="1"/>
  <c r="T12" i="10" s="1"/>
  <c r="F10" i="9" l="1"/>
  <c r="Y42" i="10"/>
  <c r="Z42" i="10" s="1"/>
  <c r="G10" i="9"/>
  <c r="AE42" i="10"/>
  <c r="AF42" i="10" s="1"/>
  <c r="D10" i="9"/>
  <c r="M42" i="10"/>
  <c r="N42" i="10" s="1"/>
  <c r="C10" i="9"/>
  <c r="G42" i="10"/>
  <c r="H42" i="10" s="1"/>
  <c r="E10" i="9"/>
  <c r="E11" i="9" s="1"/>
  <c r="S42" i="10"/>
  <c r="T42" i="10" s="1"/>
  <c r="AA27" i="10"/>
  <c r="AB27" i="10" s="1"/>
  <c r="D49" i="10" s="1"/>
  <c r="D11" i="2"/>
  <c r="M12" i="10"/>
  <c r="F11" i="2"/>
  <c r="Y12" i="10"/>
  <c r="C11" i="2"/>
  <c r="G12" i="10"/>
  <c r="H12" i="10" s="1"/>
  <c r="E11" i="2"/>
  <c r="F5" i="2"/>
  <c r="E13" i="9" l="1"/>
  <c r="AG42" i="10"/>
  <c r="AH42" i="10" s="1"/>
  <c r="E49" i="10" s="1"/>
  <c r="F12" i="2"/>
  <c r="F14" i="2" s="1"/>
  <c r="E6" i="2"/>
  <c r="Q12" i="10" s="1"/>
  <c r="C5" i="9"/>
  <c r="G5" i="9" l="1"/>
  <c r="F5" i="9"/>
  <c r="D5" i="9"/>
  <c r="D11" i="9" s="1"/>
  <c r="F5" i="8"/>
  <c r="F10" i="8" s="1"/>
  <c r="F14" i="8" s="1"/>
  <c r="F16" i="8" s="1"/>
  <c r="E5" i="8"/>
  <c r="E10" i="8" s="1"/>
  <c r="E14" i="8" s="1"/>
  <c r="E16" i="8" s="1"/>
  <c r="D5" i="8"/>
  <c r="D10" i="8" s="1"/>
  <c r="D14" i="8" s="1"/>
  <c r="D16" i="8" s="1"/>
  <c r="C5" i="8"/>
  <c r="C10" i="8" s="1"/>
  <c r="C14" i="8" s="1"/>
  <c r="C16" i="8" s="1"/>
  <c r="H21" i="8" s="1"/>
  <c r="F11" i="6" s="1"/>
  <c r="D13" i="9" l="1"/>
  <c r="D21" i="8"/>
  <c r="F11" i="9"/>
  <c r="C11" i="9"/>
  <c r="D17" i="9" s="1"/>
  <c r="G11" i="9"/>
  <c r="D3" i="6"/>
  <c r="C17" i="9" l="1"/>
  <c r="G6" i="6" s="1"/>
  <c r="C13" i="9"/>
  <c r="F13" i="9"/>
  <c r="G13" i="9"/>
  <c r="F6" i="6"/>
  <c r="E21" i="8"/>
  <c r="F21" i="8" s="1"/>
  <c r="G5" i="6"/>
  <c r="E5" i="6"/>
  <c r="F5" i="6"/>
  <c r="H17" i="9" l="1"/>
  <c r="G11" i="6" s="1"/>
  <c r="E17" i="9"/>
  <c r="G21" i="8"/>
  <c r="F7" i="6" s="1"/>
  <c r="F8" i="6" s="1"/>
  <c r="F9" i="6" s="1"/>
  <c r="F10" i="6" s="1"/>
  <c r="F17" i="9" l="1"/>
  <c r="G17" i="9"/>
  <c r="G7" i="6" s="1"/>
  <c r="G8" i="6" s="1"/>
  <c r="G9" i="6" s="1"/>
  <c r="G10" i="6" s="1"/>
  <c r="D5" i="2"/>
  <c r="D12" i="2" s="1"/>
  <c r="D14" i="2" s="1"/>
  <c r="E5" i="2"/>
  <c r="C5" i="2"/>
  <c r="C12" i="2" s="1"/>
  <c r="C14" i="2" s="1"/>
  <c r="E12" i="2" l="1"/>
  <c r="E14" i="2" s="1"/>
  <c r="H18" i="2" s="1"/>
  <c r="E11" i="6" s="1"/>
  <c r="D11" i="6" s="1"/>
  <c r="D13" i="6" s="1"/>
  <c r="C19" i="2"/>
  <c r="D14" i="6" l="1"/>
  <c r="D18" i="6" s="1"/>
  <c r="D18" i="2"/>
  <c r="C18" i="2"/>
  <c r="C19" i="6"/>
  <c r="E18" i="2" l="1"/>
  <c r="F18" i="2" s="1"/>
  <c r="E6" i="6" s="1"/>
  <c r="G18" i="2" l="1"/>
  <c r="E7" i="6" s="1"/>
  <c r="D6" i="6"/>
  <c r="E8" i="6" l="1"/>
  <c r="D8" i="6" s="1"/>
  <c r="D9" i="6" s="1"/>
  <c r="D7" i="6"/>
  <c r="E9" i="6" l="1"/>
  <c r="E10" i="6" s="1"/>
  <c r="D10" i="6" l="1"/>
  <c r="C55" i="9" l="1"/>
  <c r="C6" i="9" s="1"/>
  <c r="E42" i="10" s="1"/>
  <c r="F18" i="6" l="1"/>
  <c r="D19" i="6"/>
  <c r="F19" i="6" l="1"/>
  <c r="G18" i="6"/>
  <c r="G19" i="6" s="1"/>
  <c r="H18" i="6" l="1"/>
  <c r="H19" i="6" s="1"/>
  <c r="G23" i="6"/>
  <c r="G24" i="6"/>
  <c r="I24" i="6" s="1"/>
  <c r="J24" i="6" s="1"/>
  <c r="K24" i="6" s="1"/>
  <c r="G25" i="6"/>
  <c r="I25" i="6" s="1"/>
  <c r="J25" i="6" s="1"/>
  <c r="K25" i="6" s="1"/>
  <c r="G26" i="6" l="1"/>
  <c r="I23" i="6"/>
  <c r="J23" i="6" l="1"/>
  <c r="K23" i="6" s="1"/>
  <c r="I26" i="6"/>
  <c r="J26" i="6"/>
  <c r="K26" i="6" l="1"/>
  <c r="N12" i="10" l="1"/>
  <c r="Z12" i="10"/>
  <c r="AA12" i="10" l="1"/>
  <c r="AB12" i="10" s="1"/>
  <c r="C49" i="10" s="1"/>
  <c r="F49" i="10" s="1"/>
  <c r="G49" i="10" s="1"/>
  <c r="G50" i="10" s="1"/>
  <c r="D6" i="2"/>
  <c r="K12" i="10" s="1"/>
  <c r="F6" i="2"/>
  <c r="W12" i="10" s="1"/>
  <c r="F7" i="2"/>
  <c r="U12" i="10" s="1"/>
  <c r="D7" i="2"/>
  <c r="I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tc={A4884CEE-DAB2-48BA-A788-02447DED7CD6}</author>
  </authors>
  <commentList>
    <comment ref="G17" authorId="0" shapeId="0" xr:uid="{A4884CEE-DAB2-48BA-A788-02447DED7CD6}">
      <text>
        <t>[线程批注]
你的Excel版本可读取此线程批注; 但如果在更新版本的Excel中打开文件，则对批注所作的任何改动都将被删除。了解详细信息: https://go.microsoft.com/fwlink/?linkid=870924
注释:
    Section 11.1.1 of GHG EMISSIONS REDUCTION &amp; SEQUESTRATION 
PRODUCT REQUIREMENTS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tc={7274ED88-59A6-4238-9C11-09D6228CF275}</author>
  </authors>
  <commentList>
    <comment ref="F16" authorId="0" shapeId="0" xr:uid="{7274ED88-59A6-4238-9C11-09D6228CF275}">
      <text>
        <t>[线程批注]
你的Excel版本可读取此线程批注; 但如果在更新版本的Excel中打开文件，则对批注所作的任何改动都将被删除。了解详细信息: https://go.microsoft.com/fwlink/?linkid=870924
注释:
    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tc={D256F89D-6C1C-48B2-B877-2C5C21187239}</author>
  </authors>
  <commentList>
    <comment ref="F19" authorId="0" shapeId="0" xr:uid="{D256F89D-6C1C-48B2-B877-2C5C21187239}">
      <text>
        <t>[线程批注]
你的Excel版本可读取此线程批注; 但如果在更新版本的Excel中打开文件，则对批注所作的任何改动都将被删除。了解详细信息: https://go.microsoft.com/fwlink/?linkid=870924
注释:
    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tc={0F02AFE0-2B3B-44AE-A844-1643EAA54E84}</author>
    <author>tc={35E8C5F0-5B9B-4809-A45B-E5E9DFC04EF5}</author>
  </authors>
  <commentList>
    <comment ref="F15" authorId="0" shapeId="0" xr:uid="{0F02AFE0-2B3B-44AE-A844-1643EAA54E84}">
      <text>
        <t>[线程批注]
你的Excel版本可读取此线程批注; 但如果在更新版本的Excel中打开文件，则对批注所作的任何改动都将被删除。了解详细信息: https://go.microsoft.com/fwlink/?linkid=870924
注释:
    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>
      </text>
    </comment>
    <comment ref="G15" authorId="1" shapeId="0" xr:uid="{35E8C5F0-5B9B-4809-A45B-E5E9DFC04EF5}">
      <text>
        <t>[线程批注]
你的Excel版本可读取此线程批注; 但如果在更新版本的Excel中打开文件，则对批注所作的任何改动都将被删除。了解详细信息: https://go.microsoft.com/fwlink/?linkid=870924
注释:
    Half width of 90% confidence interval</t>
      </text>
    </comment>
  </commentList>
</comments>
</file>

<file path=xl/sharedStrings.xml><?xml version="1.0" encoding="utf-8"?>
<sst xmlns="http://schemas.openxmlformats.org/spreadsheetml/2006/main" count="398" uniqueCount="179">
  <si>
    <t>sample plot</t>
    <phoneticPr fontId="7" type="noConversion"/>
  </si>
  <si>
    <t>Tree species</t>
    <phoneticPr fontId="7" type="noConversion"/>
  </si>
  <si>
    <t>East Longitude</t>
    <phoneticPr fontId="7" type="noConversion"/>
  </si>
  <si>
    <t>North Latitude</t>
    <phoneticPr fontId="7" type="noConversion"/>
  </si>
  <si>
    <t>Mean DBH (cm)</t>
    <phoneticPr fontId="7" type="noConversion"/>
  </si>
  <si>
    <t>Mean Height (m)</t>
    <phoneticPr fontId="7" type="noConversion"/>
  </si>
  <si>
    <t>Number of saplings</t>
    <phoneticPr fontId="7" type="noConversion"/>
  </si>
  <si>
    <t>Pinus sylvestris</t>
  </si>
  <si>
    <t>Poplar</t>
  </si>
  <si>
    <t>Mean D (cm)</t>
    <phoneticPr fontId="7" type="noConversion"/>
  </si>
  <si>
    <t>MU1-1</t>
    <phoneticPr fontId="7" type="noConversion"/>
  </si>
  <si>
    <t>MU1-2</t>
    <phoneticPr fontId="2" type="noConversion"/>
  </si>
  <si>
    <t>MU1-3</t>
    <phoneticPr fontId="2" type="noConversion"/>
  </si>
  <si>
    <t>MU2-1</t>
    <phoneticPr fontId="7" type="noConversion"/>
  </si>
  <si>
    <t>MU2-2</t>
    <phoneticPr fontId="2" type="noConversion"/>
  </si>
  <si>
    <t>MU2-3</t>
    <phoneticPr fontId="2" type="noConversion"/>
  </si>
  <si>
    <t>MU2-4</t>
  </si>
  <si>
    <t>MU3-1</t>
    <phoneticPr fontId="7" type="noConversion"/>
  </si>
  <si>
    <t>MU3-3</t>
  </si>
  <si>
    <t>Biomass (t dm/sample plot)</t>
    <phoneticPr fontId="7" type="noConversion"/>
  </si>
  <si>
    <t>Unit</t>
    <phoneticPr fontId="7" type="noConversion"/>
  </si>
  <si>
    <t>Total</t>
    <phoneticPr fontId="7" type="noConversion"/>
  </si>
  <si>
    <t>ha</t>
    <phoneticPr fontId="7" type="noConversion"/>
  </si>
  <si>
    <t>/</t>
    <phoneticPr fontId="7" type="noConversion"/>
  </si>
  <si>
    <t>MU i</t>
    <phoneticPr fontId="7" type="noConversion"/>
  </si>
  <si>
    <t>sample polt area(ha)</t>
    <phoneticPr fontId="7" type="noConversion"/>
  </si>
  <si>
    <t>Root-to-Shoot ratio</t>
    <phoneticPr fontId="7" type="noConversion"/>
  </si>
  <si>
    <t>Biomass Expansion Factor (BEF)</t>
    <phoneticPr fontId="2" type="noConversion"/>
  </si>
  <si>
    <t>Wood density</t>
    <phoneticPr fontId="2" type="noConversion"/>
  </si>
  <si>
    <t>Root-to-Shoot ratio</t>
    <phoneticPr fontId="2" type="noConversion"/>
  </si>
  <si>
    <t>Mean</t>
    <phoneticPr fontId="7" type="noConversion"/>
  </si>
  <si>
    <t>(t dm/ha)</t>
    <phoneticPr fontId="7" type="noConversion"/>
  </si>
  <si>
    <t>Year</t>
  </si>
  <si>
    <t>Total</t>
  </si>
  <si>
    <t>MU1-2</t>
  </si>
  <si>
    <t>MU1-3</t>
  </si>
  <si>
    <t>MU3-2</t>
  </si>
  <si>
    <t>MU3-4</t>
  </si>
  <si>
    <t>MU3-5</t>
  </si>
  <si>
    <t>MU1-4</t>
  </si>
  <si>
    <t>DBH(cm)</t>
    <phoneticPr fontId="7" type="noConversion"/>
  </si>
  <si>
    <t>High(m)</t>
    <phoneticPr fontId="7" type="noConversion"/>
  </si>
  <si>
    <t>Carbon fraction</t>
  </si>
  <si>
    <t>NO.</t>
    <phoneticPr fontId="7" type="noConversion"/>
  </si>
  <si>
    <r>
      <t>A</t>
    </r>
    <r>
      <rPr>
        <i/>
        <vertAlign val="subscript"/>
        <sz val="11"/>
        <color theme="1"/>
        <rFont val="Calibri"/>
        <family val="2"/>
      </rPr>
      <t>PROJ,i</t>
    </r>
  </si>
  <si>
    <r>
      <t>t</t>
    </r>
    <r>
      <rPr>
        <i/>
        <vertAlign val="subscript"/>
        <sz val="11"/>
        <color rgb="FF000000"/>
        <rFont val="Calibri"/>
        <family val="2"/>
      </rPr>
      <t xml:space="preserve">VAL </t>
    </r>
    <r>
      <rPr>
        <sz val="11"/>
        <color rgb="FF000000"/>
        <rFont val="Calibri"/>
        <family val="2"/>
      </rPr>
      <t>for</t>
    </r>
    <r>
      <rPr>
        <i/>
        <sz val="11"/>
        <color rgb="FF000000"/>
        <rFont val="Calibri"/>
        <family val="2"/>
      </rPr>
      <t xml:space="preserve"> n</t>
    </r>
    <phoneticPr fontId="7" type="noConversion"/>
  </si>
  <si>
    <r>
      <t>w</t>
    </r>
    <r>
      <rPr>
        <i/>
        <vertAlign val="subscript"/>
        <sz val="11"/>
        <color theme="1"/>
        <rFont val="Calibri"/>
        <family val="2"/>
      </rPr>
      <t>i</t>
    </r>
    <phoneticPr fontId="7" type="noConversion"/>
  </si>
  <si>
    <r>
      <t>t dm·ha</t>
    </r>
    <r>
      <rPr>
        <vertAlign val="superscript"/>
        <sz val="11"/>
        <color theme="1"/>
        <rFont val="Calibri"/>
        <family val="2"/>
      </rPr>
      <t>-1</t>
    </r>
    <phoneticPr fontId="7" type="noConversion"/>
  </si>
  <si>
    <r>
      <t>Baseline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</si>
  <si>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Project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</si>
  <si>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Leakage emissions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</si>
  <si>
    <r>
      <t>Net GHG removals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  <phoneticPr fontId="2" type="noConversion"/>
  </si>
  <si>
    <r>
      <t>GS VER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  <phoneticPr fontId="2" type="noConversion"/>
  </si>
  <si>
    <r>
      <t>W=0.045*(DBH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H)</t>
    </r>
    <r>
      <rPr>
        <vertAlign val="superscript"/>
        <sz val="11"/>
        <color theme="1"/>
        <rFont val="Calibri"/>
        <family val="2"/>
      </rPr>
      <t>0.906</t>
    </r>
    <phoneticPr fontId="2" type="noConversion"/>
  </si>
  <si>
    <t>Xu Qing, Li Xiaosha, Xu Zhongqi, et al. Study on the Volume Table of Scotch Pine in Saihanba Aera[J]. Forest Resources Management, 2017, 000(001):57-62.</t>
    <phoneticPr fontId="2" type="noConversion"/>
  </si>
  <si>
    <r>
      <t>Stem volume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/sample plot</t>
    </r>
    <r>
      <rPr>
        <sz val="10"/>
        <color theme="1"/>
        <rFont val="宋体"/>
        <family val="1"/>
        <charset val="134"/>
      </rPr>
      <t>）</t>
    </r>
    <phoneticPr fontId="2" type="noConversion"/>
  </si>
  <si>
    <r>
      <t>Stem volume per ha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/ha</t>
    </r>
    <r>
      <rPr>
        <sz val="10"/>
        <color theme="1"/>
        <rFont val="宋体"/>
        <family val="1"/>
        <charset val="134"/>
      </rPr>
      <t>）</t>
    </r>
    <phoneticPr fontId="7" type="noConversion"/>
  </si>
  <si>
    <r>
      <t>Stem volume</t>
    </r>
    <r>
      <rPr>
        <sz val="10"/>
        <color theme="1"/>
        <rFont val="宋体"/>
        <family val="1"/>
        <charset val="134"/>
      </rPr>
      <t>（</t>
    </r>
    <r>
      <rPr>
        <sz val="10"/>
        <color theme="1"/>
        <rFont val="Calibri"/>
        <family val="2"/>
      </rPr>
      <t>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宋体"/>
        <family val="1"/>
        <charset val="134"/>
      </rPr>
      <t>）</t>
    </r>
    <phoneticPr fontId="2" type="noConversion"/>
  </si>
  <si>
    <t>V=0.00006938D^1.763H^1.037</t>
    <phoneticPr fontId="2" type="noConversion"/>
  </si>
  <si>
    <t>DBH&gt;3cm</t>
    <phoneticPr fontId="2" type="noConversion"/>
  </si>
  <si>
    <t>MU2-1</t>
    <phoneticPr fontId="2" type="noConversion"/>
  </si>
  <si>
    <t>MU2-4</t>
    <phoneticPr fontId="2" type="noConversion"/>
  </si>
  <si>
    <t>Biomass per ha (2nd monitoring)</t>
    <phoneticPr fontId="7" type="noConversion"/>
  </si>
  <si>
    <r>
      <t>n</t>
    </r>
    <r>
      <rPr>
        <vertAlign val="subscript"/>
        <sz val="10"/>
        <color theme="1"/>
        <rFont val="Arial"/>
        <family val="2"/>
      </rPr>
      <t>i</t>
    </r>
    <phoneticPr fontId="7" type="noConversion"/>
  </si>
  <si>
    <t>days</t>
    <phoneticPr fontId="7" type="noConversion"/>
  </si>
  <si>
    <r>
      <t>Project removals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</si>
  <si>
    <r>
      <t>Net GHG removals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</si>
  <si>
    <r>
      <t>Buffer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</si>
  <si>
    <t>-</t>
    <phoneticPr fontId="7" type="noConversion"/>
  </si>
  <si>
    <r>
      <t>Baseline removals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  <phoneticPr fontId="2" type="noConversion"/>
  </si>
  <si>
    <r>
      <t>Leakage emissions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  <phoneticPr fontId="2" type="noConversion"/>
  </si>
  <si>
    <t>Year</t>
    <phoneticPr fontId="2" type="noConversion"/>
  </si>
  <si>
    <r>
      <t>GS VER (tCO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e)</t>
    </r>
    <phoneticPr fontId="2" type="noConversion"/>
  </si>
  <si>
    <t>Reference:</t>
    <phoneticPr fontId="7" type="noConversion"/>
  </si>
  <si>
    <r>
      <t>V=0.00001235D</t>
    </r>
    <r>
      <rPr>
        <vertAlign val="superscript"/>
        <sz val="11"/>
        <color theme="1"/>
        <rFont val="Calibri"/>
        <family val="2"/>
      </rPr>
      <t>3.017</t>
    </r>
    <phoneticPr fontId="2" type="noConversion"/>
  </si>
  <si>
    <t>Ground dimater(cm)</t>
  </si>
  <si>
    <t>Total sample (2nd monitoring)</t>
    <phoneticPr fontId="7" type="noConversion"/>
  </si>
  <si>
    <r>
      <t>Mean</t>
    </r>
    <r>
      <rPr>
        <vertAlign val="subscript"/>
        <sz val="10"/>
        <color theme="1"/>
        <rFont val="Calibri"/>
        <family val="2"/>
      </rPr>
      <t>estimated</t>
    </r>
    <phoneticPr fontId="7" type="noConversion"/>
  </si>
  <si>
    <t>E(90% confidence interval )</t>
    <phoneticPr fontId="7" type="noConversion"/>
  </si>
  <si>
    <t>(%)</t>
    <phoneticPr fontId="7" type="noConversion"/>
  </si>
  <si>
    <r>
      <t>U</t>
    </r>
    <r>
      <rPr>
        <i/>
        <vertAlign val="subscript"/>
        <sz val="11"/>
        <color theme="1"/>
        <rFont val="Calibri"/>
        <family val="2"/>
      </rPr>
      <t>2</t>
    </r>
    <r>
      <rPr>
        <sz val="11"/>
        <color theme="1"/>
        <rFont val="宋体"/>
        <family val="2"/>
        <scheme val="minor"/>
      </rPr>
      <t/>
    </r>
  </si>
  <si>
    <r>
      <t>b</t>
    </r>
    <r>
      <rPr>
        <i/>
        <vertAlign val="subscript"/>
        <sz val="11"/>
        <color theme="1"/>
        <rFont val="Calibri"/>
        <family val="2"/>
      </rPr>
      <t>TREE,I,2023</t>
    </r>
    <phoneticPr fontId="7" type="noConversion"/>
  </si>
  <si>
    <t>Error(90% confidence interval )</t>
    <phoneticPr fontId="7" type="noConversion"/>
  </si>
  <si>
    <t>E</t>
    <phoneticPr fontId="2" type="noConversion"/>
  </si>
  <si>
    <r>
      <t>E</t>
    </r>
    <r>
      <rPr>
        <i/>
        <vertAlign val="subscript"/>
        <sz val="11"/>
        <color theme="1"/>
        <rFont val="Calibri"/>
        <family val="2"/>
      </rPr>
      <t>2</t>
    </r>
    <r>
      <rPr>
        <sz val="11"/>
        <color theme="1"/>
        <rFont val="宋体"/>
        <family val="2"/>
        <scheme val="minor"/>
      </rPr>
      <t/>
    </r>
  </si>
  <si>
    <r>
      <t>t dm·ha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宋体"/>
        <family val="2"/>
        <scheme val="minor"/>
      </rPr>
      <t/>
    </r>
  </si>
  <si>
    <r>
      <t>U</t>
    </r>
    <r>
      <rPr>
        <i/>
        <vertAlign val="subscript"/>
        <sz val="11"/>
        <color theme="1"/>
        <rFont val="Calibri"/>
        <family val="2"/>
      </rPr>
      <t>D2</t>
    </r>
    <phoneticPr fontId="2" type="noConversion"/>
  </si>
  <si>
    <t>Uncertainty [U]</t>
    <phoneticPr fontId="2" type="noConversion"/>
  </si>
  <si>
    <t>Uncertainty Deduction [UD] (% of U)</t>
  </si>
  <si>
    <t>Resulting Uncertainty Deduction UD2</t>
  </si>
  <si>
    <r>
      <t>Buffer (tCO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e)</t>
    </r>
    <phoneticPr fontId="2" type="noConversion"/>
  </si>
  <si>
    <t>(tCO2/ha)</t>
    <phoneticPr fontId="7" type="noConversion"/>
  </si>
  <si>
    <r>
      <t>(tCO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/ha)</t>
    </r>
    <phoneticPr fontId="7" type="noConversion"/>
  </si>
  <si>
    <t>Beijing University, Beijing Shanshui Natural Protection Center, Qinghai Forest Investigation Institute. Research on the Assessment of Qinghai Forest Carbon Sink and Development Planning of Priority Region. December 2013.</t>
  </si>
  <si>
    <r>
      <t>Present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-Fixation </t>
    </r>
    <phoneticPr fontId="7" type="noConversion"/>
  </si>
  <si>
    <r>
      <t>W=0.045*(DBH</t>
    </r>
    <r>
      <rPr>
        <vertAlign val="superscript"/>
        <sz val="10"/>
        <color theme="1"/>
        <rFont val="Calibri"/>
        <family val="2"/>
      </rPr>
      <t>2</t>
    </r>
    <r>
      <rPr>
        <sz val="10"/>
        <color theme="1"/>
        <rFont val="Calibri"/>
        <family val="2"/>
      </rPr>
      <t>H)</t>
    </r>
    <r>
      <rPr>
        <vertAlign val="superscript"/>
        <sz val="10"/>
        <color theme="1"/>
        <rFont val="Calibri"/>
        <family val="2"/>
      </rPr>
      <t>0.906</t>
    </r>
    <phoneticPr fontId="2" type="noConversion"/>
  </si>
  <si>
    <t>area(ha)</t>
    <phoneticPr fontId="7" type="noConversion"/>
  </si>
  <si>
    <t>year</t>
    <phoneticPr fontId="7" type="noConversion"/>
  </si>
  <si>
    <t>MU1-1</t>
    <phoneticPr fontId="27" type="noConversion"/>
  </si>
  <si>
    <t>MU1-2</t>
    <phoneticPr fontId="7" type="noConversion"/>
  </si>
  <si>
    <t>MU1-3</t>
    <phoneticPr fontId="7" type="noConversion"/>
  </si>
  <si>
    <t>MU1-4</t>
    <phoneticPr fontId="7" type="noConversion"/>
  </si>
  <si>
    <t>Carbon  (tCO2/ha)</t>
    <phoneticPr fontId="7" type="noConversion"/>
  </si>
  <si>
    <t>Carbon  (tCO2)</t>
    <phoneticPr fontId="7" type="noConversion"/>
  </si>
  <si>
    <r>
      <t xml:space="preserve">average high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m</t>
    </r>
    <r>
      <rPr>
        <sz val="10"/>
        <color theme="1"/>
        <rFont val="宋体"/>
        <family val="3"/>
        <charset val="134"/>
      </rPr>
      <t>）</t>
    </r>
    <phoneticPr fontId="7" type="noConversion"/>
  </si>
  <si>
    <r>
      <t xml:space="preserve">average ground diameter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cm</t>
    </r>
    <r>
      <rPr>
        <sz val="10"/>
        <color theme="1"/>
        <rFont val="宋体"/>
        <family val="3"/>
        <charset val="134"/>
      </rPr>
      <t>）</t>
    </r>
    <phoneticPr fontId="7" type="noConversion"/>
  </si>
  <si>
    <r>
      <t xml:space="preserve">average DBH 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Calibri"/>
        <family val="2"/>
      </rPr>
      <t>cm</t>
    </r>
    <r>
      <rPr>
        <sz val="10"/>
        <color theme="1"/>
        <rFont val="宋体"/>
        <family val="3"/>
        <charset val="134"/>
      </rPr>
      <t>）</t>
    </r>
    <phoneticPr fontId="7" type="noConversion"/>
  </si>
  <si>
    <t>Biomass (kg dm/sample plot)</t>
    <phoneticPr fontId="7" type="noConversion"/>
  </si>
  <si>
    <t>Number of saplings</t>
  </si>
  <si>
    <t>Biomass Expansion Factor (BEF)</t>
  </si>
  <si>
    <t>Wood density</t>
  </si>
  <si>
    <t>year</t>
    <phoneticPr fontId="27" type="noConversion"/>
  </si>
  <si>
    <t>MU2-1</t>
    <phoneticPr fontId="27" type="noConversion"/>
  </si>
  <si>
    <t>MU2-2</t>
    <phoneticPr fontId="27" type="noConversion"/>
  </si>
  <si>
    <t>MU2-3</t>
    <phoneticPr fontId="27" type="noConversion"/>
  </si>
  <si>
    <r>
      <t>Stem volume</t>
    </r>
    <r>
      <rPr>
        <sz val="10"/>
        <color theme="1"/>
        <rFont val="Times New Roman"/>
        <family val="1"/>
      </rPr>
      <t>（</t>
    </r>
    <r>
      <rPr>
        <sz val="10"/>
        <color theme="1"/>
        <rFont val="Calibri"/>
        <family val="2"/>
      </rPr>
      <t>m3/sample plot</t>
    </r>
    <r>
      <rPr>
        <sz val="10"/>
        <color theme="1"/>
        <rFont val="Times New Roman"/>
        <family val="1"/>
      </rPr>
      <t>）</t>
    </r>
  </si>
  <si>
    <t>MU3-1</t>
    <phoneticPr fontId="2" type="noConversion"/>
  </si>
  <si>
    <t>MU3-2</t>
    <phoneticPr fontId="2" type="noConversion"/>
  </si>
  <si>
    <t>MU3-3</t>
    <phoneticPr fontId="2" type="noConversion"/>
  </si>
  <si>
    <t>MU1</t>
    <phoneticPr fontId="2" type="noConversion"/>
  </si>
  <si>
    <t>MU2</t>
  </si>
  <si>
    <t>MU3</t>
  </si>
  <si>
    <t>Carbon  (tCO2)</t>
    <phoneticPr fontId="2" type="noConversion"/>
  </si>
  <si>
    <t>Annual Carbon  (tCO2)</t>
    <phoneticPr fontId="2" type="noConversion"/>
  </si>
  <si>
    <r>
      <t>tCO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/ha</t>
    </r>
    <phoneticPr fontId="2" type="noConversion"/>
  </si>
  <si>
    <t>Carbon fraction(tC/tdm)</t>
    <phoneticPr fontId="7" type="noConversion"/>
  </si>
  <si>
    <t>Carbon  per ha (2nd monitoring)</t>
    <phoneticPr fontId="7" type="noConversion"/>
  </si>
  <si>
    <r>
      <rPr>
        <i/>
        <sz val="10"/>
        <color theme="1"/>
        <rFont val="微软雅黑"/>
        <family val="2"/>
        <charset val="134"/>
      </rPr>
      <t>∆</t>
    </r>
    <r>
      <rPr>
        <i/>
        <sz val="10"/>
        <color theme="1"/>
        <rFont val="等线"/>
        <family val="3"/>
        <charset val="134"/>
      </rPr>
      <t>C</t>
    </r>
    <r>
      <rPr>
        <i/>
        <vertAlign val="subscript"/>
        <sz val="10"/>
        <color theme="1"/>
        <rFont val="等线"/>
        <family val="3"/>
        <charset val="134"/>
      </rPr>
      <t>TREE,2023</t>
    </r>
    <phoneticPr fontId="7" type="noConversion"/>
  </si>
  <si>
    <t>CTREE,2020</t>
    <phoneticPr fontId="2" type="noConversion"/>
  </si>
  <si>
    <t>tCO2</t>
  </si>
  <si>
    <t>tCO2</t>
    <phoneticPr fontId="2" type="noConversion"/>
  </si>
  <si>
    <t>CTREE,2023</t>
    <phoneticPr fontId="2" type="noConversion"/>
  </si>
  <si>
    <t>∆CTREE</t>
  </si>
  <si>
    <t>Total</t>
    <phoneticPr fontId="2" type="noConversion"/>
  </si>
  <si>
    <t>MU2-4</t>
    <phoneticPr fontId="27" type="noConversion"/>
  </si>
  <si>
    <t>Two-sided Studentís t-value at infinite degrees of freedom for the required confidence 
level; dimensionless. Critical value of 90% confidence level for standard normal distribution</t>
    <phoneticPr fontId="2" type="noConversion"/>
  </si>
  <si>
    <t>Source</t>
    <phoneticPr fontId="2" type="noConversion"/>
  </si>
  <si>
    <t>Acceptable margin of error (i.e. one-half the confidence interval) in estimation of biomass stock within the project boundary; t d.m. (or t d.m. ha-1), i.e. in the units used for i s</t>
  </si>
  <si>
    <t>01/01/2021-31/12/2023</t>
    <phoneticPr fontId="2" type="noConversion"/>
  </si>
  <si>
    <t>Monitoring period</t>
    <phoneticPr fontId="2" type="noConversion"/>
  </si>
  <si>
    <t>BASELINE ESTIMATE</t>
  </si>
  <si>
    <t>PROJECT ESTIMATE</t>
  </si>
  <si>
    <t>GS VER</t>
    <phoneticPr fontId="2" type="noConversion"/>
  </si>
  <si>
    <t>Values estimated in ex ante calculation of approved PDD</t>
  </si>
  <si>
    <t>YEAR</t>
    <phoneticPr fontId="2" type="noConversion"/>
  </si>
  <si>
    <t>NET BENEFIT</t>
  </si>
  <si>
    <t>BUFFER</t>
    <phoneticPr fontId="2" type="noConversion"/>
  </si>
  <si>
    <t>Year1</t>
    <phoneticPr fontId="2" type="noConversion"/>
  </si>
  <si>
    <t>Year2</t>
  </si>
  <si>
    <t>Year3</t>
  </si>
  <si>
    <t>Year4</t>
  </si>
  <si>
    <t>Year5</t>
  </si>
  <si>
    <t>Year6</t>
  </si>
  <si>
    <t>Year7</t>
  </si>
  <si>
    <t>Year8</t>
  </si>
  <si>
    <t>Year9</t>
  </si>
  <si>
    <t>Year10</t>
  </si>
  <si>
    <t>Year11</t>
  </si>
  <si>
    <t>Year12</t>
  </si>
  <si>
    <t>Year13</t>
  </si>
  <si>
    <t>Year14</t>
  </si>
  <si>
    <t>Year15</t>
  </si>
  <si>
    <t>Year16</t>
  </si>
  <si>
    <t>Year17</t>
  </si>
  <si>
    <t>Year18</t>
  </si>
  <si>
    <t>Year19</t>
  </si>
  <si>
    <t>Year20</t>
  </si>
  <si>
    <t>Year21</t>
  </si>
  <si>
    <t>Year22</t>
  </si>
  <si>
    <t>Year23</t>
  </si>
  <si>
    <t>Year24</t>
  </si>
  <si>
    <t>Year25</t>
  </si>
  <si>
    <t>Year26</t>
  </si>
  <si>
    <t>Year27</t>
  </si>
  <si>
    <t>Year28</t>
  </si>
  <si>
    <t>Year29</t>
  </si>
  <si>
    <t>Year30</t>
  </si>
  <si>
    <t>Total number of crediting years</t>
    <phoneticPr fontId="2" type="noConversion"/>
  </si>
  <si>
    <t>Annual average over the crediting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</si>
</sst>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#,##0.00_ "/>
    <numFmt numFmtId="177" formatCode="#,##0_ "/>
    <numFmt numFmtId="178" formatCode="0.0000"/>
    <numFmt numFmtId="179" formatCode="_ * #,##0.000_ ;_ * \-#,##0.000_ ;_ * &quot;-&quot;??_ ;_ @_ "/>
    <numFmt numFmtId="180" formatCode="0.0000_ "/>
    <numFmt numFmtId="181" formatCode="0.00_);[Red]\(0.00\)"/>
    <numFmt numFmtId="182" formatCode="0.00_ "/>
    <numFmt numFmtId="183" formatCode="dd/mm/yyyy;@"/>
    <numFmt numFmtId="184" formatCode="_ * #,##0_ ;_ * \-#,##0_ ;_ * &quot;-&quot;??_ ;_ @_ "/>
    <numFmt numFmtId="185" formatCode="#,##0_);[Red]\(#,##0\)"/>
  </numFmts>
  <fonts count="3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1"/>
      <charset val="134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  <font>
      <i/>
      <sz val="11"/>
      <color rgb="FF000000"/>
      <name val="Calibri"/>
      <family val="2"/>
    </font>
    <font>
      <i/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vertAlign val="superscript"/>
      <sz val="11"/>
      <color theme="1"/>
      <name val="Calibri"/>
      <family val="2"/>
    </font>
    <font>
      <sz val="10"/>
      <color theme="1" tint="4.9989318521683403E-2"/>
      <name val="Times New Roman"/>
      <family val="1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1"/>
      <color rgb="FFFF0000"/>
      <name val="Calibri"/>
      <family val="2"/>
    </font>
    <font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</font>
    <font>
      <sz val="9"/>
      <name val="宋体"/>
      <family val="2"/>
      <charset val="136"/>
      <scheme val="minor"/>
    </font>
    <font>
      <sz val="10"/>
      <color theme="1"/>
      <name val="宋体"/>
      <family val="3"/>
      <charset val="134"/>
    </font>
    <font>
      <b/>
      <sz val="10"/>
      <color rgb="FFFF0000"/>
      <name val="Calibri"/>
      <family val="2"/>
      <charset val="134"/>
    </font>
    <font>
      <i/>
      <sz val="10"/>
      <color theme="1"/>
      <name val="微软雅黑"/>
      <family val="2"/>
      <charset val="134"/>
    </font>
    <font>
      <i/>
      <sz val="10"/>
      <color theme="1"/>
      <name val="等线"/>
      <family val="3"/>
      <charset val="134"/>
    </font>
    <font>
      <i/>
      <vertAlign val="subscript"/>
      <sz val="10"/>
      <color theme="1"/>
      <name val="等线"/>
      <family val="3"/>
      <charset val="134"/>
    </font>
    <font>
      <i/>
      <sz val="10"/>
      <color theme="1"/>
      <name val="Calibri"/>
      <family val="2"/>
      <charset val="134"/>
    </font>
    <font>
      <b/>
      <sz val="10"/>
      <color theme="1"/>
      <name val="Calibri"/>
      <family val="2"/>
    </font>
    <font>
      <sz val="11"/>
      <color rgb="FF00BABE"/>
      <name val="Verdana"/>
      <family val="2"/>
    </font>
    <font>
      <sz val="11"/>
      <color rgb="FF4D4D4C"/>
      <name val="Verdana"/>
      <family val="2"/>
    </font>
    <font>
      <b/>
      <sz val="11"/>
      <color rgb="FF4D4D4C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00B9BD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/>
      <diagonal/>
    </border>
  </borders>
  <cellStyleXfs count="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/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2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19" fillId="3" borderId="0" xfId="0" applyFont="1" applyFill="1">
      <alignment vertical="center"/>
    </xf>
    <xf numFmtId="181" fontId="3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177" fontId="4" fillId="0" borderId="0" xfId="1" applyNumberFormat="1" applyFont="1" applyFill="1" applyBorder="1" applyAlignment="1"/>
    <xf numFmtId="183" fontId="20" fillId="4" borderId="8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183" fontId="20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9" xfId="0" applyNumberFormat="1" applyFont="1" applyFill="1" applyBorder="1" applyAlignment="1">
      <alignment horizontal="center" vertical="center" wrapText="1"/>
    </xf>
    <xf numFmtId="183" fontId="20" fillId="4" borderId="10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183" fontId="22" fillId="4" borderId="16" xfId="0" applyNumberFormat="1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183" fontId="22" fillId="4" borderId="18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9" fontId="3" fillId="0" borderId="1" xfId="0" applyNumberFormat="1" applyFont="1" applyBorder="1">
      <alignment vertical="center"/>
    </xf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wrapText="1"/>
    </xf>
    <xf numFmtId="0" fontId="3" fillId="0" borderId="1" xfId="0" applyFont="1" applyBorder="1" applyAlignment="1"/>
    <xf numFmtId="43" fontId="4" fillId="0" borderId="1" xfId="1" applyFont="1" applyFill="1" applyBorder="1" applyAlignment="1"/>
    <xf numFmtId="176" fontId="3" fillId="0" borderId="1" xfId="1" applyNumberFormat="1" applyFont="1" applyFill="1" applyBorder="1" applyAlignment="1"/>
    <xf numFmtId="179" fontId="3" fillId="0" borderId="1" xfId="1" applyNumberFormat="1" applyFont="1" applyFill="1" applyBorder="1" applyAlignment="1"/>
    <xf numFmtId="43" fontId="3" fillId="0" borderId="1" xfId="1" applyFont="1" applyFill="1" applyBorder="1" applyAlignment="1"/>
    <xf numFmtId="10" fontId="3" fillId="0" borderId="1" xfId="2" applyNumberFormat="1" applyFont="1" applyFill="1" applyBorder="1" applyAlignment="1"/>
    <xf numFmtId="10" fontId="24" fillId="0" borderId="1" xfId="1" applyNumberFormat="1" applyFont="1" applyFill="1" applyBorder="1" applyAlignment="1"/>
    <xf numFmtId="10" fontId="3" fillId="0" borderId="1" xfId="1" applyNumberFormat="1" applyFont="1" applyFill="1" applyBorder="1" applyAlignment="1"/>
    <xf numFmtId="10" fontId="4" fillId="0" borderId="1" xfId="1" applyNumberFormat="1" applyFont="1" applyFill="1" applyBorder="1" applyAlignment="1">
      <alignment horizontal="right" vertical="center"/>
    </xf>
    <xf numFmtId="182" fontId="4" fillId="0" borderId="1" xfId="1" applyNumberFormat="1" applyFont="1" applyFill="1" applyBorder="1" applyAlignment="1">
      <alignment horizontal="right" vertical="center"/>
    </xf>
    <xf numFmtId="177" fontId="4" fillId="0" borderId="1" xfId="2" applyNumberFormat="1" applyFont="1" applyFill="1" applyBorder="1" applyAlignment="1"/>
    <xf numFmtId="182" fontId="4" fillId="0" borderId="1" xfId="2" applyNumberFormat="1" applyFont="1" applyFill="1" applyBorder="1" applyAlignment="1"/>
    <xf numFmtId="1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2" fontId="11" fillId="8" borderId="1" xfId="0" applyNumberFormat="1" applyFont="1" applyFill="1" applyBorder="1" applyAlignment="1">
      <alignment horizontal="center" vertical="center"/>
    </xf>
    <xf numFmtId="2" fontId="11" fillId="9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84" fontId="11" fillId="0" borderId="1" xfId="1" applyNumberFormat="1" applyFont="1" applyBorder="1" applyAlignment="1">
      <alignment horizontal="center" vertical="center"/>
    </xf>
    <xf numFmtId="177" fontId="11" fillId="9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182" fontId="3" fillId="0" borderId="1" xfId="2" applyNumberFormat="1" applyFont="1" applyFill="1" applyBorder="1" applyAlignment="1"/>
    <xf numFmtId="0" fontId="11" fillId="2" borderId="1" xfId="0" applyFont="1" applyFill="1" applyBorder="1" applyAlignment="1">
      <alignment horizontal="center"/>
    </xf>
    <xf numFmtId="182" fontId="11" fillId="0" borderId="1" xfId="0" applyNumberFormat="1" applyFont="1" applyBorder="1" applyAlignment="1">
      <alignment horizontal="center" vertical="center"/>
    </xf>
    <xf numFmtId="0" fontId="33" fillId="2" borderId="1" xfId="0" applyFont="1" applyFill="1" applyBorder="1" applyAlignment="1">
      <alignment wrapText="1"/>
    </xf>
    <xf numFmtId="184" fontId="11" fillId="0" borderId="1" xfId="1" applyNumberFormat="1" applyFont="1" applyBorder="1" applyAlignment="1">
      <alignment horizontal="right"/>
    </xf>
    <xf numFmtId="177" fontId="11" fillId="2" borderId="1" xfId="0" applyNumberFormat="1" applyFont="1" applyFill="1" applyBorder="1" applyAlignment="1">
      <alignment horizontal="right"/>
    </xf>
    <xf numFmtId="1" fontId="11" fillId="2" borderId="1" xfId="0" applyNumberFormat="1" applyFont="1" applyFill="1" applyBorder="1" applyAlignment="1">
      <alignment horizontal="right"/>
    </xf>
    <xf numFmtId="184" fontId="11" fillId="2" borderId="1" xfId="1" applyNumberFormat="1" applyFont="1" applyFill="1" applyBorder="1" applyAlignment="1">
      <alignment horizontal="right"/>
    </xf>
    <xf numFmtId="184" fontId="11" fillId="2" borderId="1" xfId="0" applyNumberFormat="1" applyFont="1" applyFill="1" applyBorder="1" applyAlignment="1">
      <alignment horizontal="center" vertical="center"/>
    </xf>
    <xf numFmtId="184" fontId="11" fillId="0" borderId="0" xfId="0" applyNumberFormat="1" applyFont="1" applyAlignment="1">
      <alignment horizontal="center" vertical="center"/>
    </xf>
    <xf numFmtId="184" fontId="3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  <xf numFmtId="43" fontId="3" fillId="0" borderId="0" xfId="1" applyFont="1" applyFill="1" applyBorder="1" applyAlignment="1"/>
    <xf numFmtId="0" fontId="35" fillId="0" borderId="25" xfId="0" applyFont="1" applyBorder="1" applyAlignment="1">
      <alignment horizontal="center" vertical="center"/>
    </xf>
    <xf numFmtId="14" fontId="36" fillId="0" borderId="26" xfId="0" applyNumberFormat="1" applyFont="1" applyBorder="1">
      <alignment vertical="center"/>
    </xf>
    <xf numFmtId="3" fontId="36" fillId="0" borderId="26" xfId="0" applyNumberFormat="1" applyFont="1" applyBorder="1">
      <alignment vertical="center"/>
    </xf>
    <xf numFmtId="177" fontId="36" fillId="0" borderId="26" xfId="0" applyNumberFormat="1" applyFont="1" applyBorder="1">
      <alignment vertical="center"/>
    </xf>
    <xf numFmtId="0" fontId="36" fillId="0" borderId="26" xfId="0" applyFont="1" applyBorder="1">
      <alignment vertical="center"/>
    </xf>
    <xf numFmtId="185" fontId="36" fillId="0" borderId="26" xfId="0" applyNumberFormat="1" applyFont="1" applyBorder="1">
      <alignment vertical="center"/>
    </xf>
    <xf numFmtId="0" fontId="37" fillId="0" borderId="0" xfId="0" applyFont="1">
      <alignment vertical="center"/>
    </xf>
    <xf numFmtId="0" fontId="37" fillId="0" borderId="26" xfId="0" applyFont="1" applyBorder="1">
      <alignment vertical="center"/>
    </xf>
    <xf numFmtId="0" fontId="15" fillId="2" borderId="1" xfId="0" applyFont="1" applyFill="1" applyBorder="1" applyAlignment="1"/>
    <xf numFmtId="3" fontId="22" fillId="4" borderId="5" xfId="0" applyNumberFormat="1" applyFont="1" applyFill="1" applyBorder="1" applyAlignment="1">
      <alignment horizontal="center" vertical="center" wrapText="1"/>
    </xf>
    <xf numFmtId="3" fontId="22" fillId="4" borderId="19" xfId="0" applyNumberFormat="1" applyFont="1" applyFill="1" applyBorder="1" applyAlignment="1">
      <alignment horizontal="center" vertical="center" wrapText="1"/>
    </xf>
    <xf numFmtId="3" fontId="22" fillId="4" borderId="15" xfId="0" applyNumberFormat="1" applyFont="1" applyFill="1" applyBorder="1" applyAlignment="1">
      <alignment horizontal="center" vertical="center" wrapText="1"/>
    </xf>
    <xf numFmtId="3" fontId="22" fillId="4" borderId="20" xfId="0" applyNumberFormat="1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183" fontId="22" fillId="4" borderId="12" xfId="0" applyNumberFormat="1" applyFont="1" applyFill="1" applyBorder="1" applyAlignment="1">
      <alignment horizontal="center" vertical="center" wrapText="1"/>
    </xf>
    <xf numFmtId="183" fontId="22" fillId="4" borderId="13" xfId="0" applyNumberFormat="1" applyFont="1" applyFill="1" applyBorder="1" applyAlignment="1">
      <alignment horizontal="center" vertical="center" wrapText="1"/>
    </xf>
    <xf numFmtId="183" fontId="22" fillId="4" borderId="14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/>
    </xf>
    <xf numFmtId="49" fontId="11" fillId="7" borderId="3" xfId="0" applyNumberFormat="1" applyFont="1" applyFill="1" applyBorder="1" applyAlignment="1">
      <alignment horizontal="center" vertical="center"/>
    </xf>
    <xf numFmtId="49" fontId="11" fillId="7" borderId="4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11" fillId="6" borderId="3" xfId="0" applyNumberFormat="1" applyFont="1" applyFill="1" applyBorder="1" applyAlignment="1">
      <alignment horizontal="center" vertical="center"/>
    </xf>
    <xf numFmtId="49" fontId="11" fillId="6" borderId="4" xfId="0" applyNumberFormat="1" applyFont="1" applyFill="1" applyBorder="1" applyAlignment="1">
      <alignment horizontal="center" vertical="center"/>
    </xf>
    <xf numFmtId="185" fontId="0" fillId="0" borderId="0" xfId="0" applyNumberFormat="1">
      <alignment vertical="center"/>
    </xf>
    <xf numFmtId="177" fontId="36" fillId="0" borderId="26" xfId="0" applyNumberFormat="1" applyFont="1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D6E3BC"/>
      <color rgb="FF008000"/>
      <color rgb="FF9BBB5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482599</xdr:colOff>
      <xdr:row>15</xdr:row>
      <xdr:rowOff>129380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C7A6FDC2-913F-44EC-B089-B2405EE4B626}"/>
                </a:ext>
              </a:extLst>
            </xdr:cNvPr>
            <xdr:cNvSpPr txBox="1"/>
          </xdr:nvSpPr>
          <xdr:spPr>
            <a:xfrm>
              <a:off x="3482974" y="333613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zh-CN" altLang="en-US" sz="1100" i="1">
                        <a:latin typeface="Cambria Math" panose="02040503050406030204" pitchFamily="18" charset="0"/>
                      </a:rPr>
                      <m:t>𝛿</m:t>
                    </m:r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C7A6FDC2-913F-44EC-B089-B2405EE4B626}"/>
                </a:ext>
              </a:extLst>
            </xdr:cNvPr>
            <xdr:cNvSpPr txBox="1"/>
          </xdr:nvSpPr>
          <xdr:spPr>
            <a:xfrm>
              <a:off x="3482974" y="333613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𝛿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344487</xdr:colOff>
      <xdr:row>18</xdr:row>
      <xdr:rowOff>163513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DC9ACB6D-8033-49D4-B449-8D1A35B5CBCC}"/>
                </a:ext>
              </a:extLst>
            </xdr:cNvPr>
            <xdr:cNvSpPr txBox="1"/>
          </xdr:nvSpPr>
          <xdr:spPr>
            <a:xfrm>
              <a:off x="2701925" y="4648201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zh-CN" altLang="en-US" sz="1100" i="1">
                        <a:latin typeface="Cambria Math" panose="02040503050406030204" pitchFamily="18" charset="0"/>
                      </a:rPr>
                      <m:t>𝛿</m:t>
                    </m:r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DC9ACB6D-8033-49D4-B449-8D1A35B5CBCC}"/>
                </a:ext>
              </a:extLst>
            </xdr:cNvPr>
            <xdr:cNvSpPr txBox="1"/>
          </xdr:nvSpPr>
          <xdr:spPr>
            <a:xfrm>
              <a:off x="2701925" y="4648201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𝛿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14</xdr:row>
      <xdr:rowOff>95250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AC229102-F4CF-47BD-A7A8-7B936BC8584A}"/>
                </a:ext>
              </a:extLst>
            </xdr:cNvPr>
            <xdr:cNvSpPr txBox="1"/>
          </xdr:nvSpPr>
          <xdr:spPr>
            <a:xfrm>
              <a:off x="2508250" y="3746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zh-CN" altLang="en-US" sz="1100" i="1">
                        <a:latin typeface="Cambria Math" panose="02040503050406030204" pitchFamily="18" charset="0"/>
                      </a:rPr>
                      <m:t>𝛿</m:t>
                    </m:r>
                  </m:oMath>
                </m:oMathPara>
              </a14:m>
              <a:endParaRPr lang="zh-CN" altLang="en-US" sz="1100"/>
            </a:p>
          </xdr:txBody>
        </xdr:sp>
      </mc:Choice>
      <mc:Fallback xmlns="">
        <xdr:sp macro="" textlink="">
          <xdr:nvSpPr>
            <xdr:cNvPr id="2" name="文本框 1">
              <a:extLst>
                <a:ext uri="{FF2B5EF4-FFF2-40B4-BE49-F238E27FC236}">
                  <a16:creationId xmlns:a16="http://schemas.microsoft.com/office/drawing/2014/main" id="{AC229102-F4CF-47BD-A7A8-7B936BC8584A}"/>
                </a:ext>
              </a:extLst>
            </xdr:cNvPr>
            <xdr:cNvSpPr txBox="1"/>
          </xdr:nvSpPr>
          <xdr:spPr>
            <a:xfrm>
              <a:off x="2508250" y="3746500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zh-CN" altLang="en-US" sz="1100" i="0">
                  <a:latin typeface="Cambria Math" panose="02040503050406030204" pitchFamily="18" charset="0"/>
                </a:rPr>
                <a:t>𝛿</a:t>
              </a:r>
              <a:endParaRPr lang="zh-CN" altLang="en-US" sz="1100"/>
            </a:p>
          </xdr:txBody>
        </xdr:sp>
      </mc:Fallback>
    </mc:AlternateContent>
    <xdr:clientData/>
  </xdr:oneCellAnchor>
  <xdr:oneCellAnchor>
    <xdr:from>
      <xdr:col>3</xdr:col>
      <xdr:colOff>6350</xdr:colOff>
      <xdr:row>14</xdr:row>
      <xdr:rowOff>20638</xdr:rowOff>
    </xdr:from>
    <xdr:ext cx="65" cy="17222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B471A2E4-FC39-4835-90F8-22D514E0FDAB}"/>
            </a:ext>
          </a:extLst>
        </xdr:cNvPr>
        <xdr:cNvSpPr txBox="1"/>
      </xdr:nvSpPr>
      <xdr:spPr>
        <a:xfrm>
          <a:off x="2320925" y="36306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344487</xdr:colOff>
      <xdr:row>14</xdr:row>
      <xdr:rowOff>160338</xdr:rowOff>
    </xdr:from>
    <xdr:ext cx="65" cy="172227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9276F2C7-E477-4FB4-9B1D-F58E15703C34}"/>
            </a:ext>
          </a:extLst>
        </xdr:cNvPr>
        <xdr:cNvSpPr txBox="1"/>
      </xdr:nvSpPr>
      <xdr:spPr>
        <a:xfrm>
          <a:off x="2662237" y="38115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7" dT="2024-03-14T06:50:34.08" personId="{00000000-0000-0000-0000-000000000000}" id="{A4884CEE-DAB2-48BA-A788-02447DED7CD6}">
    <text>Section 11.1.1 of GHG EMISSIONS REDUCTION &amp; SEQUESTRATION 
PRODUCT REQUIREMENTS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6" dT="2024-03-13T09:00:15.21" personId="{00000000-0000-0000-0000-000000000000}" id="{7274ED88-59A6-4238-9C11-09D6228CF275}">
    <text>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9" dT="2024-03-13T09:00:15.21" personId="{00000000-0000-0000-0000-000000000000}" id="{D256F89D-6C1C-48B2-B877-2C5C21187239}">
    <text>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15" dT="2024-03-13T09:00:15.21" personId="{00000000-0000-0000-0000-000000000000}" id="{0F02AFE0-2B3B-44AE-A844-1643EAA54E84}">
    <text>The number of sample plots of a forest inventory shall be sufficient to meet a MU precision with a maximum error of ±20% at a 90% confidence interval. Where the error is above 20%, the additional difference shall be deducted (Section 3.11.5 of Afforestation/reforestation (A/R) GHG emissions reduction &amp; sequestration methodology V 2.0 )</text>
  </threadedComment>
  <threadedComment ref="G15" dT="2024-03-13T10:43:15.75" personId="{00000000-0000-0000-0000-000000000000}" id="{35E8C5F0-5B9B-4809-A45B-E5E9DFC04EF5}">
    <text>Half width of 90% confidence interval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7"/>
  <sheetViews>
    <sheetView topLeftCell="A9" zoomScaleNormal="100" workbookViewId="0">
      <selection activeCell="C6" sqref="C6"/>
    </sheetView>
  </sheetViews>
  <sheetFormatPr defaultColWidth="8.9296875" defaultRowHeight="14.25" x14ac:dyDescent="0.3"/>
  <cols>
    <col min="1" max="1" width="2.796875" style="1" customWidth="1"/>
    <col min="2" max="2" width="32.59765625" style="1" customWidth="1"/>
    <col min="3" max="3" width="20" style="1" customWidth="1"/>
    <col min="4" max="4" width="10.06640625" style="1" customWidth="1"/>
    <col min="5" max="5" width="10.46484375" style="1" customWidth="1"/>
    <col min="6" max="6" width="11.46484375" style="1" customWidth="1"/>
    <col min="7" max="7" width="12.59765625" style="1" customWidth="1"/>
    <col min="8" max="8" width="18.73046875" style="1" customWidth="1"/>
    <col min="9" max="9" width="8.9296875" style="1"/>
    <col min="10" max="10" width="16.265625" style="1" customWidth="1"/>
    <col min="11" max="11" width="30.73046875" style="1" customWidth="1"/>
    <col min="12" max="16384" width="8.9296875" style="1"/>
  </cols>
  <sheetData>
    <row r="2" spans="2:11" x14ac:dyDescent="0.45">
      <c r="B2" s="59" t="s">
        <v>24</v>
      </c>
      <c r="C2" s="61" t="s">
        <v>20</v>
      </c>
      <c r="D2" s="61" t="s">
        <v>21</v>
      </c>
      <c r="E2" s="61">
        <v>1</v>
      </c>
      <c r="F2" s="61">
        <v>2</v>
      </c>
      <c r="G2" s="61">
        <v>3</v>
      </c>
      <c r="H2" s="61" t="s">
        <v>136</v>
      </c>
      <c r="J2" s="57" t="s">
        <v>87</v>
      </c>
      <c r="K2" s="57" t="s">
        <v>88</v>
      </c>
    </row>
    <row r="3" spans="2:11" ht="15.75" x14ac:dyDescent="0.55000000000000004">
      <c r="B3" s="59" t="s">
        <v>44</v>
      </c>
      <c r="C3" s="61" t="s">
        <v>22</v>
      </c>
      <c r="D3" s="62">
        <f>SUM(E3:G3)</f>
        <v>1370.96</v>
      </c>
      <c r="E3" s="63">
        <v>190</v>
      </c>
      <c r="F3" s="63">
        <v>708.44</v>
      </c>
      <c r="G3" s="63">
        <v>472.52</v>
      </c>
      <c r="H3" s="61"/>
      <c r="J3" s="19">
        <v>0</v>
      </c>
      <c r="K3" s="19">
        <v>0</v>
      </c>
    </row>
    <row r="4" spans="2:11" ht="15.75" x14ac:dyDescent="0.55000000000000004">
      <c r="B4" s="116" t="s">
        <v>45</v>
      </c>
      <c r="C4" s="61" t="s">
        <v>23</v>
      </c>
      <c r="D4" s="64">
        <f>_xlfn.NORM.S.INV(0.95)</f>
        <v>1.6448536269514715</v>
      </c>
      <c r="E4" s="65"/>
      <c r="F4" s="65"/>
      <c r="G4" s="65"/>
      <c r="H4" s="19" t="s">
        <v>135</v>
      </c>
      <c r="J4" s="19">
        <v>20</v>
      </c>
      <c r="K4" s="58">
        <v>0.5</v>
      </c>
    </row>
    <row r="5" spans="2:11" ht="15.75" x14ac:dyDescent="0.55000000000000004">
      <c r="B5" s="59" t="s">
        <v>46</v>
      </c>
      <c r="C5" s="61" t="s">
        <v>23</v>
      </c>
      <c r="D5" s="65"/>
      <c r="E5" s="66">
        <f>E3/$D3</f>
        <v>0.1385890179144541</v>
      </c>
      <c r="F5" s="66">
        <f>F3/$D3</f>
        <v>0.51674738869113612</v>
      </c>
      <c r="G5" s="66">
        <f>G3/$D3</f>
        <v>0.34466359339440972</v>
      </c>
      <c r="H5" s="61"/>
      <c r="J5" s="19">
        <v>30</v>
      </c>
      <c r="K5" s="58">
        <v>0.75</v>
      </c>
    </row>
    <row r="6" spans="2:11" ht="16.5" x14ac:dyDescent="0.55000000000000004">
      <c r="B6" s="60" t="s">
        <v>81</v>
      </c>
      <c r="C6" s="61" t="s">
        <v>47</v>
      </c>
      <c r="D6" s="62">
        <f>SUMPRODUCT(E5:G5,E6:G6)</f>
        <v>7.9875248280976621</v>
      </c>
      <c r="E6" s="65">
        <f>'MU1'!F18</f>
        <v>9.3223636209569989</v>
      </c>
      <c r="F6" s="65">
        <f>'MU2'!C21</f>
        <v>2.4155195376472385</v>
      </c>
      <c r="G6" s="65">
        <f>'MU3'!C17</f>
        <v>15.804785594464008</v>
      </c>
      <c r="H6" s="61"/>
      <c r="J6" s="19">
        <v>40</v>
      </c>
      <c r="K6" s="58">
        <v>1</v>
      </c>
    </row>
    <row r="7" spans="2:11" ht="16.5" x14ac:dyDescent="0.55000000000000004">
      <c r="B7" s="60" t="s">
        <v>84</v>
      </c>
      <c r="C7" s="61" t="s">
        <v>85</v>
      </c>
      <c r="D7" s="62">
        <f>SUMPRODUCT(E5:G5,E7:G7)</f>
        <v>1.0829659818167554</v>
      </c>
      <c r="E7" s="65">
        <f>'MU1'!G18</f>
        <v>1.1063113991006279</v>
      </c>
      <c r="F7" s="65">
        <f>'MU2'!G21</f>
        <v>0.43351028281135162</v>
      </c>
      <c r="G7" s="65">
        <f>'MU3'!G17</f>
        <v>2.0472950390406881</v>
      </c>
      <c r="H7" s="19" t="s">
        <v>137</v>
      </c>
      <c r="J7" s="19">
        <v>50</v>
      </c>
      <c r="K7" s="58">
        <v>1</v>
      </c>
    </row>
    <row r="8" spans="2:11" ht="18.5" customHeight="1" x14ac:dyDescent="0.55000000000000004">
      <c r="B8" s="60" t="s">
        <v>80</v>
      </c>
      <c r="C8" s="61"/>
      <c r="D8" s="67">
        <f>SUMPRODUCT(E5:G5,E8:G8)</f>
        <v>0.15383324438230767</v>
      </c>
      <c r="E8" s="68">
        <f>E7/E6</f>
        <v>0.11867284350651172</v>
      </c>
      <c r="F8" s="68">
        <f>F7/F6</f>
        <v>0.17946875446662658</v>
      </c>
      <c r="G8" s="68">
        <f>G7/G6</f>
        <v>0.12953640065562172</v>
      </c>
      <c r="H8" s="19"/>
    </row>
    <row r="9" spans="2:11" ht="19.05" customHeight="1" x14ac:dyDescent="0.55000000000000004">
      <c r="B9" s="60" t="s">
        <v>86</v>
      </c>
      <c r="C9" s="61"/>
      <c r="D9" s="69">
        <f>IF(D8&lt;=20%,0,IF(D8&lt;=30%,50%,IF(D8&lt;=40%,75%,100%)))</f>
        <v>0</v>
      </c>
      <c r="E9" s="69">
        <f>IF(E8&lt;=20%,0,IF(E8&lt;=30%,50%,IF(E8&lt;=40%,75%,100%)))</f>
        <v>0</v>
      </c>
      <c r="F9" s="69">
        <f>IF(F8&lt;=20%,0,IF(F8&lt;=30%,50%,IF(F8&lt;=40%,75%,100%)))</f>
        <v>0</v>
      </c>
      <c r="G9" s="69">
        <f>IF(G8&lt;=20%,0,IF(G8&lt;=30%,50%,IF(G8&lt;=40%,75%,100%)))</f>
        <v>0</v>
      </c>
      <c r="H9" s="19"/>
    </row>
    <row r="10" spans="2:11" ht="21.5" customHeight="1" x14ac:dyDescent="0.45">
      <c r="B10" s="60" t="s">
        <v>89</v>
      </c>
      <c r="C10" s="61" t="s">
        <v>85</v>
      </c>
      <c r="D10" s="70">
        <f>D9*D7</f>
        <v>0</v>
      </c>
      <c r="E10" s="70">
        <f>E9*E7</f>
        <v>0</v>
      </c>
      <c r="F10" s="70">
        <f>F9*F7</f>
        <v>0</v>
      </c>
      <c r="G10" s="70">
        <f>G9*G7</f>
        <v>0</v>
      </c>
      <c r="H10" s="19"/>
    </row>
    <row r="11" spans="2:11" ht="15.75" x14ac:dyDescent="0.55000000000000004">
      <c r="B11" s="98" t="s">
        <v>127</v>
      </c>
      <c r="C11" s="61" t="s">
        <v>124</v>
      </c>
      <c r="D11" s="72">
        <f>SUMPRODUCT(E5:G5,E11:G11)</f>
        <v>14.643795518179047</v>
      </c>
      <c r="E11" s="95">
        <f>'MU1'!H18</f>
        <v>17.090999971754496</v>
      </c>
      <c r="F11" s="95">
        <f>'MU2'!H21</f>
        <v>4.4284524856866048</v>
      </c>
      <c r="G11" s="95">
        <f>'MU3'!H17</f>
        <v>28.975440256517345</v>
      </c>
      <c r="H11" s="61"/>
    </row>
    <row r="12" spans="2:11" x14ac:dyDescent="0.45">
      <c r="B12" s="98" t="s">
        <v>128</v>
      </c>
      <c r="C12" s="61" t="s">
        <v>129</v>
      </c>
      <c r="D12" s="71">
        <v>15099</v>
      </c>
      <c r="E12" s="95"/>
      <c r="F12" s="95"/>
      <c r="G12" s="95"/>
      <c r="H12" s="61"/>
    </row>
    <row r="13" spans="2:11" x14ac:dyDescent="0.45">
      <c r="B13" s="98" t="s">
        <v>131</v>
      </c>
      <c r="C13" s="61" t="s">
        <v>130</v>
      </c>
      <c r="D13" s="71">
        <f>ROUNDDOWN(D11*D3,0)</f>
        <v>20076</v>
      </c>
      <c r="E13" s="95"/>
      <c r="F13" s="95"/>
      <c r="G13" s="95"/>
      <c r="H13" s="61"/>
    </row>
    <row r="14" spans="2:11" x14ac:dyDescent="0.45">
      <c r="B14" s="98" t="s">
        <v>132</v>
      </c>
      <c r="C14" s="61"/>
      <c r="D14" s="71">
        <f>D13-D12</f>
        <v>4977</v>
      </c>
      <c r="E14" s="95"/>
      <c r="F14" s="95"/>
      <c r="G14" s="95"/>
      <c r="H14" s="61"/>
    </row>
    <row r="15" spans="2:11" x14ac:dyDescent="0.45">
      <c r="B15" s="106"/>
      <c r="C15" s="35"/>
      <c r="D15" s="36"/>
      <c r="E15" s="107"/>
      <c r="F15" s="107"/>
      <c r="G15" s="107"/>
      <c r="H15" s="35"/>
    </row>
    <row r="17" spans="2:11" ht="55.5" customHeight="1" x14ac:dyDescent="0.3">
      <c r="B17" s="26" t="s">
        <v>32</v>
      </c>
      <c r="C17" s="26" t="s">
        <v>48</v>
      </c>
      <c r="D17" s="26" t="s">
        <v>49</v>
      </c>
      <c r="E17" s="26" t="s">
        <v>50</v>
      </c>
      <c r="F17" s="26" t="s">
        <v>51</v>
      </c>
      <c r="G17" s="26" t="s">
        <v>90</v>
      </c>
      <c r="H17" s="26" t="s">
        <v>52</v>
      </c>
    </row>
    <row r="18" spans="2:11" x14ac:dyDescent="0.3">
      <c r="B18" s="52" t="s">
        <v>138</v>
      </c>
      <c r="C18" s="4">
        <v>0</v>
      </c>
      <c r="D18" s="4">
        <f>D14</f>
        <v>4977</v>
      </c>
      <c r="E18" s="4">
        <v>0</v>
      </c>
      <c r="F18" s="4">
        <f t="shared" ref="F18" si="0">D18-C18-E18</f>
        <v>4977</v>
      </c>
      <c r="G18" s="4">
        <f>ROUND(F18*20%,0)</f>
        <v>995</v>
      </c>
      <c r="H18" s="28">
        <f>ROUNDDOWN(F18-G18,0)</f>
        <v>3982</v>
      </c>
    </row>
    <row r="19" spans="2:11" x14ac:dyDescent="0.3">
      <c r="B19" s="5" t="s">
        <v>33</v>
      </c>
      <c r="C19" s="27">
        <f t="shared" ref="C19:H19" si="1">SUM(C18:C18)</f>
        <v>0</v>
      </c>
      <c r="D19" s="27">
        <f t="shared" si="1"/>
        <v>4977</v>
      </c>
      <c r="E19" s="27">
        <f t="shared" si="1"/>
        <v>0</v>
      </c>
      <c r="F19" s="27">
        <f t="shared" si="1"/>
        <v>4977</v>
      </c>
      <c r="G19" s="27">
        <f t="shared" si="1"/>
        <v>995</v>
      </c>
      <c r="H19" s="27">
        <f t="shared" si="1"/>
        <v>3982</v>
      </c>
    </row>
    <row r="21" spans="2:11" ht="14.65" thickBot="1" x14ac:dyDescent="0.35"/>
    <row r="22" spans="2:11" ht="40.9" x14ac:dyDescent="0.3">
      <c r="B22" s="121" t="s">
        <v>71</v>
      </c>
      <c r="C22" s="122"/>
      <c r="D22" s="123"/>
      <c r="E22" s="49" t="s">
        <v>64</v>
      </c>
      <c r="F22" s="49" t="s">
        <v>69</v>
      </c>
      <c r="G22" s="49" t="s">
        <v>65</v>
      </c>
      <c r="H22" s="49" t="s">
        <v>70</v>
      </c>
      <c r="I22" s="49" t="s">
        <v>66</v>
      </c>
      <c r="J22" s="49" t="s">
        <v>67</v>
      </c>
      <c r="K22" s="50" t="s">
        <v>72</v>
      </c>
    </row>
    <row r="23" spans="2:11" x14ac:dyDescent="0.3">
      <c r="B23" s="37">
        <v>44197</v>
      </c>
      <c r="C23" s="38" t="s">
        <v>68</v>
      </c>
      <c r="D23" s="39">
        <v>44561</v>
      </c>
      <c r="E23" s="40">
        <f>D23-B23+1</f>
        <v>365</v>
      </c>
      <c r="F23" s="41">
        <v>0</v>
      </c>
      <c r="G23" s="42">
        <f>ROUND(F$19/E$26*E23,0)</f>
        <v>1659</v>
      </c>
      <c r="H23" s="41">
        <v>0</v>
      </c>
      <c r="I23" s="42">
        <f>G23-F23-H23</f>
        <v>1659</v>
      </c>
      <c r="J23" s="42">
        <f>ROUND(I23*0.2,0)-1</f>
        <v>331</v>
      </c>
      <c r="K23" s="43">
        <f>ROUNDDOWN(I23-J23,0)</f>
        <v>1328</v>
      </c>
    </row>
    <row r="24" spans="2:11" x14ac:dyDescent="0.3">
      <c r="B24" s="44">
        <v>44562</v>
      </c>
      <c r="C24" s="45" t="s">
        <v>68</v>
      </c>
      <c r="D24" s="39">
        <v>44926</v>
      </c>
      <c r="E24" s="40">
        <f t="shared" ref="E24:E25" si="2">D24-B24+1</f>
        <v>365</v>
      </c>
      <c r="F24" s="41">
        <v>0</v>
      </c>
      <c r="G24" s="42">
        <f t="shared" ref="G24:G25" si="3">ROUND(F$19/E$26*E24,0)</f>
        <v>1659</v>
      </c>
      <c r="H24" s="41">
        <v>0</v>
      </c>
      <c r="I24" s="42">
        <f t="shared" ref="I24:I25" si="4">G24-F24-H24</f>
        <v>1659</v>
      </c>
      <c r="J24" s="42">
        <f t="shared" ref="J24:J25" si="5">ROUND(I24*0.2,0)</f>
        <v>332</v>
      </c>
      <c r="K24" s="43">
        <f t="shared" ref="K24:K25" si="6">ROUNDDOWN(I24-J24,0)</f>
        <v>1327</v>
      </c>
    </row>
    <row r="25" spans="2:11" x14ac:dyDescent="0.3">
      <c r="B25" s="37">
        <v>44927</v>
      </c>
      <c r="C25" s="38" t="s">
        <v>68</v>
      </c>
      <c r="D25" s="39">
        <v>45291</v>
      </c>
      <c r="E25" s="40">
        <f t="shared" si="2"/>
        <v>365</v>
      </c>
      <c r="F25" s="41">
        <v>0</v>
      </c>
      <c r="G25" s="42">
        <f t="shared" si="3"/>
        <v>1659</v>
      </c>
      <c r="H25" s="41">
        <v>0</v>
      </c>
      <c r="I25" s="42">
        <f t="shared" si="4"/>
        <v>1659</v>
      </c>
      <c r="J25" s="42">
        <f t="shared" si="5"/>
        <v>332</v>
      </c>
      <c r="K25" s="43">
        <f t="shared" si="6"/>
        <v>1327</v>
      </c>
    </row>
    <row r="26" spans="2:11" x14ac:dyDescent="0.3">
      <c r="B26" s="124" t="s">
        <v>21</v>
      </c>
      <c r="C26" s="125"/>
      <c r="D26" s="126"/>
      <c r="E26" s="127">
        <f>D27-B27+1</f>
        <v>1095</v>
      </c>
      <c r="F26" s="127">
        <v>0</v>
      </c>
      <c r="G26" s="117">
        <f>SUM(G23:G25)</f>
        <v>4977</v>
      </c>
      <c r="H26" s="117">
        <f t="shared" ref="H26:J26" si="7">SUM(H23:H25)</f>
        <v>0</v>
      </c>
      <c r="I26" s="117">
        <f t="shared" si="7"/>
        <v>4977</v>
      </c>
      <c r="J26" s="117">
        <f t="shared" si="7"/>
        <v>995</v>
      </c>
      <c r="K26" s="119">
        <f>SUM(K23:K25)</f>
        <v>3982</v>
      </c>
    </row>
    <row r="27" spans="2:11" ht="14.65" thickBot="1" x14ac:dyDescent="0.35">
      <c r="B27" s="46">
        <f>B23</f>
        <v>44197</v>
      </c>
      <c r="C27" s="47" t="s">
        <v>68</v>
      </c>
      <c r="D27" s="48">
        <f>D25</f>
        <v>45291</v>
      </c>
      <c r="E27" s="128"/>
      <c r="F27" s="128"/>
      <c r="G27" s="118"/>
      <c r="H27" s="118"/>
      <c r="I27" s="118"/>
      <c r="J27" s="118"/>
      <c r="K27" s="120"/>
    </row>
  </sheetData>
  <sortState xmlns:xlrd2="http://schemas.microsoft.com/office/spreadsheetml/2017/richdata2" ref="B18:H19">
    <sortCondition ref="B19"/>
  </sortState>
  <mergeCells count="9">
    <mergeCell ref="I26:I27"/>
    <mergeCell ref="J26:J27"/>
    <mergeCell ref="K26:K27"/>
    <mergeCell ref="B22:D22"/>
    <mergeCell ref="B26:D26"/>
    <mergeCell ref="E26:E27"/>
    <mergeCell ref="F26:F27"/>
    <mergeCell ref="G26:G27"/>
    <mergeCell ref="H26:H27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EAB9-1763-42AC-AA58-FA99626829F1}">
  <dimension ref="B2:P35"/>
  <sheetViews>
    <sheetView tabSelected="1" topLeftCell="C1" workbookViewId="0">
      <selection activeCell="N13" sqref="N12:N13"/>
    </sheetView>
  </sheetViews>
  <sheetFormatPr defaultRowHeight="13.5" x14ac:dyDescent="0.3"/>
  <cols>
    <col min="3" max="3" width="14.06640625" customWidth="1"/>
    <col min="4" max="4" width="12.73046875" customWidth="1"/>
    <col min="5" max="5" width="13" customWidth="1"/>
    <col min="6" max="6" width="13.59765625" customWidth="1"/>
    <col min="7" max="7" width="14.265625" customWidth="1"/>
    <col min="8" max="8" width="12.19921875" customWidth="1"/>
    <col min="9" max="9" width="15" customWidth="1"/>
    <col min="11" max="11" width="13.46484375" customWidth="1"/>
    <col min="12" max="12" width="15.265625" customWidth="1"/>
    <col min="14" max="14" width="10.53125" customWidth="1"/>
    <col min="15" max="15" width="14.33203125" customWidth="1"/>
    <col min="16" max="16" width="12.53125" customWidth="1"/>
  </cols>
  <sheetData>
    <row r="2" spans="2:16" ht="13.9" thickBot="1" x14ac:dyDescent="0.35">
      <c r="B2" s="129" t="s">
        <v>144</v>
      </c>
      <c r="C2" s="129"/>
      <c r="D2" s="129"/>
      <c r="E2" s="108" t="s">
        <v>140</v>
      </c>
      <c r="F2" s="108" t="s">
        <v>141</v>
      </c>
      <c r="G2" s="108" t="s">
        <v>145</v>
      </c>
      <c r="H2" s="108" t="s">
        <v>146</v>
      </c>
      <c r="I2" s="108" t="s">
        <v>142</v>
      </c>
      <c r="K2" s="130" t="s">
        <v>139</v>
      </c>
      <c r="L2" s="130"/>
      <c r="M2" s="108" t="s">
        <v>140</v>
      </c>
      <c r="N2" s="108" t="s">
        <v>141</v>
      </c>
      <c r="O2" s="108" t="s">
        <v>142</v>
      </c>
      <c r="P2" s="108" t="s">
        <v>143</v>
      </c>
    </row>
    <row r="3" spans="2:16" ht="14.25" thickTop="1" thickBot="1" x14ac:dyDescent="0.35">
      <c r="B3" s="109" t="s">
        <v>147</v>
      </c>
      <c r="C3" s="109">
        <v>41740</v>
      </c>
      <c r="D3" s="109">
        <v>42104</v>
      </c>
      <c r="E3" s="113">
        <v>3512.1618869333333</v>
      </c>
      <c r="F3" s="113">
        <v>206.02464578313251</v>
      </c>
      <c r="G3" s="113">
        <v>-3306.1372411502007</v>
      </c>
      <c r="H3" s="113">
        <v>0</v>
      </c>
      <c r="I3" s="113">
        <v>0</v>
      </c>
      <c r="K3" s="109">
        <v>41740</v>
      </c>
      <c r="L3" s="109">
        <v>44196</v>
      </c>
      <c r="M3" s="110">
        <f>E3</f>
        <v>3512.1618869333333</v>
      </c>
      <c r="N3" s="111">
        <f>G8+(G9-G8)*(L3-D8+1)/(D9-C9+1)</f>
        <v>4091.7222477654163</v>
      </c>
      <c r="O3" s="111">
        <f>I8+(I9-I8)*(L3-D8+1)/(D9-C9+1)</f>
        <v>3202.7488663137578</v>
      </c>
      <c r="P3" s="111">
        <f>N3</f>
        <v>4091.7222477654163</v>
      </c>
    </row>
    <row r="4" spans="2:16" ht="13.9" thickBot="1" x14ac:dyDescent="0.35">
      <c r="B4" s="109" t="s">
        <v>148</v>
      </c>
      <c r="C4" s="109">
        <v>42105</v>
      </c>
      <c r="D4" s="109">
        <v>42470</v>
      </c>
      <c r="E4" s="113">
        <v>0</v>
      </c>
      <c r="F4" s="113">
        <v>288.94116083728341</v>
      </c>
      <c r="G4" s="113">
        <v>288.94116083728341</v>
      </c>
      <c r="H4" s="113">
        <v>0</v>
      </c>
      <c r="I4" s="113">
        <v>0</v>
      </c>
      <c r="K4" s="109">
        <v>44197</v>
      </c>
      <c r="L4" s="109">
        <v>45291</v>
      </c>
      <c r="M4" s="112">
        <v>0</v>
      </c>
      <c r="N4" s="111">
        <f>G11+(G12-G11)*(L4-D11+1)/(D12-C12+1)</f>
        <v>10096.169386496089</v>
      </c>
      <c r="O4" s="111">
        <f>I11+(I12-I11)*(L4-D11+1)/(D12-C12+1)</f>
        <v>8076.5628291190405</v>
      </c>
      <c r="P4" s="162">
        <f>N4-N3</f>
        <v>6004.447138730673</v>
      </c>
    </row>
    <row r="5" spans="2:16" ht="13.9" thickBot="1" x14ac:dyDescent="0.35">
      <c r="B5" s="109" t="s">
        <v>149</v>
      </c>
      <c r="C5" s="109">
        <v>42471</v>
      </c>
      <c r="D5" s="109">
        <v>42835</v>
      </c>
      <c r="E5" s="113">
        <v>0</v>
      </c>
      <c r="F5" s="113">
        <v>794.01254894919339</v>
      </c>
      <c r="G5" s="113">
        <v>794.01254894919339</v>
      </c>
      <c r="H5" s="113">
        <v>0</v>
      </c>
      <c r="I5" s="113">
        <v>0</v>
      </c>
    </row>
    <row r="6" spans="2:16" ht="13.9" thickBot="1" x14ac:dyDescent="0.35">
      <c r="B6" s="109" t="s">
        <v>150</v>
      </c>
      <c r="C6" s="109">
        <v>42836</v>
      </c>
      <c r="D6" s="109">
        <v>43200</v>
      </c>
      <c r="E6" s="113">
        <v>0</v>
      </c>
      <c r="F6" s="113">
        <v>884.76700542930507</v>
      </c>
      <c r="G6" s="113">
        <v>884.76700542930507</v>
      </c>
      <c r="H6" s="113">
        <v>0</v>
      </c>
      <c r="I6" s="113">
        <v>0</v>
      </c>
      <c r="N6" s="161"/>
    </row>
    <row r="7" spans="2:16" ht="13.9" thickBot="1" x14ac:dyDescent="0.35">
      <c r="B7" s="109" t="s">
        <v>151</v>
      </c>
      <c r="C7" s="109">
        <v>43201</v>
      </c>
      <c r="D7" s="109">
        <v>43565</v>
      </c>
      <c r="E7" s="113">
        <v>0</v>
      </c>
      <c r="F7" s="113">
        <v>1014.3429478550725</v>
      </c>
      <c r="G7" s="113">
        <v>1014.3429478550725</v>
      </c>
      <c r="H7" s="113">
        <v>0</v>
      </c>
      <c r="I7" s="113">
        <v>0</v>
      </c>
    </row>
    <row r="8" spans="2:16" ht="13.9" thickBot="1" x14ac:dyDescent="0.35">
      <c r="B8" s="109" t="s">
        <v>152</v>
      </c>
      <c r="C8" s="109">
        <v>43566</v>
      </c>
      <c r="D8" s="109">
        <v>43931</v>
      </c>
      <c r="E8" s="113">
        <v>0</v>
      </c>
      <c r="F8" s="113">
        <v>3482.3622078528269</v>
      </c>
      <c r="G8" s="113">
        <v>3482.3622078528269</v>
      </c>
      <c r="H8" s="113">
        <v>632</v>
      </c>
      <c r="I8" s="113">
        <v>2526.2886297734804</v>
      </c>
    </row>
    <row r="9" spans="2:16" ht="13.9" thickBot="1" x14ac:dyDescent="0.35">
      <c r="B9" s="109" t="s">
        <v>153</v>
      </c>
      <c r="C9" s="109">
        <v>43932</v>
      </c>
      <c r="D9" s="109">
        <v>44296</v>
      </c>
      <c r="E9" s="113">
        <v>0</v>
      </c>
      <c r="F9" s="113">
        <v>4318.51414231935</v>
      </c>
      <c r="G9" s="113">
        <v>4318.51414231935</v>
      </c>
      <c r="H9" s="113">
        <v>864</v>
      </c>
      <c r="I9" s="113">
        <v>3454.51414231935</v>
      </c>
      <c r="J9" s="114"/>
    </row>
    <row r="10" spans="2:16" ht="13.9" thickBot="1" x14ac:dyDescent="0.35">
      <c r="B10" s="109" t="s">
        <v>154</v>
      </c>
      <c r="C10" s="109">
        <v>44297</v>
      </c>
      <c r="D10" s="109">
        <v>44661</v>
      </c>
      <c r="E10" s="113">
        <v>0</v>
      </c>
      <c r="F10" s="113">
        <v>9616.4403647190647</v>
      </c>
      <c r="G10" s="113">
        <v>9616.4403647190647</v>
      </c>
      <c r="H10" s="113">
        <v>1923</v>
      </c>
      <c r="I10" s="113">
        <v>7693.4403647190647</v>
      </c>
      <c r="J10" s="114"/>
    </row>
    <row r="11" spans="2:16" ht="13.9" thickBot="1" x14ac:dyDescent="0.35">
      <c r="B11" s="109" t="s">
        <v>155</v>
      </c>
      <c r="C11" s="109">
        <v>44662</v>
      </c>
      <c r="D11" s="109">
        <v>45026</v>
      </c>
      <c r="E11" s="113">
        <v>0</v>
      </c>
      <c r="F11" s="113">
        <v>9877.990442246668</v>
      </c>
      <c r="G11" s="113">
        <v>9877.990442246668</v>
      </c>
      <c r="H11" s="113">
        <v>1976</v>
      </c>
      <c r="I11" s="113">
        <v>7901.990442246668</v>
      </c>
    </row>
    <row r="12" spans="2:16" ht="13.9" thickBot="1" x14ac:dyDescent="0.35">
      <c r="B12" s="109" t="s">
        <v>156</v>
      </c>
      <c r="C12" s="109">
        <v>45027</v>
      </c>
      <c r="D12" s="109">
        <v>45392</v>
      </c>
      <c r="E12" s="113">
        <v>0</v>
      </c>
      <c r="F12" s="113">
        <v>10178.191545988353</v>
      </c>
      <c r="G12" s="113">
        <v>10178.191545988353</v>
      </c>
      <c r="H12" s="113">
        <v>2036</v>
      </c>
      <c r="I12" s="113">
        <v>8142.191545988353</v>
      </c>
    </row>
    <row r="13" spans="2:16" ht="13.9" thickBot="1" x14ac:dyDescent="0.35">
      <c r="B13" s="109" t="s">
        <v>157</v>
      </c>
      <c r="C13" s="109">
        <v>45393</v>
      </c>
      <c r="D13" s="109">
        <v>45757</v>
      </c>
      <c r="E13" s="113">
        <v>0</v>
      </c>
      <c r="F13" s="113">
        <v>11257.96355189407</v>
      </c>
      <c r="G13" s="113">
        <v>11257.96355189407</v>
      </c>
      <c r="H13" s="113">
        <v>2252</v>
      </c>
      <c r="I13" s="113">
        <v>9005.9635518940704</v>
      </c>
    </row>
    <row r="14" spans="2:16" ht="13.9" thickBot="1" x14ac:dyDescent="0.35">
      <c r="B14" s="109" t="s">
        <v>158</v>
      </c>
      <c r="C14" s="109">
        <v>45758</v>
      </c>
      <c r="D14" s="109">
        <v>46122</v>
      </c>
      <c r="E14" s="113">
        <v>0</v>
      </c>
      <c r="F14" s="113">
        <v>11798.911170786654</v>
      </c>
      <c r="G14" s="113">
        <v>11798.911170786654</v>
      </c>
      <c r="H14" s="113">
        <v>2360</v>
      </c>
      <c r="I14" s="113">
        <v>9438.9111707866541</v>
      </c>
    </row>
    <row r="15" spans="2:16" ht="13.9" thickBot="1" x14ac:dyDescent="0.35">
      <c r="B15" s="109" t="s">
        <v>159</v>
      </c>
      <c r="C15" s="109">
        <v>46123</v>
      </c>
      <c r="D15" s="109">
        <v>46487</v>
      </c>
      <c r="E15" s="113">
        <v>0</v>
      </c>
      <c r="F15" s="113">
        <v>13874.836470924973</v>
      </c>
      <c r="G15" s="113">
        <v>13874.836470924973</v>
      </c>
      <c r="H15" s="113">
        <v>2775</v>
      </c>
      <c r="I15" s="113">
        <v>11099.836470924973</v>
      </c>
    </row>
    <row r="16" spans="2:16" ht="13.9" thickBot="1" x14ac:dyDescent="0.35">
      <c r="B16" s="109" t="s">
        <v>160</v>
      </c>
      <c r="C16" s="109">
        <v>46488</v>
      </c>
      <c r="D16" s="109">
        <v>46853</v>
      </c>
      <c r="E16" s="113">
        <v>0</v>
      </c>
      <c r="F16" s="113">
        <v>14246.142858642939</v>
      </c>
      <c r="G16" s="113">
        <v>14246.142858642939</v>
      </c>
      <c r="H16" s="113">
        <v>2849</v>
      </c>
      <c r="I16" s="113">
        <v>11397.142858642939</v>
      </c>
    </row>
    <row r="17" spans="2:9" ht="13.9" thickBot="1" x14ac:dyDescent="0.35">
      <c r="B17" s="109" t="s">
        <v>161</v>
      </c>
      <c r="C17" s="109">
        <v>46854</v>
      </c>
      <c r="D17" s="109">
        <v>47218</v>
      </c>
      <c r="E17" s="113">
        <v>0</v>
      </c>
      <c r="F17" s="113">
        <v>14559.188863725984</v>
      </c>
      <c r="G17" s="113">
        <v>14559.188863725984</v>
      </c>
      <c r="H17" s="113">
        <v>2912</v>
      </c>
      <c r="I17" s="113">
        <v>11647.188863725984</v>
      </c>
    </row>
    <row r="18" spans="2:9" ht="13.9" thickBot="1" x14ac:dyDescent="0.35">
      <c r="B18" s="109" t="s">
        <v>162</v>
      </c>
      <c r="C18" s="109">
        <v>47219</v>
      </c>
      <c r="D18" s="109">
        <v>47583</v>
      </c>
      <c r="E18" s="113">
        <v>0</v>
      </c>
      <c r="F18" s="113">
        <v>15608.263543973182</v>
      </c>
      <c r="G18" s="113">
        <v>15608.263543973182</v>
      </c>
      <c r="H18" s="113">
        <v>3122</v>
      </c>
      <c r="I18" s="113">
        <v>12486.263543973182</v>
      </c>
    </row>
    <row r="19" spans="2:9" ht="13.9" thickBot="1" x14ac:dyDescent="0.35">
      <c r="B19" s="109" t="s">
        <v>163</v>
      </c>
      <c r="C19" s="109">
        <v>47584</v>
      </c>
      <c r="D19" s="109">
        <v>47948</v>
      </c>
      <c r="E19" s="113">
        <v>0</v>
      </c>
      <c r="F19" s="113">
        <v>16148.703413309675</v>
      </c>
      <c r="G19" s="113">
        <v>16148.703413309675</v>
      </c>
      <c r="H19" s="113">
        <v>3230</v>
      </c>
      <c r="I19" s="113">
        <v>12918.703413309675</v>
      </c>
    </row>
    <row r="20" spans="2:9" ht="13.9" thickBot="1" x14ac:dyDescent="0.35">
      <c r="B20" s="109" t="s">
        <v>164</v>
      </c>
      <c r="C20" s="109">
        <v>47949</v>
      </c>
      <c r="D20" s="109">
        <v>48314</v>
      </c>
      <c r="E20" s="113">
        <v>0</v>
      </c>
      <c r="F20" s="113">
        <v>18074.954170232406</v>
      </c>
      <c r="G20" s="113">
        <v>18074.954170232406</v>
      </c>
      <c r="H20" s="113">
        <v>3615</v>
      </c>
      <c r="I20" s="113">
        <v>14459.954170232406</v>
      </c>
    </row>
    <row r="21" spans="2:9" ht="14" customHeight="1" thickBot="1" x14ac:dyDescent="0.35">
      <c r="B21" s="109" t="s">
        <v>165</v>
      </c>
      <c r="C21" s="109">
        <v>48315</v>
      </c>
      <c r="D21" s="109">
        <v>48679</v>
      </c>
      <c r="E21" s="113">
        <v>0</v>
      </c>
      <c r="F21" s="113">
        <v>18371.471908363572</v>
      </c>
      <c r="G21" s="113">
        <v>18371.471908363572</v>
      </c>
      <c r="H21" s="113">
        <v>3674</v>
      </c>
      <c r="I21" s="113">
        <v>14697.471908363572</v>
      </c>
    </row>
    <row r="22" spans="2:9" ht="13.9" thickBot="1" x14ac:dyDescent="0.35">
      <c r="B22" s="109" t="s">
        <v>166</v>
      </c>
      <c r="C22" s="109">
        <v>48680</v>
      </c>
      <c r="D22" s="109">
        <v>49044</v>
      </c>
      <c r="E22" s="113">
        <v>0</v>
      </c>
      <c r="F22" s="113">
        <v>18698.030823753157</v>
      </c>
      <c r="G22" s="113">
        <v>18698.030823753157</v>
      </c>
      <c r="H22" s="113">
        <v>3740</v>
      </c>
      <c r="I22" s="113">
        <v>14958.030823753157</v>
      </c>
    </row>
    <row r="23" spans="2:9" ht="13.9" thickBot="1" x14ac:dyDescent="0.35">
      <c r="B23" s="109" t="s">
        <v>167</v>
      </c>
      <c r="C23" s="109">
        <v>49045</v>
      </c>
      <c r="D23" s="109">
        <v>49409</v>
      </c>
      <c r="E23" s="113">
        <v>0</v>
      </c>
      <c r="F23" s="113">
        <v>19668.263324989675</v>
      </c>
      <c r="G23" s="113">
        <v>19668.263324989675</v>
      </c>
      <c r="H23" s="113">
        <v>3934</v>
      </c>
      <c r="I23" s="113">
        <v>15734.263324989675</v>
      </c>
    </row>
    <row r="24" spans="2:9" ht="13.9" thickBot="1" x14ac:dyDescent="0.35">
      <c r="B24" s="109" t="s">
        <v>168</v>
      </c>
      <c r="C24" s="109">
        <v>49410</v>
      </c>
      <c r="D24" s="109">
        <v>49775</v>
      </c>
      <c r="E24" s="113">
        <v>0</v>
      </c>
      <c r="F24" s="113">
        <v>20196.835209341923</v>
      </c>
      <c r="G24" s="113">
        <v>20196.835209341923</v>
      </c>
      <c r="H24" s="113">
        <v>4039</v>
      </c>
      <c r="I24" s="113">
        <v>16157.835209341923</v>
      </c>
    </row>
    <row r="25" spans="2:9" ht="13.9" thickBot="1" x14ac:dyDescent="0.35">
      <c r="B25" s="109" t="s">
        <v>169</v>
      </c>
      <c r="C25" s="109">
        <v>49776</v>
      </c>
      <c r="D25" s="109">
        <v>50140</v>
      </c>
      <c r="E25" s="113">
        <v>0</v>
      </c>
      <c r="F25" s="113">
        <v>21897.332418395788</v>
      </c>
      <c r="G25" s="113">
        <v>21897.332418395788</v>
      </c>
      <c r="H25" s="113">
        <v>4379</v>
      </c>
      <c r="I25" s="113">
        <v>17518.332418395788</v>
      </c>
    </row>
    <row r="26" spans="2:9" ht="13.9" thickBot="1" x14ac:dyDescent="0.35">
      <c r="B26" s="109" t="s">
        <v>170</v>
      </c>
      <c r="C26" s="109">
        <v>50141</v>
      </c>
      <c r="D26" s="109">
        <v>50505</v>
      </c>
      <c r="E26" s="113">
        <v>0</v>
      </c>
      <c r="F26" s="113">
        <v>22176.795210722485</v>
      </c>
      <c r="G26" s="113">
        <v>22176.795210722485</v>
      </c>
      <c r="H26" s="113">
        <v>4435</v>
      </c>
      <c r="I26" s="113">
        <v>17741.795210722485</v>
      </c>
    </row>
    <row r="27" spans="2:9" ht="13.9" thickBot="1" x14ac:dyDescent="0.35">
      <c r="B27" s="109" t="s">
        <v>171</v>
      </c>
      <c r="C27" s="109">
        <v>50506</v>
      </c>
      <c r="D27" s="109">
        <v>50870</v>
      </c>
      <c r="E27" s="113">
        <v>0</v>
      </c>
      <c r="F27" s="113">
        <v>22441.917361719941</v>
      </c>
      <c r="G27" s="113">
        <v>22441.917361719941</v>
      </c>
      <c r="H27" s="113">
        <v>4488</v>
      </c>
      <c r="I27" s="113">
        <v>17953.917361719941</v>
      </c>
    </row>
    <row r="28" spans="2:9" ht="13.9" thickBot="1" x14ac:dyDescent="0.35">
      <c r="B28" s="109" t="s">
        <v>172</v>
      </c>
      <c r="C28" s="109">
        <v>50871</v>
      </c>
      <c r="D28" s="109">
        <v>51236</v>
      </c>
      <c r="E28" s="113">
        <v>0</v>
      </c>
      <c r="F28" s="113">
        <v>26562.66144371836</v>
      </c>
      <c r="G28" s="113">
        <v>26562.66144371836</v>
      </c>
      <c r="H28" s="113">
        <v>5313</v>
      </c>
      <c r="I28" s="113">
        <v>21249.66144371836</v>
      </c>
    </row>
    <row r="29" spans="2:9" ht="13.9" thickBot="1" x14ac:dyDescent="0.35">
      <c r="B29" s="109" t="s">
        <v>173</v>
      </c>
      <c r="C29" s="109">
        <v>51237</v>
      </c>
      <c r="D29" s="109">
        <v>51601</v>
      </c>
      <c r="E29" s="113">
        <v>0</v>
      </c>
      <c r="F29" s="113">
        <v>27724.70149293117</v>
      </c>
      <c r="G29" s="113">
        <v>27724.70149293117</v>
      </c>
      <c r="H29" s="113">
        <v>5545</v>
      </c>
      <c r="I29" s="113">
        <v>22179.70149293117</v>
      </c>
    </row>
    <row r="30" spans="2:9" ht="13.9" thickBot="1" x14ac:dyDescent="0.35">
      <c r="B30" s="109" t="s">
        <v>174</v>
      </c>
      <c r="C30" s="109">
        <v>51602</v>
      </c>
      <c r="D30" s="109">
        <v>51966</v>
      </c>
      <c r="E30" s="113">
        <v>0</v>
      </c>
      <c r="F30" s="113">
        <v>35705.341470647661</v>
      </c>
      <c r="G30" s="113">
        <v>35705.341470647661</v>
      </c>
      <c r="H30" s="113">
        <v>7141</v>
      </c>
      <c r="I30" s="113">
        <v>28564.341470647661</v>
      </c>
    </row>
    <row r="31" spans="2:9" ht="13.9" thickBot="1" x14ac:dyDescent="0.35">
      <c r="B31" s="109" t="s">
        <v>175</v>
      </c>
      <c r="C31" s="109">
        <v>51967</v>
      </c>
      <c r="D31" s="109">
        <v>52331</v>
      </c>
      <c r="E31" s="113">
        <v>0</v>
      </c>
      <c r="F31" s="113">
        <v>35908.288607125171</v>
      </c>
      <c r="G31" s="113">
        <v>35908.288607125171</v>
      </c>
      <c r="H31" s="113">
        <v>7182</v>
      </c>
      <c r="I31" s="113">
        <v>28726.288607125171</v>
      </c>
    </row>
    <row r="32" spans="2:9" ht="13.9" thickBot="1" x14ac:dyDescent="0.35">
      <c r="B32" s="109" t="s">
        <v>176</v>
      </c>
      <c r="C32" s="109">
        <v>52332</v>
      </c>
      <c r="D32" s="109">
        <v>52697</v>
      </c>
      <c r="E32" s="113">
        <v>0</v>
      </c>
      <c r="F32" s="113">
        <v>27636.270313904213</v>
      </c>
      <c r="G32" s="113">
        <v>27636.270313904213</v>
      </c>
      <c r="H32" s="113">
        <v>5527</v>
      </c>
      <c r="I32" s="113">
        <v>22109.270313904213</v>
      </c>
    </row>
    <row r="33" spans="2:9" ht="13.9" thickBot="1" x14ac:dyDescent="0.35">
      <c r="B33" s="109" t="s">
        <v>133</v>
      </c>
      <c r="C33" s="109"/>
      <c r="D33" s="109"/>
      <c r="E33" s="113">
        <v>3512.1618869333333</v>
      </c>
      <c r="F33" s="113">
        <v>453218.46064108325</v>
      </c>
      <c r="G33" s="113">
        <v>449706.29875414993</v>
      </c>
      <c r="H33" s="113">
        <v>89943</v>
      </c>
      <c r="I33" s="113">
        <v>359763.29875414993</v>
      </c>
    </row>
    <row r="34" spans="2:9" ht="13.9" thickBot="1" x14ac:dyDescent="0.35">
      <c r="B34" s="115" t="s">
        <v>177</v>
      </c>
      <c r="C34" s="131">
        <v>30</v>
      </c>
      <c r="D34" s="131"/>
      <c r="E34" s="131"/>
      <c r="F34" s="131"/>
      <c r="G34" s="131"/>
      <c r="H34" s="131"/>
      <c r="I34" s="131"/>
    </row>
    <row r="35" spans="2:9" x14ac:dyDescent="0.3">
      <c r="B35" s="114" t="s">
        <v>178</v>
      </c>
      <c r="C35" s="132">
        <f>ROUND(G33/30,0)</f>
        <v>14990</v>
      </c>
      <c r="D35" s="132"/>
      <c r="E35" s="132"/>
      <c r="F35" s="132"/>
      <c r="G35" s="132"/>
      <c r="H35" s="132"/>
      <c r="I35" s="132"/>
    </row>
  </sheetData>
  <mergeCells count="4">
    <mergeCell ref="B2:D2"/>
    <mergeCell ref="K2:L2"/>
    <mergeCell ref="C34:I34"/>
    <mergeCell ref="C35:I3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72"/>
  <sheetViews>
    <sheetView topLeftCell="C59" zoomScale="120" zoomScaleNormal="120" workbookViewId="0">
      <selection activeCell="E25" sqref="E25"/>
    </sheetView>
  </sheetViews>
  <sheetFormatPr defaultColWidth="8.9296875" defaultRowHeight="14.25" x14ac:dyDescent="0.3"/>
  <cols>
    <col min="1" max="1" width="2.06640625" style="10" customWidth="1"/>
    <col min="2" max="2" width="26.265625" style="10" customWidth="1"/>
    <col min="3" max="3" width="14.59765625" style="10" customWidth="1"/>
    <col min="4" max="4" width="16.265625" style="10" customWidth="1"/>
    <col min="5" max="5" width="11.9296875" style="10" customWidth="1"/>
    <col min="6" max="6" width="11.33203125" style="10" customWidth="1"/>
    <col min="7" max="7" width="22.46484375" style="10" customWidth="1"/>
    <col min="8" max="8" width="21.19921875" style="10" customWidth="1"/>
    <col min="9" max="11" width="8.9296875" style="10"/>
    <col min="12" max="12" width="12.59765625" style="10" bestFit="1" customWidth="1"/>
    <col min="13" max="16384" width="8.9296875" style="10"/>
  </cols>
  <sheetData>
    <row r="2" spans="2:10" s="6" customFormat="1" ht="15.75" x14ac:dyDescent="0.3">
      <c r="B2" s="24" t="s">
        <v>0</v>
      </c>
      <c r="C2" s="2" t="s">
        <v>10</v>
      </c>
      <c r="D2" s="2" t="s">
        <v>11</v>
      </c>
      <c r="E2" s="2" t="s">
        <v>12</v>
      </c>
      <c r="F2" s="2" t="s">
        <v>39</v>
      </c>
      <c r="G2" s="2" t="s">
        <v>1</v>
      </c>
      <c r="I2" s="7" t="s">
        <v>53</v>
      </c>
    </row>
    <row r="3" spans="2:10" s="6" customFormat="1" x14ac:dyDescent="0.3">
      <c r="B3" s="24" t="s">
        <v>2</v>
      </c>
      <c r="C3" s="8">
        <v>122.18639528</v>
      </c>
      <c r="D3" s="8">
        <v>122.18047077</v>
      </c>
      <c r="E3" s="8">
        <v>122.14586199999999</v>
      </c>
      <c r="F3" s="6">
        <v>122.13290000000001</v>
      </c>
      <c r="G3" s="8"/>
      <c r="I3" s="10" t="s">
        <v>73</v>
      </c>
      <c r="J3" s="10" t="s">
        <v>93</v>
      </c>
    </row>
    <row r="4" spans="2:10" x14ac:dyDescent="0.3">
      <c r="B4" s="24" t="s">
        <v>3</v>
      </c>
      <c r="C4" s="8">
        <v>43.20479229</v>
      </c>
      <c r="D4" s="8">
        <v>43.204705529999998</v>
      </c>
      <c r="E4" s="8">
        <v>43.206161999999999</v>
      </c>
      <c r="F4" s="9">
        <v>43.2074</v>
      </c>
      <c r="G4" s="8"/>
    </row>
    <row r="5" spans="2:10" x14ac:dyDescent="0.3">
      <c r="B5" s="24" t="s">
        <v>25</v>
      </c>
      <c r="C5" s="2">
        <f>20*20/10000</f>
        <v>0.04</v>
      </c>
      <c r="D5" s="2">
        <f>20*20/10000</f>
        <v>0.04</v>
      </c>
      <c r="E5" s="2">
        <f>20*20/10000</f>
        <v>0.04</v>
      </c>
      <c r="F5" s="2">
        <f>20*20/10000</f>
        <v>0.04</v>
      </c>
      <c r="G5" s="8"/>
    </row>
    <row r="6" spans="2:10" x14ac:dyDescent="0.3">
      <c r="B6" s="24" t="s">
        <v>4</v>
      </c>
      <c r="C6" s="11">
        <f>C66</f>
        <v>6.3595238095238091</v>
      </c>
      <c r="D6" s="11">
        <f>F61</f>
        <v>5.6081081081081079</v>
      </c>
      <c r="E6" s="11">
        <f>I64</f>
        <v>6.1224999999999987</v>
      </c>
      <c r="F6" s="12">
        <f>L58</f>
        <v>6.3264705882352938</v>
      </c>
      <c r="G6" s="13" t="s">
        <v>8</v>
      </c>
    </row>
    <row r="7" spans="2:10" x14ac:dyDescent="0.3">
      <c r="B7" s="24" t="s">
        <v>5</v>
      </c>
      <c r="C7" s="11">
        <f>D66</f>
        <v>6.8071428571428596</v>
      </c>
      <c r="D7" s="11">
        <f>G61</f>
        <v>6.9054054054054035</v>
      </c>
      <c r="E7" s="11">
        <f>J64</f>
        <v>6.5524999999999993</v>
      </c>
      <c r="F7" s="12">
        <f>M58</f>
        <v>5.7764705882352931</v>
      </c>
      <c r="G7" s="13" t="s">
        <v>8</v>
      </c>
    </row>
    <row r="8" spans="2:10" x14ac:dyDescent="0.3">
      <c r="B8" s="24" t="s">
        <v>6</v>
      </c>
      <c r="C8" s="14">
        <f>COUNT(C24:C65)</f>
        <v>42</v>
      </c>
      <c r="D8" s="14">
        <f>COUNT(F24:F60)</f>
        <v>37</v>
      </c>
      <c r="E8" s="14">
        <f>COUNT(I24:I63)</f>
        <v>40</v>
      </c>
      <c r="F8" s="14">
        <f>COUNT(L24:L57)</f>
        <v>34</v>
      </c>
      <c r="G8" s="13" t="s">
        <v>8</v>
      </c>
    </row>
    <row r="9" spans="2:10" x14ac:dyDescent="0.3">
      <c r="B9" s="24" t="s">
        <v>26</v>
      </c>
      <c r="C9" s="15">
        <v>0.2</v>
      </c>
      <c r="D9" s="15">
        <v>0.2</v>
      </c>
      <c r="E9" s="15">
        <v>0.2</v>
      </c>
      <c r="F9" s="9">
        <v>0.2</v>
      </c>
      <c r="G9" s="13"/>
    </row>
    <row r="10" spans="2:10" x14ac:dyDescent="0.3">
      <c r="B10" s="24"/>
      <c r="C10" s="15"/>
      <c r="D10" s="15"/>
      <c r="E10" s="15"/>
      <c r="F10" s="9"/>
      <c r="G10" s="13"/>
    </row>
    <row r="11" spans="2:10" x14ac:dyDescent="0.3">
      <c r="B11" s="24" t="s">
        <v>19</v>
      </c>
      <c r="C11" s="16">
        <f>E66/1000</f>
        <v>0.42028432981997155</v>
      </c>
      <c r="D11" s="16">
        <f>H61/1000</f>
        <v>0.34676313931088343</v>
      </c>
      <c r="E11" s="16">
        <f>K64/1000</f>
        <v>0.42717391760284029</v>
      </c>
      <c r="F11" s="12">
        <f>N58/1000</f>
        <v>0.29735679261942438</v>
      </c>
      <c r="G11" s="13" t="s">
        <v>8</v>
      </c>
    </row>
    <row r="12" spans="2:10" ht="26.45" customHeight="1" x14ac:dyDescent="0.3">
      <c r="B12" s="24" t="s">
        <v>62</v>
      </c>
      <c r="C12" s="15">
        <f>C11/C5</f>
        <v>10.507108245499289</v>
      </c>
      <c r="D12" s="15">
        <f>D11/D5</f>
        <v>8.6690784827720861</v>
      </c>
      <c r="E12" s="15">
        <f t="shared" ref="E12" si="0">E11/E5</f>
        <v>10.679347940071008</v>
      </c>
      <c r="F12" s="15">
        <f>F11/F5</f>
        <v>7.4339198154856092</v>
      </c>
      <c r="G12" s="13" t="s">
        <v>8</v>
      </c>
    </row>
    <row r="13" spans="2:10" x14ac:dyDescent="0.4">
      <c r="B13" s="96" t="s">
        <v>125</v>
      </c>
      <c r="C13" s="9">
        <v>0.5</v>
      </c>
      <c r="D13" s="9">
        <v>0.5</v>
      </c>
      <c r="E13" s="9">
        <v>0.5</v>
      </c>
      <c r="F13" s="9">
        <v>0.5</v>
      </c>
      <c r="G13" s="9"/>
    </row>
    <row r="14" spans="2:10" x14ac:dyDescent="0.3">
      <c r="B14" s="88" t="s">
        <v>126</v>
      </c>
      <c r="C14" s="75">
        <f>C12*C13*44/12</f>
        <v>19.263031783415361</v>
      </c>
      <c r="D14" s="75">
        <f>D12*D13*44/12</f>
        <v>15.893310551748826</v>
      </c>
      <c r="E14" s="75">
        <f>E12*E13*44/12</f>
        <v>19.578804556796847</v>
      </c>
      <c r="F14" s="75">
        <f>F12*F13*44/12</f>
        <v>13.628852995056951</v>
      </c>
      <c r="G14" s="9"/>
    </row>
    <row r="15" spans="2:10" x14ac:dyDescent="0.45">
      <c r="B15" s="35"/>
    </row>
    <row r="16" spans="2:10" ht="39.4" x14ac:dyDescent="0.45">
      <c r="B16" s="24"/>
      <c r="C16" s="8" t="s">
        <v>30</v>
      </c>
      <c r="D16" s="3"/>
      <c r="E16" s="2" t="s">
        <v>78</v>
      </c>
      <c r="F16" s="8" t="s">
        <v>77</v>
      </c>
      <c r="G16" s="56" t="s">
        <v>83</v>
      </c>
      <c r="H16" s="9" t="s">
        <v>94</v>
      </c>
    </row>
    <row r="17" spans="2:14" x14ac:dyDescent="0.3">
      <c r="B17" s="24"/>
      <c r="C17" s="8" t="s">
        <v>31</v>
      </c>
      <c r="D17" s="8" t="s">
        <v>31</v>
      </c>
      <c r="E17" s="9" t="s">
        <v>79</v>
      </c>
      <c r="F17" s="8" t="s">
        <v>31</v>
      </c>
      <c r="G17" s="8" t="s">
        <v>31</v>
      </c>
      <c r="H17" s="9" t="s">
        <v>91</v>
      </c>
    </row>
    <row r="18" spans="2:14" ht="19.05" customHeight="1" x14ac:dyDescent="0.3">
      <c r="B18" s="24" t="s">
        <v>76</v>
      </c>
      <c r="C18" s="17">
        <f>AVERAGE(C12:F12)</f>
        <v>9.3223636209569989</v>
      </c>
      <c r="D18" s="17">
        <f>STDEVP(C12:F12)</f>
        <v>1.3451791466101897</v>
      </c>
      <c r="E18" s="54">
        <f>D18/SQRT(C19)*'CO2 certificates'!$D$4/C18</f>
        <v>0.11867284350651172</v>
      </c>
      <c r="F18" s="17">
        <f>IF(E18&lt;=20%,AVERAGE(C12:F12),(AVERAGE(C12:F12)*(1-(E18-20%))))</f>
        <v>9.3223636209569989</v>
      </c>
      <c r="G18" s="55">
        <f>C18*E18</f>
        <v>1.1063113991006279</v>
      </c>
      <c r="H18" s="75">
        <f>AVERAGE(C14:F14)</f>
        <v>17.090999971754496</v>
      </c>
    </row>
    <row r="19" spans="2:14" ht="18.5" customHeight="1" x14ac:dyDescent="0.3">
      <c r="B19" s="34" t="s">
        <v>63</v>
      </c>
      <c r="C19" s="17">
        <f>COUNT(C5:F5)</f>
        <v>4</v>
      </c>
      <c r="D19" s="17"/>
      <c r="E19" s="9"/>
      <c r="F19" s="17"/>
      <c r="G19" s="9"/>
      <c r="H19" s="9"/>
    </row>
    <row r="22" spans="2:14" x14ac:dyDescent="0.3">
      <c r="B22" s="9"/>
      <c r="C22" s="133" t="s">
        <v>10</v>
      </c>
      <c r="D22" s="133"/>
      <c r="E22" s="133"/>
      <c r="F22" s="133" t="s">
        <v>34</v>
      </c>
      <c r="G22" s="133"/>
      <c r="H22" s="133"/>
      <c r="I22" s="133" t="s">
        <v>35</v>
      </c>
      <c r="J22" s="133"/>
      <c r="K22" s="133"/>
      <c r="L22" s="133" t="s">
        <v>39</v>
      </c>
      <c r="M22" s="133"/>
      <c r="N22" s="133"/>
    </row>
    <row r="23" spans="2:14" ht="39.4" x14ac:dyDescent="0.3">
      <c r="B23" s="9" t="s">
        <v>43</v>
      </c>
      <c r="C23" s="9" t="s">
        <v>40</v>
      </c>
      <c r="D23" s="9" t="s">
        <v>41</v>
      </c>
      <c r="E23" s="2" t="s">
        <v>19</v>
      </c>
      <c r="F23" s="9" t="s">
        <v>40</v>
      </c>
      <c r="G23" s="9" t="s">
        <v>41</v>
      </c>
      <c r="H23" s="2" t="s">
        <v>19</v>
      </c>
      <c r="I23" s="9" t="s">
        <v>40</v>
      </c>
      <c r="J23" s="9" t="s">
        <v>41</v>
      </c>
      <c r="K23" s="2" t="s">
        <v>19</v>
      </c>
      <c r="L23" s="9" t="s">
        <v>40</v>
      </c>
      <c r="M23" s="9" t="s">
        <v>41</v>
      </c>
      <c r="N23" s="2" t="s">
        <v>19</v>
      </c>
    </row>
    <row r="24" spans="2:14" x14ac:dyDescent="0.3">
      <c r="B24" s="9">
        <v>1</v>
      </c>
      <c r="C24" s="9">
        <v>8</v>
      </c>
      <c r="D24" s="9">
        <v>7</v>
      </c>
      <c r="E24" s="12">
        <f>0.045*(C24^2*D24)^0.906*(1+$C$9)</f>
        <v>13.628612406356343</v>
      </c>
      <c r="F24" s="9">
        <v>3.7</v>
      </c>
      <c r="G24" s="9">
        <v>4.5999999999999996</v>
      </c>
      <c r="H24" s="12">
        <f t="shared" ref="H24:H26" si="1">0.045*(F24^2*G24)^0.906*(1+$D$9)</f>
        <v>2.303742208161375</v>
      </c>
      <c r="I24" s="9">
        <v>3.7</v>
      </c>
      <c r="J24" s="33">
        <v>4.5</v>
      </c>
      <c r="K24" s="12">
        <f>0.045*(I24^2*J24)^0.906*(1+$E$9)</f>
        <v>2.2583217710799799</v>
      </c>
      <c r="L24" s="33">
        <v>3.9</v>
      </c>
      <c r="M24" s="33">
        <v>4</v>
      </c>
      <c r="N24" s="12">
        <f>0.045*(L24^2*M24)^0.906*(1+$E$9)</f>
        <v>2.2328995176637974</v>
      </c>
    </row>
    <row r="25" spans="2:14" x14ac:dyDescent="0.3">
      <c r="B25" s="9">
        <v>2</v>
      </c>
      <c r="C25" s="9">
        <v>11</v>
      </c>
      <c r="D25" s="9">
        <v>8</v>
      </c>
      <c r="E25" s="12">
        <f t="shared" ref="E25:E29" si="2">0.045*(C25^2*D25)^0.906*(1+$C$9)</f>
        <v>27.390302808524606</v>
      </c>
      <c r="F25" s="9">
        <v>3</v>
      </c>
      <c r="G25" s="9">
        <v>4</v>
      </c>
      <c r="H25" s="12">
        <f t="shared" si="1"/>
        <v>1.3880458932280959</v>
      </c>
      <c r="I25" s="9">
        <v>6.3</v>
      </c>
      <c r="J25" s="33">
        <v>7.2</v>
      </c>
      <c r="K25" s="12">
        <f t="shared" ref="K25:K63" si="3">0.045*(I25^2*J25)^0.906*(1+$E$9)</f>
        <v>9.0686382303760897</v>
      </c>
      <c r="L25" s="33">
        <v>6.6</v>
      </c>
      <c r="M25" s="33">
        <v>5</v>
      </c>
      <c r="N25" s="12">
        <f t="shared" ref="N25:N57" si="4">0.045*(L25^2*M25)^0.906*(1+$E$9)</f>
        <v>7.0904564671214496</v>
      </c>
    </row>
    <row r="26" spans="2:14" x14ac:dyDescent="0.3">
      <c r="B26" s="9">
        <v>3</v>
      </c>
      <c r="C26" s="9">
        <v>8.1999999999999993</v>
      </c>
      <c r="D26" s="9">
        <v>7</v>
      </c>
      <c r="E26" s="12">
        <f t="shared" si="2"/>
        <v>14.252245171002555</v>
      </c>
      <c r="F26" s="9">
        <v>3.1</v>
      </c>
      <c r="G26" s="9">
        <v>3.7</v>
      </c>
      <c r="H26" s="12">
        <f t="shared" si="1"/>
        <v>1.3725618102898491</v>
      </c>
      <c r="I26" s="9">
        <v>3.5</v>
      </c>
      <c r="J26" s="33">
        <v>4</v>
      </c>
      <c r="K26" s="12">
        <f t="shared" si="3"/>
        <v>1.8353183563734536</v>
      </c>
      <c r="L26" s="33">
        <v>8</v>
      </c>
      <c r="M26" s="33">
        <v>7</v>
      </c>
      <c r="N26" s="12">
        <f t="shared" si="4"/>
        <v>13.628612406356343</v>
      </c>
    </row>
    <row r="27" spans="2:14" x14ac:dyDescent="0.3">
      <c r="B27" s="9">
        <v>4</v>
      </c>
      <c r="C27" s="9">
        <v>6</v>
      </c>
      <c r="D27" s="9">
        <v>7.1</v>
      </c>
      <c r="E27" s="12">
        <f t="shared" si="2"/>
        <v>8.1967915242459544</v>
      </c>
      <c r="F27" s="9">
        <v>4</v>
      </c>
      <c r="G27" s="9">
        <v>4.3</v>
      </c>
      <c r="H27" s="12">
        <f t="shared" ref="H27:H60" si="5">0.045*(F27^2*G27)^0.906*(1+$D$9)</f>
        <v>2.496024735457504</v>
      </c>
      <c r="I27" s="9">
        <v>7.4</v>
      </c>
      <c r="J27" s="33">
        <v>7</v>
      </c>
      <c r="K27" s="12">
        <f t="shared" si="3"/>
        <v>11.833152464508141</v>
      </c>
      <c r="L27" s="33">
        <v>7.5</v>
      </c>
      <c r="M27" s="33">
        <v>6.3</v>
      </c>
      <c r="N27" s="12">
        <f t="shared" si="4"/>
        <v>11.020652457731767</v>
      </c>
    </row>
    <row r="28" spans="2:14" x14ac:dyDescent="0.3">
      <c r="B28" s="9">
        <v>5</v>
      </c>
      <c r="C28" s="9">
        <v>3.1</v>
      </c>
      <c r="D28" s="9">
        <v>4.7</v>
      </c>
      <c r="E28" s="12">
        <f t="shared" si="2"/>
        <v>1.7047543540770107</v>
      </c>
      <c r="F28" s="9">
        <v>3.1</v>
      </c>
      <c r="G28" s="9">
        <v>3.9</v>
      </c>
      <c r="H28" s="12">
        <f t="shared" si="5"/>
        <v>1.4396127455868764</v>
      </c>
      <c r="I28" s="9">
        <v>5.7</v>
      </c>
      <c r="J28" s="33">
        <v>7.1</v>
      </c>
      <c r="K28" s="12">
        <f t="shared" si="3"/>
        <v>7.4692855405853793</v>
      </c>
      <c r="L28" s="33">
        <v>9.6999999999999993</v>
      </c>
      <c r="M28" s="33">
        <v>10</v>
      </c>
      <c r="N28" s="12">
        <f t="shared" si="4"/>
        <v>26.694644543105603</v>
      </c>
    </row>
    <row r="29" spans="2:14" x14ac:dyDescent="0.3">
      <c r="B29" s="9">
        <v>6</v>
      </c>
      <c r="C29" s="9">
        <v>9.4</v>
      </c>
      <c r="D29" s="9">
        <v>8.5</v>
      </c>
      <c r="E29" s="12">
        <f t="shared" si="2"/>
        <v>21.764814860591915</v>
      </c>
      <c r="F29" s="9">
        <v>2.9</v>
      </c>
      <c r="G29" s="9">
        <v>4.0999999999999996</v>
      </c>
      <c r="H29" s="12">
        <f t="shared" si="5"/>
        <v>1.3348765573786701</v>
      </c>
      <c r="I29" s="9">
        <v>3.7</v>
      </c>
      <c r="J29" s="33">
        <v>5</v>
      </c>
      <c r="K29" s="12">
        <f t="shared" si="3"/>
        <v>2.4845177726692667</v>
      </c>
      <c r="L29" s="33">
        <v>8.8000000000000007</v>
      </c>
      <c r="M29" s="33">
        <v>9.6999999999999993</v>
      </c>
      <c r="N29" s="12">
        <f t="shared" si="4"/>
        <v>21.767650358704099</v>
      </c>
    </row>
    <row r="30" spans="2:14" x14ac:dyDescent="0.3">
      <c r="B30" s="9">
        <v>7</v>
      </c>
      <c r="C30" s="9">
        <v>10.5</v>
      </c>
      <c r="D30" s="9">
        <v>9</v>
      </c>
      <c r="E30" s="12">
        <f t="shared" ref="E30:E62" si="6">0.045*(C30^2*D30)^0.906*(1+$C$9)</f>
        <v>28.011249591981141</v>
      </c>
      <c r="F30" s="9">
        <v>2.6</v>
      </c>
      <c r="G30" s="9">
        <v>4</v>
      </c>
      <c r="H30" s="12">
        <f t="shared" si="5"/>
        <v>1.0710057894998506</v>
      </c>
      <c r="I30" s="9">
        <v>10.3</v>
      </c>
      <c r="J30" s="33">
        <v>10.5</v>
      </c>
      <c r="K30" s="12">
        <f t="shared" si="3"/>
        <v>31.106583619879185</v>
      </c>
      <c r="L30" s="33">
        <v>6.4</v>
      </c>
      <c r="M30" s="33">
        <v>6</v>
      </c>
      <c r="N30" s="12">
        <f t="shared" si="4"/>
        <v>7.9103719643592036</v>
      </c>
    </row>
    <row r="31" spans="2:14" x14ac:dyDescent="0.3">
      <c r="B31" s="9">
        <v>8</v>
      </c>
      <c r="C31" s="9">
        <v>10.4</v>
      </c>
      <c r="D31" s="9">
        <v>10</v>
      </c>
      <c r="E31" s="12">
        <f t="shared" si="6"/>
        <v>30.287133415374097</v>
      </c>
      <c r="F31" s="9">
        <v>2.4</v>
      </c>
      <c r="G31" s="9">
        <v>3.8</v>
      </c>
      <c r="H31" s="12">
        <f t="shared" si="5"/>
        <v>0.88434244169469223</v>
      </c>
      <c r="I31" s="9">
        <v>8.1999999999999993</v>
      </c>
      <c r="J31" s="33">
        <v>10</v>
      </c>
      <c r="K31" s="12">
        <f t="shared" si="3"/>
        <v>19.689036330425655</v>
      </c>
      <c r="L31" s="33">
        <v>7.6</v>
      </c>
      <c r="M31" s="33">
        <v>6.3</v>
      </c>
      <c r="N31" s="12">
        <f t="shared" si="4"/>
        <v>11.288351570047061</v>
      </c>
    </row>
    <row r="32" spans="2:14" x14ac:dyDescent="0.3">
      <c r="B32" s="9">
        <v>9</v>
      </c>
      <c r="C32" s="9">
        <v>9.3000000000000007</v>
      </c>
      <c r="D32" s="9">
        <v>8</v>
      </c>
      <c r="E32" s="12">
        <f t="shared" si="6"/>
        <v>20.206188066745529</v>
      </c>
      <c r="F32" s="9">
        <v>3.1</v>
      </c>
      <c r="G32" s="9">
        <v>4.5</v>
      </c>
      <c r="H32" s="12">
        <f t="shared" si="5"/>
        <v>1.6388970991424727</v>
      </c>
      <c r="I32" s="9">
        <v>10.7</v>
      </c>
      <c r="J32" s="33">
        <v>11</v>
      </c>
      <c r="K32" s="12">
        <f t="shared" si="3"/>
        <v>34.76473615989903</v>
      </c>
      <c r="L32" s="33">
        <v>8.1</v>
      </c>
      <c r="M32" s="33">
        <v>7</v>
      </c>
      <c r="N32" s="12">
        <f t="shared" si="4"/>
        <v>13.93886584668804</v>
      </c>
    </row>
    <row r="33" spans="2:14" x14ac:dyDescent="0.3">
      <c r="B33" s="9">
        <v>10</v>
      </c>
      <c r="C33" s="9">
        <v>5.0999999999999996</v>
      </c>
      <c r="D33" s="9">
        <v>7</v>
      </c>
      <c r="E33" s="12">
        <f t="shared" si="6"/>
        <v>6.0279514136313166</v>
      </c>
      <c r="F33" s="9">
        <v>3.7</v>
      </c>
      <c r="G33" s="9">
        <v>5</v>
      </c>
      <c r="H33" s="12">
        <f t="shared" si="5"/>
        <v>2.4845177726692667</v>
      </c>
      <c r="I33" s="9">
        <v>6.2</v>
      </c>
      <c r="J33" s="33">
        <v>6</v>
      </c>
      <c r="K33" s="12">
        <f t="shared" si="3"/>
        <v>7.4681414319645061</v>
      </c>
      <c r="L33" s="33">
        <v>5.7</v>
      </c>
      <c r="M33" s="33">
        <v>6.1</v>
      </c>
      <c r="N33" s="12">
        <f t="shared" si="4"/>
        <v>6.5095029600410763</v>
      </c>
    </row>
    <row r="34" spans="2:14" x14ac:dyDescent="0.3">
      <c r="B34" s="9">
        <v>11</v>
      </c>
      <c r="C34" s="9">
        <v>5.6</v>
      </c>
      <c r="D34" s="9">
        <v>6</v>
      </c>
      <c r="E34" s="12">
        <f t="shared" si="6"/>
        <v>6.2103417200186097</v>
      </c>
      <c r="F34" s="9">
        <v>7.3</v>
      </c>
      <c r="G34" s="9">
        <v>7.8</v>
      </c>
      <c r="H34" s="12">
        <f t="shared" si="5"/>
        <v>12.734224216784883</v>
      </c>
      <c r="I34" s="9">
        <v>2.7</v>
      </c>
      <c r="J34" s="33">
        <v>3.5</v>
      </c>
      <c r="K34" s="12">
        <f t="shared" si="3"/>
        <v>1.0161329833688011</v>
      </c>
      <c r="L34" s="33">
        <v>7.1</v>
      </c>
      <c r="M34" s="33">
        <v>8</v>
      </c>
      <c r="N34" s="12">
        <f t="shared" si="4"/>
        <v>12.390060183290915</v>
      </c>
    </row>
    <row r="35" spans="2:14" x14ac:dyDescent="0.3">
      <c r="B35" s="9">
        <v>12</v>
      </c>
      <c r="C35" s="9">
        <v>5.6</v>
      </c>
      <c r="D35" s="9">
        <v>6.1</v>
      </c>
      <c r="E35" s="12">
        <f t="shared" si="6"/>
        <v>6.3040448646046077</v>
      </c>
      <c r="F35" s="9">
        <v>6.6</v>
      </c>
      <c r="G35" s="9">
        <v>7.5</v>
      </c>
      <c r="H35" s="12">
        <f t="shared" si="5"/>
        <v>10.237946969393162</v>
      </c>
      <c r="I35" s="9">
        <v>2.6</v>
      </c>
      <c r="J35" s="33">
        <v>3.4</v>
      </c>
      <c r="K35" s="12">
        <f t="shared" si="3"/>
        <v>0.92436898468490547</v>
      </c>
      <c r="L35" s="33">
        <v>10.1</v>
      </c>
      <c r="M35" s="33">
        <v>9.1</v>
      </c>
      <c r="N35" s="12">
        <f t="shared" si="4"/>
        <v>26.370331575293687</v>
      </c>
    </row>
    <row r="36" spans="2:14" x14ac:dyDescent="0.3">
      <c r="B36" s="9">
        <v>13</v>
      </c>
      <c r="C36" s="9">
        <v>6.3</v>
      </c>
      <c r="D36" s="9">
        <v>6</v>
      </c>
      <c r="E36" s="12">
        <f t="shared" si="6"/>
        <v>7.6878317172955608</v>
      </c>
      <c r="F36" s="9">
        <v>5.7</v>
      </c>
      <c r="G36" s="9">
        <v>7.6</v>
      </c>
      <c r="H36" s="12">
        <f t="shared" si="5"/>
        <v>7.944308723320253</v>
      </c>
      <c r="I36" s="9">
        <v>2</v>
      </c>
      <c r="J36" s="33">
        <v>3</v>
      </c>
      <c r="K36" s="12">
        <f t="shared" si="3"/>
        <v>0.51301725048006674</v>
      </c>
      <c r="L36" s="33">
        <v>9.9</v>
      </c>
      <c r="M36" s="33">
        <v>7</v>
      </c>
      <c r="N36" s="12">
        <f t="shared" si="4"/>
        <v>20.051347180944649</v>
      </c>
    </row>
    <row r="37" spans="2:14" x14ac:dyDescent="0.3">
      <c r="B37" s="9">
        <v>14</v>
      </c>
      <c r="C37" s="9">
        <v>3.9</v>
      </c>
      <c r="D37" s="9">
        <v>5.5</v>
      </c>
      <c r="E37" s="12">
        <f t="shared" si="6"/>
        <v>2.9796923395681434</v>
      </c>
      <c r="F37" s="9">
        <v>2.7</v>
      </c>
      <c r="G37" s="9">
        <v>4.8</v>
      </c>
      <c r="H37" s="12">
        <f t="shared" si="5"/>
        <v>1.3527871258755617</v>
      </c>
      <c r="I37" s="9">
        <v>3</v>
      </c>
      <c r="J37" s="33">
        <v>3.6</v>
      </c>
      <c r="K37" s="12">
        <f t="shared" si="3"/>
        <v>1.2616751203866094</v>
      </c>
      <c r="L37" s="33">
        <v>7.2</v>
      </c>
      <c r="M37" s="33">
        <v>5.5</v>
      </c>
      <c r="N37" s="12">
        <f t="shared" si="4"/>
        <v>9.0500054353429125</v>
      </c>
    </row>
    <row r="38" spans="2:14" x14ac:dyDescent="0.3">
      <c r="B38" s="9">
        <v>15</v>
      </c>
      <c r="C38" s="9">
        <v>6.5</v>
      </c>
      <c r="D38" s="9">
        <v>6.2</v>
      </c>
      <c r="E38" s="12">
        <f t="shared" si="6"/>
        <v>8.3810731799370259</v>
      </c>
      <c r="F38" s="9">
        <v>5.0999999999999996</v>
      </c>
      <c r="G38" s="9">
        <v>7.1</v>
      </c>
      <c r="H38" s="12">
        <f t="shared" si="5"/>
        <v>6.1059182143874091</v>
      </c>
      <c r="I38" s="9">
        <v>8</v>
      </c>
      <c r="J38" s="33">
        <v>7</v>
      </c>
      <c r="K38" s="12">
        <f t="shared" si="3"/>
        <v>13.628612406356343</v>
      </c>
      <c r="L38" s="33">
        <v>5.2</v>
      </c>
      <c r="M38" s="33">
        <v>4.5</v>
      </c>
      <c r="N38" s="12">
        <f t="shared" si="4"/>
        <v>4.1841028936206124</v>
      </c>
    </row>
    <row r="39" spans="2:14" x14ac:dyDescent="0.3">
      <c r="B39" s="9">
        <v>16</v>
      </c>
      <c r="C39" s="9">
        <v>3.5</v>
      </c>
      <c r="D39" s="9">
        <v>5.3</v>
      </c>
      <c r="E39" s="12">
        <f t="shared" si="6"/>
        <v>2.3683124282429606</v>
      </c>
      <c r="F39" s="9">
        <v>5.9</v>
      </c>
      <c r="G39" s="9">
        <v>7.5</v>
      </c>
      <c r="H39" s="12">
        <f t="shared" si="5"/>
        <v>8.355705208453589</v>
      </c>
      <c r="I39" s="9">
        <v>6.8</v>
      </c>
      <c r="J39" s="33">
        <v>6.5</v>
      </c>
      <c r="K39" s="12">
        <f t="shared" si="3"/>
        <v>9.4929110341967924</v>
      </c>
      <c r="L39" s="33">
        <v>7</v>
      </c>
      <c r="M39" s="33">
        <v>6</v>
      </c>
      <c r="N39" s="12">
        <f t="shared" si="4"/>
        <v>9.3050013650135313</v>
      </c>
    </row>
    <row r="40" spans="2:14" x14ac:dyDescent="0.3">
      <c r="B40" s="9">
        <v>17</v>
      </c>
      <c r="C40" s="9">
        <v>5.5</v>
      </c>
      <c r="D40" s="9">
        <v>7</v>
      </c>
      <c r="E40" s="12">
        <f t="shared" si="6"/>
        <v>6.9117779504555132</v>
      </c>
      <c r="F40" s="9">
        <v>7.4</v>
      </c>
      <c r="G40" s="9">
        <v>8</v>
      </c>
      <c r="H40" s="12">
        <f t="shared" si="5"/>
        <v>13.35491610632889</v>
      </c>
      <c r="I40" s="9">
        <v>4.3</v>
      </c>
      <c r="J40" s="33">
        <v>5</v>
      </c>
      <c r="K40" s="12">
        <f t="shared" si="3"/>
        <v>3.2621612550192376</v>
      </c>
      <c r="L40" s="33">
        <v>3.5</v>
      </c>
      <c r="M40" s="33">
        <v>4</v>
      </c>
      <c r="N40" s="12">
        <f t="shared" si="4"/>
        <v>1.8353183563734536</v>
      </c>
    </row>
    <row r="41" spans="2:14" x14ac:dyDescent="0.3">
      <c r="B41" s="9">
        <v>18</v>
      </c>
      <c r="C41" s="9">
        <v>3.1</v>
      </c>
      <c r="D41" s="9">
        <v>4.7</v>
      </c>
      <c r="E41" s="12">
        <f t="shared" si="6"/>
        <v>1.7047543540770107</v>
      </c>
      <c r="F41" s="9">
        <v>5.9</v>
      </c>
      <c r="G41" s="9">
        <v>7.3</v>
      </c>
      <c r="H41" s="12">
        <f t="shared" si="5"/>
        <v>8.1535758600499655</v>
      </c>
      <c r="I41" s="9">
        <v>4.5</v>
      </c>
      <c r="J41" s="33">
        <v>6</v>
      </c>
      <c r="K41" s="12">
        <f t="shared" si="3"/>
        <v>4.1784948153288122</v>
      </c>
      <c r="L41" s="33">
        <v>2.5</v>
      </c>
      <c r="M41" s="33">
        <v>3</v>
      </c>
      <c r="N41" s="12">
        <f t="shared" si="4"/>
        <v>0.76865757653963784</v>
      </c>
    </row>
    <row r="42" spans="2:14" x14ac:dyDescent="0.3">
      <c r="B42" s="9">
        <v>19</v>
      </c>
      <c r="C42" s="9">
        <v>6.4</v>
      </c>
      <c r="D42" s="9">
        <v>7</v>
      </c>
      <c r="E42" s="12">
        <f t="shared" si="6"/>
        <v>9.0960051366994019</v>
      </c>
      <c r="F42" s="9">
        <v>10.8</v>
      </c>
      <c r="G42" s="9">
        <v>7.5</v>
      </c>
      <c r="H42" s="12">
        <f t="shared" si="5"/>
        <v>24.989818932873163</v>
      </c>
      <c r="I42" s="9">
        <v>6</v>
      </c>
      <c r="J42" s="33">
        <v>6.3</v>
      </c>
      <c r="K42" s="12">
        <f t="shared" si="3"/>
        <v>7.3554011499038232</v>
      </c>
      <c r="L42" s="33">
        <v>3.5</v>
      </c>
      <c r="M42" s="33">
        <v>3.7</v>
      </c>
      <c r="N42" s="12">
        <f t="shared" si="4"/>
        <v>1.7101563534466813</v>
      </c>
    </row>
    <row r="43" spans="2:14" x14ac:dyDescent="0.3">
      <c r="B43" s="9">
        <v>20</v>
      </c>
      <c r="C43" s="9">
        <v>3.1</v>
      </c>
      <c r="D43" s="9">
        <v>5</v>
      </c>
      <c r="E43" s="12">
        <f t="shared" si="6"/>
        <v>1.8030508417975881</v>
      </c>
      <c r="F43" s="9">
        <v>5.6</v>
      </c>
      <c r="G43" s="9">
        <v>7.3</v>
      </c>
      <c r="H43" s="12">
        <f t="shared" si="5"/>
        <v>7.417900028654512</v>
      </c>
      <c r="I43" s="9">
        <v>5.8</v>
      </c>
      <c r="J43" s="33">
        <v>6</v>
      </c>
      <c r="K43" s="12">
        <f t="shared" si="3"/>
        <v>6.6180541606645269</v>
      </c>
      <c r="L43" s="33">
        <v>3.3</v>
      </c>
      <c r="M43" s="33">
        <v>3</v>
      </c>
      <c r="N43" s="12">
        <f t="shared" si="4"/>
        <v>1.2711970479555752</v>
      </c>
    </row>
    <row r="44" spans="2:14" x14ac:dyDescent="0.3">
      <c r="B44" s="9">
        <v>21</v>
      </c>
      <c r="C44" s="9">
        <v>6</v>
      </c>
      <c r="D44" s="9">
        <v>7</v>
      </c>
      <c r="E44" s="12">
        <f t="shared" si="6"/>
        <v>8.0921262488244476</v>
      </c>
      <c r="F44" s="9">
        <v>4.9000000000000004</v>
      </c>
      <c r="G44" s="9">
        <v>7</v>
      </c>
      <c r="H44" s="12">
        <f t="shared" si="5"/>
        <v>5.606449067302024</v>
      </c>
      <c r="I44" s="9">
        <v>5.6</v>
      </c>
      <c r="J44" s="33">
        <v>6.5</v>
      </c>
      <c r="K44" s="12">
        <f t="shared" si="3"/>
        <v>6.6774395619531139</v>
      </c>
      <c r="L44" s="33">
        <v>4.7</v>
      </c>
      <c r="M44" s="33">
        <v>4.5</v>
      </c>
      <c r="N44" s="12">
        <f t="shared" si="4"/>
        <v>3.4837390437657425</v>
      </c>
    </row>
    <row r="45" spans="2:14" x14ac:dyDescent="0.3">
      <c r="B45" s="9">
        <v>22</v>
      </c>
      <c r="C45" s="9">
        <v>6.5</v>
      </c>
      <c r="D45" s="9">
        <v>7.2</v>
      </c>
      <c r="E45" s="12">
        <f t="shared" si="6"/>
        <v>9.597011248345785</v>
      </c>
      <c r="F45" s="9">
        <v>5.5</v>
      </c>
      <c r="G45" s="9">
        <v>7.1</v>
      </c>
      <c r="H45" s="12">
        <f t="shared" si="5"/>
        <v>7.0011763508996268</v>
      </c>
      <c r="I45" s="9">
        <v>4.0999999999999996</v>
      </c>
      <c r="J45" s="33">
        <v>5</v>
      </c>
      <c r="K45" s="12">
        <f t="shared" si="3"/>
        <v>2.9924364225004867</v>
      </c>
      <c r="L45" s="33">
        <v>2</v>
      </c>
      <c r="M45" s="33">
        <v>2.5</v>
      </c>
      <c r="N45" s="12">
        <f t="shared" si="4"/>
        <v>0.43490435824749596</v>
      </c>
    </row>
    <row r="46" spans="2:14" x14ac:dyDescent="0.3">
      <c r="B46" s="9">
        <v>23</v>
      </c>
      <c r="C46" s="9">
        <v>3.5</v>
      </c>
      <c r="D46" s="9">
        <v>5</v>
      </c>
      <c r="E46" s="12">
        <f t="shared" si="6"/>
        <v>2.2465282288718051</v>
      </c>
      <c r="F46" s="9">
        <v>4.5</v>
      </c>
      <c r="G46" s="9">
        <v>6</v>
      </c>
      <c r="H46" s="12">
        <f t="shared" si="5"/>
        <v>4.1784948153288122</v>
      </c>
      <c r="I46" s="9">
        <v>5.2</v>
      </c>
      <c r="J46" s="33">
        <v>5.7</v>
      </c>
      <c r="K46" s="12">
        <f t="shared" si="3"/>
        <v>5.1833965786524141</v>
      </c>
      <c r="L46" s="33">
        <v>3.2</v>
      </c>
      <c r="M46" s="33">
        <v>3</v>
      </c>
      <c r="N46" s="12">
        <f t="shared" si="4"/>
        <v>1.2022571742170924</v>
      </c>
    </row>
    <row r="47" spans="2:14" x14ac:dyDescent="0.3">
      <c r="B47" s="9">
        <v>24</v>
      </c>
      <c r="C47" s="9">
        <v>7.9</v>
      </c>
      <c r="D47" s="9">
        <v>7.5</v>
      </c>
      <c r="E47" s="12">
        <f t="shared" si="6"/>
        <v>14.180761532596732</v>
      </c>
      <c r="F47" s="9">
        <v>3.2</v>
      </c>
      <c r="G47" s="9">
        <v>4.3</v>
      </c>
      <c r="H47" s="12">
        <f t="shared" si="5"/>
        <v>1.6658962143835871</v>
      </c>
      <c r="I47" s="9">
        <v>11.1</v>
      </c>
      <c r="J47" s="33">
        <v>10</v>
      </c>
      <c r="K47" s="12">
        <f t="shared" si="3"/>
        <v>34.081523278710279</v>
      </c>
      <c r="L47" s="33">
        <v>10.4</v>
      </c>
      <c r="M47" s="33">
        <v>10.199999999999999</v>
      </c>
      <c r="N47" s="12">
        <f t="shared" si="4"/>
        <v>30.835424121708837</v>
      </c>
    </row>
    <row r="48" spans="2:14" x14ac:dyDescent="0.3">
      <c r="B48" s="9">
        <v>25</v>
      </c>
      <c r="C48" s="9">
        <v>5.5</v>
      </c>
      <c r="D48" s="9">
        <v>7</v>
      </c>
      <c r="E48" s="12">
        <f t="shared" si="6"/>
        <v>6.9117779504555132</v>
      </c>
      <c r="F48" s="9">
        <v>2.5</v>
      </c>
      <c r="G48" s="9">
        <v>3.7</v>
      </c>
      <c r="H48" s="12">
        <f t="shared" si="5"/>
        <v>0.92950518677487082</v>
      </c>
      <c r="I48" s="9">
        <v>8</v>
      </c>
      <c r="J48" s="33">
        <v>9.8000000000000007</v>
      </c>
      <c r="K48" s="12">
        <f t="shared" si="3"/>
        <v>18.486029460909279</v>
      </c>
      <c r="L48" s="33">
        <v>8.5</v>
      </c>
      <c r="M48" s="33">
        <v>8.3000000000000007</v>
      </c>
      <c r="N48" s="12">
        <f t="shared" si="4"/>
        <v>17.749478802457631</v>
      </c>
    </row>
    <row r="49" spans="2:14" x14ac:dyDescent="0.3">
      <c r="B49" s="9">
        <v>26</v>
      </c>
      <c r="C49" s="9">
        <v>4.9000000000000004</v>
      </c>
      <c r="D49" s="9">
        <v>6</v>
      </c>
      <c r="E49" s="12">
        <f t="shared" si="6"/>
        <v>4.8756675985878299</v>
      </c>
      <c r="F49" s="9">
        <v>5.3</v>
      </c>
      <c r="G49" s="9">
        <v>6.1</v>
      </c>
      <c r="H49" s="12">
        <f t="shared" si="5"/>
        <v>5.7054573870872698</v>
      </c>
      <c r="I49" s="9">
        <v>7.7</v>
      </c>
      <c r="J49" s="33">
        <v>10</v>
      </c>
      <c r="K49" s="12">
        <f t="shared" si="3"/>
        <v>17.567701915754711</v>
      </c>
      <c r="L49" s="33">
        <v>3.9</v>
      </c>
      <c r="M49" s="33">
        <v>4</v>
      </c>
      <c r="N49" s="12">
        <f t="shared" si="4"/>
        <v>2.2328995176637974</v>
      </c>
    </row>
    <row r="50" spans="2:14" x14ac:dyDescent="0.3">
      <c r="B50" s="9">
        <v>27</v>
      </c>
      <c r="C50" s="9">
        <v>5.6</v>
      </c>
      <c r="D50" s="9">
        <v>6.5</v>
      </c>
      <c r="E50" s="12">
        <f t="shared" si="6"/>
        <v>6.6774395619531139</v>
      </c>
      <c r="F50" s="9">
        <v>7.4</v>
      </c>
      <c r="G50" s="9">
        <v>6.5</v>
      </c>
      <c r="H50" s="12">
        <f t="shared" si="5"/>
        <v>11.064738058397969</v>
      </c>
      <c r="I50" s="9">
        <v>5.8</v>
      </c>
      <c r="J50" s="33">
        <v>7</v>
      </c>
      <c r="K50" s="12">
        <f t="shared" si="3"/>
        <v>7.6099903912970825</v>
      </c>
      <c r="L50" s="33">
        <v>4.5999999999999996</v>
      </c>
      <c r="M50" s="33">
        <v>4.5</v>
      </c>
      <c r="N50" s="12">
        <f t="shared" si="4"/>
        <v>3.3505915454992379</v>
      </c>
    </row>
    <row r="51" spans="2:14" x14ac:dyDescent="0.3">
      <c r="B51" s="9">
        <v>28</v>
      </c>
      <c r="C51" s="9">
        <v>7.1</v>
      </c>
      <c r="D51" s="9">
        <v>7</v>
      </c>
      <c r="E51" s="12">
        <f t="shared" si="6"/>
        <v>10.978239775226518</v>
      </c>
      <c r="F51" s="9">
        <v>8.9</v>
      </c>
      <c r="G51" s="9">
        <v>7.5</v>
      </c>
      <c r="H51" s="12">
        <f t="shared" si="5"/>
        <v>17.599241730872908</v>
      </c>
      <c r="I51" s="9">
        <v>7.9</v>
      </c>
      <c r="J51" s="33">
        <v>8.3000000000000007</v>
      </c>
      <c r="K51" s="12">
        <f t="shared" si="3"/>
        <v>15.544573150226924</v>
      </c>
      <c r="L51" s="33">
        <v>4.7</v>
      </c>
      <c r="M51" s="33">
        <v>5</v>
      </c>
      <c r="N51" s="12">
        <f t="shared" si="4"/>
        <v>3.8326741921451735</v>
      </c>
    </row>
    <row r="52" spans="2:14" x14ac:dyDescent="0.3">
      <c r="B52" s="9">
        <v>29</v>
      </c>
      <c r="C52" s="9">
        <v>7.7</v>
      </c>
      <c r="D52" s="9">
        <v>7.5</v>
      </c>
      <c r="E52" s="12">
        <f t="shared" si="6"/>
        <v>13.536938581192528</v>
      </c>
      <c r="F52" s="9">
        <v>7.5</v>
      </c>
      <c r="G52" s="9">
        <v>8.1</v>
      </c>
      <c r="H52" s="12">
        <f t="shared" si="5"/>
        <v>13.838601268747897</v>
      </c>
      <c r="I52" s="9">
        <v>10.7</v>
      </c>
      <c r="J52" s="33">
        <v>9.5</v>
      </c>
      <c r="K52" s="12">
        <f t="shared" si="3"/>
        <v>30.440708154227089</v>
      </c>
      <c r="L52" s="33">
        <v>9.8000000000000007</v>
      </c>
      <c r="M52" s="33">
        <v>9.1999999999999993</v>
      </c>
      <c r="N52" s="12">
        <f t="shared" si="4"/>
        <v>25.216637804079227</v>
      </c>
    </row>
    <row r="53" spans="2:14" x14ac:dyDescent="0.3">
      <c r="B53" s="9">
        <v>30</v>
      </c>
      <c r="C53" s="9">
        <v>6.7</v>
      </c>
      <c r="D53" s="9">
        <v>6.8</v>
      </c>
      <c r="E53" s="12">
        <f t="shared" si="6"/>
        <v>9.6270754880527907</v>
      </c>
      <c r="F53" s="9">
        <v>10.1</v>
      </c>
      <c r="G53" s="9">
        <v>12</v>
      </c>
      <c r="H53" s="12">
        <f t="shared" si="5"/>
        <v>33.881474168398938</v>
      </c>
      <c r="I53" s="9">
        <v>5.7</v>
      </c>
      <c r="J53" s="33">
        <v>6</v>
      </c>
      <c r="K53" s="12">
        <f t="shared" si="3"/>
        <v>6.412745892134966</v>
      </c>
      <c r="L53" s="33">
        <v>8</v>
      </c>
      <c r="M53" s="33">
        <v>5.5</v>
      </c>
      <c r="N53" s="12">
        <f t="shared" si="4"/>
        <v>10.953714392550378</v>
      </c>
    </row>
    <row r="54" spans="2:14" x14ac:dyDescent="0.3">
      <c r="B54" s="9">
        <v>31</v>
      </c>
      <c r="C54" s="9">
        <v>5.7</v>
      </c>
      <c r="D54" s="9">
        <v>7.5</v>
      </c>
      <c r="E54" s="12">
        <f t="shared" si="6"/>
        <v>7.8495453506658341</v>
      </c>
      <c r="F54" s="9">
        <v>9.6</v>
      </c>
      <c r="G54" s="9">
        <v>11.5</v>
      </c>
      <c r="H54" s="12">
        <f t="shared" si="5"/>
        <v>29.734557335453445</v>
      </c>
      <c r="I54" s="9">
        <v>4.5999999999999996</v>
      </c>
      <c r="J54" s="33">
        <v>4.5</v>
      </c>
      <c r="K54" s="12">
        <f t="shared" si="3"/>
        <v>3.3505915454992379</v>
      </c>
      <c r="L54" s="33">
        <v>6</v>
      </c>
      <c r="M54" s="33">
        <v>5</v>
      </c>
      <c r="N54" s="12">
        <f t="shared" si="4"/>
        <v>5.965826919281886</v>
      </c>
    </row>
    <row r="55" spans="2:14" x14ac:dyDescent="0.3">
      <c r="B55" s="9">
        <v>32</v>
      </c>
      <c r="C55" s="9">
        <v>5.0999999999999996</v>
      </c>
      <c r="D55" s="9">
        <v>6.8</v>
      </c>
      <c r="E55" s="12">
        <f t="shared" si="6"/>
        <v>5.8717018326842672</v>
      </c>
      <c r="F55" s="9">
        <v>7.7</v>
      </c>
      <c r="G55" s="9">
        <v>11.2</v>
      </c>
      <c r="H55" s="12">
        <f t="shared" si="5"/>
        <v>19.467334101544274</v>
      </c>
      <c r="I55" s="9">
        <v>6.9</v>
      </c>
      <c r="J55" s="33">
        <v>7</v>
      </c>
      <c r="K55" s="12">
        <f t="shared" si="3"/>
        <v>10.424305642714682</v>
      </c>
      <c r="L55" s="33">
        <v>6.4</v>
      </c>
      <c r="M55" s="33">
        <v>4.5</v>
      </c>
      <c r="N55" s="12">
        <f t="shared" si="4"/>
        <v>6.0954027993773359</v>
      </c>
    </row>
    <row r="56" spans="2:14" x14ac:dyDescent="0.3">
      <c r="B56" s="9">
        <v>33</v>
      </c>
      <c r="C56" s="9">
        <v>6.7</v>
      </c>
      <c r="D56" s="9">
        <v>7</v>
      </c>
      <c r="E56" s="12">
        <f t="shared" si="6"/>
        <v>9.883257861343747</v>
      </c>
      <c r="F56" s="9">
        <v>6</v>
      </c>
      <c r="G56" s="9">
        <v>12</v>
      </c>
      <c r="H56" s="12">
        <f t="shared" si="5"/>
        <v>13.186879401556046</v>
      </c>
      <c r="I56" s="9">
        <v>8.1</v>
      </c>
      <c r="J56" s="33">
        <v>7.5</v>
      </c>
      <c r="K56" s="12">
        <f t="shared" si="3"/>
        <v>14.837957358429074</v>
      </c>
      <c r="L56" s="33">
        <v>6.6</v>
      </c>
      <c r="M56" s="33">
        <v>5</v>
      </c>
      <c r="N56" s="12">
        <f t="shared" si="4"/>
        <v>7.0904564671214496</v>
      </c>
    </row>
    <row r="57" spans="2:14" x14ac:dyDescent="0.3">
      <c r="B57" s="9">
        <v>34</v>
      </c>
      <c r="C57" s="9">
        <v>5.9</v>
      </c>
      <c r="D57" s="9">
        <v>7</v>
      </c>
      <c r="E57" s="12">
        <f t="shared" si="6"/>
        <v>7.8493994248436021</v>
      </c>
      <c r="F57" s="9">
        <v>6.3</v>
      </c>
      <c r="G57" s="9">
        <v>11.5</v>
      </c>
      <c r="H57" s="12">
        <f t="shared" si="5"/>
        <v>13.860888781330022</v>
      </c>
      <c r="I57" s="9">
        <v>13.3</v>
      </c>
      <c r="J57" s="33">
        <v>9</v>
      </c>
      <c r="K57" s="12">
        <f t="shared" si="3"/>
        <v>42.98893110877507</v>
      </c>
      <c r="L57" s="33">
        <v>4.7</v>
      </c>
      <c r="M57" s="33">
        <v>4</v>
      </c>
      <c r="N57" s="12">
        <f t="shared" si="4"/>
        <v>3.1311323883855064</v>
      </c>
    </row>
    <row r="58" spans="2:14" x14ac:dyDescent="0.3">
      <c r="B58" s="9">
        <v>35</v>
      </c>
      <c r="C58" s="9">
        <v>7.3</v>
      </c>
      <c r="D58" s="9">
        <v>7.5</v>
      </c>
      <c r="E58" s="12">
        <f t="shared" si="6"/>
        <v>12.289671854881403</v>
      </c>
      <c r="F58" s="9">
        <v>9.6</v>
      </c>
      <c r="G58" s="9">
        <v>11</v>
      </c>
      <c r="H58" s="12">
        <f t="shared" si="5"/>
        <v>28.560842009780632</v>
      </c>
      <c r="I58" s="9">
        <v>2.5</v>
      </c>
      <c r="J58" s="33">
        <v>3.5</v>
      </c>
      <c r="K58" s="12">
        <f t="shared" si="3"/>
        <v>0.88386656102509076</v>
      </c>
      <c r="L58" s="25">
        <f>AVERAGE(L24:L57)</f>
        <v>6.3264705882352938</v>
      </c>
      <c r="M58" s="25">
        <f>AVERAGE(M20:M57)</f>
        <v>5.7764705882352931</v>
      </c>
      <c r="N58" s="25">
        <f>SUM(N20:N52)</f>
        <v>297.35679261942437</v>
      </c>
    </row>
    <row r="59" spans="2:14" x14ac:dyDescent="0.3">
      <c r="B59" s="9">
        <v>36</v>
      </c>
      <c r="C59" s="9">
        <v>3.7</v>
      </c>
      <c r="D59" s="9">
        <v>5.8</v>
      </c>
      <c r="E59" s="12">
        <f t="shared" si="6"/>
        <v>2.8421110687120033</v>
      </c>
      <c r="F59" s="9">
        <v>7</v>
      </c>
      <c r="G59" s="9">
        <v>7.5</v>
      </c>
      <c r="H59" s="12">
        <f t="shared" si="5"/>
        <v>11.38982137000977</v>
      </c>
      <c r="I59" s="9">
        <v>3.1</v>
      </c>
      <c r="J59" s="33">
        <v>4.2</v>
      </c>
      <c r="K59" s="12">
        <f t="shared" si="3"/>
        <v>1.5395897325783741</v>
      </c>
      <c r="L59" s="9"/>
      <c r="M59" s="9"/>
      <c r="N59" s="12"/>
    </row>
    <row r="60" spans="2:14" x14ac:dyDescent="0.3">
      <c r="B60" s="9">
        <v>37</v>
      </c>
      <c r="C60" s="9">
        <v>7.5</v>
      </c>
      <c r="D60" s="9">
        <v>7.3</v>
      </c>
      <c r="E60" s="12">
        <f t="shared" si="6"/>
        <v>12.5943361404365</v>
      </c>
      <c r="F60" s="9">
        <v>6.9</v>
      </c>
      <c r="G60" s="9">
        <v>8.1999999999999993</v>
      </c>
      <c r="H60" s="12">
        <f t="shared" si="5"/>
        <v>12.031053623785342</v>
      </c>
      <c r="I60" s="9">
        <v>7</v>
      </c>
      <c r="J60" s="33">
        <v>7</v>
      </c>
      <c r="K60" s="12">
        <f t="shared" si="3"/>
        <v>10.699666285542909</v>
      </c>
      <c r="L60" s="9"/>
      <c r="M60" s="9"/>
      <c r="N60" s="12"/>
    </row>
    <row r="61" spans="2:14" x14ac:dyDescent="0.3">
      <c r="B61" s="9">
        <v>38</v>
      </c>
      <c r="C61" s="9">
        <v>7.5</v>
      </c>
      <c r="D61" s="9">
        <v>7</v>
      </c>
      <c r="E61" s="12">
        <f t="shared" si="6"/>
        <v>12.12449317377461</v>
      </c>
      <c r="F61" s="25">
        <f>AVERAGE(F24:F60)</f>
        <v>5.6081081081081079</v>
      </c>
      <c r="G61" s="25">
        <f>AVERAGE(G24:G60)</f>
        <v>6.9054054054054035</v>
      </c>
      <c r="H61" s="25">
        <f>SUM(H20:H60)</f>
        <v>346.76313931088345</v>
      </c>
      <c r="I61" s="9">
        <v>4.5</v>
      </c>
      <c r="J61" s="33">
        <v>6.5</v>
      </c>
      <c r="K61" s="12">
        <f t="shared" si="3"/>
        <v>4.4927715490040656</v>
      </c>
      <c r="L61" s="9"/>
      <c r="M61" s="9"/>
      <c r="N61" s="12"/>
    </row>
    <row r="62" spans="2:14" x14ac:dyDescent="0.3">
      <c r="B62" s="9">
        <v>39</v>
      </c>
      <c r="C62" s="9">
        <v>7.3</v>
      </c>
      <c r="D62" s="9">
        <v>7.1</v>
      </c>
      <c r="E62" s="12">
        <f t="shared" si="6"/>
        <v>11.694316572923332</v>
      </c>
      <c r="F62" s="9"/>
      <c r="G62" s="9"/>
      <c r="H62" s="12"/>
      <c r="I62" s="9">
        <v>8</v>
      </c>
      <c r="J62" s="33">
        <v>7.3</v>
      </c>
      <c r="K62" s="12">
        <f t="shared" si="3"/>
        <v>14.15674233250764</v>
      </c>
      <c r="L62" s="9"/>
      <c r="M62" s="9"/>
      <c r="N62" s="12"/>
    </row>
    <row r="63" spans="2:14" x14ac:dyDescent="0.3">
      <c r="B63" s="9">
        <v>40</v>
      </c>
      <c r="C63" s="9">
        <v>6.2</v>
      </c>
      <c r="D63" s="9">
        <v>6.8</v>
      </c>
      <c r="E63" s="12">
        <f>0.045*(C63^2*D63)^0.906*(1+$C$9)</f>
        <v>8.3648965839501379</v>
      </c>
      <c r="F63" s="9"/>
      <c r="G63" s="9"/>
      <c r="H63" s="12"/>
      <c r="I63" s="9">
        <v>3.7</v>
      </c>
      <c r="J63" s="33">
        <v>5.2</v>
      </c>
      <c r="K63" s="12">
        <f t="shared" si="3"/>
        <v>2.5743898422471525</v>
      </c>
      <c r="L63" s="12"/>
      <c r="M63" s="12"/>
      <c r="N63" s="12"/>
    </row>
    <row r="64" spans="2:14" x14ac:dyDescent="0.3">
      <c r="B64" s="9">
        <v>41</v>
      </c>
      <c r="C64" s="9">
        <v>4.7</v>
      </c>
      <c r="D64" s="9">
        <v>6.5</v>
      </c>
      <c r="E64" s="12">
        <f>0.045*(C64^2*D64)^0.906*(1+$C$9)</f>
        <v>4.861100271725233</v>
      </c>
      <c r="F64" s="9"/>
      <c r="G64" s="9"/>
      <c r="H64" s="12"/>
      <c r="I64" s="25">
        <f>AVERAGE(I21:I63)</f>
        <v>6.1224999999999987</v>
      </c>
      <c r="J64" s="25">
        <f>AVERAGE(J21:J63)</f>
        <v>6.5524999999999993</v>
      </c>
      <c r="K64" s="25">
        <f>SUM(K24:K63)</f>
        <v>427.17391760284028</v>
      </c>
      <c r="L64" s="9"/>
      <c r="M64" s="9"/>
      <c r="N64" s="9"/>
    </row>
    <row r="65" spans="2:14" x14ac:dyDescent="0.3">
      <c r="B65" s="9">
        <v>42</v>
      </c>
      <c r="C65" s="9">
        <v>7.6</v>
      </c>
      <c r="D65" s="9">
        <v>7</v>
      </c>
      <c r="E65" s="12">
        <f>0.045*(C65^2*D65)^0.906*(1+$C$9)</f>
        <v>12.41900532469678</v>
      </c>
      <c r="F65" s="12"/>
      <c r="G65" s="12"/>
      <c r="H65" s="12"/>
      <c r="I65" s="9"/>
      <c r="J65" s="9"/>
      <c r="K65" s="9"/>
      <c r="L65" s="12"/>
      <c r="M65" s="12"/>
      <c r="N65" s="12"/>
    </row>
    <row r="66" spans="2:14" x14ac:dyDescent="0.3">
      <c r="B66" s="9">
        <v>43</v>
      </c>
      <c r="C66" s="25">
        <f>AVERAGE(C20:C65)</f>
        <v>6.3595238095238091</v>
      </c>
      <c r="D66" s="25">
        <f>AVERAGE(D20:D65)</f>
        <v>6.8071428571428596</v>
      </c>
      <c r="E66" s="25">
        <f>SUM(E20:E65)</f>
        <v>420.28432981997156</v>
      </c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>
        <v>44</v>
      </c>
      <c r="C67" s="9"/>
      <c r="D67" s="9"/>
      <c r="E67" s="12"/>
      <c r="F67" s="12"/>
      <c r="G67" s="12"/>
      <c r="H67" s="12"/>
      <c r="I67" s="9"/>
      <c r="J67" s="9"/>
      <c r="K67" s="9"/>
      <c r="L67" s="9"/>
      <c r="M67" s="9"/>
      <c r="N67" s="9"/>
    </row>
    <row r="68" spans="2:14" x14ac:dyDescent="0.3">
      <c r="B68" s="9">
        <v>45</v>
      </c>
      <c r="C68" s="9"/>
      <c r="D68" s="9"/>
      <c r="E68" s="12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>
        <v>46</v>
      </c>
      <c r="C69" s="9"/>
      <c r="D69" s="9"/>
      <c r="E69" s="12"/>
      <c r="F69" s="9"/>
      <c r="G69" s="9"/>
      <c r="H69" s="12"/>
      <c r="I69" s="9"/>
      <c r="J69" s="9"/>
      <c r="K69" s="9"/>
      <c r="L69" s="9"/>
      <c r="M69" s="9"/>
      <c r="N69" s="9"/>
    </row>
    <row r="70" spans="2:14" x14ac:dyDescent="0.3">
      <c r="B70" s="9">
        <v>47</v>
      </c>
      <c r="C70" s="12"/>
      <c r="D70" s="12"/>
      <c r="E70" s="12"/>
      <c r="F70" s="9"/>
      <c r="G70" s="9"/>
      <c r="H70" s="12"/>
      <c r="I70" s="9"/>
      <c r="J70" s="9"/>
      <c r="K70" s="9"/>
      <c r="L70" s="9"/>
      <c r="M70" s="9"/>
      <c r="N70" s="9"/>
    </row>
    <row r="71" spans="2:14" x14ac:dyDescent="0.3">
      <c r="B71" s="9">
        <v>48</v>
      </c>
      <c r="C71" s="9"/>
      <c r="D71" s="9"/>
      <c r="E71" s="12"/>
      <c r="F71" s="9"/>
      <c r="G71" s="9"/>
      <c r="H71" s="12"/>
      <c r="I71" s="9"/>
      <c r="J71" s="9"/>
      <c r="K71" s="9"/>
      <c r="L71" s="9"/>
      <c r="M71" s="9"/>
      <c r="N71" s="9"/>
    </row>
    <row r="72" spans="2:14" x14ac:dyDescent="0.3">
      <c r="B72" s="9">
        <v>49</v>
      </c>
      <c r="C72" s="9"/>
      <c r="D72" s="9"/>
      <c r="E72" s="12"/>
      <c r="F72" s="9"/>
      <c r="G72" s="9"/>
      <c r="H72" s="12"/>
      <c r="I72" s="9"/>
      <c r="J72" s="9"/>
      <c r="K72" s="9"/>
      <c r="L72" s="9"/>
      <c r="M72" s="9"/>
      <c r="N72" s="9"/>
    </row>
  </sheetData>
  <mergeCells count="4">
    <mergeCell ref="C22:E22"/>
    <mergeCell ref="F22:H22"/>
    <mergeCell ref="I22:K22"/>
    <mergeCell ref="L22:N22"/>
  </mergeCells>
  <phoneticPr fontId="7" type="noConversion"/>
  <pageMargins left="0.7" right="0.7" top="0.75" bottom="0.75" header="0.3" footer="0.3"/>
  <pageSetup paperSize="9" orientation="portrait" horizontalDpi="200" verticalDpi="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5CCC-FB82-4B03-BCD4-157324DFE222}">
  <dimension ref="B2:P113"/>
  <sheetViews>
    <sheetView zoomScale="120" zoomScaleNormal="120" workbookViewId="0">
      <selection activeCell="C22" sqref="C22"/>
    </sheetView>
  </sheetViews>
  <sheetFormatPr defaultColWidth="8.9296875" defaultRowHeight="14.25" x14ac:dyDescent="0.3"/>
  <cols>
    <col min="1" max="1" width="2.59765625" style="1" customWidth="1"/>
    <col min="2" max="2" width="27.33203125" style="1" customWidth="1"/>
    <col min="3" max="3" width="8.9296875" style="1"/>
    <col min="4" max="4" width="13" style="1" customWidth="1"/>
    <col min="5" max="5" width="8.9296875" style="1"/>
    <col min="6" max="6" width="12.9296875" style="1" customWidth="1"/>
    <col min="7" max="7" width="12.796875" style="1" customWidth="1"/>
    <col min="8" max="9" width="19.06640625" style="1" customWidth="1"/>
    <col min="10" max="10" width="11.19921875" style="1" customWidth="1"/>
    <col min="11" max="11" width="8.9296875" style="1"/>
    <col min="12" max="12" width="10.53125" style="1" customWidth="1"/>
    <col min="13" max="15" width="8.9296875" style="1"/>
    <col min="16" max="16" width="10.46484375" style="1" customWidth="1"/>
    <col min="17" max="16384" width="8.9296875" style="1"/>
  </cols>
  <sheetData>
    <row r="2" spans="2:14" ht="19.8" customHeight="1" x14ac:dyDescent="0.3">
      <c r="B2" s="24" t="s">
        <v>0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</v>
      </c>
      <c r="I2" s="29" t="s">
        <v>58</v>
      </c>
      <c r="J2" s="10"/>
      <c r="K2" s="32" t="s">
        <v>59</v>
      </c>
      <c r="M2" s="7" t="s">
        <v>74</v>
      </c>
      <c r="N2" s="7"/>
    </row>
    <row r="3" spans="2:14" ht="19.8" customHeight="1" x14ac:dyDescent="0.3">
      <c r="B3" s="24" t="s">
        <v>2</v>
      </c>
      <c r="C3" s="8">
        <v>122.37105621000001</v>
      </c>
      <c r="D3" s="8">
        <v>122.35744115999999</v>
      </c>
      <c r="E3" s="8">
        <v>122.37098039999999</v>
      </c>
      <c r="F3" s="9">
        <v>122.36723000000001</v>
      </c>
      <c r="G3" s="9"/>
      <c r="I3" s="29" t="s">
        <v>54</v>
      </c>
      <c r="J3" s="10"/>
      <c r="K3" s="30"/>
    </row>
    <row r="4" spans="2:14" ht="19.8" customHeight="1" x14ac:dyDescent="0.3">
      <c r="B4" s="24" t="s">
        <v>3</v>
      </c>
      <c r="C4" s="8">
        <v>43.448091210000001</v>
      </c>
      <c r="D4" s="8">
        <v>43.420032200000001</v>
      </c>
      <c r="E4" s="8">
        <v>43.419231000000003</v>
      </c>
      <c r="F4" s="9">
        <v>43.397680000000001</v>
      </c>
      <c r="G4" s="9"/>
      <c r="I4" s="10"/>
      <c r="J4" s="10"/>
      <c r="K4" s="10"/>
    </row>
    <row r="5" spans="2:14" ht="19.8" customHeight="1" x14ac:dyDescent="0.3">
      <c r="B5" s="24" t="s">
        <v>25</v>
      </c>
      <c r="C5" s="2">
        <f>20*20/10000</f>
        <v>0.04</v>
      </c>
      <c r="D5" s="2">
        <f>20*20/10000</f>
        <v>0.04</v>
      </c>
      <c r="E5" s="2">
        <f>20*20/10000</f>
        <v>0.04</v>
      </c>
      <c r="F5" s="2">
        <f>20*20/10000</f>
        <v>0.04</v>
      </c>
      <c r="G5" s="8"/>
      <c r="I5" s="10"/>
      <c r="J5" s="10"/>
      <c r="K5" s="10"/>
    </row>
    <row r="6" spans="2:14" ht="19.8" customHeight="1" x14ac:dyDescent="0.3">
      <c r="B6" s="24" t="s">
        <v>9</v>
      </c>
      <c r="C6" s="11">
        <f>C63</f>
        <v>5.8638888888888898</v>
      </c>
      <c r="D6" s="11">
        <f>F63</f>
        <v>7.2277777777777761</v>
      </c>
      <c r="E6" s="11">
        <f>I77</f>
        <v>5.5957446808510642</v>
      </c>
      <c r="F6" s="12">
        <f>M95</f>
        <v>4.223529411764706</v>
      </c>
      <c r="G6" s="13" t="s">
        <v>7</v>
      </c>
      <c r="I6" s="10"/>
      <c r="J6" s="10"/>
      <c r="K6" s="10"/>
    </row>
    <row r="7" spans="2:14" ht="19.8" customHeight="1" x14ac:dyDescent="0.3">
      <c r="B7" s="24" t="s">
        <v>5</v>
      </c>
      <c r="C7" s="11">
        <f>D63</f>
        <v>3.1749999999999998</v>
      </c>
      <c r="D7" s="11">
        <f>G63</f>
        <v>3.6999999999999997</v>
      </c>
      <c r="E7" s="11">
        <f>K77</f>
        <v>3.0340000000000003</v>
      </c>
      <c r="F7" s="12">
        <f>O95</f>
        <v>2.3536764705882356</v>
      </c>
      <c r="G7" s="13" t="s">
        <v>7</v>
      </c>
      <c r="I7" s="10"/>
      <c r="J7" s="10"/>
      <c r="K7" s="10"/>
    </row>
    <row r="8" spans="2:14" ht="19.8" customHeight="1" x14ac:dyDescent="0.3">
      <c r="B8" s="24" t="s">
        <v>6</v>
      </c>
      <c r="C8" s="14">
        <f>COUNT(C27:C62)</f>
        <v>36</v>
      </c>
      <c r="D8" s="14">
        <f>COUNT(F27:F62)</f>
        <v>36</v>
      </c>
      <c r="E8" s="14">
        <f>COUNT(I27:I76)</f>
        <v>47</v>
      </c>
      <c r="F8" s="14">
        <f>COUNT(M27:M94)</f>
        <v>34</v>
      </c>
      <c r="G8" s="13" t="s">
        <v>7</v>
      </c>
      <c r="I8" s="10"/>
      <c r="J8" s="10"/>
      <c r="K8" s="10"/>
    </row>
    <row r="9" spans="2:14" ht="26.45" customHeight="1" x14ac:dyDescent="0.3">
      <c r="B9" s="24" t="s">
        <v>55</v>
      </c>
      <c r="C9" s="18">
        <f>E63</f>
        <v>0.20602961524807323</v>
      </c>
      <c r="D9" s="18">
        <f>H63</f>
        <v>0.33162983444450317</v>
      </c>
      <c r="E9" s="18">
        <f>L77</f>
        <v>0.24133640435773468</v>
      </c>
      <c r="F9" s="18">
        <f>P95</f>
        <v>0.1969716359081691</v>
      </c>
      <c r="G9" s="13" t="s">
        <v>7</v>
      </c>
      <c r="I9" s="10"/>
      <c r="J9" s="10"/>
      <c r="K9" s="10"/>
    </row>
    <row r="10" spans="2:14" ht="26.45" customHeight="1" x14ac:dyDescent="0.3">
      <c r="B10" s="24" t="s">
        <v>56</v>
      </c>
      <c r="C10" s="15">
        <f>C9/C5</f>
        <v>5.1507403812018309</v>
      </c>
      <c r="D10" s="15">
        <f t="shared" ref="D10:F10" si="0">D9/D5</f>
        <v>8.2907458611125797</v>
      </c>
      <c r="E10" s="15">
        <f t="shared" si="0"/>
        <v>6.0334101089433672</v>
      </c>
      <c r="F10" s="15">
        <f t="shared" si="0"/>
        <v>4.9242908977042275</v>
      </c>
      <c r="G10" s="13" t="s">
        <v>7</v>
      </c>
      <c r="I10" s="10"/>
      <c r="J10" s="10"/>
      <c r="K10" s="10"/>
    </row>
    <row r="11" spans="2:14" ht="26.45" customHeight="1" x14ac:dyDescent="0.3">
      <c r="B11" s="24" t="s">
        <v>27</v>
      </c>
      <c r="C11" s="9">
        <v>1.1000000000000001</v>
      </c>
      <c r="D11" s="9">
        <v>1.1000000000000001</v>
      </c>
      <c r="E11" s="9">
        <v>1.1000000000000001</v>
      </c>
      <c r="F11" s="9">
        <v>1.1000000000000001</v>
      </c>
      <c r="G11" s="13" t="s">
        <v>7</v>
      </c>
      <c r="I11" s="10"/>
      <c r="J11" s="10"/>
      <c r="K11" s="10"/>
    </row>
    <row r="12" spans="2:14" x14ac:dyDescent="0.3">
      <c r="B12" s="24" t="s">
        <v>28</v>
      </c>
      <c r="C12" s="12">
        <v>0.3</v>
      </c>
      <c r="D12" s="12">
        <v>0.3</v>
      </c>
      <c r="E12" s="12">
        <v>0.3</v>
      </c>
      <c r="F12" s="12">
        <v>0.3</v>
      </c>
      <c r="G12" s="13" t="s">
        <v>7</v>
      </c>
      <c r="K12" s="10"/>
    </row>
    <row r="13" spans="2:14" x14ac:dyDescent="0.3">
      <c r="B13" s="24" t="s">
        <v>29</v>
      </c>
      <c r="C13" s="12">
        <v>0.2</v>
      </c>
      <c r="D13" s="12">
        <v>0.2</v>
      </c>
      <c r="E13" s="12">
        <v>0.2</v>
      </c>
      <c r="F13" s="12">
        <v>0.2</v>
      </c>
      <c r="G13" s="13" t="s">
        <v>7</v>
      </c>
      <c r="K13" s="10"/>
    </row>
    <row r="14" spans="2:14" x14ac:dyDescent="0.3">
      <c r="B14" s="24" t="s">
        <v>62</v>
      </c>
      <c r="C14" s="12">
        <f>C10*C11*C12*(1+C13)</f>
        <v>2.0396931909559251</v>
      </c>
      <c r="D14" s="12">
        <f t="shared" ref="D14:F14" si="1">D10*D11*D12*(1+D13)</f>
        <v>3.283135361000582</v>
      </c>
      <c r="E14" s="12">
        <f t="shared" si="1"/>
        <v>2.3892304031415734</v>
      </c>
      <c r="F14" s="12">
        <f t="shared" si="1"/>
        <v>1.9500191954908743</v>
      </c>
      <c r="G14" s="13" t="s">
        <v>7</v>
      </c>
      <c r="K14" s="10"/>
    </row>
    <row r="15" spans="2:14" x14ac:dyDescent="0.4">
      <c r="B15" s="96" t="s">
        <v>125</v>
      </c>
      <c r="C15" s="9">
        <v>0.5</v>
      </c>
      <c r="D15" s="9">
        <v>0.5</v>
      </c>
      <c r="E15" s="9">
        <v>0.5</v>
      </c>
      <c r="F15" s="9">
        <v>0.5</v>
      </c>
      <c r="G15" s="9"/>
      <c r="K15" s="10"/>
    </row>
    <row r="16" spans="2:14" x14ac:dyDescent="0.3">
      <c r="B16" s="88" t="s">
        <v>126</v>
      </c>
      <c r="C16" s="75">
        <f>C14*C15*44/12</f>
        <v>3.7394375167525293</v>
      </c>
      <c r="D16" s="75">
        <f>D14*D15*44/12</f>
        <v>6.0190814951677334</v>
      </c>
      <c r="E16" s="75">
        <f>E14*E15*44/12</f>
        <v>4.3802557390928847</v>
      </c>
      <c r="F16" s="75">
        <f>F14*F15*44/12</f>
        <v>3.5750351917332694</v>
      </c>
      <c r="G16" s="9"/>
      <c r="K16" s="10"/>
    </row>
    <row r="17" spans="2:16" x14ac:dyDescent="0.3">
      <c r="B17" s="21"/>
      <c r="C17" s="20"/>
      <c r="D17" s="20"/>
      <c r="E17" s="20"/>
      <c r="F17" s="20"/>
      <c r="G17" s="20"/>
      <c r="K17" s="10"/>
    </row>
    <row r="18" spans="2:16" x14ac:dyDescent="0.3">
      <c r="K18" s="10"/>
    </row>
    <row r="19" spans="2:16" ht="39.4" x14ac:dyDescent="0.45">
      <c r="B19" s="24"/>
      <c r="C19" s="8" t="s">
        <v>30</v>
      </c>
      <c r="D19" s="3"/>
      <c r="E19" s="2" t="s">
        <v>78</v>
      </c>
      <c r="F19" s="8" t="s">
        <v>77</v>
      </c>
      <c r="G19" s="56" t="s">
        <v>83</v>
      </c>
      <c r="H19" s="9" t="s">
        <v>94</v>
      </c>
    </row>
    <row r="20" spans="2:16" x14ac:dyDescent="0.3">
      <c r="B20" s="24"/>
      <c r="C20" s="8" t="s">
        <v>31</v>
      </c>
      <c r="D20" s="8" t="s">
        <v>31</v>
      </c>
      <c r="E20" s="9" t="s">
        <v>79</v>
      </c>
      <c r="F20" s="8" t="s">
        <v>31</v>
      </c>
      <c r="G20" s="8" t="s">
        <v>31</v>
      </c>
      <c r="H20" s="9" t="s">
        <v>91</v>
      </c>
    </row>
    <row r="21" spans="2:16" s="10" customFormat="1" x14ac:dyDescent="0.3">
      <c r="B21" s="24" t="s">
        <v>76</v>
      </c>
      <c r="C21" s="17">
        <f>AVERAGE(C14:F14)</f>
        <v>2.4155195376472385</v>
      </c>
      <c r="D21" s="17">
        <f>STDEVP(C14:F14)</f>
        <v>0.52711107627832898</v>
      </c>
      <c r="E21" s="54">
        <f>D21/SQRT(C22)*'CO2 certificates'!$D$4/C21</f>
        <v>0.17946875446662658</v>
      </c>
      <c r="F21" s="17">
        <f>IF(E21&lt;=20%,AVERAGE(C14:F14),(AVERAGE(C14:F14)*(1-(E21-20%))))</f>
        <v>2.4155195376472385</v>
      </c>
      <c r="G21" s="55">
        <f>C21*E21</f>
        <v>0.43351028281135162</v>
      </c>
      <c r="H21" s="75">
        <f>AVERAGE(C16:F16)</f>
        <v>4.4284524856866048</v>
      </c>
    </row>
    <row r="22" spans="2:16" ht="15" x14ac:dyDescent="0.3">
      <c r="B22" s="34" t="s">
        <v>63</v>
      </c>
      <c r="C22" s="17">
        <f>COUNT(C9:F9)</f>
        <v>4</v>
      </c>
      <c r="D22" s="17"/>
      <c r="E22" s="9"/>
      <c r="F22" s="17"/>
      <c r="G22" s="9"/>
      <c r="H22" s="9"/>
    </row>
    <row r="25" spans="2:16" x14ac:dyDescent="0.3">
      <c r="B25" s="19"/>
      <c r="C25" s="134" t="s">
        <v>60</v>
      </c>
      <c r="D25" s="135"/>
      <c r="E25" s="136"/>
      <c r="F25" s="134" t="s">
        <v>14</v>
      </c>
      <c r="G25" s="135"/>
      <c r="H25" s="136"/>
      <c r="I25" s="134" t="s">
        <v>15</v>
      </c>
      <c r="J25" s="135"/>
      <c r="K25" s="135"/>
      <c r="L25" s="136"/>
      <c r="M25" s="134" t="s">
        <v>61</v>
      </c>
      <c r="N25" s="135"/>
      <c r="O25" s="135"/>
      <c r="P25" s="136"/>
    </row>
    <row r="26" spans="2:16" ht="42.75" x14ac:dyDescent="0.3">
      <c r="B26" s="9" t="s">
        <v>43</v>
      </c>
      <c r="C26" s="9" t="s">
        <v>40</v>
      </c>
      <c r="D26" s="9" t="s">
        <v>41</v>
      </c>
      <c r="E26" s="2" t="s">
        <v>57</v>
      </c>
      <c r="F26" s="9" t="s">
        <v>40</v>
      </c>
      <c r="G26" s="9" t="s">
        <v>41</v>
      </c>
      <c r="H26" s="2" t="s">
        <v>57</v>
      </c>
      <c r="I26" s="9" t="s">
        <v>40</v>
      </c>
      <c r="J26" s="52" t="s">
        <v>75</v>
      </c>
      <c r="K26" s="9" t="s">
        <v>41</v>
      </c>
      <c r="L26" s="2" t="s">
        <v>57</v>
      </c>
      <c r="M26" s="9" t="s">
        <v>40</v>
      </c>
      <c r="N26" s="52" t="s">
        <v>75</v>
      </c>
      <c r="O26" s="9" t="s">
        <v>41</v>
      </c>
      <c r="P26" s="2" t="s">
        <v>57</v>
      </c>
    </row>
    <row r="27" spans="2:16" x14ac:dyDescent="0.3">
      <c r="B27" s="9">
        <v>1</v>
      </c>
      <c r="C27" s="9">
        <v>6.7</v>
      </c>
      <c r="D27" s="9">
        <v>3.6</v>
      </c>
      <c r="E27" s="31">
        <f t="shared" ref="E27:E62" si="2">0.00006938*C27^1.763*D27^1.037</f>
        <v>7.4901388045600457E-3</v>
      </c>
      <c r="F27" s="9">
        <v>7.5</v>
      </c>
      <c r="G27" s="9">
        <v>4.0999999999999996</v>
      </c>
      <c r="H27" s="31">
        <f>0.00006938*F27^1.763*G27^1.037</f>
        <v>1.0457410642914116E-2</v>
      </c>
      <c r="I27" s="9">
        <v>5.3</v>
      </c>
      <c r="J27" s="9"/>
      <c r="K27" s="9">
        <v>3.4</v>
      </c>
      <c r="L27" s="31">
        <f>0.00006938*I27^1.763*K27^1.037</f>
        <v>4.6695635533914454E-3</v>
      </c>
      <c r="M27" s="9">
        <v>5.2</v>
      </c>
      <c r="N27" s="9"/>
      <c r="O27" s="9">
        <v>2.2000000000000002</v>
      </c>
      <c r="P27" s="31">
        <f>0.00006938*M27^1.763*O27^1.037</f>
        <v>2.8750176178195374E-3</v>
      </c>
    </row>
    <row r="28" spans="2:16" x14ac:dyDescent="0.3">
      <c r="B28" s="9">
        <v>2</v>
      </c>
      <c r="C28" s="9">
        <v>7.1</v>
      </c>
      <c r="D28" s="9">
        <v>3.7</v>
      </c>
      <c r="E28" s="31">
        <f t="shared" si="2"/>
        <v>8.5354800608679719E-3</v>
      </c>
      <c r="F28" s="9">
        <v>7.2</v>
      </c>
      <c r="G28" s="9">
        <v>3</v>
      </c>
      <c r="H28" s="31">
        <f t="shared" ref="H28:H62" si="3">0.00006938*F28^1.763*G28^1.037</f>
        <v>7.0385990710984695E-3</v>
      </c>
      <c r="I28" s="9">
        <v>5.4</v>
      </c>
      <c r="J28" s="9"/>
      <c r="K28" s="9">
        <v>3.2</v>
      </c>
      <c r="L28" s="31">
        <f>0.00006938*I28^1.763*K28^1.037</f>
        <v>4.5319490801231689E-3</v>
      </c>
      <c r="M28" s="9"/>
      <c r="N28" s="9">
        <v>6.5</v>
      </c>
      <c r="O28" s="9">
        <v>1.9</v>
      </c>
      <c r="P28" s="53">
        <f>0.00001235*N28^3.017</f>
        <v>3.5012776747308299E-3</v>
      </c>
    </row>
    <row r="29" spans="2:16" x14ac:dyDescent="0.3">
      <c r="B29" s="9">
        <v>3</v>
      </c>
      <c r="C29" s="9">
        <v>8</v>
      </c>
      <c r="D29" s="9">
        <v>3.6</v>
      </c>
      <c r="E29" s="31">
        <f t="shared" si="2"/>
        <v>1.023923795397646E-2</v>
      </c>
      <c r="F29" s="9">
        <v>5.2</v>
      </c>
      <c r="G29" s="9">
        <v>3</v>
      </c>
      <c r="H29" s="31">
        <f t="shared" si="3"/>
        <v>3.9657280714952654E-3</v>
      </c>
      <c r="I29" s="9"/>
      <c r="J29" s="9">
        <v>6</v>
      </c>
      <c r="K29" s="9">
        <v>2.1</v>
      </c>
      <c r="L29" s="53">
        <f>0.00001235*J29^3.017</f>
        <v>2.750105027460174E-3</v>
      </c>
      <c r="M29" s="9">
        <v>4.3</v>
      </c>
      <c r="N29" s="9"/>
      <c r="O29" s="9">
        <v>2.4</v>
      </c>
      <c r="P29" s="31">
        <f t="shared" ref="P29:P91" si="4">0.00006938*M29^1.763*O29^1.037</f>
        <v>2.2507032618795182E-3</v>
      </c>
    </row>
    <row r="30" spans="2:16" x14ac:dyDescent="0.3">
      <c r="B30" s="9">
        <v>4</v>
      </c>
      <c r="C30" s="9">
        <v>3.8</v>
      </c>
      <c r="D30" s="9">
        <v>2.2999999999999998</v>
      </c>
      <c r="E30" s="31">
        <f t="shared" si="2"/>
        <v>1.7318271438583571E-3</v>
      </c>
      <c r="F30" s="9">
        <v>8.5</v>
      </c>
      <c r="G30" s="9">
        <v>4.3</v>
      </c>
      <c r="H30" s="31">
        <f t="shared" si="3"/>
        <v>1.3699560983803628E-2</v>
      </c>
      <c r="I30" s="9">
        <v>6</v>
      </c>
      <c r="J30" s="9"/>
      <c r="K30" s="9">
        <v>3.4</v>
      </c>
      <c r="L30" s="31">
        <f t="shared" ref="L30:L49" si="5">0.00006938*I30^1.763*K30^1.037</f>
        <v>5.8111031828200722E-3</v>
      </c>
      <c r="M30" s="9">
        <v>3.9</v>
      </c>
      <c r="N30" s="9"/>
      <c r="O30" s="9">
        <v>2.7</v>
      </c>
      <c r="P30" s="31">
        <f t="shared" si="4"/>
        <v>2.1409445589697026E-3</v>
      </c>
    </row>
    <row r="31" spans="2:16" x14ac:dyDescent="0.3">
      <c r="B31" s="9">
        <v>5</v>
      </c>
      <c r="C31" s="9">
        <v>5</v>
      </c>
      <c r="D31" s="9">
        <v>2.8</v>
      </c>
      <c r="E31" s="31">
        <f t="shared" si="2"/>
        <v>3.445254365219023E-3</v>
      </c>
      <c r="F31" s="9">
        <v>7.5</v>
      </c>
      <c r="G31" s="9">
        <v>4.3</v>
      </c>
      <c r="H31" s="31">
        <f t="shared" si="3"/>
        <v>1.0986872667957578E-2</v>
      </c>
      <c r="I31" s="9">
        <v>5.0999999999999996</v>
      </c>
      <c r="J31" s="9"/>
      <c r="K31" s="9">
        <v>3.1</v>
      </c>
      <c r="L31" s="31">
        <f t="shared" si="5"/>
        <v>3.9648119390915011E-3</v>
      </c>
      <c r="M31" s="9"/>
      <c r="N31" s="9">
        <v>6.8</v>
      </c>
      <c r="O31" s="9">
        <v>2</v>
      </c>
      <c r="P31" s="53">
        <f>0.00001235*N31^3.017</f>
        <v>4.0118653392610584E-3</v>
      </c>
    </row>
    <row r="32" spans="2:16" x14ac:dyDescent="0.3">
      <c r="B32" s="9">
        <v>6</v>
      </c>
      <c r="C32" s="9">
        <v>4.0999999999999996</v>
      </c>
      <c r="D32" s="9">
        <v>2.4</v>
      </c>
      <c r="E32" s="31">
        <f t="shared" si="2"/>
        <v>2.0694326298485873E-3</v>
      </c>
      <c r="F32" s="9">
        <v>8</v>
      </c>
      <c r="G32" s="9">
        <v>4</v>
      </c>
      <c r="H32" s="31">
        <f t="shared" si="3"/>
        <v>1.1421368755253148E-2</v>
      </c>
      <c r="I32" s="9">
        <v>6.2</v>
      </c>
      <c r="J32" s="9"/>
      <c r="K32" s="9">
        <v>3.3</v>
      </c>
      <c r="L32" s="31">
        <f t="shared" si="5"/>
        <v>5.9692504350356357E-3</v>
      </c>
      <c r="M32" s="9"/>
      <c r="N32" s="9">
        <v>6.5</v>
      </c>
      <c r="O32" s="9">
        <v>1.9</v>
      </c>
      <c r="P32" s="53">
        <f t="shared" ref="P32:P33" si="6">0.00001235*N32^3.017</f>
        <v>3.5012776747308299E-3</v>
      </c>
    </row>
    <row r="33" spans="2:16" x14ac:dyDescent="0.3">
      <c r="B33" s="9">
        <v>7</v>
      </c>
      <c r="C33" s="9">
        <v>6.7</v>
      </c>
      <c r="D33" s="9">
        <v>3.3</v>
      </c>
      <c r="E33" s="31">
        <f t="shared" si="2"/>
        <v>6.8438916971111426E-3</v>
      </c>
      <c r="F33" s="9">
        <v>5.4</v>
      </c>
      <c r="G33" s="9">
        <v>2.9</v>
      </c>
      <c r="H33" s="31">
        <f t="shared" si="3"/>
        <v>4.092146921296249E-3</v>
      </c>
      <c r="I33" s="9">
        <v>3.7</v>
      </c>
      <c r="J33" s="9"/>
      <c r="K33" s="9">
        <v>2.2999999999999998</v>
      </c>
      <c r="L33" s="31">
        <f t="shared" si="5"/>
        <v>1.652287818317136E-3</v>
      </c>
      <c r="M33" s="9"/>
      <c r="N33" s="9">
        <v>6.9</v>
      </c>
      <c r="O33" s="9">
        <v>2.1</v>
      </c>
      <c r="P33" s="53">
        <f t="shared" si="6"/>
        <v>4.1925153788876061E-3</v>
      </c>
    </row>
    <row r="34" spans="2:16" x14ac:dyDescent="0.3">
      <c r="B34" s="9">
        <v>8</v>
      </c>
      <c r="C34" s="9">
        <v>6.8</v>
      </c>
      <c r="D34" s="9">
        <v>3.8</v>
      </c>
      <c r="E34" s="31">
        <f t="shared" si="2"/>
        <v>8.1317327728168826E-3</v>
      </c>
      <c r="F34" s="9">
        <v>7</v>
      </c>
      <c r="G34" s="9">
        <v>3.8</v>
      </c>
      <c r="H34" s="31">
        <f t="shared" si="3"/>
        <v>8.5581073483809687E-3</v>
      </c>
      <c r="I34" s="9">
        <v>5</v>
      </c>
      <c r="J34" s="9"/>
      <c r="K34" s="9">
        <v>2.9</v>
      </c>
      <c r="L34" s="31">
        <f t="shared" si="5"/>
        <v>3.5729351770805891E-3</v>
      </c>
      <c r="M34" s="9">
        <v>5.6</v>
      </c>
      <c r="N34" s="9"/>
      <c r="O34" s="9">
        <v>3</v>
      </c>
      <c r="P34" s="31">
        <f t="shared" si="4"/>
        <v>4.5192308693910695E-3</v>
      </c>
    </row>
    <row r="35" spans="2:16" x14ac:dyDescent="0.3">
      <c r="B35" s="9">
        <v>9</v>
      </c>
      <c r="C35" s="9">
        <v>4.5</v>
      </c>
      <c r="D35" s="9">
        <v>2.9</v>
      </c>
      <c r="E35" s="31">
        <f t="shared" si="2"/>
        <v>2.9672537072331574E-3</v>
      </c>
      <c r="F35" s="9">
        <v>4.8</v>
      </c>
      <c r="G35" s="9">
        <v>4</v>
      </c>
      <c r="H35" s="31">
        <f t="shared" si="3"/>
        <v>4.6408636404376528E-3</v>
      </c>
      <c r="I35" s="9">
        <v>5.6</v>
      </c>
      <c r="J35" s="9"/>
      <c r="K35" s="9">
        <v>3.4</v>
      </c>
      <c r="L35" s="31">
        <f t="shared" si="5"/>
        <v>5.1455692109144838E-3</v>
      </c>
      <c r="M35" s="9"/>
      <c r="N35" s="9">
        <v>6.3</v>
      </c>
      <c r="O35" s="9">
        <v>1.8</v>
      </c>
      <c r="P35" s="53">
        <f>0.00001235*N35^3.017</f>
        <v>3.1862320020202652E-3</v>
      </c>
    </row>
    <row r="36" spans="2:16" x14ac:dyDescent="0.3">
      <c r="B36" s="9">
        <v>10</v>
      </c>
      <c r="C36" s="9">
        <v>6.6</v>
      </c>
      <c r="D36" s="9">
        <v>2.9</v>
      </c>
      <c r="E36" s="31">
        <f t="shared" si="2"/>
        <v>5.8290392234804696E-3</v>
      </c>
      <c r="F36" s="9">
        <v>8</v>
      </c>
      <c r="G36" s="9">
        <v>4</v>
      </c>
      <c r="H36" s="31">
        <f t="shared" si="3"/>
        <v>1.1421368755253148E-2</v>
      </c>
      <c r="I36" s="9">
        <v>6.3</v>
      </c>
      <c r="J36" s="9"/>
      <c r="K36" s="9">
        <v>3.4</v>
      </c>
      <c r="L36" s="31">
        <f t="shared" si="5"/>
        <v>6.3330850609756234E-3</v>
      </c>
      <c r="M36" s="9">
        <v>3.8</v>
      </c>
      <c r="N36" s="9"/>
      <c r="O36" s="9">
        <v>2.6</v>
      </c>
      <c r="P36" s="31">
        <f t="shared" si="4"/>
        <v>1.9666185811895161E-3</v>
      </c>
    </row>
    <row r="37" spans="2:16" x14ac:dyDescent="0.3">
      <c r="B37" s="9">
        <v>11</v>
      </c>
      <c r="C37" s="9">
        <v>7.2</v>
      </c>
      <c r="D37" s="9">
        <v>3.1</v>
      </c>
      <c r="E37" s="31">
        <f t="shared" si="2"/>
        <v>7.2820484349225747E-3</v>
      </c>
      <c r="F37" s="9">
        <v>5.5</v>
      </c>
      <c r="G37" s="9">
        <v>3.2</v>
      </c>
      <c r="H37" s="31">
        <f t="shared" si="3"/>
        <v>4.680952612727887E-3</v>
      </c>
      <c r="I37" s="9">
        <v>4.9000000000000004</v>
      </c>
      <c r="J37" s="9"/>
      <c r="K37" s="9">
        <v>3.2</v>
      </c>
      <c r="L37" s="31">
        <f t="shared" si="5"/>
        <v>3.8184799284977059E-3</v>
      </c>
      <c r="M37" s="9"/>
      <c r="N37" s="9">
        <v>6.5</v>
      </c>
      <c r="O37" s="9">
        <v>2.25</v>
      </c>
      <c r="P37" s="53">
        <f>0.00001235*N37^3.017</f>
        <v>3.5012776747308299E-3</v>
      </c>
    </row>
    <row r="38" spans="2:16" x14ac:dyDescent="0.3">
      <c r="B38" s="9">
        <v>12</v>
      </c>
      <c r="C38" s="9">
        <v>6.3</v>
      </c>
      <c r="D38" s="9">
        <v>3.5</v>
      </c>
      <c r="E38" s="31">
        <f t="shared" si="2"/>
        <v>6.5263482784051656E-3</v>
      </c>
      <c r="F38" s="9">
        <v>6.8</v>
      </c>
      <c r="G38" s="9">
        <v>4</v>
      </c>
      <c r="H38" s="31">
        <f t="shared" si="3"/>
        <v>8.5759792117096074E-3</v>
      </c>
      <c r="I38" s="9">
        <v>6.4</v>
      </c>
      <c r="J38" s="9"/>
      <c r="K38" s="9">
        <v>3.2</v>
      </c>
      <c r="L38" s="31">
        <f t="shared" si="5"/>
        <v>6.1146290765941008E-3</v>
      </c>
      <c r="M38" s="9">
        <v>4.2</v>
      </c>
      <c r="N38" s="9"/>
      <c r="O38" s="9">
        <v>2.7</v>
      </c>
      <c r="P38" s="31">
        <f t="shared" si="4"/>
        <v>2.4397595009338709E-3</v>
      </c>
    </row>
    <row r="39" spans="2:16" x14ac:dyDescent="0.3">
      <c r="B39" s="9">
        <v>13</v>
      </c>
      <c r="C39" s="9">
        <v>5.4</v>
      </c>
      <c r="D39" s="9">
        <v>3</v>
      </c>
      <c r="E39" s="31">
        <f t="shared" si="2"/>
        <v>4.2385687828779776E-3</v>
      </c>
      <c r="F39" s="9">
        <v>8.9</v>
      </c>
      <c r="G39" s="9">
        <v>3.4</v>
      </c>
      <c r="H39" s="31">
        <f t="shared" si="3"/>
        <v>1.1645349153828819E-2</v>
      </c>
      <c r="I39" s="9">
        <v>6</v>
      </c>
      <c r="J39" s="9"/>
      <c r="K39" s="9">
        <v>3.6</v>
      </c>
      <c r="L39" s="31">
        <f t="shared" si="5"/>
        <v>6.1659591509324136E-3</v>
      </c>
      <c r="M39" s="9">
        <v>3.8</v>
      </c>
      <c r="N39" s="9"/>
      <c r="O39" s="9">
        <v>3</v>
      </c>
      <c r="P39" s="31">
        <f t="shared" si="4"/>
        <v>2.2812218226502239E-3</v>
      </c>
    </row>
    <row r="40" spans="2:16" x14ac:dyDescent="0.3">
      <c r="B40" s="9">
        <v>14</v>
      </c>
      <c r="C40" s="9">
        <v>6.5</v>
      </c>
      <c r="D40" s="9">
        <v>3.2</v>
      </c>
      <c r="E40" s="31">
        <f t="shared" si="2"/>
        <v>6.2840708198982249E-3</v>
      </c>
      <c r="F40" s="9">
        <v>8.5</v>
      </c>
      <c r="G40" s="9">
        <v>4</v>
      </c>
      <c r="H40" s="31">
        <f t="shared" si="3"/>
        <v>1.2709722621046207E-2</v>
      </c>
      <c r="I40" s="9">
        <v>6.8</v>
      </c>
      <c r="J40" s="9"/>
      <c r="K40" s="9">
        <v>3.1</v>
      </c>
      <c r="L40" s="31">
        <f t="shared" si="5"/>
        <v>6.5839964056501549E-3</v>
      </c>
      <c r="M40" s="9">
        <v>6.5</v>
      </c>
      <c r="N40" s="9"/>
      <c r="O40" s="9">
        <v>3.2</v>
      </c>
      <c r="P40" s="31">
        <f t="shared" si="4"/>
        <v>6.2840708198982249E-3</v>
      </c>
    </row>
    <row r="41" spans="2:16" x14ac:dyDescent="0.3">
      <c r="B41" s="9">
        <v>15</v>
      </c>
      <c r="C41" s="9">
        <v>6.6</v>
      </c>
      <c r="D41" s="9">
        <v>3.5</v>
      </c>
      <c r="E41" s="31">
        <f t="shared" si="2"/>
        <v>7.0841674125726494E-3</v>
      </c>
      <c r="F41" s="9">
        <v>7.1</v>
      </c>
      <c r="G41" s="9">
        <v>3.4</v>
      </c>
      <c r="H41" s="31">
        <f t="shared" si="3"/>
        <v>7.818913368184903E-3</v>
      </c>
      <c r="I41" s="9">
        <v>5.9</v>
      </c>
      <c r="J41" s="9"/>
      <c r="K41" s="9">
        <v>3.2</v>
      </c>
      <c r="L41" s="31">
        <f t="shared" si="5"/>
        <v>5.2976946116071073E-3</v>
      </c>
      <c r="M41" s="9">
        <v>4.5</v>
      </c>
      <c r="N41" s="9"/>
      <c r="O41" s="9">
        <v>2.7</v>
      </c>
      <c r="P41" s="31">
        <f t="shared" si="4"/>
        <v>2.7553208634565492E-3</v>
      </c>
    </row>
    <row r="42" spans="2:16" x14ac:dyDescent="0.3">
      <c r="B42" s="9">
        <v>16</v>
      </c>
      <c r="C42" s="9">
        <v>3.1</v>
      </c>
      <c r="D42" s="9">
        <v>2.7</v>
      </c>
      <c r="E42" s="31">
        <f t="shared" si="2"/>
        <v>1.4283320626147311E-3</v>
      </c>
      <c r="F42" s="9">
        <v>5.3</v>
      </c>
      <c r="G42" s="9">
        <v>3</v>
      </c>
      <c r="H42" s="31">
        <f t="shared" si="3"/>
        <v>4.101166438944784E-3</v>
      </c>
      <c r="I42" s="9">
        <v>6.1</v>
      </c>
      <c r="J42" s="9"/>
      <c r="K42" s="9">
        <v>2.9</v>
      </c>
      <c r="L42" s="31">
        <f t="shared" si="5"/>
        <v>5.0731478386328984E-3</v>
      </c>
      <c r="M42" s="9">
        <v>3.1</v>
      </c>
      <c r="N42" s="9"/>
      <c r="O42" s="9">
        <v>2.9</v>
      </c>
      <c r="P42" s="31">
        <f t="shared" si="4"/>
        <v>1.5381960279706563E-3</v>
      </c>
    </row>
    <row r="43" spans="2:16" x14ac:dyDescent="0.3">
      <c r="B43" s="9">
        <v>17</v>
      </c>
      <c r="C43" s="9">
        <v>6</v>
      </c>
      <c r="D43" s="9">
        <v>2.9</v>
      </c>
      <c r="E43" s="31">
        <f t="shared" si="2"/>
        <v>4.9274437333216318E-3</v>
      </c>
      <c r="F43" s="9">
        <v>5.6</v>
      </c>
      <c r="G43" s="9">
        <v>3.3</v>
      </c>
      <c r="H43" s="31">
        <f t="shared" si="3"/>
        <v>4.9887155617905424E-3</v>
      </c>
      <c r="I43" s="9">
        <v>4.7</v>
      </c>
      <c r="J43" s="9"/>
      <c r="K43" s="9">
        <v>2.7</v>
      </c>
      <c r="L43" s="31">
        <f t="shared" si="5"/>
        <v>2.974863495375386E-3</v>
      </c>
      <c r="M43" s="9">
        <v>6.1</v>
      </c>
      <c r="N43" s="9"/>
      <c r="O43" s="9">
        <v>3.2</v>
      </c>
      <c r="P43" s="31">
        <f t="shared" si="4"/>
        <v>5.6183827518437148E-3</v>
      </c>
    </row>
    <row r="44" spans="2:16" x14ac:dyDescent="0.3">
      <c r="B44" s="9">
        <v>18</v>
      </c>
      <c r="C44" s="9">
        <v>4.2</v>
      </c>
      <c r="D44" s="9">
        <v>2.7</v>
      </c>
      <c r="E44" s="31">
        <f t="shared" si="2"/>
        <v>2.4397595009338709E-3</v>
      </c>
      <c r="F44" s="9">
        <v>6.4</v>
      </c>
      <c r="G44" s="9">
        <v>3.3</v>
      </c>
      <c r="H44" s="31">
        <f t="shared" si="3"/>
        <v>6.3128947000034288E-3</v>
      </c>
      <c r="I44" s="9">
        <v>6.1</v>
      </c>
      <c r="J44" s="9"/>
      <c r="K44" s="9">
        <v>3.2</v>
      </c>
      <c r="L44" s="31">
        <f t="shared" si="5"/>
        <v>5.6183827518437148E-3</v>
      </c>
      <c r="M44" s="9"/>
      <c r="N44" s="9">
        <v>6</v>
      </c>
      <c r="O44" s="9">
        <v>1.8</v>
      </c>
      <c r="P44" s="53">
        <f>0.00001235*N44^3.017</f>
        <v>2.750105027460174E-3</v>
      </c>
    </row>
    <row r="45" spans="2:16" x14ac:dyDescent="0.3">
      <c r="B45" s="9">
        <v>19</v>
      </c>
      <c r="C45" s="9">
        <v>6.4</v>
      </c>
      <c r="D45" s="9">
        <v>3.2</v>
      </c>
      <c r="E45" s="31">
        <f t="shared" si="2"/>
        <v>6.1146290765941008E-3</v>
      </c>
      <c r="F45" s="9">
        <v>8.1</v>
      </c>
      <c r="G45" s="9">
        <v>5</v>
      </c>
      <c r="H45" s="31">
        <f t="shared" si="3"/>
        <v>1.4713814560369978E-2</v>
      </c>
      <c r="I45" s="9">
        <v>5.5</v>
      </c>
      <c r="J45" s="9"/>
      <c r="K45" s="9">
        <v>3.3</v>
      </c>
      <c r="L45" s="31">
        <f t="shared" si="5"/>
        <v>4.8327315638771141E-3</v>
      </c>
      <c r="M45" s="9"/>
      <c r="N45" s="9">
        <v>6.9</v>
      </c>
      <c r="O45" s="9">
        <v>2.2999999999999998</v>
      </c>
      <c r="P45" s="53">
        <f t="shared" ref="P45:P46" si="7">0.00001235*N45^3.017</f>
        <v>4.1925153788876061E-3</v>
      </c>
    </row>
    <row r="46" spans="2:16" x14ac:dyDescent="0.3">
      <c r="B46" s="9">
        <v>20</v>
      </c>
      <c r="C46" s="9">
        <v>1.5</v>
      </c>
      <c r="D46" s="9">
        <v>1.5</v>
      </c>
      <c r="E46" s="31">
        <f t="shared" si="2"/>
        <v>2.1591848328278264E-4</v>
      </c>
      <c r="F46" s="9">
        <v>8.5</v>
      </c>
      <c r="G46" s="9">
        <v>4.2</v>
      </c>
      <c r="H46" s="31">
        <f t="shared" si="3"/>
        <v>1.3369321762646264E-2</v>
      </c>
      <c r="I46" s="9">
        <v>6</v>
      </c>
      <c r="J46" s="9"/>
      <c r="K46" s="9">
        <v>3.3</v>
      </c>
      <c r="L46" s="31">
        <f t="shared" si="5"/>
        <v>5.633961898289748E-3</v>
      </c>
      <c r="M46" s="9"/>
      <c r="N46" s="9">
        <v>6.1</v>
      </c>
      <c r="O46" s="9">
        <v>2.1</v>
      </c>
      <c r="P46" s="53">
        <f t="shared" si="7"/>
        <v>2.8907269397488869E-3</v>
      </c>
    </row>
    <row r="47" spans="2:16" x14ac:dyDescent="0.3">
      <c r="B47" s="9">
        <v>21</v>
      </c>
      <c r="C47" s="9">
        <v>5.3</v>
      </c>
      <c r="D47" s="9">
        <v>3</v>
      </c>
      <c r="E47" s="31">
        <f t="shared" si="2"/>
        <v>4.101166438944784E-3</v>
      </c>
      <c r="F47" s="9">
        <v>7.1</v>
      </c>
      <c r="G47" s="9">
        <v>3.8</v>
      </c>
      <c r="H47" s="31">
        <f t="shared" si="3"/>
        <v>8.7748227791194303E-3</v>
      </c>
      <c r="I47" s="9">
        <v>4.7</v>
      </c>
      <c r="J47" s="9"/>
      <c r="K47" s="9">
        <v>2.5</v>
      </c>
      <c r="L47" s="31">
        <f t="shared" si="5"/>
        <v>2.7466707842692356E-3</v>
      </c>
      <c r="M47" s="9">
        <v>5.5</v>
      </c>
      <c r="N47" s="9"/>
      <c r="O47" s="9">
        <v>3.5</v>
      </c>
      <c r="P47" s="31">
        <f t="shared" si="4"/>
        <v>5.1367955310260395E-3</v>
      </c>
    </row>
    <row r="48" spans="2:16" x14ac:dyDescent="0.3">
      <c r="B48" s="9">
        <v>22</v>
      </c>
      <c r="C48" s="9">
        <v>5.0999999999999996</v>
      </c>
      <c r="D48" s="9">
        <v>3</v>
      </c>
      <c r="E48" s="31">
        <f t="shared" si="2"/>
        <v>3.8322625674579538E-3</v>
      </c>
      <c r="F48" s="9">
        <v>6.6</v>
      </c>
      <c r="G48" s="9">
        <v>3.5</v>
      </c>
      <c r="H48" s="31">
        <f t="shared" si="3"/>
        <v>7.0841674125726494E-3</v>
      </c>
      <c r="I48" s="9">
        <v>8.8000000000000007</v>
      </c>
      <c r="J48" s="9"/>
      <c r="K48" s="9">
        <v>4</v>
      </c>
      <c r="L48" s="31">
        <f t="shared" si="5"/>
        <v>1.3511185528104602E-2</v>
      </c>
      <c r="M48" s="9">
        <v>3.2</v>
      </c>
      <c r="N48" s="9"/>
      <c r="O48" s="9">
        <v>2.1</v>
      </c>
      <c r="P48" s="31">
        <f t="shared" si="4"/>
        <v>1.1640057238932813E-3</v>
      </c>
    </row>
    <row r="49" spans="2:16" x14ac:dyDescent="0.3">
      <c r="B49" s="9">
        <v>23</v>
      </c>
      <c r="C49" s="9">
        <v>8.1999999999999993</v>
      </c>
      <c r="D49" s="9">
        <v>3.6</v>
      </c>
      <c r="E49" s="31">
        <f t="shared" si="2"/>
        <v>1.0694828151421597E-2</v>
      </c>
      <c r="F49" s="9">
        <v>9.1999999999999993</v>
      </c>
      <c r="G49" s="9">
        <v>3.7</v>
      </c>
      <c r="H49" s="31">
        <f t="shared" si="3"/>
        <v>1.3477750826452516E-2</v>
      </c>
      <c r="I49" s="9">
        <v>3.4</v>
      </c>
      <c r="J49" s="9"/>
      <c r="K49" s="9">
        <v>2.7</v>
      </c>
      <c r="L49" s="31">
        <f t="shared" si="5"/>
        <v>1.6809540802365612E-3</v>
      </c>
      <c r="M49" s="9"/>
      <c r="N49" s="9">
        <v>6.8</v>
      </c>
      <c r="O49" s="9">
        <v>2.2999999999999998</v>
      </c>
      <c r="P49" s="53">
        <f>0.00001235*N49^3.017</f>
        <v>4.0118653392610584E-3</v>
      </c>
    </row>
    <row r="50" spans="2:16" x14ac:dyDescent="0.3">
      <c r="B50" s="9">
        <v>24</v>
      </c>
      <c r="C50" s="9">
        <v>6.9</v>
      </c>
      <c r="D50" s="9">
        <v>3.7</v>
      </c>
      <c r="E50" s="31">
        <f t="shared" si="2"/>
        <v>8.1161568288466452E-3</v>
      </c>
      <c r="F50" s="9">
        <v>9.1</v>
      </c>
      <c r="G50" s="9">
        <v>4.3</v>
      </c>
      <c r="H50" s="31">
        <f t="shared" si="3"/>
        <v>1.5450091600166875E-2</v>
      </c>
      <c r="I50" s="9"/>
      <c r="J50" s="9">
        <v>6.2</v>
      </c>
      <c r="K50" s="9">
        <v>2.2999999999999998</v>
      </c>
      <c r="L50" s="53">
        <f>0.00001235*J50^3.017</f>
        <v>3.0360763219810785E-3</v>
      </c>
      <c r="M50" s="9">
        <v>5.4</v>
      </c>
      <c r="N50" s="9"/>
      <c r="O50" s="9">
        <v>2.5</v>
      </c>
      <c r="P50" s="31">
        <f t="shared" si="4"/>
        <v>3.5083933816278273E-3</v>
      </c>
    </row>
    <row r="51" spans="2:16" x14ac:dyDescent="0.3">
      <c r="B51" s="9">
        <v>25</v>
      </c>
      <c r="C51" s="9">
        <v>7.9</v>
      </c>
      <c r="D51" s="9">
        <v>3.7</v>
      </c>
      <c r="E51" s="31">
        <f t="shared" si="2"/>
        <v>1.0303292882646036E-2</v>
      </c>
      <c r="F51" s="9">
        <v>5.6</v>
      </c>
      <c r="G51" s="9">
        <v>2.6</v>
      </c>
      <c r="H51" s="31">
        <f t="shared" si="3"/>
        <v>3.8959838592568337E-3</v>
      </c>
      <c r="I51" s="9">
        <v>4.3</v>
      </c>
      <c r="J51" s="9"/>
      <c r="K51" s="9">
        <v>2.7</v>
      </c>
      <c r="L51" s="31">
        <f t="shared" ref="L51:L69" si="8">0.00006938*I51^1.763*K51^1.037</f>
        <v>2.5430998140740821E-3</v>
      </c>
      <c r="M51" s="9">
        <v>4</v>
      </c>
      <c r="N51" s="9"/>
      <c r="O51" s="9">
        <v>2.5</v>
      </c>
      <c r="P51" s="31">
        <f t="shared" si="4"/>
        <v>2.0669494200286007E-3</v>
      </c>
    </row>
    <row r="52" spans="2:16" x14ac:dyDescent="0.3">
      <c r="B52" s="9">
        <v>26</v>
      </c>
      <c r="C52" s="9">
        <v>4</v>
      </c>
      <c r="D52" s="9">
        <v>3.5</v>
      </c>
      <c r="E52" s="31">
        <f t="shared" si="2"/>
        <v>2.9299797728574639E-3</v>
      </c>
      <c r="F52" s="9">
        <v>6</v>
      </c>
      <c r="G52" s="9">
        <v>3.4</v>
      </c>
      <c r="H52" s="31">
        <f t="shared" si="3"/>
        <v>5.8111031828200722E-3</v>
      </c>
      <c r="I52" s="9">
        <v>5.4</v>
      </c>
      <c r="J52" s="9"/>
      <c r="K52" s="9">
        <v>3</v>
      </c>
      <c r="L52" s="31">
        <f t="shared" si="8"/>
        <v>4.2385687828779776E-3</v>
      </c>
      <c r="M52" s="9"/>
      <c r="N52" s="9">
        <v>5.8</v>
      </c>
      <c r="O52" s="9">
        <v>1.7</v>
      </c>
      <c r="P52" s="53">
        <f>0.00001235*N52^3.017</f>
        <v>2.4827284114555164E-3</v>
      </c>
    </row>
    <row r="53" spans="2:16" x14ac:dyDescent="0.3">
      <c r="B53" s="9">
        <v>27</v>
      </c>
      <c r="C53" s="9">
        <v>7.6</v>
      </c>
      <c r="D53" s="9">
        <v>3.8</v>
      </c>
      <c r="E53" s="31">
        <f t="shared" si="2"/>
        <v>9.8933699298910174E-3</v>
      </c>
      <c r="F53" s="9">
        <v>9.1999999999999993</v>
      </c>
      <c r="G53" s="9">
        <v>4.0999999999999996</v>
      </c>
      <c r="H53" s="31">
        <f t="shared" si="3"/>
        <v>1.499163826524307E-2</v>
      </c>
      <c r="I53" s="9">
        <v>4.5</v>
      </c>
      <c r="J53" s="9"/>
      <c r="K53" s="9">
        <v>2.8</v>
      </c>
      <c r="L53" s="31">
        <f t="shared" si="8"/>
        <v>2.86121725721048E-3</v>
      </c>
      <c r="M53" s="9"/>
      <c r="N53" s="9">
        <v>5.8</v>
      </c>
      <c r="O53" s="9">
        <v>1.9</v>
      </c>
      <c r="P53" s="53">
        <f t="shared" ref="P53:P68" si="9">0.00001235*N53^3.017</f>
        <v>2.4827284114555164E-3</v>
      </c>
    </row>
    <row r="54" spans="2:16" x14ac:dyDescent="0.3">
      <c r="B54" s="9">
        <v>28</v>
      </c>
      <c r="C54" s="9">
        <v>4.5</v>
      </c>
      <c r="D54" s="9">
        <v>3.3</v>
      </c>
      <c r="E54" s="31">
        <f t="shared" si="2"/>
        <v>3.3927113598598664E-3</v>
      </c>
      <c r="F54" s="9">
        <v>7.5</v>
      </c>
      <c r="G54" s="9">
        <v>3.3</v>
      </c>
      <c r="H54" s="31">
        <f t="shared" si="3"/>
        <v>8.3496113058477324E-3</v>
      </c>
      <c r="I54" s="9">
        <v>6.2</v>
      </c>
      <c r="J54" s="9"/>
      <c r="K54" s="9">
        <v>3.5</v>
      </c>
      <c r="L54" s="31">
        <f t="shared" si="8"/>
        <v>6.3448214644197401E-3</v>
      </c>
      <c r="M54" s="9"/>
      <c r="N54" s="9">
        <v>6.9</v>
      </c>
      <c r="O54" s="9">
        <v>2.2000000000000002</v>
      </c>
      <c r="P54" s="53">
        <f t="shared" si="9"/>
        <v>4.1925153788876061E-3</v>
      </c>
    </row>
    <row r="55" spans="2:16" x14ac:dyDescent="0.3">
      <c r="B55" s="9">
        <v>29</v>
      </c>
      <c r="C55" s="9">
        <v>6.3</v>
      </c>
      <c r="D55" s="9">
        <v>3.3</v>
      </c>
      <c r="E55" s="31">
        <f t="shared" si="2"/>
        <v>6.1400320747444261E-3</v>
      </c>
      <c r="F55" s="9">
        <v>6.5</v>
      </c>
      <c r="G55" s="9">
        <v>3.1</v>
      </c>
      <c r="H55" s="31">
        <f t="shared" si="3"/>
        <v>6.0805465805438283E-3</v>
      </c>
      <c r="I55" s="9">
        <v>4.5</v>
      </c>
      <c r="J55" s="9"/>
      <c r="K55" s="9">
        <v>2.8</v>
      </c>
      <c r="L55" s="31">
        <f t="shared" si="8"/>
        <v>2.86121725721048E-3</v>
      </c>
      <c r="M55" s="9"/>
      <c r="N55" s="9">
        <v>5.4</v>
      </c>
      <c r="O55" s="9">
        <v>1.7</v>
      </c>
      <c r="P55" s="53">
        <f t="shared" si="9"/>
        <v>2.001238876451903E-3</v>
      </c>
    </row>
    <row r="56" spans="2:16" x14ac:dyDescent="0.3">
      <c r="B56" s="9">
        <v>30</v>
      </c>
      <c r="C56" s="9">
        <v>4.4000000000000004</v>
      </c>
      <c r="D56" s="9">
        <v>2.9</v>
      </c>
      <c r="E56" s="31">
        <f t="shared" si="2"/>
        <v>2.8519905881815434E-3</v>
      </c>
      <c r="F56" s="9">
        <v>8.6</v>
      </c>
      <c r="G56" s="9">
        <v>4.0999999999999996</v>
      </c>
      <c r="H56" s="31">
        <f t="shared" si="3"/>
        <v>1.3311038037282525E-2</v>
      </c>
      <c r="I56" s="9">
        <v>5</v>
      </c>
      <c r="J56" s="9"/>
      <c r="K56" s="9">
        <v>3</v>
      </c>
      <c r="L56" s="31">
        <f t="shared" si="8"/>
        <v>3.7007790277537866E-3</v>
      </c>
      <c r="M56" s="9"/>
      <c r="N56" s="9">
        <v>6.2</v>
      </c>
      <c r="O56" s="9">
        <v>2.1</v>
      </c>
      <c r="P56" s="53">
        <f t="shared" si="9"/>
        <v>3.0360763219810785E-3</v>
      </c>
    </row>
    <row r="57" spans="2:16" x14ac:dyDescent="0.3">
      <c r="B57" s="9">
        <v>31</v>
      </c>
      <c r="C57" s="9">
        <v>5.8</v>
      </c>
      <c r="D57" s="9">
        <v>3.3</v>
      </c>
      <c r="E57" s="31">
        <f t="shared" si="2"/>
        <v>5.3070942911794183E-3</v>
      </c>
      <c r="F57" s="9">
        <v>7</v>
      </c>
      <c r="G57" s="9">
        <v>3.7</v>
      </c>
      <c r="H57" s="31">
        <f t="shared" si="3"/>
        <v>8.3246757763242134E-3</v>
      </c>
      <c r="I57" s="9">
        <v>4.8</v>
      </c>
      <c r="J57" s="12"/>
      <c r="K57" s="9">
        <v>3</v>
      </c>
      <c r="L57" s="31">
        <f t="shared" si="8"/>
        <v>3.4437953726394973E-3</v>
      </c>
      <c r="M57" s="9"/>
      <c r="N57" s="9">
        <v>6.8</v>
      </c>
      <c r="O57" s="9">
        <v>2.2000000000000002</v>
      </c>
      <c r="P57" s="53">
        <f t="shared" si="9"/>
        <v>4.0118653392610584E-3</v>
      </c>
    </row>
    <row r="58" spans="2:16" x14ac:dyDescent="0.3">
      <c r="B58" s="9">
        <v>32</v>
      </c>
      <c r="C58" s="9">
        <v>4.5</v>
      </c>
      <c r="D58" s="9">
        <v>2.8</v>
      </c>
      <c r="E58" s="31">
        <f t="shared" si="2"/>
        <v>2.86121725721048E-3</v>
      </c>
      <c r="F58" s="12">
        <v>8.1</v>
      </c>
      <c r="G58" s="12">
        <v>4.2</v>
      </c>
      <c r="H58" s="31">
        <f t="shared" si="3"/>
        <v>1.2280128121647683E-2</v>
      </c>
      <c r="I58" s="12">
        <v>4</v>
      </c>
      <c r="J58" s="19"/>
      <c r="K58" s="12">
        <v>3.2</v>
      </c>
      <c r="L58" s="31">
        <f t="shared" si="8"/>
        <v>2.6699712671369486E-3</v>
      </c>
      <c r="M58" s="9">
        <v>3.5</v>
      </c>
      <c r="N58" s="9"/>
      <c r="O58" s="9">
        <v>1.9</v>
      </c>
      <c r="P58" s="31">
        <f t="shared" si="4"/>
        <v>1.2288354791216574E-3</v>
      </c>
    </row>
    <row r="59" spans="2:16" x14ac:dyDescent="0.3">
      <c r="B59" s="9">
        <v>33</v>
      </c>
      <c r="C59" s="9">
        <v>6.5</v>
      </c>
      <c r="D59" s="9">
        <v>3</v>
      </c>
      <c r="E59" s="31">
        <f t="shared" si="2"/>
        <v>5.8772651536259405E-3</v>
      </c>
      <c r="F59" s="9">
        <v>8.3000000000000007</v>
      </c>
      <c r="G59" s="9">
        <v>4</v>
      </c>
      <c r="H59" s="31">
        <f t="shared" si="3"/>
        <v>1.2187234940768406E-2</v>
      </c>
      <c r="I59" s="9">
        <v>6.5</v>
      </c>
      <c r="J59" s="19"/>
      <c r="K59" s="9">
        <v>3.6</v>
      </c>
      <c r="L59" s="31">
        <f t="shared" si="8"/>
        <v>7.1004559349890041E-3</v>
      </c>
      <c r="M59" s="9"/>
      <c r="N59" s="9">
        <v>5.8</v>
      </c>
      <c r="O59" s="9">
        <v>2.2999999999999998</v>
      </c>
      <c r="P59" s="53">
        <f t="shared" si="9"/>
        <v>2.4827284114555164E-3</v>
      </c>
    </row>
    <row r="60" spans="2:16" x14ac:dyDescent="0.3">
      <c r="B60" s="9">
        <v>34</v>
      </c>
      <c r="C60" s="9">
        <v>6.4</v>
      </c>
      <c r="D60" s="9">
        <v>3.2</v>
      </c>
      <c r="E60" s="31">
        <f t="shared" si="2"/>
        <v>6.1146290765941008E-3</v>
      </c>
      <c r="F60" s="9">
        <v>6.5</v>
      </c>
      <c r="G60" s="9">
        <v>4</v>
      </c>
      <c r="H60" s="31">
        <f t="shared" si="3"/>
        <v>7.9202110477802484E-3</v>
      </c>
      <c r="I60" s="9">
        <v>5.9</v>
      </c>
      <c r="J60" s="19"/>
      <c r="K60" s="9">
        <v>2.5</v>
      </c>
      <c r="L60" s="31">
        <f t="shared" si="8"/>
        <v>4.1011927505466674E-3</v>
      </c>
      <c r="M60" s="9"/>
      <c r="N60" s="9">
        <v>6.9</v>
      </c>
      <c r="O60" s="9">
        <v>2.1</v>
      </c>
      <c r="P60" s="53">
        <f t="shared" si="9"/>
        <v>4.1925153788876061E-3</v>
      </c>
    </row>
    <row r="61" spans="2:16" x14ac:dyDescent="0.3">
      <c r="B61" s="9">
        <v>35</v>
      </c>
      <c r="C61" s="9">
        <v>7.5</v>
      </c>
      <c r="D61" s="9">
        <v>3.8</v>
      </c>
      <c r="E61" s="31">
        <f t="shared" si="2"/>
        <v>9.665023015452549E-3</v>
      </c>
      <c r="F61" s="9">
        <v>7.6</v>
      </c>
      <c r="G61" s="9">
        <v>3.6</v>
      </c>
      <c r="H61" s="31">
        <f t="shared" si="3"/>
        <v>9.3539350925968632E-3</v>
      </c>
      <c r="I61" s="9">
        <v>4</v>
      </c>
      <c r="J61" s="19"/>
      <c r="K61" s="9">
        <v>2.4</v>
      </c>
      <c r="L61" s="31">
        <f t="shared" si="8"/>
        <v>1.9812766345316552E-3</v>
      </c>
      <c r="M61" s="9"/>
      <c r="N61" s="9">
        <v>5.8</v>
      </c>
      <c r="O61" s="9">
        <v>1.7</v>
      </c>
      <c r="P61" s="53">
        <f t="shared" si="9"/>
        <v>2.4827284114555164E-3</v>
      </c>
    </row>
    <row r="62" spans="2:16" x14ac:dyDescent="0.3">
      <c r="B62" s="9">
        <v>36</v>
      </c>
      <c r="C62" s="9">
        <v>7.7</v>
      </c>
      <c r="D62" s="9">
        <v>3.8</v>
      </c>
      <c r="E62" s="31">
        <f t="shared" si="2"/>
        <v>1.0124020914763616E-2</v>
      </c>
      <c r="F62" s="9">
        <v>7.5</v>
      </c>
      <c r="G62" s="9">
        <v>3.6</v>
      </c>
      <c r="H62" s="31">
        <f t="shared" si="3"/>
        <v>9.1380387669375111E-3</v>
      </c>
      <c r="I62" s="9">
        <v>5.0999999999999996</v>
      </c>
      <c r="J62" s="19"/>
      <c r="K62" s="9">
        <v>2.9</v>
      </c>
      <c r="L62" s="31">
        <f t="shared" si="8"/>
        <v>3.6998766023029509E-3</v>
      </c>
      <c r="M62" s="9"/>
      <c r="N62" s="9">
        <v>5.4</v>
      </c>
      <c r="O62" s="9">
        <v>1.7</v>
      </c>
      <c r="P62" s="53">
        <f t="shared" si="9"/>
        <v>2.001238876451903E-3</v>
      </c>
    </row>
    <row r="63" spans="2:16" x14ac:dyDescent="0.3">
      <c r="B63" s="9">
        <v>37</v>
      </c>
      <c r="C63" s="25">
        <f>AVERAGE(C27:C62)</f>
        <v>5.8638888888888898</v>
      </c>
      <c r="D63" s="25">
        <f>AVERAGE(D27:D62)</f>
        <v>3.1749999999999998</v>
      </c>
      <c r="E63" s="25">
        <f>SUM(E27:E62)</f>
        <v>0.20602961524807323</v>
      </c>
      <c r="F63" s="25">
        <f>AVERAGE(F27:F62)</f>
        <v>7.2277777777777761</v>
      </c>
      <c r="G63" s="25">
        <f>AVERAGE(G27:G62)</f>
        <v>3.6999999999999997</v>
      </c>
      <c r="H63" s="25">
        <f>SUM(H27:H62)</f>
        <v>0.33162983444450317</v>
      </c>
      <c r="I63" s="12">
        <v>3.4</v>
      </c>
      <c r="J63" s="19"/>
      <c r="K63" s="12">
        <v>2.4</v>
      </c>
      <c r="L63" s="31">
        <f t="shared" si="8"/>
        <v>1.4876839715532704E-3</v>
      </c>
      <c r="M63" s="9"/>
      <c r="N63" s="9">
        <v>5.4</v>
      </c>
      <c r="O63" s="9">
        <v>2.4</v>
      </c>
      <c r="P63" s="53">
        <f t="shared" si="9"/>
        <v>2.001238876451903E-3</v>
      </c>
    </row>
    <row r="64" spans="2:16" x14ac:dyDescent="0.3">
      <c r="B64" s="9">
        <v>38</v>
      </c>
      <c r="C64" s="12"/>
      <c r="D64" s="12"/>
      <c r="E64" s="12"/>
      <c r="F64" s="9"/>
      <c r="G64" s="9"/>
      <c r="H64" s="31"/>
      <c r="I64" s="9">
        <v>4.8</v>
      </c>
      <c r="J64" s="19"/>
      <c r="K64" s="9">
        <v>2.6</v>
      </c>
      <c r="L64" s="31">
        <f t="shared" si="8"/>
        <v>2.9688616435288879E-3</v>
      </c>
      <c r="M64" s="9"/>
      <c r="N64" s="9">
        <v>6.8</v>
      </c>
      <c r="O64" s="9">
        <v>2.5</v>
      </c>
      <c r="P64" s="53">
        <f t="shared" si="9"/>
        <v>4.0118653392610584E-3</v>
      </c>
    </row>
    <row r="65" spans="2:16" x14ac:dyDescent="0.3">
      <c r="B65" s="9">
        <v>39</v>
      </c>
      <c r="C65" s="19"/>
      <c r="D65" s="19"/>
      <c r="E65" s="19"/>
      <c r="F65" s="9"/>
      <c r="G65" s="9"/>
      <c r="H65" s="31"/>
      <c r="I65" s="9">
        <v>7.5</v>
      </c>
      <c r="J65" s="19"/>
      <c r="K65" s="9">
        <v>3.5</v>
      </c>
      <c r="L65" s="31">
        <f t="shared" si="8"/>
        <v>8.8749489754969824E-3</v>
      </c>
      <c r="M65" s="9">
        <v>3.4</v>
      </c>
      <c r="N65" s="9"/>
      <c r="O65" s="9">
        <v>2.5</v>
      </c>
      <c r="P65" s="31">
        <f t="shared" si="4"/>
        <v>1.5520132164253552E-3</v>
      </c>
    </row>
    <row r="66" spans="2:16" x14ac:dyDescent="0.3">
      <c r="B66" s="9">
        <v>40</v>
      </c>
      <c r="C66" s="19"/>
      <c r="D66" s="19"/>
      <c r="E66" s="19"/>
      <c r="F66" s="9"/>
      <c r="G66" s="9"/>
      <c r="H66" s="31"/>
      <c r="I66" s="9">
        <v>6</v>
      </c>
      <c r="J66" s="19"/>
      <c r="K66" s="9">
        <v>3.3</v>
      </c>
      <c r="L66" s="31">
        <f t="shared" si="8"/>
        <v>5.633961898289748E-3</v>
      </c>
      <c r="M66" s="9"/>
      <c r="N66" s="9">
        <v>6.1</v>
      </c>
      <c r="O66" s="9">
        <v>1.7</v>
      </c>
      <c r="P66" s="53">
        <f t="shared" si="9"/>
        <v>2.8907269397488869E-3</v>
      </c>
    </row>
    <row r="67" spans="2:16" x14ac:dyDescent="0.3">
      <c r="B67" s="9">
        <v>41</v>
      </c>
      <c r="C67" s="19"/>
      <c r="D67" s="19"/>
      <c r="E67" s="19"/>
      <c r="F67" s="12"/>
      <c r="G67" s="12"/>
      <c r="H67" s="12"/>
      <c r="I67" s="12">
        <v>5.3</v>
      </c>
      <c r="J67" s="19"/>
      <c r="K67" s="12">
        <v>3.1</v>
      </c>
      <c r="L67" s="31">
        <f t="shared" si="8"/>
        <v>4.2430165927058588E-3</v>
      </c>
      <c r="M67" s="9">
        <v>3.2</v>
      </c>
      <c r="N67" s="9"/>
      <c r="O67" s="9">
        <v>2.2999999999999998</v>
      </c>
      <c r="P67" s="31">
        <f t="shared" si="4"/>
        <v>1.2791617757635639E-3</v>
      </c>
    </row>
    <row r="68" spans="2:16" x14ac:dyDescent="0.3">
      <c r="B68" s="9">
        <v>42</v>
      </c>
      <c r="C68" s="19"/>
      <c r="D68" s="19"/>
      <c r="E68" s="19"/>
      <c r="F68" s="19"/>
      <c r="G68" s="19"/>
      <c r="H68" s="19"/>
      <c r="I68" s="9">
        <v>8.1999999999999993</v>
      </c>
      <c r="J68" s="19"/>
      <c r="K68" s="9">
        <v>3.3</v>
      </c>
      <c r="L68" s="31">
        <f t="shared" si="8"/>
        <v>9.7720813321888842E-3</v>
      </c>
      <c r="M68" s="9"/>
      <c r="N68" s="9">
        <v>5.8</v>
      </c>
      <c r="O68" s="9">
        <v>2.2000000000000002</v>
      </c>
      <c r="P68" s="53">
        <f t="shared" si="9"/>
        <v>2.4827284114555164E-3</v>
      </c>
    </row>
    <row r="69" spans="2:16" x14ac:dyDescent="0.3">
      <c r="B69" s="9">
        <v>43</v>
      </c>
      <c r="C69" s="19"/>
      <c r="D69" s="19"/>
      <c r="E69" s="19"/>
      <c r="F69" s="19"/>
      <c r="G69" s="19"/>
      <c r="H69" s="19"/>
      <c r="I69" s="9">
        <v>6.6</v>
      </c>
      <c r="J69" s="19"/>
      <c r="K69" s="9">
        <v>3.7</v>
      </c>
      <c r="L69" s="31">
        <f t="shared" si="8"/>
        <v>7.5043907890560771E-3</v>
      </c>
      <c r="M69" s="9">
        <v>5.2</v>
      </c>
      <c r="N69" s="9"/>
      <c r="O69" s="9">
        <v>3</v>
      </c>
      <c r="P69" s="31">
        <f t="shared" si="4"/>
        <v>3.9657280714952654E-3</v>
      </c>
    </row>
    <row r="70" spans="2:16" x14ac:dyDescent="0.3">
      <c r="B70" s="9">
        <v>44</v>
      </c>
      <c r="C70" s="19"/>
      <c r="D70" s="19"/>
      <c r="E70" s="19"/>
      <c r="F70" s="19"/>
      <c r="G70" s="19"/>
      <c r="H70" s="19"/>
      <c r="I70" s="9"/>
      <c r="J70" s="9">
        <v>6.5</v>
      </c>
      <c r="K70" s="9">
        <v>1.8</v>
      </c>
      <c r="L70" s="53">
        <f>0.00001235*J70^3.017</f>
        <v>3.5012776747308299E-3</v>
      </c>
      <c r="M70" s="9">
        <v>3.5</v>
      </c>
      <c r="N70" s="9"/>
      <c r="O70" s="9">
        <v>2.6</v>
      </c>
      <c r="P70" s="31">
        <f t="shared" si="4"/>
        <v>1.7011931273579657E-3</v>
      </c>
    </row>
    <row r="71" spans="2:16" x14ac:dyDescent="0.3">
      <c r="B71" s="9">
        <v>45</v>
      </c>
      <c r="C71" s="19"/>
      <c r="D71" s="19"/>
      <c r="E71" s="19"/>
      <c r="F71" s="19"/>
      <c r="G71" s="19"/>
      <c r="H71" s="19"/>
      <c r="I71" s="9">
        <v>6.2</v>
      </c>
      <c r="J71" s="19"/>
      <c r="K71" s="9">
        <v>2.9</v>
      </c>
      <c r="L71" s="31">
        <f t="shared" ref="L71:L76" si="10">0.00006938*I71^1.763*K71^1.037</f>
        <v>5.2206859364229028E-3</v>
      </c>
      <c r="M71" s="9"/>
      <c r="N71" s="9">
        <v>6.6</v>
      </c>
      <c r="O71" s="9">
        <v>2.1</v>
      </c>
      <c r="P71" s="53">
        <f t="shared" ref="P71" si="11">0.00001235*N71^3.017</f>
        <v>3.6663254298845318E-3</v>
      </c>
    </row>
    <row r="72" spans="2:16" x14ac:dyDescent="0.3">
      <c r="B72" s="9">
        <v>46</v>
      </c>
      <c r="C72" s="19"/>
      <c r="D72" s="19"/>
      <c r="E72" s="19"/>
      <c r="F72" s="19"/>
      <c r="G72" s="19"/>
      <c r="H72" s="19"/>
      <c r="I72" s="12">
        <v>7.1</v>
      </c>
      <c r="J72" s="19"/>
      <c r="K72" s="12">
        <v>2.9</v>
      </c>
      <c r="L72" s="31">
        <f t="shared" si="10"/>
        <v>6.6299383207218373E-3</v>
      </c>
      <c r="M72" s="9">
        <v>3.5</v>
      </c>
      <c r="N72" s="9"/>
      <c r="O72" s="9">
        <v>2.6</v>
      </c>
      <c r="P72" s="31">
        <f t="shared" si="4"/>
        <v>1.7011931273579657E-3</v>
      </c>
    </row>
    <row r="73" spans="2:16" x14ac:dyDescent="0.3">
      <c r="B73" s="9">
        <v>47</v>
      </c>
      <c r="C73" s="19"/>
      <c r="D73" s="19"/>
      <c r="E73" s="19"/>
      <c r="F73" s="19"/>
      <c r="G73" s="19"/>
      <c r="H73" s="19"/>
      <c r="I73" s="12">
        <v>6.8</v>
      </c>
      <c r="J73" s="19"/>
      <c r="K73" s="12">
        <v>3.1</v>
      </c>
      <c r="L73" s="31">
        <f t="shared" si="10"/>
        <v>6.5839964056501549E-3</v>
      </c>
      <c r="M73" s="9">
        <v>3.2</v>
      </c>
      <c r="N73" s="9"/>
      <c r="O73" s="9">
        <v>2.5</v>
      </c>
      <c r="P73" s="31">
        <f t="shared" si="4"/>
        <v>1.3946893875140579E-3</v>
      </c>
    </row>
    <row r="74" spans="2:16" x14ac:dyDescent="0.3">
      <c r="B74" s="9">
        <v>48</v>
      </c>
      <c r="C74" s="19"/>
      <c r="D74" s="19"/>
      <c r="E74" s="19"/>
      <c r="F74" s="19"/>
      <c r="G74" s="19"/>
      <c r="H74" s="19"/>
      <c r="I74" s="9">
        <v>6.7</v>
      </c>
      <c r="J74" s="19"/>
      <c r="K74" s="9">
        <v>3.4</v>
      </c>
      <c r="L74" s="31">
        <f t="shared" si="10"/>
        <v>7.059075219523799E-3</v>
      </c>
      <c r="M74" s="9">
        <v>3.1</v>
      </c>
      <c r="N74" s="9"/>
      <c r="O74" s="9">
        <v>2.5</v>
      </c>
      <c r="P74" s="31">
        <f t="shared" si="4"/>
        <v>1.3187690637629916E-3</v>
      </c>
    </row>
    <row r="75" spans="2:16" x14ac:dyDescent="0.3">
      <c r="B75" s="9">
        <v>49</v>
      </c>
      <c r="C75" s="19"/>
      <c r="D75" s="19"/>
      <c r="E75" s="19"/>
      <c r="F75" s="19"/>
      <c r="G75" s="19"/>
      <c r="H75" s="19"/>
      <c r="I75" s="9">
        <v>5.6</v>
      </c>
      <c r="J75" s="19"/>
      <c r="K75" s="9">
        <v>3.7</v>
      </c>
      <c r="L75" s="31">
        <f t="shared" si="10"/>
        <v>5.6171364655716056E-3</v>
      </c>
      <c r="M75" s="9"/>
      <c r="N75" s="9">
        <v>6</v>
      </c>
      <c r="O75" s="9">
        <v>1.9</v>
      </c>
      <c r="P75" s="53">
        <f t="shared" ref="P75" si="12">0.00001235*N75^3.017</f>
        <v>2.750105027460174E-3</v>
      </c>
    </row>
    <row r="76" spans="2:16" x14ac:dyDescent="0.3">
      <c r="B76" s="9">
        <v>50</v>
      </c>
      <c r="C76" s="19"/>
      <c r="D76" s="19"/>
      <c r="E76" s="19"/>
      <c r="F76" s="19"/>
      <c r="G76" s="19"/>
      <c r="H76" s="19"/>
      <c r="I76" s="9">
        <v>4.7</v>
      </c>
      <c r="J76" s="19"/>
      <c r="K76" s="9">
        <v>2.9</v>
      </c>
      <c r="L76" s="31">
        <f t="shared" si="10"/>
        <v>3.2036830454989238E-3</v>
      </c>
      <c r="M76" s="9">
        <v>4.5</v>
      </c>
      <c r="N76" s="9"/>
      <c r="O76" s="9">
        <v>3.1</v>
      </c>
      <c r="P76" s="31">
        <f t="shared" si="4"/>
        <v>3.1797284583569034E-3</v>
      </c>
    </row>
    <row r="77" spans="2:16" x14ac:dyDescent="0.3">
      <c r="B77" s="9">
        <v>51</v>
      </c>
      <c r="C77" s="19"/>
      <c r="D77" s="19"/>
      <c r="E77" s="19"/>
      <c r="F77" s="19"/>
      <c r="G77" s="19"/>
      <c r="H77" s="19"/>
      <c r="I77" s="25">
        <f>AVERAGE(I27:I76)</f>
        <v>5.5957446808510642</v>
      </c>
      <c r="J77" s="25">
        <f>AVERAGE(J27:J76)</f>
        <v>6.2333333333333334</v>
      </c>
      <c r="K77" s="25">
        <f>AVERAGE(K27:K76)</f>
        <v>3.0340000000000003</v>
      </c>
      <c r="L77" s="25">
        <f>SUM(L27:L76)</f>
        <v>0.24133640435773468</v>
      </c>
      <c r="M77" s="9"/>
      <c r="N77" s="9">
        <v>5.9</v>
      </c>
      <c r="O77" s="9">
        <v>1.8</v>
      </c>
      <c r="P77" s="53">
        <f t="shared" ref="P77:P82" si="13">0.00001235*N77^3.017</f>
        <v>2.6141317792187169E-3</v>
      </c>
    </row>
    <row r="78" spans="2:16" x14ac:dyDescent="0.3">
      <c r="B78" s="9">
        <v>52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9"/>
      <c r="N78" s="9">
        <v>6.8</v>
      </c>
      <c r="O78" s="9">
        <v>2.2000000000000002</v>
      </c>
      <c r="P78" s="53">
        <f t="shared" si="13"/>
        <v>4.0118653392610584E-3</v>
      </c>
    </row>
    <row r="79" spans="2:16" x14ac:dyDescent="0.3">
      <c r="B79" s="9">
        <v>53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9"/>
      <c r="N79" s="9">
        <v>5.5</v>
      </c>
      <c r="O79" s="9">
        <v>1.8</v>
      </c>
      <c r="P79" s="53">
        <f t="shared" si="13"/>
        <v>2.1151500981555814E-3</v>
      </c>
    </row>
    <row r="80" spans="2:16" x14ac:dyDescent="0.3">
      <c r="B80" s="9">
        <v>54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9">
        <v>3.1</v>
      </c>
      <c r="N80" s="9"/>
      <c r="O80" s="9">
        <v>2.2000000000000002</v>
      </c>
      <c r="P80" s="31">
        <f t="shared" si="4"/>
        <v>1.1550406842543435E-3</v>
      </c>
    </row>
    <row r="81" spans="2:16" x14ac:dyDescent="0.3">
      <c r="B81" s="9">
        <v>55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9"/>
      <c r="N81" s="9">
        <v>6.2</v>
      </c>
      <c r="O81" s="9">
        <v>2.2999999999999998</v>
      </c>
      <c r="P81" s="53">
        <f t="shared" si="13"/>
        <v>3.0360763219810785E-3</v>
      </c>
    </row>
    <row r="82" spans="2:16" x14ac:dyDescent="0.3">
      <c r="B82" s="9">
        <v>56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9"/>
      <c r="N82" s="9">
        <v>6.9</v>
      </c>
      <c r="O82" s="9">
        <v>2.1</v>
      </c>
      <c r="P82" s="53">
        <f t="shared" si="13"/>
        <v>4.1925153788876061E-3</v>
      </c>
    </row>
    <row r="83" spans="2:16" x14ac:dyDescent="0.3">
      <c r="B83" s="9">
        <v>57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9">
        <v>5.5</v>
      </c>
      <c r="N83" s="9"/>
      <c r="O83" s="9">
        <v>3</v>
      </c>
      <c r="P83" s="31">
        <f t="shared" si="4"/>
        <v>4.3779264214284389E-3</v>
      </c>
    </row>
    <row r="84" spans="2:16" x14ac:dyDescent="0.3">
      <c r="B84" s="9">
        <v>58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9">
        <v>5.0999999999999996</v>
      </c>
      <c r="N84" s="9"/>
      <c r="O84" s="9">
        <v>3.3</v>
      </c>
      <c r="P84" s="31">
        <f t="shared" si="4"/>
        <v>4.2303808899501697E-3</v>
      </c>
    </row>
    <row r="85" spans="2:16" x14ac:dyDescent="0.3">
      <c r="B85" s="9">
        <v>59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9"/>
      <c r="N85" s="9">
        <v>6.5</v>
      </c>
      <c r="O85" s="9">
        <v>2.4</v>
      </c>
      <c r="P85" s="53">
        <f t="shared" ref="P85" si="14">0.00001235*N85^3.017</f>
        <v>3.5012776747308299E-3</v>
      </c>
    </row>
    <row r="86" spans="2:16" x14ac:dyDescent="0.3">
      <c r="B86" s="9">
        <v>60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9">
        <v>4.5</v>
      </c>
      <c r="N86" s="9"/>
      <c r="O86" s="9">
        <v>2.6</v>
      </c>
      <c r="P86" s="31">
        <f t="shared" si="4"/>
        <v>2.6495695201325881E-3</v>
      </c>
    </row>
    <row r="87" spans="2:16" x14ac:dyDescent="0.3">
      <c r="B87" s="9">
        <v>61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9"/>
      <c r="N87" s="9">
        <v>6.5</v>
      </c>
      <c r="O87" s="9">
        <v>2.2000000000000002</v>
      </c>
      <c r="P87" s="53">
        <f t="shared" ref="P87" si="15">0.00001235*N87^3.017</f>
        <v>3.5012776747308299E-3</v>
      </c>
    </row>
    <row r="88" spans="2:16" x14ac:dyDescent="0.3">
      <c r="B88" s="9">
        <v>62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9">
        <v>3.8</v>
      </c>
      <c r="N88" s="9"/>
      <c r="O88" s="9">
        <v>2.2999999999999998</v>
      </c>
      <c r="P88" s="31">
        <f t="shared" si="4"/>
        <v>1.7318271438583571E-3</v>
      </c>
    </row>
    <row r="89" spans="2:16" x14ac:dyDescent="0.3">
      <c r="B89" s="9">
        <v>63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9">
        <v>4.2</v>
      </c>
      <c r="N89" s="9"/>
      <c r="O89" s="9">
        <v>2.8</v>
      </c>
      <c r="P89" s="31">
        <f t="shared" si="4"/>
        <v>2.5335277934773652E-3</v>
      </c>
    </row>
    <row r="90" spans="2:16" x14ac:dyDescent="0.3">
      <c r="B90" s="9">
        <v>64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9">
        <v>4.5</v>
      </c>
      <c r="N90" s="9"/>
      <c r="O90" s="9">
        <v>2.6</v>
      </c>
      <c r="P90" s="31">
        <f t="shared" si="4"/>
        <v>2.6495695201325881E-3</v>
      </c>
    </row>
    <row r="91" spans="2:16" x14ac:dyDescent="0.3">
      <c r="B91" s="9">
        <v>65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9">
        <v>3.5</v>
      </c>
      <c r="N91" s="9"/>
      <c r="O91" s="9">
        <v>2.5</v>
      </c>
      <c r="P91" s="31">
        <f t="shared" si="4"/>
        <v>1.6333905802555231E-3</v>
      </c>
    </row>
    <row r="92" spans="2:16" x14ac:dyDescent="0.3">
      <c r="B92" s="9">
        <v>66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9"/>
      <c r="N92" s="9">
        <v>6.3</v>
      </c>
      <c r="O92" s="9">
        <v>2.4</v>
      </c>
      <c r="P92" s="53">
        <f t="shared" ref="P92" si="16">0.00001235*N92^3.017</f>
        <v>3.1862320020202652E-3</v>
      </c>
    </row>
    <row r="93" spans="2:16" x14ac:dyDescent="0.3">
      <c r="B93" s="9">
        <v>67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9">
        <v>3.7</v>
      </c>
      <c r="N93" s="9"/>
      <c r="O93" s="9">
        <v>2.2000000000000002</v>
      </c>
      <c r="P93" s="31">
        <f>0.00006938*M93^1.763*O93^1.037</f>
        <v>1.5778519651017254E-3</v>
      </c>
    </row>
    <row r="94" spans="2:16" x14ac:dyDescent="0.3">
      <c r="B94" s="9">
        <v>68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9">
        <v>3.5</v>
      </c>
      <c r="N94" s="9"/>
      <c r="O94" s="9">
        <v>2.2999999999999998</v>
      </c>
      <c r="P94" s="31">
        <f>0.00006938*M94^1.763*O94^1.037</f>
        <v>1.4980904091335338E-3</v>
      </c>
    </row>
    <row r="95" spans="2:16" x14ac:dyDescent="0.3">
      <c r="B95" s="9">
        <v>69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25">
        <f>AVERAGE(M27:M94)</f>
        <v>4.223529411764706</v>
      </c>
      <c r="N95" s="25"/>
      <c r="O95" s="25">
        <f>AVERAGE(O27:O94)</f>
        <v>2.3536764705882356</v>
      </c>
      <c r="P95" s="25">
        <f>SUM(P27:P94)</f>
        <v>0.1969716359081691</v>
      </c>
    </row>
    <row r="96" spans="2:16" x14ac:dyDescent="0.3">
      <c r="B96" s="9">
        <v>70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9"/>
      <c r="N96" s="9"/>
      <c r="O96" s="9"/>
      <c r="P96" s="31"/>
    </row>
    <row r="97" spans="2:16" x14ac:dyDescent="0.3">
      <c r="B97" s="9">
        <v>71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9"/>
      <c r="N97" s="9"/>
      <c r="O97" s="9"/>
      <c r="P97" s="31"/>
    </row>
    <row r="98" spans="2:16" x14ac:dyDescent="0.3">
      <c r="B98" s="9">
        <v>72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9"/>
      <c r="N98" s="9"/>
      <c r="O98" s="9"/>
      <c r="P98" s="31"/>
    </row>
    <row r="99" spans="2:16" x14ac:dyDescent="0.3">
      <c r="B99" s="9">
        <v>73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9"/>
      <c r="N99" s="9"/>
      <c r="O99" s="9"/>
      <c r="P99" s="31"/>
    </row>
    <row r="100" spans="2:16" x14ac:dyDescent="0.3">
      <c r="B100" s="9">
        <v>74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9"/>
      <c r="N100" s="9"/>
      <c r="O100" s="9"/>
      <c r="P100" s="31"/>
    </row>
    <row r="101" spans="2:16" x14ac:dyDescent="0.3">
      <c r="B101" s="9">
        <v>75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9"/>
      <c r="N101" s="9"/>
      <c r="O101" s="9"/>
      <c r="P101" s="31"/>
    </row>
    <row r="102" spans="2:16" x14ac:dyDescent="0.3">
      <c r="B102" s="9">
        <v>76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9"/>
      <c r="N102" s="9"/>
      <c r="O102" s="9"/>
      <c r="P102" s="31"/>
    </row>
    <row r="103" spans="2:16" x14ac:dyDescent="0.3">
      <c r="B103" s="9">
        <v>77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9"/>
      <c r="N103" s="9"/>
      <c r="O103" s="9"/>
      <c r="P103" s="31"/>
    </row>
    <row r="104" spans="2:16" x14ac:dyDescent="0.3">
      <c r="B104" s="9">
        <v>78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9"/>
      <c r="N104" s="9"/>
      <c r="O104" s="9"/>
      <c r="P104" s="31"/>
    </row>
    <row r="105" spans="2:16" x14ac:dyDescent="0.3">
      <c r="B105" s="9">
        <v>79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9"/>
      <c r="N105" s="9"/>
      <c r="O105" s="9"/>
      <c r="P105" s="31"/>
    </row>
    <row r="106" spans="2:16" x14ac:dyDescent="0.3">
      <c r="B106" s="9">
        <v>80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9"/>
      <c r="N106" s="9"/>
      <c r="O106" s="9"/>
      <c r="P106" s="31"/>
    </row>
    <row r="107" spans="2:16" x14ac:dyDescent="0.3">
      <c r="B107" s="9">
        <v>81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9"/>
      <c r="N107" s="9"/>
      <c r="O107" s="9"/>
      <c r="P107" s="31"/>
    </row>
    <row r="108" spans="2:16" x14ac:dyDescent="0.3">
      <c r="B108" s="9">
        <v>82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9"/>
      <c r="N108" s="9"/>
      <c r="O108" s="9"/>
      <c r="P108" s="31"/>
    </row>
    <row r="109" spans="2:16" x14ac:dyDescent="0.3">
      <c r="B109" s="9">
        <v>83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9"/>
      <c r="N109" s="9"/>
      <c r="O109" s="9"/>
      <c r="P109" s="31"/>
    </row>
    <row r="110" spans="2:16" x14ac:dyDescent="0.3">
      <c r="B110" s="9">
        <v>84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9"/>
      <c r="N110" s="9"/>
      <c r="O110" s="9"/>
      <c r="P110" s="31"/>
    </row>
    <row r="111" spans="2:16" x14ac:dyDescent="0.3">
      <c r="B111" s="9">
        <v>85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9"/>
      <c r="N111" s="9"/>
      <c r="O111" s="9"/>
      <c r="P111" s="31"/>
    </row>
    <row r="112" spans="2:16" x14ac:dyDescent="0.3">
      <c r="B112" s="9">
        <v>86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2:16" x14ac:dyDescent="0.3">
      <c r="B113" s="19"/>
      <c r="C113" s="19"/>
      <c r="D113" s="19"/>
      <c r="E113" s="19"/>
      <c r="F113" s="19"/>
      <c r="G113" s="19"/>
      <c r="H113" s="19"/>
      <c r="I113" s="19"/>
      <c r="K113" s="19"/>
      <c r="L113" s="19"/>
      <c r="M113" s="12"/>
      <c r="N113" s="12"/>
      <c r="O113" s="12"/>
      <c r="P113" s="51"/>
    </row>
  </sheetData>
  <mergeCells count="4">
    <mergeCell ref="C25:E25"/>
    <mergeCell ref="F25:H25"/>
    <mergeCell ref="I25:L25"/>
    <mergeCell ref="M25:P25"/>
  </mergeCells>
  <phoneticPr fontId="2" type="noConversion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CA19-369F-4EB1-9843-B52D85DADE71}">
  <dimension ref="B2:Q68"/>
  <sheetViews>
    <sheetView topLeftCell="A14" zoomScale="110" zoomScaleNormal="110" workbookViewId="0">
      <selection activeCell="D41" sqref="D41"/>
    </sheetView>
  </sheetViews>
  <sheetFormatPr defaultColWidth="8.9296875" defaultRowHeight="14.25" x14ac:dyDescent="0.3"/>
  <cols>
    <col min="1" max="1" width="4.59765625" style="1" customWidth="1"/>
    <col min="2" max="2" width="26.19921875" style="1" customWidth="1"/>
    <col min="3" max="4" width="8.9296875" style="1"/>
    <col min="5" max="5" width="16.59765625" style="1" customWidth="1"/>
    <col min="6" max="6" width="12.33203125" style="1" customWidth="1"/>
    <col min="7" max="7" width="21.19921875" style="1" customWidth="1"/>
    <col min="8" max="8" width="13.796875" style="1" customWidth="1"/>
    <col min="9" max="9" width="15.06640625" style="1" customWidth="1"/>
    <col min="10" max="16384" width="8.9296875" style="1"/>
  </cols>
  <sheetData>
    <row r="2" spans="2:11" ht="18.7" customHeight="1" x14ac:dyDescent="0.3">
      <c r="B2" s="24" t="s">
        <v>0</v>
      </c>
      <c r="C2" s="2" t="s">
        <v>17</v>
      </c>
      <c r="D2" s="2" t="s">
        <v>36</v>
      </c>
      <c r="E2" s="2" t="s">
        <v>18</v>
      </c>
      <c r="F2" s="2" t="s">
        <v>37</v>
      </c>
      <c r="G2" s="2" t="s">
        <v>38</v>
      </c>
      <c r="H2" s="2" t="s">
        <v>1</v>
      </c>
      <c r="K2" s="7" t="s">
        <v>53</v>
      </c>
    </row>
    <row r="3" spans="2:11" ht="18.7" customHeight="1" x14ac:dyDescent="0.3">
      <c r="B3" s="24" t="s">
        <v>2</v>
      </c>
      <c r="C3" s="8">
        <v>122.35209999999999</v>
      </c>
      <c r="D3" s="8">
        <v>122.377</v>
      </c>
      <c r="E3" s="8">
        <v>122.35687339</v>
      </c>
      <c r="F3" s="8">
        <v>122.3711187</v>
      </c>
      <c r="G3" s="8">
        <v>122.3776172</v>
      </c>
      <c r="H3" s="8"/>
      <c r="K3" s="10"/>
    </row>
    <row r="4" spans="2:11" ht="18.7" customHeight="1" x14ac:dyDescent="0.3">
      <c r="B4" s="24" t="s">
        <v>3</v>
      </c>
      <c r="C4" s="8">
        <v>43.428899999999999</v>
      </c>
      <c r="D4" s="8">
        <v>43.447899999999997</v>
      </c>
      <c r="E4" s="8">
        <v>43.427113570000003</v>
      </c>
      <c r="F4" s="8">
        <v>43.450764409999998</v>
      </c>
      <c r="G4" s="8">
        <v>43.455977730000001</v>
      </c>
      <c r="H4" s="8"/>
      <c r="K4" s="10"/>
    </row>
    <row r="5" spans="2:11" ht="18.7" customHeight="1" x14ac:dyDescent="0.3">
      <c r="B5" s="24" t="s">
        <v>25</v>
      </c>
      <c r="C5" s="2">
        <f>20*20/10000</f>
        <v>0.04</v>
      </c>
      <c r="D5" s="2">
        <f>20*20/10000</f>
        <v>0.04</v>
      </c>
      <c r="E5" s="8">
        <v>0.04</v>
      </c>
      <c r="F5" s="2">
        <f>20*20/10000</f>
        <v>0.04</v>
      </c>
      <c r="G5" s="2">
        <f>20*20/10000</f>
        <v>0.04</v>
      </c>
      <c r="H5" s="8"/>
      <c r="K5" s="10"/>
    </row>
    <row r="6" spans="2:11" ht="18.7" customHeight="1" x14ac:dyDescent="0.3">
      <c r="B6" s="24" t="s">
        <v>4</v>
      </c>
      <c r="C6" s="11">
        <f>C55</f>
        <v>8.1060606060606091</v>
      </c>
      <c r="D6" s="11">
        <f>F58</f>
        <v>8.2027777777777775</v>
      </c>
      <c r="E6" s="11">
        <f>I55</f>
        <v>10.106060606060604</v>
      </c>
      <c r="F6" s="11">
        <f>L62</f>
        <v>8.3949999999999996</v>
      </c>
      <c r="G6" s="11">
        <f>O68</f>
        <v>7.8391304347826081</v>
      </c>
      <c r="H6" s="13" t="s">
        <v>8</v>
      </c>
      <c r="K6" s="10"/>
    </row>
    <row r="7" spans="2:11" ht="18.7" customHeight="1" x14ac:dyDescent="0.3">
      <c r="B7" s="24" t="s">
        <v>5</v>
      </c>
      <c r="C7" s="11">
        <f>D55</f>
        <v>6.4242424242424265</v>
      </c>
      <c r="D7" s="11">
        <f>G58</f>
        <v>6.3083333333333336</v>
      </c>
      <c r="E7" s="11">
        <f>J55</f>
        <v>7.7666666666666666</v>
      </c>
      <c r="F7" s="11">
        <f>M62</f>
        <v>6.65</v>
      </c>
      <c r="G7" s="11">
        <f>P68</f>
        <v>6.8565217391304358</v>
      </c>
      <c r="H7" s="13" t="s">
        <v>8</v>
      </c>
      <c r="K7" s="10"/>
    </row>
    <row r="8" spans="2:11" ht="18.7" customHeight="1" x14ac:dyDescent="0.3">
      <c r="B8" s="24" t="s">
        <v>6</v>
      </c>
      <c r="C8" s="14">
        <f>COUNT(C22:C54)</f>
        <v>33</v>
      </c>
      <c r="D8" s="14">
        <v>33</v>
      </c>
      <c r="E8" s="14">
        <v>33</v>
      </c>
      <c r="F8" s="14">
        <v>31</v>
      </c>
      <c r="G8" s="14">
        <v>44</v>
      </c>
      <c r="H8" s="13" t="s">
        <v>8</v>
      </c>
      <c r="K8" s="10"/>
    </row>
    <row r="9" spans="2:11" ht="18.7" customHeight="1" x14ac:dyDescent="0.3">
      <c r="B9" s="24" t="s">
        <v>26</v>
      </c>
      <c r="C9" s="15">
        <v>0.2</v>
      </c>
      <c r="D9" s="15">
        <v>0.2</v>
      </c>
      <c r="E9" s="15">
        <v>0.2</v>
      </c>
      <c r="F9" s="15">
        <v>0.2</v>
      </c>
      <c r="G9" s="15">
        <v>0.2</v>
      </c>
      <c r="H9" s="13" t="s">
        <v>8</v>
      </c>
      <c r="K9" s="10"/>
    </row>
    <row r="10" spans="2:11" ht="25.8" customHeight="1" x14ac:dyDescent="0.3">
      <c r="B10" s="24" t="s">
        <v>19</v>
      </c>
      <c r="C10" s="16">
        <f>E55/1000</f>
        <v>0.48991976727615266</v>
      </c>
      <c r="D10" s="16">
        <f>H58/1000</f>
        <v>0.54460331411049612</v>
      </c>
      <c r="E10" s="16">
        <f>K55/1000</f>
        <v>0.81132469242090799</v>
      </c>
      <c r="F10" s="16">
        <f>N62/1000</f>
        <v>0.67598861292480461</v>
      </c>
      <c r="G10" s="16">
        <f>Q68/1000</f>
        <v>0.63912073216044019</v>
      </c>
      <c r="H10" s="13" t="s">
        <v>8</v>
      </c>
      <c r="K10" s="10"/>
    </row>
    <row r="11" spans="2:11" ht="25.8" customHeight="1" x14ac:dyDescent="0.3">
      <c r="B11" s="24" t="s">
        <v>62</v>
      </c>
      <c r="C11" s="15">
        <f>C10/C5</f>
        <v>12.247994181903817</v>
      </c>
      <c r="D11" s="15">
        <f>D10/D5</f>
        <v>13.615082852762402</v>
      </c>
      <c r="E11" s="15">
        <f>E10/E5</f>
        <v>20.283117310522698</v>
      </c>
      <c r="F11" s="15">
        <f>F10/F5</f>
        <v>16.899715323120116</v>
      </c>
      <c r="G11" s="15">
        <f>G10/G5</f>
        <v>15.978018304011004</v>
      </c>
      <c r="H11" s="13" t="s">
        <v>8</v>
      </c>
      <c r="K11" s="10"/>
    </row>
    <row r="12" spans="2:11" x14ac:dyDescent="0.4">
      <c r="B12" s="96" t="s">
        <v>125</v>
      </c>
      <c r="C12" s="8">
        <v>0.5</v>
      </c>
      <c r="D12" s="8">
        <v>0.5</v>
      </c>
      <c r="E12" s="8">
        <v>0.5</v>
      </c>
      <c r="F12" s="8">
        <v>0.5</v>
      </c>
      <c r="G12" s="8">
        <v>0.5</v>
      </c>
      <c r="H12" s="12"/>
    </row>
    <row r="13" spans="2:11" x14ac:dyDescent="0.3">
      <c r="B13" s="88" t="s">
        <v>126</v>
      </c>
      <c r="C13" s="97">
        <f>C11*C12*44/12</f>
        <v>22.454656000156998</v>
      </c>
      <c r="D13" s="97">
        <f>D11*D12*44/12</f>
        <v>24.960985230064406</v>
      </c>
      <c r="E13" s="97">
        <f>E11*E12*44/12</f>
        <v>37.185715069291611</v>
      </c>
      <c r="F13" s="97">
        <f>F11*F12*44/12</f>
        <v>30.982811425720215</v>
      </c>
      <c r="G13" s="97">
        <f>G11*G12*44/12</f>
        <v>29.293033557353507</v>
      </c>
      <c r="H13" s="12"/>
    </row>
    <row r="14" spans="2:11" x14ac:dyDescent="0.3">
      <c r="B14" s="22"/>
      <c r="C14" s="23"/>
      <c r="D14" s="23"/>
      <c r="E14" s="23"/>
      <c r="F14" s="23"/>
      <c r="G14" s="20"/>
      <c r="H14" s="20"/>
    </row>
    <row r="15" spans="2:11" ht="26" customHeight="1" x14ac:dyDescent="0.45">
      <c r="B15" s="24"/>
      <c r="C15" s="8" t="s">
        <v>30</v>
      </c>
      <c r="D15" s="3"/>
      <c r="E15" s="2" t="s">
        <v>82</v>
      </c>
      <c r="F15" s="8" t="s">
        <v>77</v>
      </c>
      <c r="G15" s="56" t="s">
        <v>83</v>
      </c>
      <c r="H15" s="9" t="s">
        <v>94</v>
      </c>
    </row>
    <row r="16" spans="2:11" ht="15.75" x14ac:dyDescent="0.3">
      <c r="B16" s="24"/>
      <c r="C16" s="8" t="s">
        <v>31</v>
      </c>
      <c r="D16" s="8" t="s">
        <v>31</v>
      </c>
      <c r="E16" s="9" t="s">
        <v>79</v>
      </c>
      <c r="F16" s="8" t="s">
        <v>31</v>
      </c>
      <c r="G16" s="8" t="s">
        <v>31</v>
      </c>
      <c r="H16" s="9" t="s">
        <v>92</v>
      </c>
    </row>
    <row r="17" spans="2:17" s="10" customFormat="1" x14ac:dyDescent="0.3">
      <c r="B17" s="24" t="s">
        <v>76</v>
      </c>
      <c r="C17" s="17">
        <f>AVERAGE(C11:G11)</f>
        <v>15.804785594464008</v>
      </c>
      <c r="D17" s="17">
        <f>STDEVP(C11:G11)</f>
        <v>2.7831600345968819</v>
      </c>
      <c r="E17" s="73">
        <f>D17/SQRT(C18)*'CO2 certificates'!$D$4/C17</f>
        <v>0.12953640065562172</v>
      </c>
      <c r="F17" s="17">
        <f>IF(E17&lt;=20%,AVERAGE(C11:G11),(AVERAGE(C11:G11)*(1-(E17-20%))))</f>
        <v>15.804785594464008</v>
      </c>
      <c r="G17" s="74">
        <f>C17*E17</f>
        <v>2.0472950390406881</v>
      </c>
      <c r="H17" s="75">
        <f>AVERAGE(C13:G13)</f>
        <v>28.975440256517345</v>
      </c>
    </row>
    <row r="18" spans="2:17" ht="15" x14ac:dyDescent="0.3">
      <c r="B18" s="34" t="s">
        <v>63</v>
      </c>
      <c r="C18" s="17">
        <v>5</v>
      </c>
      <c r="D18" s="17"/>
      <c r="E18" s="9"/>
      <c r="F18" s="17"/>
      <c r="G18" s="9"/>
      <c r="H18" s="9"/>
    </row>
    <row r="20" spans="2:17" x14ac:dyDescent="0.3">
      <c r="B20" s="9"/>
      <c r="C20" s="137" t="s">
        <v>17</v>
      </c>
      <c r="D20" s="138"/>
      <c r="E20" s="139"/>
      <c r="F20" s="137" t="s">
        <v>36</v>
      </c>
      <c r="G20" s="138"/>
      <c r="H20" s="139"/>
      <c r="I20" s="137" t="s">
        <v>18</v>
      </c>
      <c r="J20" s="138"/>
      <c r="K20" s="139"/>
      <c r="L20" s="137" t="s">
        <v>37</v>
      </c>
      <c r="M20" s="138"/>
      <c r="N20" s="139"/>
      <c r="O20" s="137" t="s">
        <v>38</v>
      </c>
      <c r="P20" s="138"/>
      <c r="Q20" s="139"/>
    </row>
    <row r="21" spans="2:17" ht="39.4" x14ac:dyDescent="0.3">
      <c r="B21" s="9" t="s">
        <v>43</v>
      </c>
      <c r="C21" s="9" t="s">
        <v>40</v>
      </c>
      <c r="D21" s="9" t="s">
        <v>41</v>
      </c>
      <c r="E21" s="2" t="s">
        <v>19</v>
      </c>
      <c r="F21" s="9" t="s">
        <v>40</v>
      </c>
      <c r="G21" s="9" t="s">
        <v>41</v>
      </c>
      <c r="H21" s="2" t="s">
        <v>19</v>
      </c>
      <c r="I21" s="9" t="s">
        <v>40</v>
      </c>
      <c r="J21" s="9" t="s">
        <v>41</v>
      </c>
      <c r="K21" s="2" t="s">
        <v>19</v>
      </c>
      <c r="L21" s="9" t="s">
        <v>40</v>
      </c>
      <c r="M21" s="9" t="s">
        <v>41</v>
      </c>
      <c r="N21" s="2" t="s">
        <v>19</v>
      </c>
      <c r="O21" s="9" t="s">
        <v>40</v>
      </c>
      <c r="P21" s="9" t="s">
        <v>41</v>
      </c>
      <c r="Q21" s="2" t="s">
        <v>19</v>
      </c>
    </row>
    <row r="22" spans="2:17" x14ac:dyDescent="0.3">
      <c r="B22" s="9">
        <v>1</v>
      </c>
      <c r="C22" s="9">
        <v>7</v>
      </c>
      <c r="D22" s="9">
        <v>4</v>
      </c>
      <c r="E22" s="12">
        <f>0.045*(C22^2*D22)^0.906*(1+$C$9)</f>
        <v>6.4443298351099694</v>
      </c>
      <c r="F22" s="9">
        <v>4.8</v>
      </c>
      <c r="G22" s="9">
        <v>4.5999999999999996</v>
      </c>
      <c r="H22" s="12">
        <f t="shared" ref="H22:H57" si="0">0.045*(F22^2*G22)^0.906*(1+$D$9)</f>
        <v>3.6919981730804632</v>
      </c>
      <c r="I22" s="9">
        <v>11.3</v>
      </c>
      <c r="J22" s="9">
        <v>9</v>
      </c>
      <c r="K22" s="12">
        <f t="shared" ref="K22:K23" si="1">0.045*(I22^2*J22)^0.906*(1+$E$9)</f>
        <v>31.997467967398549</v>
      </c>
      <c r="L22" s="9">
        <v>6.9</v>
      </c>
      <c r="M22" s="9">
        <v>7</v>
      </c>
      <c r="N22" s="12">
        <f t="shared" ref="N22:N61" si="2">0.045*(L22^2*M22)^0.906*(1+$F$9)</f>
        <v>10.424305642714682</v>
      </c>
      <c r="O22" s="9">
        <v>9.9</v>
      </c>
      <c r="P22" s="9">
        <v>8</v>
      </c>
      <c r="Q22" s="12">
        <f t="shared" ref="Q22:Q67" si="3">0.045*(O22^2*P22)^0.906*(1+$G$9)</f>
        <v>22.629984716547018</v>
      </c>
    </row>
    <row r="23" spans="2:17" x14ac:dyDescent="0.3">
      <c r="B23" s="9">
        <v>2</v>
      </c>
      <c r="C23" s="9">
        <v>10.199999999999999</v>
      </c>
      <c r="D23" s="9">
        <v>7.5</v>
      </c>
      <c r="E23" s="12">
        <f t="shared" ref="E23:E54" si="4">0.045*(C23^2*D23)^0.906*(1+$C$9)</f>
        <v>22.531119744383467</v>
      </c>
      <c r="F23" s="9">
        <v>6.2</v>
      </c>
      <c r="G23" s="9">
        <v>5.2</v>
      </c>
      <c r="H23" s="12">
        <f t="shared" si="0"/>
        <v>6.5600406498534545</v>
      </c>
      <c r="I23" s="9">
        <v>5.5</v>
      </c>
      <c r="J23" s="9">
        <v>6.5</v>
      </c>
      <c r="K23" s="12">
        <f t="shared" si="1"/>
        <v>6.4629449142130895</v>
      </c>
      <c r="L23" s="9">
        <v>6.2</v>
      </c>
      <c r="M23" s="9">
        <v>6.7</v>
      </c>
      <c r="N23" s="12">
        <f t="shared" si="2"/>
        <v>8.2533691903971871</v>
      </c>
      <c r="O23" s="9">
        <v>8.1</v>
      </c>
      <c r="P23" s="9">
        <v>8</v>
      </c>
      <c r="Q23" s="12">
        <f t="shared" si="3"/>
        <v>15.731427830261584</v>
      </c>
    </row>
    <row r="24" spans="2:17" x14ac:dyDescent="0.3">
      <c r="B24" s="9">
        <v>3</v>
      </c>
      <c r="C24" s="9">
        <v>8.6</v>
      </c>
      <c r="D24" s="9">
        <v>7</v>
      </c>
      <c r="E24" s="12">
        <f t="shared" si="4"/>
        <v>15.53687879357846</v>
      </c>
      <c r="F24" s="9">
        <v>4.5999999999999996</v>
      </c>
      <c r="G24" s="9">
        <v>3.2</v>
      </c>
      <c r="H24" s="12">
        <f t="shared" si="0"/>
        <v>2.460236351560261</v>
      </c>
      <c r="I24" s="9">
        <v>13.1</v>
      </c>
      <c r="J24" s="9">
        <v>9.5</v>
      </c>
      <c r="K24" s="12">
        <f t="shared" ref="K24:K40" si="5">0.045*(I24^2*J24)^0.906*(1+$E$9)</f>
        <v>43.924510861906306</v>
      </c>
      <c r="L24" s="9">
        <v>14</v>
      </c>
      <c r="M24" s="9">
        <v>10</v>
      </c>
      <c r="N24" s="12">
        <f t="shared" si="2"/>
        <v>51.901243171735096</v>
      </c>
      <c r="O24" s="9">
        <v>5.7</v>
      </c>
      <c r="P24" s="9">
        <v>6.5</v>
      </c>
      <c r="Q24" s="12">
        <f t="shared" si="3"/>
        <v>6.8950671398426655</v>
      </c>
    </row>
    <row r="25" spans="2:17" x14ac:dyDescent="0.3">
      <c r="B25" s="9">
        <v>4</v>
      </c>
      <c r="C25" s="9">
        <v>6</v>
      </c>
      <c r="D25" s="9">
        <v>4.3</v>
      </c>
      <c r="E25" s="12">
        <f t="shared" si="4"/>
        <v>5.2038676938270143</v>
      </c>
      <c r="F25" s="9">
        <v>8.9</v>
      </c>
      <c r="G25" s="9">
        <v>7.2</v>
      </c>
      <c r="H25" s="12">
        <f t="shared" si="0"/>
        <v>16.96022828727035</v>
      </c>
      <c r="I25" s="9">
        <v>10.8</v>
      </c>
      <c r="J25" s="9">
        <v>7</v>
      </c>
      <c r="K25" s="12">
        <f t="shared" si="5"/>
        <v>23.475585299513398</v>
      </c>
      <c r="L25" s="9">
        <v>7</v>
      </c>
      <c r="M25" s="9">
        <v>6.5</v>
      </c>
      <c r="N25" s="12">
        <f t="shared" si="2"/>
        <v>10.004857548898755</v>
      </c>
      <c r="O25" s="9">
        <v>8.4</v>
      </c>
      <c r="P25" s="9">
        <v>7.5</v>
      </c>
      <c r="Q25" s="12">
        <f t="shared" si="3"/>
        <v>15.848688543932916</v>
      </c>
    </row>
    <row r="26" spans="2:17" x14ac:dyDescent="0.3">
      <c r="B26" s="9">
        <v>5</v>
      </c>
      <c r="C26" s="9">
        <v>7.9</v>
      </c>
      <c r="D26" s="9">
        <v>4.3</v>
      </c>
      <c r="E26" s="12">
        <f t="shared" si="4"/>
        <v>8.5667574316650246</v>
      </c>
      <c r="F26" s="9">
        <v>8.1</v>
      </c>
      <c r="G26" s="9">
        <v>6.8</v>
      </c>
      <c r="H26" s="12">
        <f t="shared" si="0"/>
        <v>13.57755869638536</v>
      </c>
      <c r="I26" s="9">
        <v>10</v>
      </c>
      <c r="J26" s="9">
        <v>8</v>
      </c>
      <c r="K26" s="12">
        <f t="shared" si="5"/>
        <v>23.045879567852026</v>
      </c>
      <c r="L26" s="9">
        <v>8.8000000000000007</v>
      </c>
      <c r="M26" s="9">
        <v>7.5</v>
      </c>
      <c r="N26" s="12">
        <f t="shared" si="2"/>
        <v>17.242564783632691</v>
      </c>
      <c r="O26" s="9">
        <v>9.1999999999999993</v>
      </c>
      <c r="P26" s="9">
        <v>7.5</v>
      </c>
      <c r="Q26" s="12">
        <f t="shared" si="3"/>
        <v>18.68885986690692</v>
      </c>
    </row>
    <row r="27" spans="2:17" x14ac:dyDescent="0.3">
      <c r="B27" s="9">
        <v>6</v>
      </c>
      <c r="C27" s="9">
        <v>7.8</v>
      </c>
      <c r="D27" s="9">
        <v>4.3</v>
      </c>
      <c r="E27" s="12">
        <f t="shared" si="4"/>
        <v>8.3712748405668833</v>
      </c>
      <c r="F27" s="9">
        <v>8.1999999999999993</v>
      </c>
      <c r="G27" s="9">
        <v>6.5</v>
      </c>
      <c r="H27" s="12">
        <f t="shared" si="0"/>
        <v>13.326741122807404</v>
      </c>
      <c r="I27" s="9">
        <v>13.5</v>
      </c>
      <c r="J27" s="9">
        <v>8</v>
      </c>
      <c r="K27" s="12">
        <f t="shared" si="5"/>
        <v>39.697035579725984</v>
      </c>
      <c r="L27" s="9">
        <v>9.9</v>
      </c>
      <c r="M27" s="9">
        <v>7.5</v>
      </c>
      <c r="N27" s="12">
        <f t="shared" si="2"/>
        <v>21.344708939903175</v>
      </c>
      <c r="O27" s="9">
        <v>8.1999999999999993</v>
      </c>
      <c r="P27" s="9">
        <v>7.5</v>
      </c>
      <c r="Q27" s="12">
        <f t="shared" si="3"/>
        <v>15.171550428506348</v>
      </c>
    </row>
    <row r="28" spans="2:17" x14ac:dyDescent="0.3">
      <c r="B28" s="9">
        <v>7</v>
      </c>
      <c r="C28" s="9">
        <v>13.5</v>
      </c>
      <c r="D28" s="9">
        <v>10.7</v>
      </c>
      <c r="E28" s="12">
        <f t="shared" si="4"/>
        <v>51.6630748797023</v>
      </c>
      <c r="F28" s="9">
        <v>5.4</v>
      </c>
      <c r="G28" s="9">
        <v>3.3</v>
      </c>
      <c r="H28" s="12">
        <f t="shared" si="0"/>
        <v>3.3827108947084894</v>
      </c>
      <c r="I28" s="9">
        <v>10.7</v>
      </c>
      <c r="J28" s="9">
        <v>8</v>
      </c>
      <c r="K28" s="12">
        <f t="shared" si="5"/>
        <v>26.051737480520668</v>
      </c>
      <c r="L28" s="9">
        <v>12.3</v>
      </c>
      <c r="M28" s="9">
        <v>7.5</v>
      </c>
      <c r="N28" s="12">
        <f t="shared" si="2"/>
        <v>31.63059244511069</v>
      </c>
      <c r="O28" s="9">
        <v>9.8000000000000007</v>
      </c>
      <c r="P28" s="9">
        <v>7.5</v>
      </c>
      <c r="Q28" s="12">
        <f t="shared" si="3"/>
        <v>20.95563925590308</v>
      </c>
    </row>
    <row r="29" spans="2:17" x14ac:dyDescent="0.3">
      <c r="B29" s="9">
        <v>8</v>
      </c>
      <c r="C29" s="9">
        <v>8.3000000000000007</v>
      </c>
      <c r="D29" s="9">
        <v>7</v>
      </c>
      <c r="E29" s="12">
        <f t="shared" si="4"/>
        <v>14.568743176677218</v>
      </c>
      <c r="F29" s="9">
        <v>6.8</v>
      </c>
      <c r="G29" s="9">
        <v>7.6</v>
      </c>
      <c r="H29" s="12">
        <f t="shared" si="0"/>
        <v>10.937473763365476</v>
      </c>
      <c r="I29" s="9">
        <v>9</v>
      </c>
      <c r="J29" s="9">
        <v>8</v>
      </c>
      <c r="K29" s="12">
        <f t="shared" si="5"/>
        <v>19.040603751104221</v>
      </c>
      <c r="L29" s="9">
        <v>7.6</v>
      </c>
      <c r="M29" s="9">
        <v>6.5</v>
      </c>
      <c r="N29" s="12">
        <f t="shared" si="2"/>
        <v>11.612547144623571</v>
      </c>
      <c r="O29" s="9">
        <v>10.199999999999999</v>
      </c>
      <c r="P29" s="9">
        <v>7.5</v>
      </c>
      <c r="Q29" s="12">
        <f t="shared" si="3"/>
        <v>22.531119744383467</v>
      </c>
    </row>
    <row r="30" spans="2:17" x14ac:dyDescent="0.3">
      <c r="B30" s="9">
        <v>9</v>
      </c>
      <c r="C30" s="9">
        <v>10.1</v>
      </c>
      <c r="D30" s="9">
        <v>7.5</v>
      </c>
      <c r="E30" s="12">
        <f t="shared" si="4"/>
        <v>22.132455197259084</v>
      </c>
      <c r="F30" s="9">
        <v>5.9</v>
      </c>
      <c r="G30" s="9">
        <v>4.4000000000000004</v>
      </c>
      <c r="H30" s="12">
        <f t="shared" si="0"/>
        <v>5.1540156129392454</v>
      </c>
      <c r="I30" s="9">
        <v>10.4</v>
      </c>
      <c r="J30" s="9">
        <v>8</v>
      </c>
      <c r="K30" s="12">
        <f t="shared" si="5"/>
        <v>24.743304448519279</v>
      </c>
      <c r="L30" s="9">
        <v>7.2</v>
      </c>
      <c r="M30" s="9">
        <v>6.7</v>
      </c>
      <c r="N30" s="12">
        <f t="shared" si="2"/>
        <v>10.821912411730006</v>
      </c>
      <c r="O30" s="9">
        <v>6.5</v>
      </c>
      <c r="P30" s="9">
        <v>7</v>
      </c>
      <c r="Q30" s="12">
        <f t="shared" si="3"/>
        <v>9.3551678998629075</v>
      </c>
    </row>
    <row r="31" spans="2:17" x14ac:dyDescent="0.3">
      <c r="B31" s="9">
        <v>10</v>
      </c>
      <c r="C31" s="9">
        <v>10</v>
      </c>
      <c r="D31" s="9">
        <v>8</v>
      </c>
      <c r="E31" s="12">
        <f t="shared" si="4"/>
        <v>23.045879567852026</v>
      </c>
      <c r="F31" s="9">
        <v>6.4</v>
      </c>
      <c r="G31" s="9">
        <v>3.8</v>
      </c>
      <c r="H31" s="12">
        <f t="shared" si="0"/>
        <v>5.2296883771574807</v>
      </c>
      <c r="I31" s="9">
        <v>8.1999999999999993</v>
      </c>
      <c r="J31" s="9">
        <v>7</v>
      </c>
      <c r="K31" s="12">
        <f t="shared" si="5"/>
        <v>14.252245171002555</v>
      </c>
      <c r="L31" s="9">
        <v>4.2</v>
      </c>
      <c r="M31" s="9">
        <v>3</v>
      </c>
      <c r="N31" s="12">
        <f t="shared" si="2"/>
        <v>1.9678560702887704</v>
      </c>
      <c r="O31" s="9">
        <v>7.9</v>
      </c>
      <c r="P31" s="9">
        <v>7</v>
      </c>
      <c r="Q31" s="12">
        <f t="shared" si="3"/>
        <v>13.321492159057355</v>
      </c>
    </row>
    <row r="32" spans="2:17" x14ac:dyDescent="0.3">
      <c r="B32" s="9">
        <v>11</v>
      </c>
      <c r="C32" s="9">
        <v>8.8000000000000007</v>
      </c>
      <c r="D32" s="9">
        <v>7</v>
      </c>
      <c r="E32" s="12">
        <f t="shared" si="4"/>
        <v>16.197768437132737</v>
      </c>
      <c r="F32" s="9">
        <v>10.1</v>
      </c>
      <c r="G32" s="9">
        <v>8</v>
      </c>
      <c r="H32" s="12">
        <f t="shared" si="0"/>
        <v>23.46516526713091</v>
      </c>
      <c r="I32" s="9">
        <v>10.6</v>
      </c>
      <c r="J32" s="9">
        <v>6.8</v>
      </c>
      <c r="K32" s="12">
        <f t="shared" si="5"/>
        <v>22.105536648863708</v>
      </c>
      <c r="L32" s="9">
        <v>8</v>
      </c>
      <c r="M32" s="9">
        <v>4.2</v>
      </c>
      <c r="N32" s="12">
        <f t="shared" si="2"/>
        <v>8.5793951958239596</v>
      </c>
      <c r="O32" s="9">
        <v>6.9</v>
      </c>
      <c r="P32" s="9">
        <v>6.5</v>
      </c>
      <c r="Q32" s="12">
        <f t="shared" si="3"/>
        <v>9.7473781161250521</v>
      </c>
    </row>
    <row r="33" spans="2:17" x14ac:dyDescent="0.3">
      <c r="B33" s="9">
        <v>12</v>
      </c>
      <c r="C33" s="9">
        <v>6.3</v>
      </c>
      <c r="D33" s="9">
        <v>5.4</v>
      </c>
      <c r="E33" s="12">
        <f t="shared" si="4"/>
        <v>6.9879144880960817</v>
      </c>
      <c r="F33" s="9">
        <v>6.4</v>
      </c>
      <c r="G33" s="9">
        <v>4</v>
      </c>
      <c r="H33" s="12">
        <f t="shared" si="0"/>
        <v>5.4784565909263936</v>
      </c>
      <c r="I33" s="9">
        <v>9</v>
      </c>
      <c r="J33" s="9">
        <v>7</v>
      </c>
      <c r="K33" s="12">
        <f t="shared" si="5"/>
        <v>16.870968369193076</v>
      </c>
      <c r="L33" s="9">
        <v>2.8</v>
      </c>
      <c r="M33" s="9">
        <v>2.5</v>
      </c>
      <c r="N33" s="12">
        <f t="shared" si="2"/>
        <v>0.80016170106509177</v>
      </c>
      <c r="O33" s="9">
        <v>7.6</v>
      </c>
      <c r="P33" s="9">
        <v>7</v>
      </c>
      <c r="Q33" s="12">
        <f t="shared" si="3"/>
        <v>12.41900532469678</v>
      </c>
    </row>
    <row r="34" spans="2:17" x14ac:dyDescent="0.3">
      <c r="B34" s="9">
        <v>13</v>
      </c>
      <c r="C34" s="9">
        <v>6.4</v>
      </c>
      <c r="D34" s="9">
        <v>6</v>
      </c>
      <c r="E34" s="12">
        <f t="shared" si="4"/>
        <v>7.9103719643592036</v>
      </c>
      <c r="F34" s="9">
        <v>10.3</v>
      </c>
      <c r="G34" s="9">
        <v>9.4</v>
      </c>
      <c r="H34" s="12">
        <f t="shared" si="0"/>
        <v>28.138999149665974</v>
      </c>
      <c r="I34" s="9">
        <v>10.1</v>
      </c>
      <c r="J34" s="9">
        <v>7.5</v>
      </c>
      <c r="K34" s="12">
        <f t="shared" si="5"/>
        <v>22.132455197259084</v>
      </c>
      <c r="L34" s="9">
        <v>4.3</v>
      </c>
      <c r="M34" s="9">
        <v>3.3</v>
      </c>
      <c r="N34" s="12">
        <f t="shared" si="2"/>
        <v>2.2387841876680512</v>
      </c>
      <c r="O34" s="9">
        <v>8.1</v>
      </c>
      <c r="P34" s="9">
        <v>7</v>
      </c>
      <c r="Q34" s="12">
        <f t="shared" si="3"/>
        <v>13.93886584668804</v>
      </c>
    </row>
    <row r="35" spans="2:17" x14ac:dyDescent="0.3">
      <c r="B35" s="9">
        <v>14</v>
      </c>
      <c r="C35" s="9">
        <v>8.4</v>
      </c>
      <c r="D35" s="9">
        <v>8.1999999999999993</v>
      </c>
      <c r="E35" s="12">
        <f t="shared" si="4"/>
        <v>17.183165634354381</v>
      </c>
      <c r="F35" s="9">
        <v>4.2</v>
      </c>
      <c r="G35" s="9">
        <v>4</v>
      </c>
      <c r="H35" s="12">
        <f t="shared" si="0"/>
        <v>2.5538055483218485</v>
      </c>
      <c r="I35" s="9">
        <v>13.3</v>
      </c>
      <c r="J35" s="9">
        <v>9</v>
      </c>
      <c r="K35" s="12">
        <f t="shared" si="5"/>
        <v>42.98893110877507</v>
      </c>
      <c r="L35" s="9">
        <v>4.2</v>
      </c>
      <c r="M35" s="9">
        <v>3.3</v>
      </c>
      <c r="N35" s="12">
        <f t="shared" si="2"/>
        <v>2.1453349281326535</v>
      </c>
      <c r="O35" s="9">
        <v>4.5999999999999996</v>
      </c>
      <c r="P35" s="9">
        <v>4.5</v>
      </c>
      <c r="Q35" s="12">
        <f t="shared" si="3"/>
        <v>3.3505915454992379</v>
      </c>
    </row>
    <row r="36" spans="2:17" x14ac:dyDescent="0.3">
      <c r="B36" s="9">
        <v>15</v>
      </c>
      <c r="C36" s="9">
        <v>8.9</v>
      </c>
      <c r="D36" s="9">
        <v>7</v>
      </c>
      <c r="E36" s="12">
        <f t="shared" si="4"/>
        <v>16.532832893653978</v>
      </c>
      <c r="F36" s="9">
        <v>10.1</v>
      </c>
      <c r="G36" s="9">
        <v>7</v>
      </c>
      <c r="H36" s="12">
        <f t="shared" si="0"/>
        <v>20.791360724404321</v>
      </c>
      <c r="I36" s="9">
        <v>8.9</v>
      </c>
      <c r="J36" s="9">
        <v>8</v>
      </c>
      <c r="K36" s="12">
        <f t="shared" si="5"/>
        <v>18.658983475193583</v>
      </c>
      <c r="L36" s="9">
        <v>6.1</v>
      </c>
      <c r="M36" s="9">
        <v>3.8</v>
      </c>
      <c r="N36" s="12">
        <f t="shared" si="2"/>
        <v>4.7939705237322947</v>
      </c>
      <c r="O36" s="9">
        <v>11.3</v>
      </c>
      <c r="P36" s="9">
        <v>7.5</v>
      </c>
      <c r="Q36" s="12">
        <f t="shared" si="3"/>
        <v>27.125478254160537</v>
      </c>
    </row>
    <row r="37" spans="2:17" x14ac:dyDescent="0.3">
      <c r="B37" s="9">
        <v>16</v>
      </c>
      <c r="C37" s="9">
        <v>7.9</v>
      </c>
      <c r="D37" s="9">
        <v>4.9000000000000004</v>
      </c>
      <c r="E37" s="12">
        <f t="shared" si="4"/>
        <v>9.6429895860915931</v>
      </c>
      <c r="F37" s="9">
        <v>4.5999999999999996</v>
      </c>
      <c r="G37" s="9">
        <v>4</v>
      </c>
      <c r="H37" s="12">
        <f t="shared" si="0"/>
        <v>3.0114614144643044</v>
      </c>
      <c r="I37" s="9">
        <v>11.1</v>
      </c>
      <c r="J37" s="9">
        <v>8.5</v>
      </c>
      <c r="K37" s="12">
        <f t="shared" si="5"/>
        <v>29.41525001874022</v>
      </c>
      <c r="L37" s="9">
        <v>7.9</v>
      </c>
      <c r="M37" s="9">
        <v>6.9</v>
      </c>
      <c r="N37" s="12">
        <f t="shared" si="2"/>
        <v>13.148957614988687</v>
      </c>
      <c r="O37" s="9">
        <v>8.6999999999999993</v>
      </c>
      <c r="P37" s="9">
        <v>7.5</v>
      </c>
      <c r="Q37" s="12">
        <f t="shared" si="3"/>
        <v>16.889163895950166</v>
      </c>
    </row>
    <row r="38" spans="2:17" x14ac:dyDescent="0.3">
      <c r="B38" s="9">
        <v>17</v>
      </c>
      <c r="C38" s="9">
        <v>5.4</v>
      </c>
      <c r="D38" s="9">
        <v>3.9</v>
      </c>
      <c r="E38" s="12">
        <f t="shared" si="4"/>
        <v>3.9354625735410007</v>
      </c>
      <c r="F38" s="9">
        <v>9.6</v>
      </c>
      <c r="G38" s="9">
        <v>7</v>
      </c>
      <c r="H38" s="12">
        <f t="shared" si="0"/>
        <v>18.963917545103374</v>
      </c>
      <c r="I38" s="9">
        <v>6.6</v>
      </c>
      <c r="J38" s="9">
        <v>6.5</v>
      </c>
      <c r="K38" s="12">
        <f t="shared" si="5"/>
        <v>8.9930471861184653</v>
      </c>
      <c r="L38" s="9">
        <v>10.4</v>
      </c>
      <c r="M38" s="9">
        <v>7</v>
      </c>
      <c r="N38" s="12">
        <f t="shared" si="2"/>
        <v>21.923858726174828</v>
      </c>
      <c r="O38" s="9">
        <v>7.6</v>
      </c>
      <c r="P38" s="9">
        <v>6.5</v>
      </c>
      <c r="Q38" s="12">
        <f t="shared" si="3"/>
        <v>11.612547144623571</v>
      </c>
    </row>
    <row r="39" spans="2:17" x14ac:dyDescent="0.3">
      <c r="B39" s="9">
        <v>18</v>
      </c>
      <c r="C39" s="9">
        <v>5.7</v>
      </c>
      <c r="D39" s="9">
        <v>3.4</v>
      </c>
      <c r="E39" s="12">
        <f t="shared" si="4"/>
        <v>3.8331772076892094</v>
      </c>
      <c r="F39" s="9">
        <v>10.5</v>
      </c>
      <c r="G39" s="9">
        <v>9</v>
      </c>
      <c r="H39" s="12">
        <f t="shared" si="0"/>
        <v>28.011249591981141</v>
      </c>
      <c r="I39" s="9">
        <v>9.9</v>
      </c>
      <c r="J39" s="9">
        <v>9.1</v>
      </c>
      <c r="K39" s="12">
        <f t="shared" si="5"/>
        <v>25.431749306922281</v>
      </c>
      <c r="L39" s="9">
        <v>10.199999999999999</v>
      </c>
      <c r="M39" s="9">
        <v>7</v>
      </c>
      <c r="N39" s="12">
        <f t="shared" si="2"/>
        <v>21.165868583266747</v>
      </c>
      <c r="O39" s="9">
        <v>7.3</v>
      </c>
      <c r="P39" s="9">
        <v>7</v>
      </c>
      <c r="Q39" s="12">
        <f t="shared" si="3"/>
        <v>11.544991210511613</v>
      </c>
    </row>
    <row r="40" spans="2:17" x14ac:dyDescent="0.3">
      <c r="B40" s="9">
        <v>19</v>
      </c>
      <c r="C40" s="9">
        <v>6.8</v>
      </c>
      <c r="D40" s="9">
        <v>4.4000000000000004</v>
      </c>
      <c r="E40" s="12">
        <f t="shared" si="4"/>
        <v>6.6660418296000303</v>
      </c>
      <c r="F40" s="9">
        <v>8.5</v>
      </c>
      <c r="G40" s="9">
        <v>6.1</v>
      </c>
      <c r="H40" s="12">
        <f t="shared" si="0"/>
        <v>13.427949019459486</v>
      </c>
      <c r="I40" s="9">
        <v>6.9</v>
      </c>
      <c r="J40" s="9">
        <v>7</v>
      </c>
      <c r="K40" s="12">
        <f t="shared" si="5"/>
        <v>10.424305642714682</v>
      </c>
      <c r="L40" s="9">
        <v>5.9</v>
      </c>
      <c r="M40" s="9">
        <v>7</v>
      </c>
      <c r="N40" s="12">
        <f t="shared" si="2"/>
        <v>7.8493994248436021</v>
      </c>
      <c r="O40" s="9">
        <v>7</v>
      </c>
      <c r="P40" s="9">
        <v>6.5</v>
      </c>
      <c r="Q40" s="12">
        <f t="shared" si="3"/>
        <v>10.004857548898755</v>
      </c>
    </row>
    <row r="41" spans="2:17" x14ac:dyDescent="0.3">
      <c r="B41" s="9">
        <v>20</v>
      </c>
      <c r="C41" s="9">
        <v>5.9</v>
      </c>
      <c r="D41" s="9">
        <v>4.7</v>
      </c>
      <c r="E41" s="12">
        <f t="shared" si="4"/>
        <v>5.4713974565943708</v>
      </c>
      <c r="F41" s="9">
        <v>4.5999999999999996</v>
      </c>
      <c r="G41" s="9">
        <v>4.0999999999999996</v>
      </c>
      <c r="H41" s="12">
        <f t="shared" si="0"/>
        <v>3.0795915904704825</v>
      </c>
      <c r="I41" s="9">
        <v>12.8</v>
      </c>
      <c r="J41" s="9">
        <v>9</v>
      </c>
      <c r="K41" s="12">
        <f t="shared" ref="K41:K54" si="6">0.045*(I41^2*J41)^0.906*(1+$E$9)</f>
        <v>40.105315609424302</v>
      </c>
      <c r="L41" s="9">
        <v>8.3000000000000007</v>
      </c>
      <c r="M41" s="9">
        <v>7</v>
      </c>
      <c r="N41" s="12">
        <f t="shared" si="2"/>
        <v>14.568743176677218</v>
      </c>
      <c r="O41" s="9">
        <v>6.2</v>
      </c>
      <c r="P41" s="9">
        <v>6.5</v>
      </c>
      <c r="Q41" s="12">
        <f t="shared" si="3"/>
        <v>8.0298420441687917</v>
      </c>
    </row>
    <row r="42" spans="2:17" x14ac:dyDescent="0.3">
      <c r="B42" s="9">
        <v>21</v>
      </c>
      <c r="C42" s="9">
        <v>11.4</v>
      </c>
      <c r="D42" s="9">
        <v>10</v>
      </c>
      <c r="E42" s="12">
        <f t="shared" si="4"/>
        <v>35.768880722325179</v>
      </c>
      <c r="F42" s="9">
        <v>10.9</v>
      </c>
      <c r="G42" s="9">
        <v>7.5</v>
      </c>
      <c r="H42" s="12">
        <f t="shared" si="0"/>
        <v>25.410667807850846</v>
      </c>
      <c r="I42" s="9">
        <v>13.1</v>
      </c>
      <c r="J42" s="9">
        <v>9</v>
      </c>
      <c r="K42" s="12">
        <f t="shared" si="6"/>
        <v>41.824721819133522</v>
      </c>
      <c r="L42" s="9">
        <v>12.7</v>
      </c>
      <c r="M42" s="9">
        <v>9</v>
      </c>
      <c r="N42" s="12">
        <f t="shared" si="2"/>
        <v>39.539376422109271</v>
      </c>
      <c r="O42" s="9">
        <v>7.6</v>
      </c>
      <c r="P42" s="9">
        <v>6.5</v>
      </c>
      <c r="Q42" s="12">
        <f t="shared" si="3"/>
        <v>11.612547144623571</v>
      </c>
    </row>
    <row r="43" spans="2:17" x14ac:dyDescent="0.3">
      <c r="B43" s="9">
        <v>22</v>
      </c>
      <c r="C43" s="9">
        <v>8.4</v>
      </c>
      <c r="D43" s="9">
        <v>5.7</v>
      </c>
      <c r="E43" s="12">
        <f t="shared" si="4"/>
        <v>12.359771601138371</v>
      </c>
      <c r="F43" s="9">
        <v>11.9</v>
      </c>
      <c r="G43" s="9">
        <v>7.5</v>
      </c>
      <c r="H43" s="12">
        <f t="shared" si="0"/>
        <v>29.79136198468623</v>
      </c>
      <c r="I43" s="9">
        <v>6.6</v>
      </c>
      <c r="J43" s="9">
        <v>6.5</v>
      </c>
      <c r="K43" s="12">
        <f t="shared" si="6"/>
        <v>8.9930471861184653</v>
      </c>
      <c r="L43" s="9">
        <v>6.3</v>
      </c>
      <c r="M43" s="9">
        <v>6.5</v>
      </c>
      <c r="N43" s="12">
        <f t="shared" si="2"/>
        <v>8.2660558740644454</v>
      </c>
      <c r="O43" s="9">
        <v>5.0999999999999996</v>
      </c>
      <c r="P43" s="9">
        <v>6</v>
      </c>
      <c r="Q43" s="12">
        <f t="shared" si="3"/>
        <v>5.2422285550963421</v>
      </c>
    </row>
    <row r="44" spans="2:17" x14ac:dyDescent="0.3">
      <c r="B44" s="9">
        <v>23</v>
      </c>
      <c r="C44" s="9">
        <v>7.3</v>
      </c>
      <c r="D44" s="9">
        <v>4.8</v>
      </c>
      <c r="E44" s="12">
        <f t="shared" si="4"/>
        <v>8.2023697634994832</v>
      </c>
      <c r="F44" s="9">
        <v>5.7</v>
      </c>
      <c r="G44" s="9">
        <v>5.8</v>
      </c>
      <c r="H44" s="12">
        <f t="shared" si="0"/>
        <v>6.2187738039953242</v>
      </c>
      <c r="I44" s="9">
        <v>10.7</v>
      </c>
      <c r="J44" s="9">
        <v>8</v>
      </c>
      <c r="K44" s="12">
        <f t="shared" si="6"/>
        <v>26.051737480520668</v>
      </c>
      <c r="L44" s="9">
        <v>10.5</v>
      </c>
      <c r="M44" s="9">
        <v>8</v>
      </c>
      <c r="N44" s="12">
        <f t="shared" si="2"/>
        <v>25.176090899677661</v>
      </c>
      <c r="O44" s="9">
        <v>9.6</v>
      </c>
      <c r="P44" s="9">
        <v>7</v>
      </c>
      <c r="Q44" s="12">
        <f t="shared" si="3"/>
        <v>18.963917545103374</v>
      </c>
    </row>
    <row r="45" spans="2:17" x14ac:dyDescent="0.3">
      <c r="B45" s="9">
        <v>24</v>
      </c>
      <c r="C45" s="9">
        <v>9.3000000000000007</v>
      </c>
      <c r="D45" s="9">
        <v>8</v>
      </c>
      <c r="E45" s="12">
        <f t="shared" si="4"/>
        <v>20.206188066745529</v>
      </c>
      <c r="F45" s="9">
        <v>6.4</v>
      </c>
      <c r="G45" s="9">
        <v>6</v>
      </c>
      <c r="H45" s="12">
        <f t="shared" si="0"/>
        <v>7.9103719643592036</v>
      </c>
      <c r="I45" s="9">
        <v>11.6</v>
      </c>
      <c r="J45" s="9">
        <v>8</v>
      </c>
      <c r="K45" s="12">
        <f t="shared" si="6"/>
        <v>30.157210298379582</v>
      </c>
      <c r="L45" s="9">
        <v>9.8000000000000007</v>
      </c>
      <c r="M45" s="9">
        <v>8</v>
      </c>
      <c r="N45" s="12">
        <f t="shared" si="2"/>
        <v>22.217487126283121</v>
      </c>
      <c r="O45" s="9">
        <v>8.6</v>
      </c>
      <c r="P45" s="9">
        <v>7</v>
      </c>
      <c r="Q45" s="12">
        <f t="shared" si="3"/>
        <v>15.53687879357846</v>
      </c>
    </row>
    <row r="46" spans="2:17" x14ac:dyDescent="0.3">
      <c r="B46" s="9">
        <v>25</v>
      </c>
      <c r="C46" s="9">
        <v>5.8</v>
      </c>
      <c r="D46" s="9">
        <v>4.4000000000000004</v>
      </c>
      <c r="E46" s="12">
        <f t="shared" si="4"/>
        <v>4.9968165929897559</v>
      </c>
      <c r="F46" s="9">
        <v>9.5</v>
      </c>
      <c r="G46" s="9">
        <v>6.5</v>
      </c>
      <c r="H46" s="12">
        <f t="shared" si="0"/>
        <v>17.399166085128488</v>
      </c>
      <c r="I46" s="9">
        <v>8.6</v>
      </c>
      <c r="J46" s="9">
        <v>7</v>
      </c>
      <c r="K46" s="12">
        <f t="shared" si="6"/>
        <v>15.53687879357846</v>
      </c>
      <c r="L46" s="9">
        <v>10.1</v>
      </c>
      <c r="M46" s="9">
        <v>8</v>
      </c>
      <c r="N46" s="12">
        <f t="shared" si="2"/>
        <v>23.46516526713091</v>
      </c>
      <c r="O46" s="9">
        <v>5.7</v>
      </c>
      <c r="P46" s="9">
        <v>5.8</v>
      </c>
      <c r="Q46" s="12">
        <f t="shared" si="3"/>
        <v>6.2187738039953242</v>
      </c>
    </row>
    <row r="47" spans="2:17" x14ac:dyDescent="0.3">
      <c r="B47" s="9">
        <v>26</v>
      </c>
      <c r="C47" s="9">
        <v>5.9</v>
      </c>
      <c r="D47" s="9">
        <v>4.5</v>
      </c>
      <c r="E47" s="12">
        <f t="shared" si="4"/>
        <v>5.2600290466616588</v>
      </c>
      <c r="F47" s="9">
        <v>7</v>
      </c>
      <c r="G47" s="9">
        <v>6.5</v>
      </c>
      <c r="H47" s="12">
        <f t="shared" si="0"/>
        <v>10.004857548898755</v>
      </c>
      <c r="I47" s="9">
        <v>11.2</v>
      </c>
      <c r="J47" s="9">
        <v>8</v>
      </c>
      <c r="K47" s="12">
        <f t="shared" si="6"/>
        <v>28.299342484769863</v>
      </c>
      <c r="L47" s="9">
        <v>8.6999999999999993</v>
      </c>
      <c r="M47" s="9">
        <v>8</v>
      </c>
      <c r="N47" s="12">
        <f t="shared" si="2"/>
        <v>17.90614816611987</v>
      </c>
      <c r="O47" s="9">
        <v>6</v>
      </c>
      <c r="P47" s="9">
        <v>5.8</v>
      </c>
      <c r="Q47" s="12">
        <f t="shared" si="3"/>
        <v>6.8244803510078071</v>
      </c>
    </row>
    <row r="48" spans="2:17" x14ac:dyDescent="0.3">
      <c r="B48" s="9">
        <v>27</v>
      </c>
      <c r="C48" s="9">
        <v>7.8</v>
      </c>
      <c r="D48" s="9">
        <v>7.8</v>
      </c>
      <c r="E48" s="12">
        <f t="shared" si="4"/>
        <v>14.358427840492258</v>
      </c>
      <c r="F48" s="9">
        <v>12.2</v>
      </c>
      <c r="G48" s="9">
        <v>7.5</v>
      </c>
      <c r="H48" s="12">
        <f t="shared" si="0"/>
        <v>31.166158688994898</v>
      </c>
      <c r="I48" s="9">
        <v>10</v>
      </c>
      <c r="J48" s="9">
        <v>7.5</v>
      </c>
      <c r="K48" s="12">
        <f t="shared" si="6"/>
        <v>21.736982936633684</v>
      </c>
      <c r="L48" s="9">
        <v>9.1999999999999993</v>
      </c>
      <c r="M48" s="9">
        <v>7.5</v>
      </c>
      <c r="N48" s="12">
        <f t="shared" si="2"/>
        <v>18.68885986690692</v>
      </c>
      <c r="O48" s="9">
        <v>7.1</v>
      </c>
      <c r="P48" s="9">
        <v>6</v>
      </c>
      <c r="Q48" s="12">
        <f t="shared" si="3"/>
        <v>9.5472637526980009</v>
      </c>
    </row>
    <row r="49" spans="2:17" x14ac:dyDescent="0.3">
      <c r="B49" s="9">
        <v>28</v>
      </c>
      <c r="C49" s="9">
        <v>7.3</v>
      </c>
      <c r="D49" s="9">
        <v>5.3</v>
      </c>
      <c r="E49" s="12">
        <f t="shared" si="4"/>
        <v>8.9728151360981201</v>
      </c>
      <c r="F49" s="9">
        <v>11.5</v>
      </c>
      <c r="G49" s="9">
        <v>7.5</v>
      </c>
      <c r="H49" s="12">
        <f t="shared" si="0"/>
        <v>28.001658268104862</v>
      </c>
      <c r="I49" s="9">
        <v>13.4</v>
      </c>
      <c r="J49" s="9">
        <v>8</v>
      </c>
      <c r="K49" s="12">
        <f t="shared" si="6"/>
        <v>39.165816306222077</v>
      </c>
      <c r="L49" s="9">
        <v>5.5</v>
      </c>
      <c r="M49" s="9">
        <v>4</v>
      </c>
      <c r="N49" s="12">
        <f t="shared" si="2"/>
        <v>4.1629127181246117</v>
      </c>
      <c r="O49" s="9">
        <v>6.1</v>
      </c>
      <c r="P49" s="9">
        <v>6.3</v>
      </c>
      <c r="Q49" s="12">
        <f t="shared" si="3"/>
        <v>7.5790358031835332</v>
      </c>
    </row>
    <row r="50" spans="2:17" x14ac:dyDescent="0.3">
      <c r="B50" s="9">
        <v>29</v>
      </c>
      <c r="C50" s="9">
        <v>8.3000000000000007</v>
      </c>
      <c r="D50" s="9">
        <v>8.3000000000000007</v>
      </c>
      <c r="E50" s="12">
        <f t="shared" si="4"/>
        <v>16.999964516944427</v>
      </c>
      <c r="F50" s="9">
        <v>10</v>
      </c>
      <c r="G50" s="9">
        <v>7.5</v>
      </c>
      <c r="H50" s="12">
        <f t="shared" si="0"/>
        <v>21.736982936633684</v>
      </c>
      <c r="I50" s="12">
        <v>12.7</v>
      </c>
      <c r="J50" s="12">
        <v>9.5</v>
      </c>
      <c r="K50" s="12">
        <f t="shared" si="6"/>
        <v>41.524430853032733</v>
      </c>
      <c r="L50" s="9">
        <v>7</v>
      </c>
      <c r="M50" s="9">
        <v>6</v>
      </c>
      <c r="N50" s="12">
        <f t="shared" si="2"/>
        <v>9.3050013650135313</v>
      </c>
      <c r="O50" s="9">
        <v>10.199999999999999</v>
      </c>
      <c r="P50" s="9">
        <v>8</v>
      </c>
      <c r="Q50" s="12">
        <f t="shared" si="3"/>
        <v>23.887835477057628</v>
      </c>
    </row>
    <row r="51" spans="2:17" x14ac:dyDescent="0.3">
      <c r="B51" s="9">
        <v>30</v>
      </c>
      <c r="C51" s="9">
        <v>9.3000000000000007</v>
      </c>
      <c r="D51" s="9">
        <v>9.3000000000000007</v>
      </c>
      <c r="E51" s="12">
        <f t="shared" si="4"/>
        <v>23.159565858522484</v>
      </c>
      <c r="F51" s="9">
        <v>10.6</v>
      </c>
      <c r="G51" s="9">
        <v>7.5</v>
      </c>
      <c r="H51" s="12">
        <f t="shared" si="0"/>
        <v>24.157583665490034</v>
      </c>
      <c r="I51" s="9">
        <v>10.199999999999999</v>
      </c>
      <c r="J51" s="9">
        <v>8</v>
      </c>
      <c r="K51" s="12">
        <f t="shared" si="6"/>
        <v>23.887835477057628</v>
      </c>
      <c r="L51" s="9">
        <v>7</v>
      </c>
      <c r="M51" s="9">
        <v>6.5</v>
      </c>
      <c r="N51" s="12">
        <f t="shared" si="2"/>
        <v>10.004857548898755</v>
      </c>
      <c r="O51" s="9">
        <v>9.3000000000000007</v>
      </c>
      <c r="P51" s="9">
        <v>8</v>
      </c>
      <c r="Q51" s="12">
        <f t="shared" si="3"/>
        <v>20.206188066745529</v>
      </c>
    </row>
    <row r="52" spans="2:17" x14ac:dyDescent="0.3">
      <c r="B52" s="9">
        <v>31</v>
      </c>
      <c r="C52" s="9">
        <v>7.3</v>
      </c>
      <c r="D52" s="9">
        <v>7.3</v>
      </c>
      <c r="E52" s="12">
        <f t="shared" si="4"/>
        <v>11.992377574847646</v>
      </c>
      <c r="F52" s="9">
        <v>8.9</v>
      </c>
      <c r="G52" s="9">
        <v>7</v>
      </c>
      <c r="H52" s="12">
        <f t="shared" si="0"/>
        <v>16.532832893653978</v>
      </c>
      <c r="I52" s="9">
        <v>10</v>
      </c>
      <c r="J52" s="9">
        <v>7.5</v>
      </c>
      <c r="K52" s="12">
        <f t="shared" si="6"/>
        <v>21.736982936633684</v>
      </c>
      <c r="L52" s="9">
        <v>7.2</v>
      </c>
      <c r="M52" s="9">
        <v>7</v>
      </c>
      <c r="N52" s="12">
        <f t="shared" si="2"/>
        <v>11.260017555103467</v>
      </c>
      <c r="O52" s="9">
        <v>10</v>
      </c>
      <c r="P52" s="9">
        <v>8</v>
      </c>
      <c r="Q52" s="12">
        <f t="shared" si="3"/>
        <v>23.045879567852026</v>
      </c>
    </row>
    <row r="53" spans="2:17" x14ac:dyDescent="0.3">
      <c r="B53" s="9">
        <v>32</v>
      </c>
      <c r="C53" s="9">
        <v>6.7</v>
      </c>
      <c r="D53" s="9">
        <v>6.7</v>
      </c>
      <c r="E53" s="12">
        <f t="shared" si="4"/>
        <v>9.4987197306391096</v>
      </c>
      <c r="F53" s="9">
        <v>12.8</v>
      </c>
      <c r="G53" s="9">
        <v>6</v>
      </c>
      <c r="H53" s="12">
        <f t="shared" si="0"/>
        <v>27.775587750054964</v>
      </c>
      <c r="I53" s="9">
        <v>4.2</v>
      </c>
      <c r="J53" s="9">
        <v>4.4000000000000004</v>
      </c>
      <c r="K53" s="12">
        <f t="shared" si="6"/>
        <v>2.7841305699099475</v>
      </c>
      <c r="L53" s="12">
        <v>11</v>
      </c>
      <c r="M53" s="12">
        <v>7</v>
      </c>
      <c r="N53" s="12">
        <f t="shared" si="2"/>
        <v>24.269237380586791</v>
      </c>
      <c r="O53" s="9">
        <v>11</v>
      </c>
      <c r="P53" s="9">
        <v>8.5</v>
      </c>
      <c r="Q53" s="12">
        <f t="shared" si="3"/>
        <v>28.936823280571637</v>
      </c>
    </row>
    <row r="54" spans="2:17" x14ac:dyDescent="0.3">
      <c r="B54" s="9">
        <v>33</v>
      </c>
      <c r="C54" s="9">
        <v>12.8</v>
      </c>
      <c r="D54" s="9">
        <v>10.4</v>
      </c>
      <c r="E54" s="12">
        <f t="shared" si="4"/>
        <v>45.718337593514505</v>
      </c>
      <c r="F54" s="9">
        <v>9.8000000000000007</v>
      </c>
      <c r="G54" s="9">
        <v>10.5</v>
      </c>
      <c r="H54" s="12">
        <f t="shared" si="0"/>
        <v>28.424505232545567</v>
      </c>
      <c r="I54" s="9">
        <v>9.5</v>
      </c>
      <c r="J54" s="9">
        <v>7.5</v>
      </c>
      <c r="K54" s="12">
        <f t="shared" si="6"/>
        <v>19.807717673957171</v>
      </c>
      <c r="L54" s="9">
        <v>9.6999999999999993</v>
      </c>
      <c r="M54" s="9">
        <v>6.5</v>
      </c>
      <c r="N54" s="12">
        <f t="shared" si="2"/>
        <v>18.068564211118062</v>
      </c>
      <c r="O54" s="9">
        <v>11.6</v>
      </c>
      <c r="P54" s="9">
        <v>8</v>
      </c>
      <c r="Q54" s="12">
        <f t="shared" si="3"/>
        <v>30.157210298379582</v>
      </c>
    </row>
    <row r="55" spans="2:17" x14ac:dyDescent="0.3">
      <c r="B55" s="9">
        <v>34</v>
      </c>
      <c r="C55" s="25">
        <f>AVERAGE(C19:C54)</f>
        <v>8.1060606060606091</v>
      </c>
      <c r="D55" s="25">
        <f>AVERAGE(D19:D54)</f>
        <v>6.4242424242424265</v>
      </c>
      <c r="E55" s="25">
        <f>SUM(E19:E54)</f>
        <v>489.91976727615264</v>
      </c>
      <c r="F55" s="12">
        <v>10.299999999999999</v>
      </c>
      <c r="G55" s="12">
        <v>8</v>
      </c>
      <c r="H55" s="12">
        <f t="shared" si="0"/>
        <v>24.313883934416047</v>
      </c>
      <c r="I55" s="25">
        <f>AVERAGE(I17:I54)</f>
        <v>10.106060606060604</v>
      </c>
      <c r="J55" s="25">
        <f>AVERAGE(J17:J54)</f>
        <v>7.7666666666666666</v>
      </c>
      <c r="K55" s="25">
        <f>SUM(K17:K54)</f>
        <v>811.32469242090804</v>
      </c>
      <c r="L55" s="9">
        <v>6.4</v>
      </c>
      <c r="M55" s="9">
        <v>5.4</v>
      </c>
      <c r="N55" s="12">
        <f t="shared" si="2"/>
        <v>7.1901941781082765</v>
      </c>
      <c r="O55" s="9">
        <v>6.4</v>
      </c>
      <c r="P55" s="9">
        <v>4</v>
      </c>
      <c r="Q55" s="12">
        <f t="shared" si="3"/>
        <v>5.4784565909263936</v>
      </c>
    </row>
    <row r="56" spans="2:17" x14ac:dyDescent="0.3">
      <c r="B56" s="9">
        <v>35</v>
      </c>
      <c r="C56" s="9"/>
      <c r="D56" s="9"/>
      <c r="E56" s="12"/>
      <c r="F56" s="9">
        <v>7.8</v>
      </c>
      <c r="G56" s="9">
        <v>7.6</v>
      </c>
      <c r="H56" s="12">
        <f t="shared" si="0"/>
        <v>14.024464727527915</v>
      </c>
      <c r="I56" s="12"/>
      <c r="J56" s="12"/>
      <c r="K56" s="12"/>
      <c r="L56" s="9">
        <v>8.1</v>
      </c>
      <c r="M56" s="9">
        <v>7</v>
      </c>
      <c r="N56" s="12">
        <f t="shared" si="2"/>
        <v>13.93886584668804</v>
      </c>
      <c r="O56" s="9">
        <v>8</v>
      </c>
      <c r="P56" s="9">
        <v>7</v>
      </c>
      <c r="Q56" s="12">
        <f t="shared" si="3"/>
        <v>13.628612406356343</v>
      </c>
    </row>
    <row r="57" spans="2:17" x14ac:dyDescent="0.3">
      <c r="B57" s="9">
        <v>36</v>
      </c>
      <c r="C57" s="9"/>
      <c r="D57" s="9"/>
      <c r="E57" s="12"/>
      <c r="F57" s="12">
        <v>5.8000000000000007</v>
      </c>
      <c r="G57" s="12">
        <v>3</v>
      </c>
      <c r="H57" s="12">
        <f t="shared" si="0"/>
        <v>3.5318084470990145</v>
      </c>
      <c r="I57" s="9"/>
      <c r="J57" s="9"/>
      <c r="K57" s="12"/>
      <c r="L57" s="9">
        <v>6.7</v>
      </c>
      <c r="M57" s="9">
        <v>4.7</v>
      </c>
      <c r="N57" s="12">
        <f t="shared" si="2"/>
        <v>6.8890916360139132</v>
      </c>
      <c r="O57" s="9">
        <v>3.5</v>
      </c>
      <c r="P57" s="9">
        <v>4.5</v>
      </c>
      <c r="Q57" s="12">
        <f t="shared" si="3"/>
        <v>2.0419993225310296</v>
      </c>
    </row>
    <row r="58" spans="2:17" x14ac:dyDescent="0.3">
      <c r="B58" s="9">
        <v>37</v>
      </c>
      <c r="C58" s="9"/>
      <c r="D58" s="9"/>
      <c r="E58" s="12"/>
      <c r="F58" s="25">
        <f>AVERAGE(F22:F57)</f>
        <v>8.2027777777777775</v>
      </c>
      <c r="G58" s="25">
        <f>AVERAGE(G22:G57)</f>
        <v>6.3083333333333336</v>
      </c>
      <c r="H58" s="25">
        <f>SUM(H22:H57)</f>
        <v>544.60331411049617</v>
      </c>
      <c r="I58" s="9"/>
      <c r="J58" s="9"/>
      <c r="K58" s="12"/>
      <c r="L58" s="9">
        <v>12.5</v>
      </c>
      <c r="M58" s="9">
        <v>8.5</v>
      </c>
      <c r="N58" s="12">
        <f t="shared" si="2"/>
        <v>36.479447331828496</v>
      </c>
      <c r="O58" s="9">
        <v>7.8</v>
      </c>
      <c r="P58" s="9">
        <v>7.5</v>
      </c>
      <c r="Q58" s="12">
        <f t="shared" si="3"/>
        <v>13.857174454259431</v>
      </c>
    </row>
    <row r="59" spans="2:17" x14ac:dyDescent="0.3">
      <c r="B59" s="9">
        <v>38</v>
      </c>
      <c r="C59" s="12"/>
      <c r="D59" s="12"/>
      <c r="E59" s="12"/>
      <c r="F59" s="9"/>
      <c r="G59" s="9"/>
      <c r="H59" s="9"/>
      <c r="I59" s="9"/>
      <c r="J59" s="9"/>
      <c r="K59" s="12"/>
      <c r="L59" s="9">
        <v>10.7</v>
      </c>
      <c r="M59" s="9">
        <v>8.5</v>
      </c>
      <c r="N59" s="12">
        <f t="shared" si="2"/>
        <v>27.522679427664084</v>
      </c>
      <c r="O59" s="9">
        <v>6.6</v>
      </c>
      <c r="P59" s="9">
        <v>7</v>
      </c>
      <c r="Q59" s="12">
        <f t="shared" si="3"/>
        <v>9.6175885874756499</v>
      </c>
    </row>
    <row r="60" spans="2:17" x14ac:dyDescent="0.3">
      <c r="B60" s="9">
        <v>39</v>
      </c>
      <c r="C60" s="9"/>
      <c r="D60" s="9"/>
      <c r="E60" s="9"/>
      <c r="F60" s="9"/>
      <c r="G60" s="9"/>
      <c r="H60" s="9"/>
      <c r="I60" s="9"/>
      <c r="J60" s="9"/>
      <c r="K60" s="12"/>
      <c r="L60" s="9">
        <v>10.9</v>
      </c>
      <c r="M60" s="9">
        <v>9</v>
      </c>
      <c r="N60" s="12">
        <f t="shared" si="2"/>
        <v>29.974661519090507</v>
      </c>
      <c r="O60" s="9">
        <v>7.3</v>
      </c>
      <c r="P60" s="9">
        <v>6.8</v>
      </c>
      <c r="Q60" s="12">
        <f t="shared" si="3"/>
        <v>11.245735308315616</v>
      </c>
    </row>
    <row r="61" spans="2:17" x14ac:dyDescent="0.3">
      <c r="B61" s="9">
        <v>40</v>
      </c>
      <c r="C61" s="9"/>
      <c r="D61" s="9"/>
      <c r="E61" s="9"/>
      <c r="F61" s="9"/>
      <c r="G61" s="9"/>
      <c r="H61" s="9"/>
      <c r="I61" s="12"/>
      <c r="J61" s="12"/>
      <c r="K61" s="12"/>
      <c r="L61" s="9">
        <v>13.6</v>
      </c>
      <c r="M61" s="9">
        <v>10</v>
      </c>
      <c r="N61" s="12">
        <f t="shared" si="2"/>
        <v>49.245467172866078</v>
      </c>
      <c r="O61" s="9">
        <v>5.3</v>
      </c>
      <c r="P61" s="9">
        <v>6</v>
      </c>
      <c r="Q61" s="12">
        <f t="shared" si="3"/>
        <v>5.6206516298387372</v>
      </c>
    </row>
    <row r="62" spans="2:17" x14ac:dyDescent="0.3">
      <c r="B62" s="9">
        <v>41</v>
      </c>
      <c r="C62" s="9"/>
      <c r="D62" s="9"/>
      <c r="E62" s="9"/>
      <c r="F62" s="9"/>
      <c r="G62" s="9"/>
      <c r="H62" s="9"/>
      <c r="I62" s="9"/>
      <c r="J62" s="9"/>
      <c r="K62" s="9"/>
      <c r="L62" s="25">
        <f>AVERAGE(L22:L61)</f>
        <v>8.3949999999999996</v>
      </c>
      <c r="M62" s="25">
        <f>AVERAGE(M22:M61)</f>
        <v>6.65</v>
      </c>
      <c r="N62" s="25">
        <f>SUM(N22:N61)</f>
        <v>675.98861292480456</v>
      </c>
      <c r="O62" s="9">
        <v>9.6</v>
      </c>
      <c r="P62" s="9">
        <v>7.5</v>
      </c>
      <c r="Q62" s="12">
        <f t="shared" si="3"/>
        <v>20.187137388216385</v>
      </c>
    </row>
    <row r="63" spans="2:17" x14ac:dyDescent="0.3">
      <c r="B63" s="9">
        <v>42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v>8.9</v>
      </c>
      <c r="P63" s="9">
        <v>7.5</v>
      </c>
      <c r="Q63" s="12">
        <f t="shared" si="3"/>
        <v>17.599241730872908</v>
      </c>
    </row>
    <row r="64" spans="2:17" x14ac:dyDescent="0.3">
      <c r="B64" s="9">
        <v>43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>
        <v>7.4</v>
      </c>
      <c r="P64" s="9">
        <v>6</v>
      </c>
      <c r="Q64" s="12">
        <f t="shared" si="3"/>
        <v>10.290741495689051</v>
      </c>
    </row>
    <row r="65" spans="2:17" x14ac:dyDescent="0.3">
      <c r="B65" s="9">
        <v>44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>
        <v>7</v>
      </c>
      <c r="P65" s="9">
        <v>6</v>
      </c>
      <c r="Q65" s="12">
        <f t="shared" si="3"/>
        <v>9.3050013650135313</v>
      </c>
    </row>
    <row r="66" spans="2:17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2">
        <v>7.7</v>
      </c>
      <c r="P66" s="12">
        <v>7</v>
      </c>
      <c r="Q66" s="12">
        <f t="shared" si="3"/>
        <v>12.716681029610072</v>
      </c>
    </row>
    <row r="67" spans="2:17" x14ac:dyDescent="0.3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9">
        <v>8</v>
      </c>
      <c r="P67" s="9">
        <v>7.2</v>
      </c>
      <c r="Q67" s="12">
        <f t="shared" si="3"/>
        <v>13.980929894915468</v>
      </c>
    </row>
    <row r="68" spans="2:17" x14ac:dyDescent="0.3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5">
        <f>AVERAGE(O22:O67)</f>
        <v>7.8391304347826081</v>
      </c>
      <c r="P68" s="25">
        <f>AVERAGE(P22:P67)</f>
        <v>6.8565217391304358</v>
      </c>
      <c r="Q68" s="25">
        <f>SUM(Q22:Q67)</f>
        <v>639.12073216044018</v>
      </c>
    </row>
  </sheetData>
  <mergeCells count="5">
    <mergeCell ref="C20:E20"/>
    <mergeCell ref="L20:N20"/>
    <mergeCell ref="O20:Q20"/>
    <mergeCell ref="F20:H20"/>
    <mergeCell ref="I20:K20"/>
  </mergeCells>
  <phoneticPr fontId="2" type="noConversion"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356D-E2FA-453F-A700-670F67FA2ED0}">
  <dimension ref="B2:AH50"/>
  <sheetViews>
    <sheetView topLeftCell="S29" workbookViewId="0">
      <selection activeCell="AC41" sqref="AC41"/>
    </sheetView>
  </sheetViews>
  <sheetFormatPr defaultColWidth="8.9296875" defaultRowHeight="13.15" x14ac:dyDescent="0.3"/>
  <cols>
    <col min="1" max="1" width="8.9296875" style="21"/>
    <col min="2" max="2" width="19.59765625" style="21" customWidth="1"/>
    <col min="3" max="3" width="14.9296875" style="21" customWidth="1"/>
    <col min="4" max="4" width="13.796875" style="21" customWidth="1"/>
    <col min="5" max="8" width="14.9296875" style="21" customWidth="1"/>
    <col min="9" max="9" width="11.796875" style="21" customWidth="1"/>
    <col min="10" max="10" width="14" style="21" customWidth="1"/>
    <col min="11" max="12" width="11.796875" style="21" customWidth="1"/>
    <col min="13" max="13" width="14.33203125" style="21" customWidth="1"/>
    <col min="14" max="14" width="14.59765625" style="21" customWidth="1"/>
    <col min="15" max="18" width="13.19921875" style="21" customWidth="1"/>
    <col min="19" max="19" width="16.06640625" style="21" customWidth="1"/>
    <col min="20" max="20" width="12.33203125" style="21" customWidth="1"/>
    <col min="21" max="21" width="10" style="21" bestFit="1" customWidth="1"/>
    <col min="22" max="23" width="8.9296875" style="21"/>
    <col min="24" max="24" width="10" style="21" bestFit="1" customWidth="1"/>
    <col min="25" max="27" width="8.9296875" style="21"/>
    <col min="28" max="28" width="12.19921875" style="21" bestFit="1" customWidth="1"/>
    <col min="29" max="16384" width="8.9296875" style="21"/>
  </cols>
  <sheetData>
    <row r="2" spans="2:28" ht="14.65" x14ac:dyDescent="0.3">
      <c r="B2" s="76" t="s">
        <v>95</v>
      </c>
    </row>
    <row r="3" spans="2:28" s="22" customFormat="1" x14ac:dyDescent="0.3">
      <c r="B3" s="24" t="s">
        <v>26</v>
      </c>
      <c r="C3" s="15">
        <v>0.2</v>
      </c>
      <c r="F3" s="23"/>
      <c r="G3" s="23"/>
      <c r="H3" s="23"/>
    </row>
    <row r="4" spans="2:28" x14ac:dyDescent="0.3">
      <c r="B4" s="24" t="s">
        <v>25</v>
      </c>
      <c r="C4" s="2">
        <f>20*20/10000</f>
        <v>0.04</v>
      </c>
      <c r="F4" s="22"/>
      <c r="G4" s="22"/>
      <c r="H4" s="22"/>
    </row>
    <row r="5" spans="2:28" x14ac:dyDescent="0.3">
      <c r="B5" s="24" t="s">
        <v>42</v>
      </c>
      <c r="C5" s="2">
        <v>0.5</v>
      </c>
      <c r="D5" s="94"/>
      <c r="F5" s="22"/>
      <c r="G5" s="22"/>
      <c r="H5" s="22"/>
    </row>
    <row r="6" spans="2:28" x14ac:dyDescent="0.3">
      <c r="B6" s="24" t="s">
        <v>96</v>
      </c>
      <c r="C6" s="2">
        <v>190</v>
      </c>
      <c r="F6" s="22"/>
      <c r="G6" s="22"/>
      <c r="H6" s="22"/>
    </row>
    <row r="7" spans="2:28" x14ac:dyDescent="0.3">
      <c r="B7" s="22"/>
      <c r="C7" s="77"/>
      <c r="D7" s="77"/>
      <c r="E7" s="77"/>
      <c r="F7" s="77"/>
      <c r="G7" s="77"/>
      <c r="H7" s="77"/>
    </row>
    <row r="8" spans="2:28" x14ac:dyDescent="0.3">
      <c r="B8" s="141" t="s">
        <v>97</v>
      </c>
      <c r="C8" s="140" t="s">
        <v>98</v>
      </c>
      <c r="D8" s="140"/>
      <c r="E8" s="140"/>
      <c r="F8" s="140"/>
      <c r="G8" s="140"/>
      <c r="H8" s="140"/>
      <c r="I8" s="143" t="s">
        <v>99</v>
      </c>
      <c r="J8" s="143"/>
      <c r="K8" s="143"/>
      <c r="L8" s="143"/>
      <c r="M8" s="143"/>
      <c r="N8" s="143"/>
      <c r="O8" s="143" t="s">
        <v>100</v>
      </c>
      <c r="P8" s="143"/>
      <c r="Q8" s="143"/>
      <c r="R8" s="143"/>
      <c r="S8" s="143"/>
      <c r="T8" s="143"/>
      <c r="U8" s="143" t="s">
        <v>101</v>
      </c>
      <c r="V8" s="143"/>
      <c r="W8" s="143"/>
      <c r="X8" s="143"/>
      <c r="Y8" s="143"/>
      <c r="Z8" s="143"/>
      <c r="AA8" s="133" t="s">
        <v>102</v>
      </c>
      <c r="AB8" s="133" t="s">
        <v>103</v>
      </c>
    </row>
    <row r="9" spans="2:28" ht="52.9" x14ac:dyDescent="0.3">
      <c r="B9" s="142"/>
      <c r="C9" s="2" t="s">
        <v>104</v>
      </c>
      <c r="D9" s="2" t="s">
        <v>105</v>
      </c>
      <c r="E9" s="2" t="s">
        <v>106</v>
      </c>
      <c r="F9" s="2" t="s">
        <v>6</v>
      </c>
      <c r="G9" s="2" t="s">
        <v>107</v>
      </c>
      <c r="H9" s="2" t="s">
        <v>102</v>
      </c>
      <c r="I9" s="2" t="s">
        <v>104</v>
      </c>
      <c r="J9" s="2" t="s">
        <v>105</v>
      </c>
      <c r="K9" s="2" t="s">
        <v>106</v>
      </c>
      <c r="L9" s="2" t="s">
        <v>6</v>
      </c>
      <c r="M9" s="2" t="s">
        <v>107</v>
      </c>
      <c r="N9" s="2" t="s">
        <v>102</v>
      </c>
      <c r="O9" s="2" t="s">
        <v>104</v>
      </c>
      <c r="P9" s="2" t="s">
        <v>105</v>
      </c>
      <c r="Q9" s="2" t="s">
        <v>106</v>
      </c>
      <c r="R9" s="2" t="s">
        <v>108</v>
      </c>
      <c r="S9" s="2" t="s">
        <v>107</v>
      </c>
      <c r="T9" s="2" t="s">
        <v>102</v>
      </c>
      <c r="U9" s="2" t="s">
        <v>104</v>
      </c>
      <c r="V9" s="2" t="s">
        <v>105</v>
      </c>
      <c r="W9" s="2" t="s">
        <v>106</v>
      </c>
      <c r="X9" s="2" t="s">
        <v>108</v>
      </c>
      <c r="Y9" s="2" t="s">
        <v>107</v>
      </c>
      <c r="Z9" s="2" t="s">
        <v>102</v>
      </c>
      <c r="AA9" s="133"/>
      <c r="AB9" s="133"/>
    </row>
    <row r="10" spans="2:28" x14ac:dyDescent="0.3">
      <c r="B10" s="8">
        <v>202108</v>
      </c>
      <c r="C10" s="86">
        <v>5.32</v>
      </c>
      <c r="D10" s="86"/>
      <c r="E10" s="86">
        <v>4.9800000000000004</v>
      </c>
      <c r="F10" s="81">
        <v>43</v>
      </c>
      <c r="G10" s="81">
        <f>0.045*(E10^2*C10)^0.906*F10</f>
        <v>161.33792878998759</v>
      </c>
      <c r="H10" s="81">
        <f t="shared" ref="H10:H11" si="0">G10/$C$4*$C$5*44/12/1000</f>
        <v>7.3946550695410975</v>
      </c>
      <c r="I10" s="87">
        <v>5.73</v>
      </c>
      <c r="J10" s="87"/>
      <c r="K10" s="87">
        <v>4.97</v>
      </c>
      <c r="L10" s="82">
        <v>45</v>
      </c>
      <c r="M10" s="82">
        <f>0.045*(K10^2*I10)^0.906*L10</f>
        <v>179.93302920266296</v>
      </c>
      <c r="N10" s="82">
        <f t="shared" ref="N10:N12" si="1">M10/$C$4*$C$5*44/12/1000</f>
        <v>8.2469305051220534</v>
      </c>
      <c r="O10" s="83">
        <v>5.77</v>
      </c>
      <c r="P10" s="83"/>
      <c r="Q10" s="83">
        <v>5.22</v>
      </c>
      <c r="R10" s="83">
        <v>40</v>
      </c>
      <c r="S10" s="83">
        <f>0.045*(Q10^2*O10)^0.906*R10</f>
        <v>175.92061850760041</v>
      </c>
      <c r="T10" s="83">
        <f>S10/$C$4*$C$5*44/12/1000</f>
        <v>8.0630283482650196</v>
      </c>
      <c r="U10" s="84">
        <v>4.95</v>
      </c>
      <c r="V10" s="84"/>
      <c r="W10" s="84">
        <v>5.12</v>
      </c>
      <c r="X10" s="84">
        <v>39</v>
      </c>
      <c r="Y10" s="84">
        <f>0.045*(W10^2*U10)^0.906*X10</f>
        <v>144.1406912055285</v>
      </c>
      <c r="Z10" s="84">
        <f t="shared" ref="Z10:Z12" si="2">Y10/$C$4*$C$5*44/12/1000</f>
        <v>6.6064483469200557</v>
      </c>
      <c r="AA10" s="85">
        <f>(H10+N10+T10+Z10)/4</f>
        <v>7.5777655674620554</v>
      </c>
      <c r="AB10" s="91">
        <f>AA10*$C$6</f>
        <v>1439.7754578177905</v>
      </c>
    </row>
    <row r="11" spans="2:28" x14ac:dyDescent="0.3">
      <c r="B11" s="8">
        <v>202208</v>
      </c>
      <c r="C11" s="86">
        <v>6.27</v>
      </c>
      <c r="D11" s="86"/>
      <c r="E11" s="86">
        <v>5.45</v>
      </c>
      <c r="F11" s="81">
        <v>43</v>
      </c>
      <c r="G11" s="81">
        <f t="shared" ref="G11" si="3">0.045*(E11^2*C11)^0.906*F11</f>
        <v>220.4732090745384</v>
      </c>
      <c r="H11" s="81">
        <f t="shared" si="0"/>
        <v>10.105022082583009</v>
      </c>
      <c r="I11" s="87">
        <v>6.06</v>
      </c>
      <c r="J11" s="87"/>
      <c r="K11" s="87">
        <v>5.34</v>
      </c>
      <c r="L11" s="82">
        <v>40</v>
      </c>
      <c r="M11" s="82">
        <f t="shared" ref="M11" si="4">0.045*(K11^2*I11)^0.906*L11</f>
        <v>191.6449855691462</v>
      </c>
      <c r="N11" s="82">
        <f t="shared" si="1"/>
        <v>8.7837285052525349</v>
      </c>
      <c r="O11" s="83">
        <v>6.01</v>
      </c>
      <c r="P11" s="83"/>
      <c r="Q11" s="83">
        <v>5.69</v>
      </c>
      <c r="R11" s="83">
        <v>40</v>
      </c>
      <c r="S11" s="83">
        <f t="shared" ref="S11" si="5">0.045*(Q11^2*O11)^0.906*R11</f>
        <v>213.40087874985616</v>
      </c>
      <c r="T11" s="83">
        <f t="shared" ref="T11:T12" si="6">S11/$C$4*$C$5*44/12/1000</f>
        <v>9.7808736093684079</v>
      </c>
      <c r="U11" s="84">
        <v>5.39</v>
      </c>
      <c r="V11" s="84"/>
      <c r="W11" s="84">
        <v>5.88</v>
      </c>
      <c r="X11" s="84">
        <v>35</v>
      </c>
      <c r="Y11" s="84">
        <f t="shared" ref="Y11" si="7">0.045*(W11^2*U11)^0.906*X11</f>
        <v>179.56086722017042</v>
      </c>
      <c r="Z11" s="84">
        <f t="shared" si="2"/>
        <v>8.2298730809244773</v>
      </c>
      <c r="AA11" s="85">
        <f t="shared" ref="AA11" si="8">(H11+N11+T11+Z11)/4</f>
        <v>9.2248743195321072</v>
      </c>
      <c r="AB11" s="91">
        <f t="shared" ref="AB11:AB12" si="9">AA11*$C$6</f>
        <v>1752.7261207111003</v>
      </c>
    </row>
    <row r="12" spans="2:28" x14ac:dyDescent="0.3">
      <c r="B12" s="8">
        <v>202311</v>
      </c>
      <c r="C12" s="81">
        <f>'MU1'!C7</f>
        <v>6.8071428571428596</v>
      </c>
      <c r="D12" s="86"/>
      <c r="E12" s="81">
        <f>'MU1'!C6</f>
        <v>6.3595238095238091</v>
      </c>
      <c r="F12" s="81">
        <f>'MU1'!C8</f>
        <v>42</v>
      </c>
      <c r="G12" s="81">
        <f>'MU1'!E66</f>
        <v>420.28432981997156</v>
      </c>
      <c r="H12" s="81">
        <f>G12/$C$4*$C$5*44/12/1000</f>
        <v>19.263031783415361</v>
      </c>
      <c r="I12" s="82">
        <f>'MU1'!D7</f>
        <v>6.9054054054054035</v>
      </c>
      <c r="J12" s="87"/>
      <c r="K12" s="82">
        <f>'MU1'!D6</f>
        <v>5.6081081081081079</v>
      </c>
      <c r="L12" s="82">
        <f>'MU1'!D8</f>
        <v>37</v>
      </c>
      <c r="M12" s="82">
        <f>'MU1'!H61</f>
        <v>346.76313931088345</v>
      </c>
      <c r="N12" s="82">
        <f t="shared" si="1"/>
        <v>15.893310551748824</v>
      </c>
      <c r="O12" s="83">
        <f>'MU1'!E7</f>
        <v>6.5524999999999993</v>
      </c>
      <c r="P12" s="83"/>
      <c r="Q12" s="83">
        <f>'MU1'!E6</f>
        <v>6.1224999999999987</v>
      </c>
      <c r="R12" s="83">
        <f>'MU1'!E8</f>
        <v>40</v>
      </c>
      <c r="S12" s="83">
        <f>'MU1'!K64</f>
        <v>427.17391760284028</v>
      </c>
      <c r="T12" s="83">
        <f t="shared" si="6"/>
        <v>19.578804556796847</v>
      </c>
      <c r="U12" s="84">
        <f>'MU1'!F7</f>
        <v>5.7764705882352931</v>
      </c>
      <c r="V12" s="84"/>
      <c r="W12" s="84">
        <f>'MU1'!F6</f>
        <v>6.3264705882352938</v>
      </c>
      <c r="X12" s="84">
        <f>'MU1'!F8</f>
        <v>34</v>
      </c>
      <c r="Y12" s="84">
        <f>'MU1'!N58</f>
        <v>297.35679261942437</v>
      </c>
      <c r="Z12" s="84">
        <f t="shared" si="2"/>
        <v>13.628852995056951</v>
      </c>
      <c r="AA12" s="85">
        <f>(H12+N12+T12+Z12)/4</f>
        <v>17.090999971754496</v>
      </c>
      <c r="AB12" s="91">
        <f t="shared" si="9"/>
        <v>3247.2899946333541</v>
      </c>
    </row>
    <row r="15" spans="2:28" ht="15.75" x14ac:dyDescent="0.3">
      <c r="B15" s="7" t="s">
        <v>74</v>
      </c>
      <c r="C15" s="29" t="s">
        <v>58</v>
      </c>
    </row>
    <row r="16" spans="2:28" x14ac:dyDescent="0.3">
      <c r="B16" s="24" t="s">
        <v>25</v>
      </c>
      <c r="C16" s="2">
        <f>20*20/10000</f>
        <v>0.04</v>
      </c>
      <c r="E16" s="22"/>
    </row>
    <row r="17" spans="2:28" ht="26.25" x14ac:dyDescent="0.3">
      <c r="B17" s="24" t="s">
        <v>109</v>
      </c>
      <c r="C17" s="2">
        <v>1.1000000000000001</v>
      </c>
      <c r="E17" s="22"/>
    </row>
    <row r="18" spans="2:28" x14ac:dyDescent="0.3">
      <c r="B18" s="24" t="s">
        <v>110</v>
      </c>
      <c r="C18" s="2">
        <v>0.3</v>
      </c>
      <c r="E18" s="22"/>
    </row>
    <row r="19" spans="2:28" x14ac:dyDescent="0.3">
      <c r="B19" s="24" t="s">
        <v>42</v>
      </c>
      <c r="C19" s="2">
        <v>0.5</v>
      </c>
      <c r="E19" s="22"/>
    </row>
    <row r="20" spans="2:28" x14ac:dyDescent="0.3">
      <c r="B20" s="88" t="s">
        <v>26</v>
      </c>
      <c r="C20" s="15">
        <v>0.2</v>
      </c>
      <c r="E20" s="22"/>
    </row>
    <row r="21" spans="2:28" x14ac:dyDescent="0.3">
      <c r="B21" s="24" t="s">
        <v>96</v>
      </c>
      <c r="C21" s="2">
        <v>708.44</v>
      </c>
      <c r="E21" s="22"/>
    </row>
    <row r="23" spans="2:28" ht="13.05" customHeight="1" x14ac:dyDescent="0.3">
      <c r="B23" s="140" t="s">
        <v>111</v>
      </c>
      <c r="C23" s="140" t="s">
        <v>112</v>
      </c>
      <c r="D23" s="140"/>
      <c r="E23" s="140"/>
      <c r="F23" s="140"/>
      <c r="G23" s="140"/>
      <c r="H23" s="140"/>
      <c r="I23" s="155" t="s">
        <v>113</v>
      </c>
      <c r="J23" s="156"/>
      <c r="K23" s="156"/>
      <c r="L23" s="156"/>
      <c r="M23" s="156"/>
      <c r="N23" s="157"/>
      <c r="O23" s="155" t="s">
        <v>114</v>
      </c>
      <c r="P23" s="156"/>
      <c r="Q23" s="156"/>
      <c r="R23" s="156"/>
      <c r="S23" s="156"/>
      <c r="T23" s="157"/>
      <c r="U23" s="155" t="s">
        <v>134</v>
      </c>
      <c r="V23" s="156"/>
      <c r="W23" s="156"/>
      <c r="X23" s="156"/>
      <c r="Y23" s="156"/>
      <c r="Z23" s="157"/>
      <c r="AA23" s="93" t="s">
        <v>102</v>
      </c>
      <c r="AB23" s="93" t="s">
        <v>103</v>
      </c>
    </row>
    <row r="24" spans="2:28" ht="52.9" x14ac:dyDescent="0.3">
      <c r="B24" s="140"/>
      <c r="C24" s="2" t="s">
        <v>104</v>
      </c>
      <c r="D24" s="2" t="s">
        <v>105</v>
      </c>
      <c r="E24" s="2" t="s">
        <v>106</v>
      </c>
      <c r="F24" s="2" t="s">
        <v>6</v>
      </c>
      <c r="G24" s="2" t="s">
        <v>115</v>
      </c>
      <c r="H24" s="2" t="s">
        <v>102</v>
      </c>
      <c r="I24" s="2" t="s">
        <v>104</v>
      </c>
      <c r="J24" s="2" t="s">
        <v>105</v>
      </c>
      <c r="K24" s="2" t="s">
        <v>106</v>
      </c>
      <c r="L24" s="2" t="s">
        <v>108</v>
      </c>
      <c r="M24" s="2" t="s">
        <v>115</v>
      </c>
      <c r="N24" s="2" t="s">
        <v>102</v>
      </c>
      <c r="O24" s="2" t="s">
        <v>104</v>
      </c>
      <c r="P24" s="2" t="s">
        <v>105</v>
      </c>
      <c r="Q24" s="2" t="s">
        <v>106</v>
      </c>
      <c r="R24" s="2" t="s">
        <v>108</v>
      </c>
      <c r="S24" s="2" t="s">
        <v>115</v>
      </c>
      <c r="T24" s="2" t="s">
        <v>102</v>
      </c>
      <c r="U24" s="2" t="s">
        <v>104</v>
      </c>
      <c r="V24" s="2" t="s">
        <v>105</v>
      </c>
      <c r="W24" s="2" t="s">
        <v>106</v>
      </c>
      <c r="X24" s="2" t="s">
        <v>108</v>
      </c>
      <c r="Y24" s="2" t="s">
        <v>115</v>
      </c>
      <c r="Z24" s="2" t="s">
        <v>102</v>
      </c>
      <c r="AA24" s="93"/>
      <c r="AB24" s="93"/>
    </row>
    <row r="25" spans="2:28" x14ac:dyDescent="0.3">
      <c r="B25" s="8">
        <v>202108</v>
      </c>
      <c r="C25" s="86">
        <v>2.0499999999999998</v>
      </c>
      <c r="D25" s="86"/>
      <c r="E25" s="86">
        <v>4.16</v>
      </c>
      <c r="F25" s="81">
        <v>36</v>
      </c>
      <c r="G25" s="81">
        <f>0.00006938*E25^1.763*C25^1.037*F25</f>
        <v>6.4906335765855944E-2</v>
      </c>
      <c r="H25" s="81">
        <f>G25/$C$16*$C$17*$C$18*$C$19*(1+$C$20)*44/12</f>
        <v>1.1780499941502851</v>
      </c>
      <c r="I25" s="87">
        <v>2.4900000000000002</v>
      </c>
      <c r="J25" s="87"/>
      <c r="K25" s="87">
        <v>5.55</v>
      </c>
      <c r="L25" s="82">
        <v>36</v>
      </c>
      <c r="M25" s="82">
        <f>0.00006938*K25^1.763*I25^1.037*L25</f>
        <v>0.13200307508556505</v>
      </c>
      <c r="N25" s="82">
        <f>M25/$C$16*$C$17*$C$18*$C$19*(1+$C$20)*44/12</f>
        <v>2.3958558128030059</v>
      </c>
      <c r="O25" s="83">
        <v>2.0499999999999998</v>
      </c>
      <c r="P25" s="83"/>
      <c r="Q25" s="83">
        <v>4.43</v>
      </c>
      <c r="R25" s="83">
        <v>46</v>
      </c>
      <c r="S25" s="83">
        <f>0.00006938*Q25^1.763*O25^1.037*R25</f>
        <v>9.2659648935044359E-2</v>
      </c>
      <c r="T25" s="83">
        <f>S25/$C$16*$C$17*$C$18*$C$19*(1+$C$20)*44/12</f>
        <v>1.681772628171055</v>
      </c>
      <c r="U25" s="84">
        <v>1.99</v>
      </c>
      <c r="V25" s="84"/>
      <c r="W25" s="84">
        <v>3.23</v>
      </c>
      <c r="X25" s="84">
        <v>80</v>
      </c>
      <c r="Y25" s="84">
        <f>0.00006938*W25^1.763*U25^1.037*X25</f>
        <v>8.9528017908449525E-2</v>
      </c>
      <c r="Z25" s="84">
        <f>Y25/$C$16*$C$17*$C$18*$C$19*(1+$C$20)*44/12</f>
        <v>1.624933525038359</v>
      </c>
      <c r="AA25" s="85">
        <f>(H25+N25+T25+Z25)/4</f>
        <v>1.7201529900406762</v>
      </c>
      <c r="AB25" s="91">
        <f>AA25*$C$21</f>
        <v>1218.6251842644167</v>
      </c>
    </row>
    <row r="26" spans="2:28" x14ac:dyDescent="0.3">
      <c r="B26" s="8">
        <v>202208</v>
      </c>
      <c r="C26" s="86">
        <v>2.59</v>
      </c>
      <c r="D26" s="86"/>
      <c r="E26" s="86">
        <v>5.36</v>
      </c>
      <c r="F26" s="81">
        <v>36</v>
      </c>
      <c r="G26" s="81">
        <f>0.00006938*E26^1.763*C26^1.037*F26</f>
        <v>0.12931418762880306</v>
      </c>
      <c r="H26" s="81">
        <f>G26/$C$16*$C$17*$C$18*$C$19*(1+$C$20)*44/12</f>
        <v>2.3470525054627758</v>
      </c>
      <c r="I26" s="87">
        <v>3.36</v>
      </c>
      <c r="J26" s="87"/>
      <c r="K26" s="87">
        <v>6.43</v>
      </c>
      <c r="L26" s="82">
        <v>36</v>
      </c>
      <c r="M26" s="82">
        <f>0.00006938*K26^1.763*I26^1.037*L26</f>
        <v>0.2334675749046855</v>
      </c>
      <c r="N26" s="82">
        <f>M26/$C$16*$C$17*$C$18*$C$19*(1+$C$20)*44/12</f>
        <v>4.2374364845200416</v>
      </c>
      <c r="O26" s="83">
        <v>2.64</v>
      </c>
      <c r="P26" s="83"/>
      <c r="Q26" s="83">
        <v>4.93</v>
      </c>
      <c r="R26" s="83">
        <v>48</v>
      </c>
      <c r="S26" s="83">
        <f>0.00006938*Q26^1.763*O26^1.037*R26</f>
        <v>0.15176370615708201</v>
      </c>
      <c r="T26" s="83">
        <f t="shared" ref="T26:T27" si="10">S26/$C$16*$C$17*$C$18*$C$19*(1+$C$20)*44/12</f>
        <v>2.7545112667510385</v>
      </c>
      <c r="U26" s="84">
        <v>2.2400000000000002</v>
      </c>
      <c r="V26" s="84"/>
      <c r="W26" s="84">
        <v>3.69</v>
      </c>
      <c r="X26" s="84">
        <v>75</v>
      </c>
      <c r="Y26" s="84">
        <f>0.00006938*W26^1.763*U26^1.037*X26</f>
        <v>0.11999695825025578</v>
      </c>
      <c r="Z26" s="84">
        <f>Y26/$C$16*$C$17*$C$18*$C$19*(1+$C$20)*44/12</f>
        <v>2.1779447922421422</v>
      </c>
      <c r="AA26" s="85">
        <f>(H26+N26+T26+Z26)/4</f>
        <v>2.8792362622439995</v>
      </c>
      <c r="AB26" s="91">
        <f>AA26*$C$21</f>
        <v>2039.7661376241392</v>
      </c>
    </row>
    <row r="27" spans="2:28" x14ac:dyDescent="0.3">
      <c r="B27" s="8">
        <v>202311</v>
      </c>
      <c r="C27" s="81">
        <f>'MU2'!C7</f>
        <v>3.1749999999999998</v>
      </c>
      <c r="D27" s="86"/>
      <c r="E27" s="81">
        <f>'MU2'!C6</f>
        <v>5.8638888888888898</v>
      </c>
      <c r="F27" s="81">
        <f>'MU2'!C8</f>
        <v>36</v>
      </c>
      <c r="G27" s="81">
        <f>'MU2'!E63</f>
        <v>0.20602961524807323</v>
      </c>
      <c r="H27" s="81">
        <f>G27/$C$16*$C$17*$C$18*$C$19*(1+$C$20)*44/12</f>
        <v>3.7394375167525293</v>
      </c>
      <c r="I27" s="82">
        <f>'MU2'!D7</f>
        <v>3.6999999999999997</v>
      </c>
      <c r="J27" s="87"/>
      <c r="K27" s="82">
        <f>'MU2'!D6</f>
        <v>7.2277777777777761</v>
      </c>
      <c r="L27" s="82">
        <f>'MU2'!D8</f>
        <v>36</v>
      </c>
      <c r="M27" s="82">
        <f>'MU2'!H63</f>
        <v>0.33162983444450317</v>
      </c>
      <c r="N27" s="82">
        <f>M27/$C$16*$C$17*$C$18*$C$19*(1+$C$20)*44/12</f>
        <v>6.0190814951677334</v>
      </c>
      <c r="O27" s="83">
        <f>'MU2'!E7</f>
        <v>3.0340000000000003</v>
      </c>
      <c r="P27" s="83"/>
      <c r="Q27" s="83">
        <f>'MU2'!E6</f>
        <v>5.5957446808510642</v>
      </c>
      <c r="R27" s="83">
        <v>50</v>
      </c>
      <c r="S27" s="83">
        <f>'MU2'!L77</f>
        <v>0.24133640435773468</v>
      </c>
      <c r="T27" s="83">
        <f t="shared" si="10"/>
        <v>4.3802557390928847</v>
      </c>
      <c r="U27" s="84">
        <f>'MU2'!F7</f>
        <v>2.3536764705882356</v>
      </c>
      <c r="V27" s="84"/>
      <c r="W27" s="84">
        <f>'MU2'!F6</f>
        <v>4.223529411764706</v>
      </c>
      <c r="X27" s="84">
        <v>68</v>
      </c>
      <c r="Y27" s="84">
        <f>'MU2'!P95</f>
        <v>0.1969716359081691</v>
      </c>
      <c r="Z27" s="84">
        <f>Y27/$C$16*$C$17*$C$18*$C$19*(1+$C$20)*44/12</f>
        <v>3.5750351917332694</v>
      </c>
      <c r="AA27" s="85">
        <f>(H27+N27+T27+Z27)/4</f>
        <v>4.4284524856866048</v>
      </c>
      <c r="AB27" s="91">
        <f>AA27*$C$21</f>
        <v>3137.2928789598186</v>
      </c>
    </row>
    <row r="28" spans="2:28" x14ac:dyDescent="0.3">
      <c r="F28" s="77"/>
      <c r="G28" s="77"/>
      <c r="H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92"/>
    </row>
    <row r="29" spans="2:28" x14ac:dyDescent="0.3">
      <c r="F29" s="77"/>
      <c r="G29" s="77"/>
      <c r="H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92"/>
    </row>
    <row r="30" spans="2:28" x14ac:dyDescent="0.3">
      <c r="F30" s="77"/>
      <c r="G30" s="77"/>
      <c r="H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92"/>
    </row>
    <row r="32" spans="2:28" ht="14.65" x14ac:dyDescent="0.3">
      <c r="B32" s="76" t="s">
        <v>95</v>
      </c>
    </row>
    <row r="33" spans="2:34" x14ac:dyDescent="0.3">
      <c r="B33" s="88" t="s">
        <v>26</v>
      </c>
      <c r="C33" s="15">
        <v>0.2</v>
      </c>
      <c r="F33" s="23"/>
    </row>
    <row r="34" spans="2:34" x14ac:dyDescent="0.3">
      <c r="B34" s="24" t="s">
        <v>25</v>
      </c>
      <c r="C34" s="2">
        <f>20*20/10000</f>
        <v>0.04</v>
      </c>
      <c r="F34" s="22"/>
    </row>
    <row r="35" spans="2:34" x14ac:dyDescent="0.3">
      <c r="B35" s="24" t="s">
        <v>42</v>
      </c>
      <c r="C35" s="2">
        <v>0.5</v>
      </c>
      <c r="F35" s="22"/>
    </row>
    <row r="36" spans="2:34" x14ac:dyDescent="0.3">
      <c r="B36" s="24" t="s">
        <v>96</v>
      </c>
      <c r="C36" s="2">
        <v>472.52</v>
      </c>
      <c r="F36" s="22"/>
    </row>
    <row r="38" spans="2:34" x14ac:dyDescent="0.3">
      <c r="B38" s="144" t="s">
        <v>111</v>
      </c>
      <c r="C38" s="146" t="s">
        <v>116</v>
      </c>
      <c r="D38" s="146"/>
      <c r="E38" s="146"/>
      <c r="F38" s="146"/>
      <c r="G38" s="146"/>
      <c r="H38" s="146"/>
      <c r="I38" s="147" t="s">
        <v>117</v>
      </c>
      <c r="J38" s="147"/>
      <c r="K38" s="147"/>
      <c r="L38" s="147"/>
      <c r="M38" s="147"/>
      <c r="N38" s="147"/>
      <c r="O38" s="148" t="s">
        <v>118</v>
      </c>
      <c r="P38" s="149"/>
      <c r="Q38" s="149"/>
      <c r="R38" s="149"/>
      <c r="S38" s="149"/>
      <c r="T38" s="150"/>
      <c r="U38" s="151" t="s">
        <v>37</v>
      </c>
      <c r="V38" s="152"/>
      <c r="W38" s="152"/>
      <c r="X38" s="152"/>
      <c r="Y38" s="152"/>
      <c r="Z38" s="153"/>
      <c r="AA38" s="158" t="s">
        <v>38</v>
      </c>
      <c r="AB38" s="159"/>
      <c r="AC38" s="159"/>
      <c r="AD38" s="159"/>
      <c r="AE38" s="159"/>
      <c r="AF38" s="160"/>
      <c r="AG38" s="154" t="s">
        <v>102</v>
      </c>
      <c r="AH38" s="154" t="s">
        <v>103</v>
      </c>
    </row>
    <row r="39" spans="2:34" ht="52.9" x14ac:dyDescent="0.3">
      <c r="B39" s="145"/>
      <c r="C39" s="78" t="s">
        <v>104</v>
      </c>
      <c r="D39" s="78" t="s">
        <v>105</v>
      </c>
      <c r="E39" s="78" t="s">
        <v>106</v>
      </c>
      <c r="F39" s="78" t="s">
        <v>6</v>
      </c>
      <c r="G39" s="78" t="s">
        <v>107</v>
      </c>
      <c r="H39" s="78" t="s">
        <v>102</v>
      </c>
      <c r="I39" s="79" t="s">
        <v>104</v>
      </c>
      <c r="J39" s="79" t="s">
        <v>105</v>
      </c>
      <c r="K39" s="79" t="s">
        <v>106</v>
      </c>
      <c r="L39" s="79" t="s">
        <v>108</v>
      </c>
      <c r="M39" s="79" t="s">
        <v>107</v>
      </c>
      <c r="N39" s="79" t="s">
        <v>102</v>
      </c>
      <c r="O39" s="80" t="s">
        <v>104</v>
      </c>
      <c r="P39" s="80" t="s">
        <v>105</v>
      </c>
      <c r="Q39" s="80" t="s">
        <v>106</v>
      </c>
      <c r="R39" s="80" t="s">
        <v>108</v>
      </c>
      <c r="S39" s="80" t="s">
        <v>107</v>
      </c>
      <c r="T39" s="80" t="s">
        <v>102</v>
      </c>
      <c r="U39" s="78" t="s">
        <v>104</v>
      </c>
      <c r="V39" s="78" t="s">
        <v>105</v>
      </c>
      <c r="W39" s="78" t="s">
        <v>106</v>
      </c>
      <c r="X39" s="78" t="s">
        <v>108</v>
      </c>
      <c r="Y39" s="78" t="s">
        <v>107</v>
      </c>
      <c r="Z39" s="78" t="s">
        <v>102</v>
      </c>
      <c r="AA39" s="79" t="s">
        <v>104</v>
      </c>
      <c r="AB39" s="79" t="s">
        <v>105</v>
      </c>
      <c r="AC39" s="79" t="s">
        <v>106</v>
      </c>
      <c r="AD39" s="79" t="s">
        <v>108</v>
      </c>
      <c r="AE39" s="79" t="s">
        <v>107</v>
      </c>
      <c r="AF39" s="79" t="s">
        <v>102</v>
      </c>
      <c r="AG39" s="154"/>
      <c r="AH39" s="154"/>
    </row>
    <row r="40" spans="2:34" x14ac:dyDescent="0.3">
      <c r="B40" s="86">
        <v>202108</v>
      </c>
      <c r="C40" s="86">
        <v>5.74</v>
      </c>
      <c r="D40" s="86"/>
      <c r="E40" s="86">
        <v>5.72</v>
      </c>
      <c r="F40" s="81">
        <v>36</v>
      </c>
      <c r="G40" s="81">
        <f>0.045*(E40^2*C40)^0.906*F40</f>
        <v>185.99051339771134</v>
      </c>
      <c r="H40" s="81">
        <f>G40/$C$34*$C$35*44/12/1000</f>
        <v>8.524565197395102</v>
      </c>
      <c r="I40" s="87">
        <v>6.12</v>
      </c>
      <c r="J40" s="87"/>
      <c r="K40" s="87">
        <v>5.68</v>
      </c>
      <c r="L40" s="82">
        <v>34</v>
      </c>
      <c r="M40" s="82">
        <f>0.045*(K40^2*I40)^0.906*L40</f>
        <v>183.80926718075574</v>
      </c>
      <c r="N40" s="82">
        <f>M40/$C$34*$C$35*44/12/1000</f>
        <v>8.4245914124513064</v>
      </c>
      <c r="O40" s="89">
        <v>7.32</v>
      </c>
      <c r="P40" s="89"/>
      <c r="Q40" s="89">
        <v>6.74</v>
      </c>
      <c r="R40" s="83">
        <v>32</v>
      </c>
      <c r="S40" s="83">
        <f>0.045*(Q40^2*O40)^0.906*R40</f>
        <v>277.42223361705601</v>
      </c>
      <c r="T40" s="83">
        <f>S40/$C$34*$C$35*44/12/1000</f>
        <v>12.7151857074484</v>
      </c>
      <c r="U40" s="86">
        <v>6.02</v>
      </c>
      <c r="V40" s="86"/>
      <c r="W40" s="86">
        <v>6.51</v>
      </c>
      <c r="X40" s="81">
        <v>31</v>
      </c>
      <c r="Y40" s="81">
        <f>0.045*(W40^2*U40)^0.906*X40</f>
        <v>211.39629914841785</v>
      </c>
      <c r="Z40" s="81">
        <f>Y40/$C$34*$C$35*44/12/1000</f>
        <v>9.6889970443024858</v>
      </c>
      <c r="AA40" s="87">
        <v>5.48</v>
      </c>
      <c r="AB40" s="87"/>
      <c r="AC40" s="87">
        <v>5.92</v>
      </c>
      <c r="AD40" s="82">
        <v>44</v>
      </c>
      <c r="AE40" s="82">
        <f>0.045*(AC40^2*AA40)^0.906*AD40</f>
        <v>231.97827187648446</v>
      </c>
      <c r="AF40" s="82">
        <f>AE40/$C$34*$C$35*44/12/1000</f>
        <v>10.632337461005537</v>
      </c>
      <c r="AG40" s="85">
        <f>(H40+N40+T40+Z40+AF40)/5</f>
        <v>9.9971353645205649</v>
      </c>
      <c r="AH40" s="91">
        <f>AG40*$C$36</f>
        <v>4723.8464024432569</v>
      </c>
    </row>
    <row r="41" spans="2:34" x14ac:dyDescent="0.3">
      <c r="B41" s="86">
        <v>202208</v>
      </c>
      <c r="C41" s="86">
        <v>5.98</v>
      </c>
      <c r="D41" s="86"/>
      <c r="E41" s="86">
        <v>6.55</v>
      </c>
      <c r="F41" s="81">
        <v>35</v>
      </c>
      <c r="G41" s="81">
        <f>0.045*(E41^2*C41)^0.906*F41</f>
        <v>239.88388093285332</v>
      </c>
      <c r="H41" s="81">
        <f>G41/$C$34*$C$35*44/12/1000</f>
        <v>10.99467787608911</v>
      </c>
      <c r="I41" s="87">
        <v>6.24</v>
      </c>
      <c r="J41" s="87"/>
      <c r="K41" s="87">
        <v>6.99</v>
      </c>
      <c r="L41" s="82">
        <v>33</v>
      </c>
      <c r="M41" s="82">
        <f>0.045*(K41^2*I41)^0.906*L41</f>
        <v>264.45777174366663</v>
      </c>
      <c r="N41" s="82">
        <f>M41/$C$34*$C$35*44/12/1000</f>
        <v>12.120981204918055</v>
      </c>
      <c r="O41" s="89">
        <v>7.54</v>
      </c>
      <c r="P41" s="89"/>
      <c r="Q41" s="89">
        <v>8.98</v>
      </c>
      <c r="R41" s="83">
        <v>33</v>
      </c>
      <c r="S41" s="83">
        <f>0.045*(Q41^2*O41)^0.906*R41</f>
        <v>494.26699946115048</v>
      </c>
      <c r="T41" s="83">
        <f>S41/$C$34*$C$35*44/12/1000</f>
        <v>22.653904141969395</v>
      </c>
      <c r="U41" s="86">
        <v>6.47</v>
      </c>
      <c r="V41" s="86"/>
      <c r="W41" s="86">
        <v>7.63</v>
      </c>
      <c r="X41" s="81">
        <v>31</v>
      </c>
      <c r="Y41" s="81">
        <f>0.045*(W41^2*U41)^0.906*X41</f>
        <v>300.87627846864473</v>
      </c>
      <c r="Z41" s="81">
        <f>Y41/$C$34*$C$35*44/12/1000</f>
        <v>13.790162763146217</v>
      </c>
      <c r="AA41" s="87">
        <v>6.22</v>
      </c>
      <c r="AB41" s="87"/>
      <c r="AC41" s="87">
        <v>6.88</v>
      </c>
      <c r="AD41" s="82">
        <v>44</v>
      </c>
      <c r="AE41" s="82">
        <f>0.045*(AC41^2*AA41)^0.906*AD41</f>
        <v>341.62490888845213</v>
      </c>
      <c r="AF41" s="82">
        <f>AE41/$C$34*$C$35*44/12/1000</f>
        <v>15.657808324054056</v>
      </c>
      <c r="AG41" s="85">
        <f>(H41+N41+T41+Z41+AF41)/5</f>
        <v>15.043506862035366</v>
      </c>
      <c r="AH41" s="91">
        <f>AG41*$C$36</f>
        <v>7108.357862448951</v>
      </c>
    </row>
    <row r="42" spans="2:34" x14ac:dyDescent="0.3">
      <c r="B42" s="8">
        <v>202311</v>
      </c>
      <c r="C42" s="81">
        <f>'MU3'!C7</f>
        <v>6.4242424242424265</v>
      </c>
      <c r="D42" s="86"/>
      <c r="E42" s="81">
        <f>'MU3'!C6</f>
        <v>8.1060606060606091</v>
      </c>
      <c r="F42" s="81">
        <f>'MU3'!C8</f>
        <v>33</v>
      </c>
      <c r="G42" s="81">
        <f>'MU3'!E55</f>
        <v>489.91976727615264</v>
      </c>
      <c r="H42" s="81">
        <f>G42/$C$34*$C$35*44/12/1000</f>
        <v>22.454656000156991</v>
      </c>
      <c r="I42" s="82">
        <f>'MU3'!D7</f>
        <v>6.3083333333333336</v>
      </c>
      <c r="J42" s="87"/>
      <c r="K42" s="82">
        <f>'MU3'!D6</f>
        <v>8.2027777777777775</v>
      </c>
      <c r="L42" s="82">
        <f>'MU3'!D8</f>
        <v>33</v>
      </c>
      <c r="M42" s="82">
        <f>'MU3'!H58</f>
        <v>544.60331411049617</v>
      </c>
      <c r="N42" s="82">
        <f>M42/$C$34*$C$35*44/12/1000</f>
        <v>24.960985230064409</v>
      </c>
      <c r="O42" s="83">
        <f>'MU3'!E7</f>
        <v>7.7666666666666666</v>
      </c>
      <c r="P42" s="83"/>
      <c r="Q42" s="83">
        <f>'MU3'!E6</f>
        <v>10.106060606060604</v>
      </c>
      <c r="R42" s="83">
        <f>'MU3'!E8</f>
        <v>33</v>
      </c>
      <c r="S42" s="83">
        <f>'MU3'!K55</f>
        <v>811.32469242090804</v>
      </c>
      <c r="T42" s="83">
        <f>S42/$C$34*$C$35*44/12/1000</f>
        <v>37.185715069291611</v>
      </c>
      <c r="U42" s="81">
        <f>'MU3'!F7</f>
        <v>6.65</v>
      </c>
      <c r="V42" s="86"/>
      <c r="W42" s="81">
        <f>'MU3'!F6</f>
        <v>8.3949999999999996</v>
      </c>
      <c r="X42" s="81">
        <f>'MU3'!F8</f>
        <v>31</v>
      </c>
      <c r="Y42" s="81">
        <f>'MU3'!N62</f>
        <v>675.98861292480456</v>
      </c>
      <c r="Z42" s="81">
        <f>Y42/$C$34*$C$35*44/12/1000</f>
        <v>30.982811425720207</v>
      </c>
      <c r="AA42" s="82">
        <f>'MU3'!G7</f>
        <v>6.8565217391304358</v>
      </c>
      <c r="AB42" s="87"/>
      <c r="AC42" s="82">
        <f>'MU3'!G6</f>
        <v>7.8391304347826081</v>
      </c>
      <c r="AD42" s="82">
        <f>'MU3'!G8</f>
        <v>44</v>
      </c>
      <c r="AE42" s="82">
        <f>'MU3'!Q68</f>
        <v>639.12073216044018</v>
      </c>
      <c r="AF42" s="82">
        <f>AE42/$C$34*$C$35*44/12/1000</f>
        <v>29.293033557353507</v>
      </c>
      <c r="AG42" s="85">
        <f>(H42+N42+T42+Z42+AF42)/5</f>
        <v>28.975440256517345</v>
      </c>
      <c r="AH42" s="91">
        <f>AG42*$C$36</f>
        <v>13691.475030009575</v>
      </c>
    </row>
    <row r="45" spans="2:34" ht="26.25" x14ac:dyDescent="0.3">
      <c r="B45" s="8"/>
      <c r="C45" s="8" t="s">
        <v>119</v>
      </c>
      <c r="D45" s="8" t="s">
        <v>120</v>
      </c>
      <c r="E45" s="8" t="s">
        <v>121</v>
      </c>
      <c r="F45" s="8" t="s">
        <v>122</v>
      </c>
      <c r="G45" s="2" t="s">
        <v>123</v>
      </c>
    </row>
    <row r="46" spans="2:34" x14ac:dyDescent="0.4">
      <c r="B46" s="8">
        <v>202012</v>
      </c>
      <c r="C46" s="99">
        <v>3772.6561870583701</v>
      </c>
      <c r="D46" s="99">
        <v>1107.26806480609</v>
      </c>
      <c r="E46" s="99">
        <v>10218.603712920851</v>
      </c>
      <c r="F46" s="99">
        <f>SUM(C46:E46)</f>
        <v>15098.527964785311</v>
      </c>
      <c r="G46" s="90"/>
    </row>
    <row r="47" spans="2:34" x14ac:dyDescent="0.4">
      <c r="B47" s="8">
        <v>202108</v>
      </c>
      <c r="C47" s="100">
        <f>AB10</f>
        <v>1439.7754578177905</v>
      </c>
      <c r="D47" s="101">
        <f>AB25</f>
        <v>1218.6251842644167</v>
      </c>
      <c r="E47" s="101">
        <f>AH40</f>
        <v>4723.8464024432569</v>
      </c>
      <c r="F47" s="102">
        <f>SUM(C47:E47)</f>
        <v>7382.2470445254639</v>
      </c>
      <c r="G47" s="103">
        <f>F47-F46</f>
        <v>-7716.2809202598473</v>
      </c>
    </row>
    <row r="48" spans="2:34" x14ac:dyDescent="0.4">
      <c r="B48" s="8">
        <v>202208</v>
      </c>
      <c r="C48" s="100">
        <f>AB11</f>
        <v>1752.7261207111003</v>
      </c>
      <c r="D48" s="101">
        <f>AB26</f>
        <v>2039.7661376241392</v>
      </c>
      <c r="E48" s="101">
        <f>AH41</f>
        <v>7108.357862448951</v>
      </c>
      <c r="F48" s="102">
        <f t="shared" ref="F48:F49" si="11">SUM(C48:E48)</f>
        <v>10900.850120784191</v>
      </c>
      <c r="G48" s="103">
        <f t="shared" ref="G48" si="12">F48-F47</f>
        <v>3518.603076258727</v>
      </c>
    </row>
    <row r="49" spans="2:8" x14ac:dyDescent="0.4">
      <c r="B49" s="8">
        <v>202311</v>
      </c>
      <c r="C49" s="100">
        <f>AB12</f>
        <v>3247.2899946333541</v>
      </c>
      <c r="D49" s="100">
        <f>AB27</f>
        <v>3137.2928789598186</v>
      </c>
      <c r="E49" s="100">
        <f>AH42</f>
        <v>13691.475030009575</v>
      </c>
      <c r="F49" s="102">
        <f t="shared" si="11"/>
        <v>20076.057903602748</v>
      </c>
      <c r="G49" s="103">
        <f>ROUND(F49-F48,0)</f>
        <v>9175</v>
      </c>
      <c r="H49" s="104"/>
    </row>
    <row r="50" spans="2:8" x14ac:dyDescent="0.3">
      <c r="B50" s="8" t="s">
        <v>133</v>
      </c>
      <c r="C50" s="8"/>
      <c r="D50" s="8"/>
      <c r="E50" s="8"/>
      <c r="F50" s="8"/>
      <c r="G50" s="105">
        <f>SUM(G47:G49)</f>
        <v>4977.3221559988797</v>
      </c>
    </row>
  </sheetData>
  <mergeCells count="20">
    <mergeCell ref="AG38:AG39"/>
    <mergeCell ref="AH38:AH39"/>
    <mergeCell ref="C23:H23"/>
    <mergeCell ref="I23:N23"/>
    <mergeCell ref="O23:T23"/>
    <mergeCell ref="U23:Z23"/>
    <mergeCell ref="AA38:AF38"/>
    <mergeCell ref="B38:B39"/>
    <mergeCell ref="C38:H38"/>
    <mergeCell ref="I38:N38"/>
    <mergeCell ref="O38:T38"/>
    <mergeCell ref="U38:Z38"/>
    <mergeCell ref="AB8:AB9"/>
    <mergeCell ref="B23:B24"/>
    <mergeCell ref="B8:B9"/>
    <mergeCell ref="C8:H8"/>
    <mergeCell ref="I8:N8"/>
    <mergeCell ref="O8:T8"/>
    <mergeCell ref="U8:Z8"/>
    <mergeCell ref="AA8:AA9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7DA44862487D4EA6A77468477E4563" ma:contentTypeVersion="16" ma:contentTypeDescription="Create a new document." ma:contentTypeScope="" ma:versionID="37e22350ca30dfe1a865b3bb17b9244d">
  <xsd:schema xmlns:xsd="http://www.w3.org/2001/XMLSchema" xmlns:xs="http://www.w3.org/2001/XMLSchema" xmlns:p="http://schemas.microsoft.com/office/2006/metadata/properties" xmlns:ns2="9ecebf30-e226-460f-96ee-74872a04efa4" xmlns:ns3="3e6411cd-9535-4878-8482-731a21e93823" xmlns:ns4="f21edc80-4771-4a8b-b7e2-be153f0379e4" targetNamespace="http://schemas.microsoft.com/office/2006/metadata/properties" ma:root="true" ma:fieldsID="520cf80e112b05ccfb8ba2872944b208" ns2:_="" ns3:_="" ns4:_="">
    <xsd:import namespace="9ecebf30-e226-460f-96ee-74872a04efa4"/>
    <xsd:import namespace="3e6411cd-9535-4878-8482-731a21e93823"/>
    <xsd:import namespace="f21edc80-4771-4a8b-b7e2-be153f037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4:DeadlineofGSFeedba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ebf30-e226-460f-96ee-74872a04ef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6a4a94f-a41f-4016-a66b-9208a1845355}" ma:internalName="TaxCatchAll" ma:readOnly="false" ma:showField="CatchAllData" ma:web="9ecebf30-e226-460f-96ee-74872a04ef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411cd-9535-4878-8482-731a21e93823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edc80-4771-4a8b-b7e2-be153f037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161edd-7b79-4478-98eb-f673e2ec4f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adlineofGSFeedback" ma:index="28" nillable="true" ma:displayName="Deadline of GS Feedback" ma:format="DateOnly" ma:internalName="DeadlineofGSFeedback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cebf30-e226-460f-96ee-74872a04efa4" xsi:nil="true"/>
    <lcf76f155ced4ddcb4097134ff3c332f xmlns="f21edc80-4771-4a8b-b7e2-be153f0379e4">
      <Terms xmlns="http://schemas.microsoft.com/office/infopath/2007/PartnerControls"/>
    </lcf76f155ced4ddcb4097134ff3c332f>
    <DeadlineofGSFeedback xmlns="f21edc80-4771-4a8b-b7e2-be153f0379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E57FA-A117-4B5A-AFC7-7C66A38FFB92}"/>
</file>

<file path=customXml/itemProps2.xml><?xml version="1.0" encoding="utf-8"?>
<ds:datastoreItem xmlns:ds="http://schemas.openxmlformats.org/officeDocument/2006/customXml" ds:itemID="{C5F7F382-B254-47C3-981F-57240B1A3E08}">
  <ds:schemaRefs>
    <ds:schemaRef ds:uri="http://schemas.microsoft.com/office/2006/metadata/properties"/>
    <ds:schemaRef ds:uri="http://schemas.microsoft.com/office/infopath/2007/PartnerControls"/>
    <ds:schemaRef ds:uri="40ff25b3-493e-4851-82b7-4e504def2eba"/>
    <ds:schemaRef ds:uri="43bed21c-ff7a-4a80-97f4-856fc5de82a3"/>
  </ds:schemaRefs>
</ds:datastoreItem>
</file>

<file path=customXml/itemProps3.xml><?xml version="1.0" encoding="utf-8"?>
<ds:datastoreItem xmlns:ds="http://schemas.openxmlformats.org/officeDocument/2006/customXml" ds:itemID="{CD517923-1A1B-47DD-B20C-36A7F1501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CO2 certificates</vt:lpstr>
      <vt:lpstr>Values estimated in ex ante PDD</vt:lpstr>
      <vt:lpstr>MU1</vt:lpstr>
      <vt:lpstr>MU2</vt:lpstr>
      <vt:lpstr>MU3</vt:lpstr>
      <vt:lpstr>Annual CO2 fixation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2025-03-20T06:12:50Z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0x0101003F7DA44862487D4EA6A77468477E4563</vt:lpwstr>
  </property>
</Properties>
</file>