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lsx" ContentType="application/vnd.openxmlformats-officedocument.spreadsheetml.sheet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drawings/drawing8.xml" ContentType="application/vnd.openxmlformats-officedocument.drawing+xml"/>
  <Override PartName="/xl/comments9.xml" ContentType="application/vnd.openxmlformats-officedocument.spreadsheetml.comments+xml"/>
  <Override PartName="/xl/drawings/drawing9.xml" ContentType="application/vnd.openxmlformats-officedocument.drawing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nfisolutionsllp-my.sharepoint.com/personal/sahil_infisolutions_org/Documents/VCS_3562/PRR 1.0/PRR-1 V. 1.2/ERR/"/>
    </mc:Choice>
  </mc:AlternateContent>
  <xr:revisionPtr revIDLastSave="13" documentId="13_ncr:1_{EC98214E-2AA8-47A1-8117-AC770662A328}" xr6:coauthVersionLast="47" xr6:coauthVersionMax="47" xr10:uidLastSave="{D7CBD2C0-87D2-4126-BB6C-22C37ADE3A38}"/>
  <bookViews>
    <workbookView xWindow="-120" yWindow="-120" windowWidth="20730" windowHeight="11160" firstSheet="1" activeTab="1" xr2:uid="{4C4182BA-A41D-4DFE-8FEE-801898DE9AFF}"/>
  </bookViews>
  <sheets>
    <sheet name="Overview" sheetId="1" r:id="rId1"/>
    <sheet name="2018 PM (MAI)" sheetId="14" r:id="rId2"/>
    <sheet name="2018 GA (MAI)" sheetId="18" r:id="rId3"/>
    <sheet name="2018 MH (MAI)" sheetId="19" r:id="rId4"/>
    <sheet name="2019 PM (MAI)" sheetId="13" r:id="rId5"/>
    <sheet name="2019 MH (MAI)" sheetId="21" r:id="rId6"/>
    <sheet name="2019 CA (MAI)" sheetId="20" r:id="rId7"/>
    <sheet name="2020 PM (MAI)" sheetId="15" r:id="rId8"/>
    <sheet name="2021 PM (MAI)" sheetId="16" r:id="rId9"/>
    <sheet name="2022 PM (MAI)" sheetId="17" r:id="rId10"/>
    <sheet name="SOC" sheetId="5" r:id="rId11"/>
    <sheet name="Baseline" sheetId="22" r:id="rId12"/>
    <sheet name="Leakage" sheetId="8" r:id="rId13"/>
    <sheet name="Summary" sheetId="10" r:id="rId14"/>
  </sheets>
  <externalReferences>
    <externalReference r:id="rId15"/>
    <externalReference r:id="rId16"/>
  </externalReferences>
  <definedNames>
    <definedName name="_Toc122514340" localSheetId="13">Summary!#REF!</definedName>
    <definedName name="FI_Cropland">'[1]IPCC Tables'!$B$15:$F$15</definedName>
    <definedName name="FI_Grassland">'[1]IPCC Tables'!$J$15:$M$15</definedName>
    <definedName name="FLU">'[1]IPCC Tables'!$J$2:$M$2</definedName>
    <definedName name="FMG_Cropland">'[1]IPCC Tables'!$P$2:$S$2</definedName>
    <definedName name="FMG_Grassland">'[1]IPCC Tables'!$V$2:$Z$2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5" i="10" l="1"/>
  <c r="P35" i="10"/>
  <c r="X35" i="10" l="1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B9" i="5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C8" i="5"/>
  <c r="I3" i="5"/>
  <c r="I5" i="5" s="1"/>
  <c r="I2" i="5"/>
  <c r="M10" i="17"/>
  <c r="M25" i="17" s="1"/>
  <c r="M9" i="17"/>
  <c r="M24" i="17" s="1"/>
  <c r="M39" i="17" s="1"/>
  <c r="L10" i="16"/>
  <c r="L25" i="16" s="1"/>
  <c r="L9" i="16"/>
  <c r="L24" i="16" s="1"/>
  <c r="L10" i="15"/>
  <c r="L25" i="15" s="1"/>
  <c r="L9" i="15"/>
  <c r="L24" i="15" s="1"/>
  <c r="K10" i="20"/>
  <c r="K25" i="20" s="1"/>
  <c r="K9" i="20"/>
  <c r="K24" i="20" s="1"/>
  <c r="F13" i="20"/>
  <c r="K14" i="20" s="1"/>
  <c r="K29" i="20" s="1"/>
  <c r="F14" i="20"/>
  <c r="K15" i="20" s="1"/>
  <c r="K30" i="20" s="1"/>
  <c r="M40" i="21"/>
  <c r="K10" i="21"/>
  <c r="M41" i="21"/>
  <c r="M42" i="21"/>
  <c r="K9" i="21"/>
  <c r="K24" i="21" s="1"/>
  <c r="M24" i="21" s="1"/>
  <c r="M39" i="21"/>
  <c r="M9" i="21"/>
  <c r="M10" i="13"/>
  <c r="M25" i="13" s="1"/>
  <c r="M9" i="13"/>
  <c r="M24" i="13" s="1"/>
  <c r="K10" i="13"/>
  <c r="K11" i="13" s="1"/>
  <c r="K12" i="13" s="1"/>
  <c r="K13" i="13" s="1"/>
  <c r="K14" i="13" s="1"/>
  <c r="K15" i="13" s="1"/>
  <c r="K16" i="13" s="1"/>
  <c r="K17" i="13" s="1"/>
  <c r="K18" i="13" s="1"/>
  <c r="K19" i="13" s="1"/>
  <c r="K20" i="13" s="1"/>
  <c r="K21" i="13" s="1"/>
  <c r="K22" i="13" s="1"/>
  <c r="K23" i="13" s="1"/>
  <c r="K24" i="13" s="1"/>
  <c r="K25" i="13" s="1"/>
  <c r="K26" i="13" s="1"/>
  <c r="K27" i="13" s="1"/>
  <c r="K28" i="13" s="1"/>
  <c r="K29" i="13" s="1"/>
  <c r="K30" i="13" s="1"/>
  <c r="K31" i="13" s="1"/>
  <c r="K32" i="13" s="1"/>
  <c r="K33" i="13" s="1"/>
  <c r="K34" i="13" s="1"/>
  <c r="K35" i="13" s="1"/>
  <c r="K36" i="13" s="1"/>
  <c r="K37" i="13" s="1"/>
  <c r="K38" i="13" s="1"/>
  <c r="K39" i="13" s="1"/>
  <c r="K40" i="13" s="1"/>
  <c r="K41" i="13" s="1"/>
  <c r="E8" i="13"/>
  <c r="E9" i="13" s="1"/>
  <c r="J10" i="18"/>
  <c r="J25" i="18" s="1"/>
  <c r="J9" i="18"/>
  <c r="K25" i="19"/>
  <c r="L10" i="14"/>
  <c r="L25" i="14" s="1"/>
  <c r="L9" i="14"/>
  <c r="M10" i="21" l="1"/>
  <c r="K25" i="21"/>
  <c r="M25" i="21" s="1"/>
  <c r="E10" i="13"/>
  <c r="E11" i="13" s="1"/>
  <c r="E12" i="13" l="1"/>
  <c r="E13" i="13" l="1"/>
  <c r="E14" i="13" l="1"/>
  <c r="E15" i="13" l="1"/>
  <c r="E16" i="13" l="1"/>
  <c r="E17" i="13" l="1"/>
  <c r="E18" i="13" l="1"/>
  <c r="E19" i="13" l="1"/>
  <c r="E20" i="13" l="1"/>
  <c r="E21" i="13" l="1"/>
  <c r="B12" i="13" l="1"/>
  <c r="B12" i="15" s="1"/>
  <c r="B12" i="16" s="1"/>
  <c r="B12" i="17" s="1"/>
  <c r="B8" i="13"/>
  <c r="B8" i="18"/>
  <c r="B9" i="14"/>
  <c r="B10" i="14" s="1"/>
  <c r="B11" i="14" s="1"/>
  <c r="B11" i="13" s="1"/>
  <c r="M41" i="20"/>
  <c r="M42" i="20"/>
  <c r="N40" i="16"/>
  <c r="N25" i="15"/>
  <c r="N40" i="15"/>
  <c r="N41" i="15"/>
  <c r="O40" i="13"/>
  <c r="O42" i="13"/>
  <c r="N42" i="14"/>
  <c r="N43" i="14"/>
  <c r="G31" i="1"/>
  <c r="F12" i="13" l="1"/>
  <c r="F13" i="13"/>
  <c r="B8" i="15"/>
  <c r="B8" i="16" s="1"/>
  <c r="B8" i="17" s="1"/>
  <c r="F9" i="13"/>
  <c r="B9" i="13"/>
  <c r="B11" i="15"/>
  <c r="B11" i="16" s="1"/>
  <c r="B11" i="17" s="1"/>
  <c r="B10" i="13"/>
  <c r="F12" i="20" l="1"/>
  <c r="K13" i="20" s="1"/>
  <c r="K28" i="20" s="1"/>
  <c r="B10" i="15"/>
  <c r="B10" i="16" s="1"/>
  <c r="B10" i="17" s="1"/>
  <c r="F11" i="13"/>
  <c r="B9" i="15"/>
  <c r="B9" i="16" s="1"/>
  <c r="B9" i="17" s="1"/>
  <c r="F10" i="13"/>
  <c r="F14" i="13" s="1"/>
  <c r="S10" i="14"/>
  <c r="F15" i="13" l="1"/>
  <c r="S36" i="10"/>
  <c r="S37" i="10" s="1"/>
  <c r="P10" i="18"/>
  <c r="P9" i="18"/>
  <c r="R10" i="19"/>
  <c r="R9" i="19"/>
  <c r="S9" i="14"/>
  <c r="F16" i="13" l="1"/>
  <c r="V37" i="17"/>
  <c r="V38" i="17"/>
  <c r="V39" i="17"/>
  <c r="U37" i="17"/>
  <c r="U38" i="17"/>
  <c r="U39" i="17"/>
  <c r="U38" i="16"/>
  <c r="U39" i="16"/>
  <c r="U40" i="16"/>
  <c r="T38" i="16"/>
  <c r="T39" i="16"/>
  <c r="T40" i="16"/>
  <c r="U39" i="15"/>
  <c r="U40" i="15"/>
  <c r="U41" i="15"/>
  <c r="T39" i="15"/>
  <c r="T40" i="15"/>
  <c r="T41" i="15"/>
  <c r="S41" i="21"/>
  <c r="T41" i="21"/>
  <c r="S42" i="21"/>
  <c r="T42" i="21"/>
  <c r="V40" i="13"/>
  <c r="V41" i="13"/>
  <c r="V42" i="13"/>
  <c r="U40" i="13"/>
  <c r="U41" i="13"/>
  <c r="U42" i="13"/>
  <c r="T43" i="14"/>
  <c r="F17" i="13" l="1"/>
  <c r="V10" i="17"/>
  <c r="V11" i="17"/>
  <c r="V12" i="17"/>
  <c r="V13" i="17"/>
  <c r="V14" i="17"/>
  <c r="V15" i="17"/>
  <c r="V16" i="17"/>
  <c r="V17" i="17"/>
  <c r="V18" i="17"/>
  <c r="V19" i="17"/>
  <c r="V20" i="17"/>
  <c r="V21" i="17"/>
  <c r="V22" i="17"/>
  <c r="V23" i="17"/>
  <c r="V24" i="17"/>
  <c r="V25" i="17"/>
  <c r="V26" i="17"/>
  <c r="V27" i="17"/>
  <c r="V28" i="17"/>
  <c r="V29" i="17"/>
  <c r="V30" i="17"/>
  <c r="V31" i="17"/>
  <c r="V32" i="17"/>
  <c r="V33" i="17"/>
  <c r="V34" i="17"/>
  <c r="V35" i="17"/>
  <c r="V36" i="17"/>
  <c r="V9" i="17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U30" i="16"/>
  <c r="U31" i="16"/>
  <c r="U32" i="16"/>
  <c r="U33" i="16"/>
  <c r="U34" i="16"/>
  <c r="U35" i="16"/>
  <c r="U36" i="16"/>
  <c r="U37" i="16"/>
  <c r="U9" i="16"/>
  <c r="T40" i="20"/>
  <c r="S40" i="20"/>
  <c r="T40" i="21"/>
  <c r="S40" i="21"/>
  <c r="U10" i="15"/>
  <c r="U11" i="15"/>
  <c r="U12" i="15"/>
  <c r="U13" i="15"/>
  <c r="U14" i="15"/>
  <c r="U15" i="15"/>
  <c r="U16" i="15"/>
  <c r="U17" i="15"/>
  <c r="U18" i="15"/>
  <c r="U19" i="15"/>
  <c r="U20" i="15"/>
  <c r="U21" i="15"/>
  <c r="U22" i="15"/>
  <c r="U23" i="15"/>
  <c r="U24" i="15"/>
  <c r="U25" i="15"/>
  <c r="U26" i="15"/>
  <c r="U27" i="15"/>
  <c r="U28" i="15"/>
  <c r="U29" i="15"/>
  <c r="U30" i="15"/>
  <c r="U31" i="15"/>
  <c r="U32" i="15"/>
  <c r="U33" i="15"/>
  <c r="U34" i="15"/>
  <c r="U35" i="15"/>
  <c r="U36" i="15"/>
  <c r="U37" i="15"/>
  <c r="U38" i="15"/>
  <c r="U9" i="15"/>
  <c r="T10" i="20"/>
  <c r="T11" i="20"/>
  <c r="T12" i="20"/>
  <c r="T13" i="20"/>
  <c r="T14" i="20"/>
  <c r="T15" i="20"/>
  <c r="T16" i="20"/>
  <c r="T17" i="20"/>
  <c r="T18" i="20"/>
  <c r="T19" i="20"/>
  <c r="T20" i="20"/>
  <c r="T21" i="20"/>
  <c r="T22" i="20"/>
  <c r="T23" i="20"/>
  <c r="T24" i="20"/>
  <c r="T25" i="20"/>
  <c r="T26" i="20"/>
  <c r="T27" i="20"/>
  <c r="T28" i="20"/>
  <c r="T29" i="20"/>
  <c r="T30" i="20"/>
  <c r="T31" i="20"/>
  <c r="T32" i="20"/>
  <c r="T33" i="20"/>
  <c r="T34" i="20"/>
  <c r="T35" i="20"/>
  <c r="T36" i="20"/>
  <c r="T37" i="20"/>
  <c r="T38" i="20"/>
  <c r="T39" i="20"/>
  <c r="T41" i="20"/>
  <c r="T42" i="20"/>
  <c r="T9" i="20"/>
  <c r="T10" i="21"/>
  <c r="T11" i="21"/>
  <c r="T12" i="21"/>
  <c r="T13" i="21"/>
  <c r="T14" i="21"/>
  <c r="T15" i="21"/>
  <c r="T16" i="21"/>
  <c r="T17" i="21"/>
  <c r="T18" i="21"/>
  <c r="T19" i="21"/>
  <c r="T20" i="21"/>
  <c r="T21" i="21"/>
  <c r="T22" i="21"/>
  <c r="T23" i="21"/>
  <c r="T24" i="21"/>
  <c r="T25" i="21"/>
  <c r="T26" i="21"/>
  <c r="T27" i="21"/>
  <c r="T28" i="21"/>
  <c r="T29" i="21"/>
  <c r="T30" i="21"/>
  <c r="T31" i="21"/>
  <c r="T32" i="21"/>
  <c r="T33" i="21"/>
  <c r="T34" i="21"/>
  <c r="T35" i="21"/>
  <c r="T36" i="21"/>
  <c r="T37" i="21"/>
  <c r="T38" i="21"/>
  <c r="T39" i="21"/>
  <c r="T9" i="21"/>
  <c r="V10" i="13"/>
  <c r="V11" i="13"/>
  <c r="V12" i="13"/>
  <c r="V13" i="13"/>
  <c r="V14" i="13"/>
  <c r="V15" i="13"/>
  <c r="V16" i="13"/>
  <c r="V17" i="13"/>
  <c r="V18" i="13"/>
  <c r="V19" i="13"/>
  <c r="V20" i="13"/>
  <c r="V21" i="13"/>
  <c r="V22" i="13"/>
  <c r="V23" i="13"/>
  <c r="V24" i="13"/>
  <c r="V25" i="13"/>
  <c r="V26" i="13"/>
  <c r="V27" i="13"/>
  <c r="V28" i="13"/>
  <c r="V29" i="13"/>
  <c r="V30" i="13"/>
  <c r="V31" i="13"/>
  <c r="V32" i="13"/>
  <c r="V33" i="13"/>
  <c r="V34" i="13"/>
  <c r="V35" i="13"/>
  <c r="V36" i="13"/>
  <c r="V37" i="13"/>
  <c r="V38" i="13"/>
  <c r="V39" i="13"/>
  <c r="V9" i="13"/>
  <c r="R10" i="18"/>
  <c r="R11" i="18"/>
  <c r="R12" i="18"/>
  <c r="R13" i="18"/>
  <c r="R14" i="18"/>
  <c r="R15" i="18"/>
  <c r="R16" i="18"/>
  <c r="R17" i="18"/>
  <c r="R18" i="18"/>
  <c r="R19" i="18"/>
  <c r="R20" i="18"/>
  <c r="R21" i="18"/>
  <c r="R22" i="18"/>
  <c r="R23" i="18"/>
  <c r="R24" i="18"/>
  <c r="R25" i="18"/>
  <c r="R26" i="18"/>
  <c r="R27" i="18"/>
  <c r="R28" i="18"/>
  <c r="R29" i="18"/>
  <c r="R30" i="18"/>
  <c r="R31" i="18"/>
  <c r="R32" i="18"/>
  <c r="R33" i="18"/>
  <c r="R34" i="18"/>
  <c r="R35" i="18"/>
  <c r="R36" i="18"/>
  <c r="R37" i="18"/>
  <c r="R38" i="18"/>
  <c r="R39" i="18"/>
  <c r="R40" i="18"/>
  <c r="R43" i="18"/>
  <c r="R9" i="18"/>
  <c r="Q10" i="18"/>
  <c r="Q11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Q30" i="18"/>
  <c r="Q31" i="18"/>
  <c r="Q32" i="18"/>
  <c r="Q33" i="18"/>
  <c r="Q34" i="18"/>
  <c r="Q35" i="18"/>
  <c r="Q36" i="18"/>
  <c r="Q37" i="18"/>
  <c r="Q38" i="18"/>
  <c r="Q39" i="18"/>
  <c r="Q40" i="18"/>
  <c r="Q43" i="18"/>
  <c r="Q9" i="18"/>
  <c r="S10" i="18"/>
  <c r="T10" i="19"/>
  <c r="T11" i="19"/>
  <c r="T12" i="19"/>
  <c r="T13" i="19"/>
  <c r="T14" i="19"/>
  <c r="T15" i="19"/>
  <c r="T16" i="19"/>
  <c r="T17" i="19"/>
  <c r="T18" i="19"/>
  <c r="T19" i="19"/>
  <c r="T20" i="19"/>
  <c r="T21" i="19"/>
  <c r="T22" i="19"/>
  <c r="T23" i="19"/>
  <c r="T24" i="19"/>
  <c r="T25" i="19"/>
  <c r="T26" i="19"/>
  <c r="T27" i="19"/>
  <c r="T28" i="19"/>
  <c r="T29" i="19"/>
  <c r="T30" i="19"/>
  <c r="T31" i="19"/>
  <c r="T32" i="19"/>
  <c r="T33" i="19"/>
  <c r="T34" i="19"/>
  <c r="T35" i="19"/>
  <c r="T36" i="19"/>
  <c r="T37" i="19"/>
  <c r="T38" i="19"/>
  <c r="T39" i="19"/>
  <c r="T40" i="19"/>
  <c r="T43" i="19"/>
  <c r="T9" i="19"/>
  <c r="S10" i="19"/>
  <c r="S11" i="19"/>
  <c r="S12" i="19"/>
  <c r="S13" i="19"/>
  <c r="S14" i="19"/>
  <c r="S15" i="19"/>
  <c r="S16" i="19"/>
  <c r="S17" i="19"/>
  <c r="S18" i="19"/>
  <c r="S19" i="19"/>
  <c r="S20" i="19"/>
  <c r="S21" i="19"/>
  <c r="S22" i="19"/>
  <c r="S23" i="19"/>
  <c r="S24" i="19"/>
  <c r="S25" i="19"/>
  <c r="S26" i="19"/>
  <c r="S27" i="19"/>
  <c r="S28" i="19"/>
  <c r="S29" i="19"/>
  <c r="S30" i="19"/>
  <c r="S31" i="19"/>
  <c r="S32" i="19"/>
  <c r="S33" i="19"/>
  <c r="S34" i="19"/>
  <c r="S35" i="19"/>
  <c r="S36" i="19"/>
  <c r="S37" i="19"/>
  <c r="S38" i="19"/>
  <c r="S39" i="19"/>
  <c r="S40" i="19"/>
  <c r="S43" i="19"/>
  <c r="S9" i="19"/>
  <c r="U10" i="14"/>
  <c r="U11" i="14"/>
  <c r="U12" i="14"/>
  <c r="U13" i="14"/>
  <c r="U14" i="14"/>
  <c r="U15" i="14"/>
  <c r="U16" i="14"/>
  <c r="U17" i="14"/>
  <c r="U18" i="14"/>
  <c r="U19" i="14"/>
  <c r="U20" i="14"/>
  <c r="U21" i="14"/>
  <c r="U22" i="14"/>
  <c r="U23" i="14"/>
  <c r="U24" i="14"/>
  <c r="U25" i="14"/>
  <c r="U26" i="14"/>
  <c r="U27" i="14"/>
  <c r="U28" i="14"/>
  <c r="U29" i="14"/>
  <c r="U30" i="14"/>
  <c r="U31" i="14"/>
  <c r="U32" i="14"/>
  <c r="U33" i="14"/>
  <c r="U34" i="14"/>
  <c r="U35" i="14"/>
  <c r="U36" i="14"/>
  <c r="U37" i="14"/>
  <c r="U38" i="14"/>
  <c r="U39" i="14"/>
  <c r="U40" i="14"/>
  <c r="U43" i="14"/>
  <c r="U9" i="14"/>
  <c r="F18" i="13" l="1"/>
  <c r="U10" i="19"/>
  <c r="S9" i="18"/>
  <c r="U9" i="19"/>
  <c r="V9" i="19" l="1"/>
  <c r="V10" i="19"/>
  <c r="F19" i="13"/>
  <c r="T10" i="18"/>
  <c r="T9" i="18"/>
  <c r="F20" i="13" l="1"/>
  <c r="H21" i="13"/>
  <c r="F21" i="13"/>
  <c r="F22" i="13"/>
  <c r="M4" i="8"/>
  <c r="M38" i="8"/>
  <c r="M37" i="8"/>
  <c r="M36" i="8"/>
  <c r="M35" i="8"/>
  <c r="M34" i="8"/>
  <c r="M33" i="8"/>
  <c r="M32" i="8"/>
  <c r="M31" i="8"/>
  <c r="M30" i="8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4" i="22"/>
  <c r="M5" i="22"/>
  <c r="M6" i="22"/>
  <c r="M7" i="22"/>
  <c r="M8" i="22"/>
  <c r="M9" i="22"/>
  <c r="M10" i="22"/>
  <c r="M11" i="22"/>
  <c r="M12" i="22"/>
  <c r="M13" i="22"/>
  <c r="M14" i="22"/>
  <c r="M15" i="22"/>
  <c r="M16" i="22"/>
  <c r="M17" i="22"/>
  <c r="M18" i="22"/>
  <c r="M19" i="22"/>
  <c r="M20" i="22"/>
  <c r="M21" i="22"/>
  <c r="M22" i="22"/>
  <c r="M23" i="22"/>
  <c r="M24" i="22"/>
  <c r="M25" i="22"/>
  <c r="M26" i="22"/>
  <c r="M27" i="22"/>
  <c r="M28" i="22"/>
  <c r="M29" i="22"/>
  <c r="M30" i="22"/>
  <c r="M31" i="22"/>
  <c r="M32" i="22"/>
  <c r="M33" i="22"/>
  <c r="M34" i="22"/>
  <c r="M35" i="22"/>
  <c r="M36" i="22"/>
  <c r="M37" i="22"/>
  <c r="M38" i="22"/>
  <c r="C5" i="10"/>
  <c r="N5" i="10" s="1"/>
  <c r="X5" i="10" s="1"/>
  <c r="C35" i="8"/>
  <c r="B10" i="8"/>
  <c r="U10" i="17"/>
  <c r="U11" i="17"/>
  <c r="U12" i="17"/>
  <c r="U13" i="17"/>
  <c r="U14" i="17"/>
  <c r="U15" i="17"/>
  <c r="U16" i="17"/>
  <c r="U17" i="17"/>
  <c r="U18" i="17"/>
  <c r="U19" i="17"/>
  <c r="U20" i="17"/>
  <c r="U21" i="17"/>
  <c r="U22" i="17"/>
  <c r="U23" i="17"/>
  <c r="U24" i="17"/>
  <c r="U25" i="17"/>
  <c r="U26" i="17"/>
  <c r="U27" i="17"/>
  <c r="U28" i="17"/>
  <c r="U29" i="17"/>
  <c r="U30" i="17"/>
  <c r="U31" i="17"/>
  <c r="U32" i="17"/>
  <c r="U33" i="17"/>
  <c r="U34" i="17"/>
  <c r="U35" i="17"/>
  <c r="U36" i="17"/>
  <c r="U9" i="17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30" i="16"/>
  <c r="T31" i="16"/>
  <c r="T32" i="16"/>
  <c r="T33" i="16"/>
  <c r="T34" i="16"/>
  <c r="T35" i="16"/>
  <c r="T36" i="16"/>
  <c r="T37" i="16"/>
  <c r="T9" i="16"/>
  <c r="T10" i="15"/>
  <c r="T11" i="15"/>
  <c r="T12" i="15"/>
  <c r="T13" i="15"/>
  <c r="T14" i="15"/>
  <c r="T15" i="15"/>
  <c r="T16" i="15"/>
  <c r="T17" i="15"/>
  <c r="T18" i="15"/>
  <c r="T19" i="15"/>
  <c r="T20" i="15"/>
  <c r="T21" i="15"/>
  <c r="T22" i="15"/>
  <c r="T23" i="15"/>
  <c r="T24" i="15"/>
  <c r="T25" i="15"/>
  <c r="T26" i="15"/>
  <c r="T27" i="15"/>
  <c r="T28" i="15"/>
  <c r="T29" i="15"/>
  <c r="T30" i="15"/>
  <c r="T31" i="15"/>
  <c r="T32" i="15"/>
  <c r="T33" i="15"/>
  <c r="T34" i="15"/>
  <c r="T35" i="15"/>
  <c r="T36" i="15"/>
  <c r="T37" i="15"/>
  <c r="T38" i="15"/>
  <c r="T9" i="15"/>
  <c r="S10" i="20"/>
  <c r="S11" i="20"/>
  <c r="S12" i="20"/>
  <c r="S13" i="20"/>
  <c r="S14" i="20"/>
  <c r="S15" i="20"/>
  <c r="S16" i="20"/>
  <c r="S17" i="20"/>
  <c r="S18" i="20"/>
  <c r="S19" i="20"/>
  <c r="S20" i="20"/>
  <c r="S21" i="20"/>
  <c r="S22" i="20"/>
  <c r="S23" i="20"/>
  <c r="S24" i="20"/>
  <c r="S25" i="20"/>
  <c r="S26" i="20"/>
  <c r="S27" i="20"/>
  <c r="S28" i="20"/>
  <c r="S29" i="20"/>
  <c r="S30" i="20"/>
  <c r="S31" i="20"/>
  <c r="S32" i="20"/>
  <c r="S33" i="20"/>
  <c r="S34" i="20"/>
  <c r="S35" i="20"/>
  <c r="S36" i="20"/>
  <c r="S37" i="20"/>
  <c r="S38" i="20"/>
  <c r="S39" i="20"/>
  <c r="S41" i="20"/>
  <c r="S42" i="20"/>
  <c r="S9" i="20"/>
  <c r="S10" i="21"/>
  <c r="S11" i="21"/>
  <c r="S12" i="21"/>
  <c r="S13" i="21"/>
  <c r="S14" i="21"/>
  <c r="S15" i="21"/>
  <c r="S16" i="21"/>
  <c r="S17" i="21"/>
  <c r="S18" i="21"/>
  <c r="S19" i="21"/>
  <c r="S20" i="21"/>
  <c r="S21" i="21"/>
  <c r="S22" i="21"/>
  <c r="S23" i="21"/>
  <c r="S24" i="21"/>
  <c r="S25" i="21"/>
  <c r="S26" i="21"/>
  <c r="S27" i="21"/>
  <c r="S28" i="21"/>
  <c r="S29" i="21"/>
  <c r="S30" i="21"/>
  <c r="S31" i="21"/>
  <c r="S32" i="21"/>
  <c r="S33" i="21"/>
  <c r="S34" i="21"/>
  <c r="S35" i="21"/>
  <c r="S36" i="21"/>
  <c r="S37" i="21"/>
  <c r="S38" i="21"/>
  <c r="S39" i="21"/>
  <c r="S9" i="21"/>
  <c r="U10" i="13"/>
  <c r="U11" i="13"/>
  <c r="U12" i="13"/>
  <c r="U13" i="13"/>
  <c r="U14" i="13"/>
  <c r="U15" i="13"/>
  <c r="U16" i="13"/>
  <c r="U17" i="13"/>
  <c r="U18" i="13"/>
  <c r="U19" i="13"/>
  <c r="U20" i="13"/>
  <c r="U21" i="13"/>
  <c r="U22" i="13"/>
  <c r="U23" i="13"/>
  <c r="U24" i="13"/>
  <c r="U25" i="13"/>
  <c r="U26" i="13"/>
  <c r="U27" i="13"/>
  <c r="U28" i="13"/>
  <c r="U29" i="13"/>
  <c r="U30" i="13"/>
  <c r="U31" i="13"/>
  <c r="U32" i="13"/>
  <c r="U33" i="13"/>
  <c r="U34" i="13"/>
  <c r="U35" i="13"/>
  <c r="U36" i="13"/>
  <c r="U37" i="13"/>
  <c r="U38" i="13"/>
  <c r="U39" i="13"/>
  <c r="U9" i="13"/>
  <c r="T10" i="14"/>
  <c r="V10" i="14" s="1"/>
  <c r="T11" i="14"/>
  <c r="T12" i="14"/>
  <c r="T13" i="14"/>
  <c r="T14" i="14"/>
  <c r="T15" i="14"/>
  <c r="T16" i="14"/>
  <c r="T17" i="14"/>
  <c r="T18" i="14"/>
  <c r="T19" i="14"/>
  <c r="T20" i="14"/>
  <c r="T21" i="14"/>
  <c r="T22" i="14"/>
  <c r="T23" i="14"/>
  <c r="T24" i="14"/>
  <c r="T25" i="14"/>
  <c r="T26" i="14"/>
  <c r="T27" i="14"/>
  <c r="T28" i="14"/>
  <c r="T29" i="14"/>
  <c r="T30" i="14"/>
  <c r="T31" i="14"/>
  <c r="T32" i="14"/>
  <c r="T33" i="14"/>
  <c r="T34" i="14"/>
  <c r="T35" i="14"/>
  <c r="T36" i="14"/>
  <c r="T37" i="14"/>
  <c r="T38" i="14"/>
  <c r="T39" i="14"/>
  <c r="T40" i="14"/>
  <c r="T9" i="14"/>
  <c r="V9" i="14" s="1"/>
  <c r="C37" i="8"/>
  <c r="C38" i="8"/>
  <c r="C36" i="22"/>
  <c r="O40" i="16"/>
  <c r="N42" i="20"/>
  <c r="N42" i="21"/>
  <c r="O42" i="21" s="1"/>
  <c r="I42" i="21"/>
  <c r="I42" i="20" s="1"/>
  <c r="I10" i="21"/>
  <c r="I10" i="20" s="1"/>
  <c r="J10" i="15" s="1"/>
  <c r="J10" i="16" s="1"/>
  <c r="K10" i="17" s="1"/>
  <c r="I11" i="21"/>
  <c r="I11" i="20" s="1"/>
  <c r="J11" i="15" s="1"/>
  <c r="J11" i="16" s="1"/>
  <c r="K11" i="17" s="1"/>
  <c r="I12" i="21"/>
  <c r="I12" i="20" s="1"/>
  <c r="J12" i="15" s="1"/>
  <c r="J12" i="16" s="1"/>
  <c r="K12" i="17" s="1"/>
  <c r="I13" i="21"/>
  <c r="I13" i="20" s="1"/>
  <c r="J13" i="15" s="1"/>
  <c r="J13" i="16" s="1"/>
  <c r="K13" i="17" s="1"/>
  <c r="I15" i="21"/>
  <c r="I15" i="20" s="1"/>
  <c r="J15" i="15" s="1"/>
  <c r="J15" i="16" s="1"/>
  <c r="K15" i="17" s="1"/>
  <c r="I25" i="21"/>
  <c r="I25" i="20" s="1"/>
  <c r="J25" i="15" s="1"/>
  <c r="J25" i="16" s="1"/>
  <c r="K25" i="17" s="1"/>
  <c r="I26" i="21"/>
  <c r="I26" i="20" s="1"/>
  <c r="J26" i="15" s="1"/>
  <c r="J26" i="16" s="1"/>
  <c r="K26" i="17" s="1"/>
  <c r="I27" i="21"/>
  <c r="I27" i="20" s="1"/>
  <c r="J27" i="15" s="1"/>
  <c r="J27" i="16" s="1"/>
  <c r="K27" i="17" s="1"/>
  <c r="I28" i="21"/>
  <c r="I28" i="20" s="1"/>
  <c r="J28" i="15" s="1"/>
  <c r="J28" i="16" s="1"/>
  <c r="K28" i="17" s="1"/>
  <c r="I29" i="21"/>
  <c r="I29" i="20" s="1"/>
  <c r="J29" i="15" s="1"/>
  <c r="J29" i="16" s="1"/>
  <c r="K29" i="17" s="1"/>
  <c r="I30" i="21"/>
  <c r="I30" i="20" s="1"/>
  <c r="J30" i="15" s="1"/>
  <c r="J30" i="16" s="1"/>
  <c r="K30" i="17" s="1"/>
  <c r="I31" i="21"/>
  <c r="I31" i="20" s="1"/>
  <c r="J31" i="15" s="1"/>
  <c r="J31" i="16" s="1"/>
  <c r="K31" i="17" s="1"/>
  <c r="I32" i="21"/>
  <c r="I32" i="20" s="1"/>
  <c r="J32" i="15" s="1"/>
  <c r="J32" i="16" s="1"/>
  <c r="K32" i="17" s="1"/>
  <c r="I33" i="21"/>
  <c r="I33" i="20" s="1"/>
  <c r="J33" i="15" s="1"/>
  <c r="J33" i="16" s="1"/>
  <c r="K33" i="17" s="1"/>
  <c r="I34" i="21"/>
  <c r="I34" i="20" s="1"/>
  <c r="J34" i="15" s="1"/>
  <c r="J34" i="16" s="1"/>
  <c r="K34" i="17" s="1"/>
  <c r="I35" i="21"/>
  <c r="I35" i="20" s="1"/>
  <c r="J35" i="15" s="1"/>
  <c r="J35" i="16" s="1"/>
  <c r="K35" i="17" s="1"/>
  <c r="I36" i="21"/>
  <c r="I36" i="20" s="1"/>
  <c r="J36" i="15" s="1"/>
  <c r="J36" i="16" s="1"/>
  <c r="K36" i="17" s="1"/>
  <c r="I37" i="21"/>
  <c r="I37" i="20" s="1"/>
  <c r="J37" i="15" s="1"/>
  <c r="J37" i="16" s="1"/>
  <c r="K37" i="17" s="1"/>
  <c r="I38" i="21"/>
  <c r="I38" i="20" s="1"/>
  <c r="J38" i="15" s="1"/>
  <c r="J38" i="16" s="1"/>
  <c r="K38" i="17" s="1"/>
  <c r="I39" i="21"/>
  <c r="I39" i="20" s="1"/>
  <c r="J39" i="15" s="1"/>
  <c r="J39" i="16" s="1"/>
  <c r="I40" i="21"/>
  <c r="I40" i="20" s="1"/>
  <c r="J40" i="15" s="1"/>
  <c r="I41" i="21"/>
  <c r="I41" i="20" s="1"/>
  <c r="I9" i="21"/>
  <c r="I9" i="20" s="1"/>
  <c r="J9" i="15" s="1"/>
  <c r="J9" i="16" s="1"/>
  <c r="K9" i="17" s="1"/>
  <c r="D39" i="10" l="1"/>
  <c r="N38" i="22"/>
  <c r="G11" i="10"/>
  <c r="N10" i="8"/>
  <c r="Q11" i="10" s="1"/>
  <c r="D38" i="10"/>
  <c r="N37" i="22"/>
  <c r="G36" i="10"/>
  <c r="N35" i="8"/>
  <c r="D37" i="10"/>
  <c r="N36" i="22"/>
  <c r="D29" i="10"/>
  <c r="N28" i="22"/>
  <c r="O29" i="10" s="1"/>
  <c r="D21" i="10"/>
  <c r="N20" i="22"/>
  <c r="O21" i="10" s="1"/>
  <c r="D13" i="10"/>
  <c r="N12" i="22"/>
  <c r="O13" i="10" s="1"/>
  <c r="D5" i="10"/>
  <c r="N4" i="22"/>
  <c r="O5" i="10" s="1"/>
  <c r="G13" i="10"/>
  <c r="N12" i="8"/>
  <c r="Q13" i="10" s="1"/>
  <c r="G21" i="10"/>
  <c r="N20" i="8"/>
  <c r="Q21" i="10" s="1"/>
  <c r="G29" i="10"/>
  <c r="N28" i="8"/>
  <c r="Q29" i="10" s="1"/>
  <c r="G38" i="10"/>
  <c r="N36" i="8"/>
  <c r="D31" i="10"/>
  <c r="N30" i="22"/>
  <c r="O31" i="10" s="1"/>
  <c r="D7" i="10"/>
  <c r="N6" i="22"/>
  <c r="O7" i="10" s="1"/>
  <c r="G28" i="10"/>
  <c r="N27" i="8"/>
  <c r="Q28" i="10" s="1"/>
  <c r="D36" i="10"/>
  <c r="N35" i="22"/>
  <c r="D28" i="10"/>
  <c r="N27" i="22"/>
  <c r="O28" i="10" s="1"/>
  <c r="D20" i="10"/>
  <c r="N19" i="22"/>
  <c r="O20" i="10" s="1"/>
  <c r="D12" i="10"/>
  <c r="N11" i="22"/>
  <c r="O12" i="10" s="1"/>
  <c r="G6" i="10"/>
  <c r="N5" i="8"/>
  <c r="Q6" i="10" s="1"/>
  <c r="G14" i="10"/>
  <c r="N13" i="8"/>
  <c r="Q14" i="10" s="1"/>
  <c r="G22" i="10"/>
  <c r="N21" i="8"/>
  <c r="Q22" i="10" s="1"/>
  <c r="G30" i="10"/>
  <c r="N29" i="8"/>
  <c r="Q30" i="10" s="1"/>
  <c r="G39" i="10"/>
  <c r="N37" i="8"/>
  <c r="D15" i="10"/>
  <c r="N14" i="22"/>
  <c r="O15" i="10" s="1"/>
  <c r="D14" i="10"/>
  <c r="N13" i="22"/>
  <c r="O14" i="10" s="1"/>
  <c r="D35" i="10"/>
  <c r="N34" i="22"/>
  <c r="O35" i="10" s="1"/>
  <c r="D27" i="10"/>
  <c r="N26" i="22"/>
  <c r="O27" i="10" s="1"/>
  <c r="D19" i="10"/>
  <c r="N18" i="22"/>
  <c r="O19" i="10" s="1"/>
  <c r="D11" i="10"/>
  <c r="N10" i="22"/>
  <c r="O11" i="10" s="1"/>
  <c r="G7" i="10"/>
  <c r="N6" i="8"/>
  <c r="Q7" i="10" s="1"/>
  <c r="G15" i="10"/>
  <c r="N14" i="8"/>
  <c r="Q15" i="10" s="1"/>
  <c r="G23" i="10"/>
  <c r="N22" i="8"/>
  <c r="Q23" i="10" s="1"/>
  <c r="G31" i="10"/>
  <c r="N30" i="8"/>
  <c r="Q31" i="10" s="1"/>
  <c r="N38" i="8"/>
  <c r="G27" i="10"/>
  <c r="N26" i="8"/>
  <c r="Q27" i="10" s="1"/>
  <c r="G12" i="10"/>
  <c r="N11" i="8"/>
  <c r="Q12" i="10" s="1"/>
  <c r="D34" i="10"/>
  <c r="N33" i="22"/>
  <c r="O34" i="10" s="1"/>
  <c r="D26" i="10"/>
  <c r="N25" i="22"/>
  <c r="O26" i="10" s="1"/>
  <c r="D18" i="10"/>
  <c r="N17" i="22"/>
  <c r="O18" i="10" s="1"/>
  <c r="D10" i="10"/>
  <c r="N9" i="22"/>
  <c r="O10" i="10" s="1"/>
  <c r="G8" i="10"/>
  <c r="N7" i="8"/>
  <c r="Q8" i="10" s="1"/>
  <c r="G16" i="10"/>
  <c r="N15" i="8"/>
  <c r="Q16" i="10" s="1"/>
  <c r="G24" i="10"/>
  <c r="N23" i="8"/>
  <c r="Q24" i="10" s="1"/>
  <c r="G32" i="10"/>
  <c r="N31" i="8"/>
  <c r="Q32" i="10" s="1"/>
  <c r="G5" i="10"/>
  <c r="N4" i="8"/>
  <c r="Q5" i="10" s="1"/>
  <c r="D23" i="10"/>
  <c r="N22" i="22"/>
  <c r="O23" i="10" s="1"/>
  <c r="G35" i="10"/>
  <c r="N34" i="8"/>
  <c r="Q35" i="10" s="1"/>
  <c r="D30" i="10"/>
  <c r="N29" i="22"/>
  <c r="O30" i="10" s="1"/>
  <c r="G20" i="10"/>
  <c r="N19" i="8"/>
  <c r="Q20" i="10" s="1"/>
  <c r="D33" i="10"/>
  <c r="N32" i="22"/>
  <c r="O33" i="10" s="1"/>
  <c r="D25" i="10"/>
  <c r="N24" i="22"/>
  <c r="O25" i="10" s="1"/>
  <c r="D17" i="10"/>
  <c r="N16" i="22"/>
  <c r="O17" i="10" s="1"/>
  <c r="D9" i="10"/>
  <c r="N8" i="22"/>
  <c r="O9" i="10" s="1"/>
  <c r="G9" i="10"/>
  <c r="N8" i="8"/>
  <c r="Q9" i="10" s="1"/>
  <c r="G17" i="10"/>
  <c r="N16" i="8"/>
  <c r="Q17" i="10" s="1"/>
  <c r="G25" i="10"/>
  <c r="N24" i="8"/>
  <c r="Q25" i="10" s="1"/>
  <c r="G33" i="10"/>
  <c r="N32" i="8"/>
  <c r="Q33" i="10" s="1"/>
  <c r="G19" i="10"/>
  <c r="N18" i="8"/>
  <c r="Q19" i="10" s="1"/>
  <c r="D22" i="10"/>
  <c r="N21" i="22"/>
  <c r="O22" i="10" s="1"/>
  <c r="D6" i="10"/>
  <c r="N5" i="22"/>
  <c r="O6" i="10" s="1"/>
  <c r="D32" i="10"/>
  <c r="N31" i="22"/>
  <c r="O32" i="10" s="1"/>
  <c r="D24" i="10"/>
  <c r="N23" i="22"/>
  <c r="O24" i="10" s="1"/>
  <c r="D16" i="10"/>
  <c r="N15" i="22"/>
  <c r="O16" i="10" s="1"/>
  <c r="D8" i="10"/>
  <c r="N7" i="22"/>
  <c r="O8" i="10" s="1"/>
  <c r="G10" i="10"/>
  <c r="N9" i="8"/>
  <c r="Q10" i="10" s="1"/>
  <c r="G18" i="10"/>
  <c r="N17" i="8"/>
  <c r="Q18" i="10" s="1"/>
  <c r="G26" i="10"/>
  <c r="N25" i="8"/>
  <c r="Q26" i="10" s="1"/>
  <c r="G34" i="10"/>
  <c r="N33" i="8"/>
  <c r="Q34" i="10" s="1"/>
  <c r="T42" i="14"/>
  <c r="U42" i="14"/>
  <c r="W10" i="14"/>
  <c r="C37" i="22"/>
  <c r="C36" i="8"/>
  <c r="C38" i="22"/>
  <c r="W9" i="14"/>
  <c r="P42" i="21"/>
  <c r="Q42" i="21" s="1"/>
  <c r="P42" i="20"/>
  <c r="O42" i="20"/>
  <c r="Q40" i="16"/>
  <c r="P40" i="16"/>
  <c r="O36" i="10" l="1"/>
  <c r="O37" i="10" s="1"/>
  <c r="Q36" i="10"/>
  <c r="Q37" i="10" s="1"/>
  <c r="U42" i="21"/>
  <c r="R40" i="16"/>
  <c r="Q42" i="20"/>
  <c r="U42" i="20" l="1"/>
  <c r="V40" i="16"/>
  <c r="I25" i="19"/>
  <c r="H25" i="18" s="1"/>
  <c r="I41" i="19"/>
  <c r="I42" i="19"/>
  <c r="H41" i="18" l="1"/>
  <c r="H42" i="18"/>
  <c r="T42" i="19"/>
  <c r="S42" i="19"/>
  <c r="R42" i="18" l="1"/>
  <c r="Q42" i="18"/>
  <c r="I26" i="19" l="1"/>
  <c r="H26" i="18" s="1"/>
  <c r="P42" i="13"/>
  <c r="O43" i="14"/>
  <c r="P43" i="14" s="1"/>
  <c r="Q42" i="13" l="1"/>
  <c r="R42" i="13"/>
  <c r="C35" i="22"/>
  <c r="B10" i="22"/>
  <c r="C6" i="22" l="1"/>
  <c r="C6" i="8"/>
  <c r="C30" i="22"/>
  <c r="C30" i="8"/>
  <c r="C22" i="22"/>
  <c r="C22" i="8"/>
  <c r="C5" i="22"/>
  <c r="C5" i="8"/>
  <c r="C29" i="22"/>
  <c r="C29" i="8"/>
  <c r="C14" i="22"/>
  <c r="C14" i="8"/>
  <c r="C12" i="22"/>
  <c r="C12" i="8"/>
  <c r="C21" i="22"/>
  <c r="C21" i="8"/>
  <c r="C28" i="22"/>
  <c r="C28" i="8"/>
  <c r="C11" i="22"/>
  <c r="C11" i="8"/>
  <c r="C27" i="22"/>
  <c r="C27" i="8"/>
  <c r="C10" i="22"/>
  <c r="C10" i="8"/>
  <c r="C34" i="22"/>
  <c r="C34" i="8"/>
  <c r="C26" i="22"/>
  <c r="C26" i="8"/>
  <c r="C13" i="22"/>
  <c r="C13" i="8"/>
  <c r="C18" i="22"/>
  <c r="C18" i="8"/>
  <c r="C17" i="22"/>
  <c r="C17" i="8"/>
  <c r="C9" i="22"/>
  <c r="C9" i="8"/>
  <c r="C33" i="22"/>
  <c r="C33" i="8"/>
  <c r="C25" i="22"/>
  <c r="C25" i="8"/>
  <c r="C20" i="22"/>
  <c r="C20" i="8"/>
  <c r="C16" i="22"/>
  <c r="C16" i="8"/>
  <c r="C8" i="22"/>
  <c r="C8" i="8"/>
  <c r="C32" i="22"/>
  <c r="C32" i="8"/>
  <c r="C24" i="22"/>
  <c r="C24" i="8"/>
  <c r="C4" i="22"/>
  <c r="C4" i="8"/>
  <c r="C19" i="22"/>
  <c r="C19" i="8"/>
  <c r="C15" i="22"/>
  <c r="C15" i="8"/>
  <c r="C7" i="22"/>
  <c r="C7" i="8"/>
  <c r="C31" i="22"/>
  <c r="C31" i="8"/>
  <c r="C23" i="22"/>
  <c r="C23" i="8"/>
  <c r="S42" i="13"/>
  <c r="Q9" i="17"/>
  <c r="Q9" i="16"/>
  <c r="Q10" i="16"/>
  <c r="P9" i="16"/>
  <c r="P10" i="16"/>
  <c r="Q9" i="15"/>
  <c r="P9" i="15"/>
  <c r="W42" i="13" l="1"/>
  <c r="F10" i="20"/>
  <c r="K11" i="20" s="1"/>
  <c r="K26" i="20" s="1"/>
  <c r="O10" i="17" l="1"/>
  <c r="O25" i="17"/>
  <c r="E8" i="17"/>
  <c r="E9" i="17" s="1"/>
  <c r="F9" i="17" s="1"/>
  <c r="N25" i="16"/>
  <c r="H10" i="16"/>
  <c r="L11" i="16" s="1"/>
  <c r="L26" i="16" s="1"/>
  <c r="N26" i="16" s="1"/>
  <c r="E8" i="16"/>
  <c r="E9" i="16" s="1"/>
  <c r="N10" i="15"/>
  <c r="H10" i="15"/>
  <c r="E8" i="15"/>
  <c r="E9" i="15" s="1"/>
  <c r="H10" i="13"/>
  <c r="M11" i="13" s="1"/>
  <c r="M26" i="13" s="1"/>
  <c r="L11" i="15" l="1"/>
  <c r="O41" i="13"/>
  <c r="O25" i="13"/>
  <c r="N11" i="16"/>
  <c r="P10" i="17"/>
  <c r="Q10" i="17" s="1"/>
  <c r="H11" i="17"/>
  <c r="H10" i="17"/>
  <c r="E10" i="17"/>
  <c r="F10" i="17" s="1"/>
  <c r="F9" i="16"/>
  <c r="E10" i="16"/>
  <c r="H11" i="16"/>
  <c r="L12" i="16" s="1"/>
  <c r="F9" i="15"/>
  <c r="E10" i="15"/>
  <c r="H11" i="13"/>
  <c r="M12" i="13" s="1"/>
  <c r="M27" i="13" s="1"/>
  <c r="E8" i="14"/>
  <c r="E9" i="14" s="1"/>
  <c r="M14" i="20"/>
  <c r="F11" i="20"/>
  <c r="K12" i="20" s="1"/>
  <c r="K27" i="20" s="1"/>
  <c r="E7" i="21"/>
  <c r="E6" i="21"/>
  <c r="E7" i="19"/>
  <c r="I9" i="19"/>
  <c r="J9" i="19"/>
  <c r="I9" i="18" s="1"/>
  <c r="J10" i="19"/>
  <c r="I10" i="18" s="1"/>
  <c r="L9" i="13" s="1"/>
  <c r="J11" i="19"/>
  <c r="I11" i="18" s="1"/>
  <c r="L10" i="13" s="1"/>
  <c r="C7" i="10" s="1"/>
  <c r="N7" i="10" s="1"/>
  <c r="X7" i="10" s="1"/>
  <c r="J12" i="19"/>
  <c r="I12" i="18" s="1"/>
  <c r="L11" i="13" s="1"/>
  <c r="C8" i="10" s="1"/>
  <c r="N8" i="10" s="1"/>
  <c r="X8" i="10" s="1"/>
  <c r="J13" i="19"/>
  <c r="I13" i="18" s="1"/>
  <c r="L12" i="13" s="1"/>
  <c r="C9" i="10" s="1"/>
  <c r="N9" i="10" s="1"/>
  <c r="X9" i="10" s="1"/>
  <c r="J14" i="19"/>
  <c r="I14" i="18" s="1"/>
  <c r="L13" i="13" s="1"/>
  <c r="C10" i="10" s="1"/>
  <c r="N10" i="10" s="1"/>
  <c r="X10" i="10" s="1"/>
  <c r="J15" i="19"/>
  <c r="I15" i="18" s="1"/>
  <c r="L14" i="13" s="1"/>
  <c r="C11" i="10" s="1"/>
  <c r="N11" i="10" s="1"/>
  <c r="X11" i="10" s="1"/>
  <c r="J16" i="19"/>
  <c r="I16" i="18" s="1"/>
  <c r="L15" i="13" s="1"/>
  <c r="C12" i="10" s="1"/>
  <c r="N12" i="10" s="1"/>
  <c r="X12" i="10" s="1"/>
  <c r="J17" i="19"/>
  <c r="I17" i="18" s="1"/>
  <c r="L16" i="13" s="1"/>
  <c r="C13" i="10" s="1"/>
  <c r="N13" i="10" s="1"/>
  <c r="X13" i="10" s="1"/>
  <c r="J18" i="19"/>
  <c r="I18" i="18" s="1"/>
  <c r="L17" i="13" s="1"/>
  <c r="C14" i="10" s="1"/>
  <c r="N14" i="10" s="1"/>
  <c r="X14" i="10" s="1"/>
  <c r="J19" i="19"/>
  <c r="I19" i="18" s="1"/>
  <c r="L18" i="13" s="1"/>
  <c r="C15" i="10" s="1"/>
  <c r="N15" i="10" s="1"/>
  <c r="X15" i="10" s="1"/>
  <c r="J20" i="19"/>
  <c r="I20" i="18" s="1"/>
  <c r="L19" i="13" s="1"/>
  <c r="C16" i="10" s="1"/>
  <c r="N16" i="10" s="1"/>
  <c r="X16" i="10" s="1"/>
  <c r="J21" i="19"/>
  <c r="I21" i="18" s="1"/>
  <c r="L20" i="13" s="1"/>
  <c r="C17" i="10" s="1"/>
  <c r="N17" i="10" s="1"/>
  <c r="X17" i="10" s="1"/>
  <c r="J22" i="19"/>
  <c r="I22" i="18" s="1"/>
  <c r="L21" i="13" s="1"/>
  <c r="C18" i="10" s="1"/>
  <c r="N18" i="10" s="1"/>
  <c r="X18" i="10" s="1"/>
  <c r="J23" i="19"/>
  <c r="I23" i="18" s="1"/>
  <c r="L22" i="13" s="1"/>
  <c r="C19" i="10" s="1"/>
  <c r="N19" i="10" s="1"/>
  <c r="X19" i="10" s="1"/>
  <c r="J24" i="19"/>
  <c r="I24" i="18" s="1"/>
  <c r="L23" i="13" s="1"/>
  <c r="C20" i="10" s="1"/>
  <c r="N20" i="10" s="1"/>
  <c r="X20" i="10" s="1"/>
  <c r="J25" i="19"/>
  <c r="I25" i="18" s="1"/>
  <c r="L24" i="13" s="1"/>
  <c r="C21" i="10" s="1"/>
  <c r="N21" i="10" s="1"/>
  <c r="X21" i="10" s="1"/>
  <c r="J26" i="19"/>
  <c r="I26" i="18" s="1"/>
  <c r="L25" i="13" s="1"/>
  <c r="C22" i="10" s="1"/>
  <c r="N22" i="10" s="1"/>
  <c r="X22" i="10" s="1"/>
  <c r="J27" i="19"/>
  <c r="I27" i="18" s="1"/>
  <c r="L26" i="13" s="1"/>
  <c r="C23" i="10" s="1"/>
  <c r="N23" i="10" s="1"/>
  <c r="X23" i="10" s="1"/>
  <c r="J28" i="19"/>
  <c r="I28" i="18" s="1"/>
  <c r="L27" i="13" s="1"/>
  <c r="C24" i="10" s="1"/>
  <c r="N24" i="10" s="1"/>
  <c r="X24" i="10" s="1"/>
  <c r="J29" i="19"/>
  <c r="I29" i="18" s="1"/>
  <c r="L28" i="13" s="1"/>
  <c r="C25" i="10" s="1"/>
  <c r="N25" i="10" s="1"/>
  <c r="X25" i="10" s="1"/>
  <c r="J30" i="19"/>
  <c r="I30" i="18" s="1"/>
  <c r="L29" i="13" s="1"/>
  <c r="C26" i="10" s="1"/>
  <c r="N26" i="10" s="1"/>
  <c r="X26" i="10" s="1"/>
  <c r="J31" i="19"/>
  <c r="I31" i="18" s="1"/>
  <c r="L30" i="13" s="1"/>
  <c r="C27" i="10" s="1"/>
  <c r="N27" i="10" s="1"/>
  <c r="X27" i="10" s="1"/>
  <c r="J32" i="19"/>
  <c r="I32" i="18" s="1"/>
  <c r="L31" i="13" s="1"/>
  <c r="C28" i="10" s="1"/>
  <c r="N28" i="10" s="1"/>
  <c r="X28" i="10" s="1"/>
  <c r="J33" i="19"/>
  <c r="I33" i="18" s="1"/>
  <c r="L32" i="13" s="1"/>
  <c r="C29" i="10" s="1"/>
  <c r="N29" i="10" s="1"/>
  <c r="X29" i="10" s="1"/>
  <c r="J34" i="19"/>
  <c r="I34" i="18" s="1"/>
  <c r="L33" i="13" s="1"/>
  <c r="C30" i="10" s="1"/>
  <c r="N30" i="10" s="1"/>
  <c r="X30" i="10" s="1"/>
  <c r="J35" i="19"/>
  <c r="I35" i="18" s="1"/>
  <c r="L34" i="13" s="1"/>
  <c r="C31" i="10" s="1"/>
  <c r="N31" i="10" s="1"/>
  <c r="X31" i="10" s="1"/>
  <c r="J36" i="19"/>
  <c r="I36" i="18" s="1"/>
  <c r="L35" i="13" s="1"/>
  <c r="C32" i="10" s="1"/>
  <c r="N32" i="10" s="1"/>
  <c r="X32" i="10" s="1"/>
  <c r="J37" i="19"/>
  <c r="I37" i="18" s="1"/>
  <c r="L36" i="13" s="1"/>
  <c r="C33" i="10" s="1"/>
  <c r="N33" i="10" s="1"/>
  <c r="X33" i="10" s="1"/>
  <c r="J38" i="19"/>
  <c r="I38" i="18" s="1"/>
  <c r="L37" i="13" s="1"/>
  <c r="C34" i="10" s="1"/>
  <c r="N34" i="10" s="1"/>
  <c r="X34" i="10" s="1"/>
  <c r="J39" i="19"/>
  <c r="I39" i="18" s="1"/>
  <c r="L38" i="13" s="1"/>
  <c r="C35" i="10" s="1"/>
  <c r="J40" i="19"/>
  <c r="I40" i="18" s="1"/>
  <c r="L39" i="13" s="1"/>
  <c r="C36" i="10" s="1"/>
  <c r="J41" i="19"/>
  <c r="I41" i="18" s="1"/>
  <c r="L40" i="13" s="1"/>
  <c r="C37" i="10" s="1"/>
  <c r="J42" i="19"/>
  <c r="I42" i="18" s="1"/>
  <c r="L41" i="13" s="1"/>
  <c r="J43" i="19"/>
  <c r="I43" i="18" s="1"/>
  <c r="L42" i="13" s="1"/>
  <c r="K42" i="18"/>
  <c r="C39" i="10" l="1"/>
  <c r="J42" i="21"/>
  <c r="J42" i="20" s="1"/>
  <c r="K41" i="15" s="1"/>
  <c r="K40" i="16" s="1"/>
  <c r="L39" i="17" s="1"/>
  <c r="C38" i="10"/>
  <c r="J41" i="21"/>
  <c r="J41" i="20" s="1"/>
  <c r="K40" i="15" s="1"/>
  <c r="K39" i="16" s="1"/>
  <c r="L38" i="17" s="1"/>
  <c r="L27" i="16"/>
  <c r="N27" i="16" s="1"/>
  <c r="N12" i="16"/>
  <c r="M11" i="17"/>
  <c r="M12" i="17"/>
  <c r="L26" i="15"/>
  <c r="N11" i="15"/>
  <c r="M15" i="20"/>
  <c r="M28" i="20"/>
  <c r="F15" i="20"/>
  <c r="K16" i="20" s="1"/>
  <c r="K31" i="20" s="1"/>
  <c r="M42" i="19"/>
  <c r="M25" i="20"/>
  <c r="M9" i="20"/>
  <c r="M10" i="20"/>
  <c r="M29" i="20"/>
  <c r="M13" i="20"/>
  <c r="M12" i="20"/>
  <c r="M30" i="20"/>
  <c r="M27" i="20"/>
  <c r="M11" i="20"/>
  <c r="F9" i="14"/>
  <c r="L11" i="14" s="1"/>
  <c r="J11" i="21"/>
  <c r="J11" i="20" s="1"/>
  <c r="K10" i="15" s="1"/>
  <c r="K9" i="16" s="1"/>
  <c r="J32" i="21"/>
  <c r="J32" i="20" s="1"/>
  <c r="K31" i="15" s="1"/>
  <c r="K30" i="16" s="1"/>
  <c r="L29" i="17" s="1"/>
  <c r="J25" i="21"/>
  <c r="J25" i="20" s="1"/>
  <c r="K24" i="15" s="1"/>
  <c r="K23" i="16" s="1"/>
  <c r="L22" i="17" s="1"/>
  <c r="J18" i="21"/>
  <c r="J18" i="20" s="1"/>
  <c r="K17" i="15" s="1"/>
  <c r="K16" i="16" s="1"/>
  <c r="L15" i="17" s="1"/>
  <c r="J10" i="21"/>
  <c r="J10" i="20" s="1"/>
  <c r="K9" i="15" s="1"/>
  <c r="J33" i="21"/>
  <c r="J33" i="20" s="1"/>
  <c r="K32" i="15" s="1"/>
  <c r="K31" i="16" s="1"/>
  <c r="L30" i="17" s="1"/>
  <c r="J39" i="21"/>
  <c r="J39" i="20" s="1"/>
  <c r="K38" i="15" s="1"/>
  <c r="K37" i="16" s="1"/>
  <c r="L36" i="17" s="1"/>
  <c r="J31" i="21"/>
  <c r="J31" i="20" s="1"/>
  <c r="K30" i="15" s="1"/>
  <c r="K29" i="16" s="1"/>
  <c r="L28" i="17" s="1"/>
  <c r="J17" i="21"/>
  <c r="J17" i="20" s="1"/>
  <c r="K16" i="15" s="1"/>
  <c r="K15" i="16" s="1"/>
  <c r="L14" i="17" s="1"/>
  <c r="J9" i="21"/>
  <c r="J9" i="20" s="1"/>
  <c r="C6" i="10"/>
  <c r="N6" i="10" s="1"/>
  <c r="X6" i="10" s="1"/>
  <c r="J40" i="21"/>
  <c r="J40" i="20" s="1"/>
  <c r="K39" i="15" s="1"/>
  <c r="K38" i="16" s="1"/>
  <c r="L37" i="17" s="1"/>
  <c r="J38" i="21"/>
  <c r="J38" i="20" s="1"/>
  <c r="K37" i="15" s="1"/>
  <c r="K36" i="16" s="1"/>
  <c r="L35" i="17" s="1"/>
  <c r="J30" i="21"/>
  <c r="J30" i="20" s="1"/>
  <c r="K29" i="15" s="1"/>
  <c r="K28" i="16" s="1"/>
  <c r="L27" i="17" s="1"/>
  <c r="J24" i="21"/>
  <c r="J24" i="20" s="1"/>
  <c r="K23" i="15" s="1"/>
  <c r="K22" i="16" s="1"/>
  <c r="L21" i="17" s="1"/>
  <c r="J16" i="21"/>
  <c r="J16" i="20" s="1"/>
  <c r="K15" i="15" s="1"/>
  <c r="K14" i="16" s="1"/>
  <c r="L13" i="17" s="1"/>
  <c r="J23" i="21"/>
  <c r="J23" i="20" s="1"/>
  <c r="K22" i="15" s="1"/>
  <c r="K21" i="16" s="1"/>
  <c r="L20" i="17" s="1"/>
  <c r="J15" i="21"/>
  <c r="J15" i="20" s="1"/>
  <c r="K14" i="15" s="1"/>
  <c r="K13" i="16" s="1"/>
  <c r="L12" i="17" s="1"/>
  <c r="J19" i="21"/>
  <c r="J19" i="20" s="1"/>
  <c r="K18" i="15" s="1"/>
  <c r="K17" i="16" s="1"/>
  <c r="L16" i="17" s="1"/>
  <c r="J29" i="21"/>
  <c r="J29" i="20" s="1"/>
  <c r="K28" i="15" s="1"/>
  <c r="K27" i="16" s="1"/>
  <c r="L26" i="17" s="1"/>
  <c r="J36" i="21"/>
  <c r="J36" i="20" s="1"/>
  <c r="K35" i="15" s="1"/>
  <c r="K34" i="16" s="1"/>
  <c r="L33" i="17" s="1"/>
  <c r="J28" i="21"/>
  <c r="J28" i="20" s="1"/>
  <c r="K27" i="15" s="1"/>
  <c r="K26" i="16" s="1"/>
  <c r="L25" i="17" s="1"/>
  <c r="J22" i="21"/>
  <c r="J22" i="20" s="1"/>
  <c r="K21" i="15" s="1"/>
  <c r="K20" i="16" s="1"/>
  <c r="L19" i="17" s="1"/>
  <c r="J14" i="21"/>
  <c r="J14" i="20" s="1"/>
  <c r="K13" i="15" s="1"/>
  <c r="K12" i="16" s="1"/>
  <c r="L11" i="17" s="1"/>
  <c r="J37" i="21"/>
  <c r="J37" i="20" s="1"/>
  <c r="K36" i="15" s="1"/>
  <c r="K35" i="16" s="1"/>
  <c r="L34" i="17" s="1"/>
  <c r="J35" i="21"/>
  <c r="J35" i="20" s="1"/>
  <c r="K34" i="15" s="1"/>
  <c r="K33" i="16" s="1"/>
  <c r="L32" i="17" s="1"/>
  <c r="J27" i="21"/>
  <c r="J27" i="20" s="1"/>
  <c r="K26" i="15" s="1"/>
  <c r="K25" i="16" s="1"/>
  <c r="L24" i="17" s="1"/>
  <c r="J13" i="21"/>
  <c r="J13" i="20" s="1"/>
  <c r="K12" i="15" s="1"/>
  <c r="K11" i="16" s="1"/>
  <c r="L10" i="17" s="1"/>
  <c r="J21" i="21"/>
  <c r="J21" i="20" s="1"/>
  <c r="K20" i="15" s="1"/>
  <c r="K19" i="16" s="1"/>
  <c r="L18" i="17" s="1"/>
  <c r="J34" i="21"/>
  <c r="J34" i="20" s="1"/>
  <c r="K33" i="15" s="1"/>
  <c r="K32" i="16" s="1"/>
  <c r="L31" i="17" s="1"/>
  <c r="J26" i="21"/>
  <c r="J26" i="20" s="1"/>
  <c r="K25" i="15" s="1"/>
  <c r="K24" i="16" s="1"/>
  <c r="L23" i="17" s="1"/>
  <c r="J20" i="21"/>
  <c r="J20" i="20" s="1"/>
  <c r="K19" i="15" s="1"/>
  <c r="K18" i="16" s="1"/>
  <c r="L17" i="17" s="1"/>
  <c r="J12" i="21"/>
  <c r="J12" i="20" s="1"/>
  <c r="K11" i="15" s="1"/>
  <c r="K10" i="16" s="1"/>
  <c r="L9" i="17" s="1"/>
  <c r="R10" i="17"/>
  <c r="H11" i="15"/>
  <c r="H13" i="17"/>
  <c r="H10" i="14"/>
  <c r="H11" i="14"/>
  <c r="L42" i="18"/>
  <c r="E10" i="14"/>
  <c r="E8" i="19"/>
  <c r="H9" i="18"/>
  <c r="E7" i="18" s="1"/>
  <c r="E11" i="17"/>
  <c r="H12" i="17"/>
  <c r="F11" i="17"/>
  <c r="H12" i="16"/>
  <c r="L13" i="16" s="1"/>
  <c r="F10" i="16"/>
  <c r="E11" i="16"/>
  <c r="E11" i="15"/>
  <c r="F10" i="15"/>
  <c r="H12" i="15"/>
  <c r="L13" i="15" s="1"/>
  <c r="L28" i="15" l="1"/>
  <c r="N13" i="15"/>
  <c r="L28" i="16"/>
  <c r="N28" i="16" s="1"/>
  <c r="N13" i="16"/>
  <c r="M13" i="17"/>
  <c r="M14" i="17"/>
  <c r="L12" i="15"/>
  <c r="N11" i="14"/>
  <c r="L26" i="14"/>
  <c r="N26" i="14" s="1"/>
  <c r="O26" i="14" s="1"/>
  <c r="M27" i="17"/>
  <c r="O27" i="17" s="1"/>
  <c r="O12" i="17"/>
  <c r="M26" i="17"/>
  <c r="O26" i="17" s="1"/>
  <c r="O11" i="17"/>
  <c r="F16" i="20"/>
  <c r="O26" i="13"/>
  <c r="O10" i="13"/>
  <c r="M40" i="20"/>
  <c r="M26" i="20"/>
  <c r="M42" i="18"/>
  <c r="N42" i="18"/>
  <c r="F10" i="14"/>
  <c r="E11" i="14"/>
  <c r="F11" i="14" s="1"/>
  <c r="L13" i="14" s="1"/>
  <c r="L28" i="14" s="1"/>
  <c r="F11" i="16"/>
  <c r="H13" i="16"/>
  <c r="L14" i="16" s="1"/>
  <c r="H12" i="13"/>
  <c r="M13" i="13" s="1"/>
  <c r="M28" i="13" s="1"/>
  <c r="H13" i="15"/>
  <c r="L14" i="15" s="1"/>
  <c r="F11" i="15"/>
  <c r="H13" i="14"/>
  <c r="H12" i="14"/>
  <c r="H13" i="13"/>
  <c r="M14" i="13" s="1"/>
  <c r="E12" i="17"/>
  <c r="E12" i="16"/>
  <c r="F12" i="16" s="1"/>
  <c r="E12" i="15"/>
  <c r="F12" i="15"/>
  <c r="K17" i="20" l="1"/>
  <c r="K32" i="20" s="1"/>
  <c r="M29" i="13"/>
  <c r="O14" i="13"/>
  <c r="L29" i="15"/>
  <c r="N29" i="15" s="1"/>
  <c r="N14" i="15"/>
  <c r="L29" i="16"/>
  <c r="N29" i="16" s="1"/>
  <c r="N14" i="16"/>
  <c r="L12" i="14"/>
  <c r="P26" i="14"/>
  <c r="Q26" i="14"/>
  <c r="R26" i="14"/>
  <c r="L27" i="15"/>
  <c r="N12" i="15"/>
  <c r="M29" i="17"/>
  <c r="O29" i="17" s="1"/>
  <c r="O14" i="17"/>
  <c r="M28" i="17"/>
  <c r="O28" i="17" s="1"/>
  <c r="O13" i="17"/>
  <c r="F17" i="20"/>
  <c r="O29" i="13"/>
  <c r="O13" i="13"/>
  <c r="O27" i="13"/>
  <c r="O11" i="13"/>
  <c r="E12" i="14"/>
  <c r="N13" i="14"/>
  <c r="E13" i="17"/>
  <c r="F13" i="17" s="1"/>
  <c r="F12" i="17"/>
  <c r="E13" i="16"/>
  <c r="F13" i="16" s="1"/>
  <c r="E13" i="15"/>
  <c r="F13" i="15" s="1"/>
  <c r="K18" i="20" l="1"/>
  <c r="K33" i="20" s="1"/>
  <c r="V26" i="14"/>
  <c r="L27" i="14"/>
  <c r="N27" i="14" s="1"/>
  <c r="N12" i="14"/>
  <c r="F18" i="20"/>
  <c r="O28" i="13"/>
  <c r="O12" i="13"/>
  <c r="F12" i="14"/>
  <c r="E13" i="14"/>
  <c r="E14" i="17"/>
  <c r="F14" i="17" s="1"/>
  <c r="E14" i="16"/>
  <c r="E14" i="15"/>
  <c r="H14" i="15"/>
  <c r="L15" i="15" s="1"/>
  <c r="L30" i="15" l="1"/>
  <c r="N30" i="15" s="1"/>
  <c r="N15" i="15"/>
  <c r="L14" i="14"/>
  <c r="F19" i="20"/>
  <c r="K19" i="20"/>
  <c r="K34" i="20" s="1"/>
  <c r="F13" i="14"/>
  <c r="L15" i="14" s="1"/>
  <c r="E14" i="14"/>
  <c r="E15" i="17"/>
  <c r="F15" i="17"/>
  <c r="H16" i="17" s="1"/>
  <c r="M17" i="17" s="1"/>
  <c r="M32" i="17" s="1"/>
  <c r="H15" i="17"/>
  <c r="M16" i="17" s="1"/>
  <c r="M31" i="17" s="1"/>
  <c r="H14" i="17"/>
  <c r="M15" i="17" s="1"/>
  <c r="F14" i="16"/>
  <c r="H14" i="16"/>
  <c r="L15" i="16" s="1"/>
  <c r="E15" i="16"/>
  <c r="F14" i="15"/>
  <c r="E15" i="15"/>
  <c r="H14" i="13"/>
  <c r="M15" i="13" s="1"/>
  <c r="K20" i="20" l="1"/>
  <c r="K35" i="20" s="1"/>
  <c r="F20" i="20"/>
  <c r="K21" i="20" s="1"/>
  <c r="K36" i="20" s="1"/>
  <c r="M30" i="13"/>
  <c r="O30" i="13" s="1"/>
  <c r="O15" i="13"/>
  <c r="L30" i="16"/>
  <c r="N30" i="16" s="1"/>
  <c r="N15" i="16"/>
  <c r="M30" i="17"/>
  <c r="O30" i="17" s="1"/>
  <c r="O15" i="17"/>
  <c r="L30" i="14"/>
  <c r="N15" i="14"/>
  <c r="L29" i="14"/>
  <c r="N14" i="14"/>
  <c r="F21" i="20"/>
  <c r="F14" i="14"/>
  <c r="O31" i="17"/>
  <c r="O16" i="17"/>
  <c r="O32" i="17"/>
  <c r="O17" i="17"/>
  <c r="E15" i="14"/>
  <c r="H14" i="14"/>
  <c r="E16" i="17"/>
  <c r="F16" i="17"/>
  <c r="H17" i="17" s="1"/>
  <c r="M18" i="17" s="1"/>
  <c r="E16" i="16"/>
  <c r="H15" i="16"/>
  <c r="L16" i="16" s="1"/>
  <c r="F15" i="16"/>
  <c r="H15" i="15"/>
  <c r="L16" i="15" s="1"/>
  <c r="F15" i="15"/>
  <c r="H16" i="15" s="1"/>
  <c r="L17" i="15" s="1"/>
  <c r="L32" i="15" s="1"/>
  <c r="E16" i="15"/>
  <c r="H17" i="13"/>
  <c r="M18" i="13" s="1"/>
  <c r="M33" i="13" s="1"/>
  <c r="H16" i="13"/>
  <c r="M17" i="13" s="1"/>
  <c r="M32" i="13" s="1"/>
  <c r="H15" i="13"/>
  <c r="M16" i="13" s="1"/>
  <c r="E16" i="14" l="1"/>
  <c r="E17" i="14" s="1"/>
  <c r="M31" i="13"/>
  <c r="O31" i="13" s="1"/>
  <c r="O16" i="13"/>
  <c r="L31" i="15"/>
  <c r="N31" i="15" s="1"/>
  <c r="N16" i="15"/>
  <c r="L31" i="16"/>
  <c r="N31" i="16" s="1"/>
  <c r="N16" i="16"/>
  <c r="M33" i="17"/>
  <c r="O33" i="17" s="1"/>
  <c r="O18" i="17"/>
  <c r="F15" i="14"/>
  <c r="L16" i="14"/>
  <c r="F22" i="20"/>
  <c r="K23" i="20" s="1"/>
  <c r="K38" i="20" s="1"/>
  <c r="K22" i="20"/>
  <c r="K37" i="20" s="1"/>
  <c r="N32" i="15"/>
  <c r="N17" i="15"/>
  <c r="O32" i="13"/>
  <c r="O17" i="13"/>
  <c r="O33" i="13"/>
  <c r="O18" i="13"/>
  <c r="H16" i="14"/>
  <c r="H15" i="14"/>
  <c r="E17" i="17"/>
  <c r="E17" i="16"/>
  <c r="F16" i="16"/>
  <c r="H16" i="16"/>
  <c r="L17" i="16" s="1"/>
  <c r="F16" i="15"/>
  <c r="H17" i="15" s="1"/>
  <c r="L18" i="15" s="1"/>
  <c r="E17" i="15"/>
  <c r="E18" i="14" l="1"/>
  <c r="L33" i="15"/>
  <c r="N33" i="15" s="1"/>
  <c r="N18" i="15"/>
  <c r="L32" i="16"/>
  <c r="N32" i="16" s="1"/>
  <c r="N17" i="16"/>
  <c r="L31" i="14"/>
  <c r="N16" i="14"/>
  <c r="F16" i="14"/>
  <c r="L18" i="14" s="1"/>
  <c r="L33" i="14" s="1"/>
  <c r="L17" i="14"/>
  <c r="N18" i="14"/>
  <c r="E18" i="17"/>
  <c r="F17" i="17"/>
  <c r="H17" i="16"/>
  <c r="L18" i="16" s="1"/>
  <c r="E18" i="16"/>
  <c r="F17" i="16"/>
  <c r="F17" i="15"/>
  <c r="E18" i="15"/>
  <c r="H18" i="13"/>
  <c r="M19" i="13" s="1"/>
  <c r="M34" i="13" s="1"/>
  <c r="E19" i="14" l="1"/>
  <c r="L33" i="16"/>
  <c r="N33" i="16" s="1"/>
  <c r="N18" i="16"/>
  <c r="L32" i="14"/>
  <c r="N17" i="14"/>
  <c r="F18" i="15"/>
  <c r="H19" i="15" s="1"/>
  <c r="L20" i="15" s="1"/>
  <c r="L35" i="15" s="1"/>
  <c r="F17" i="14"/>
  <c r="H17" i="14"/>
  <c r="F18" i="17"/>
  <c r="H18" i="17"/>
  <c r="M19" i="17" s="1"/>
  <c r="E19" i="17"/>
  <c r="F18" i="16"/>
  <c r="E19" i="16"/>
  <c r="H18" i="16"/>
  <c r="L19" i="16" s="1"/>
  <c r="H18" i="15"/>
  <c r="L19" i="15" s="1"/>
  <c r="E19" i="15"/>
  <c r="H19" i="13"/>
  <c r="M20" i="13" s="1"/>
  <c r="M35" i="13" s="1"/>
  <c r="F19" i="17" l="1"/>
  <c r="L19" i="14"/>
  <c r="E20" i="14"/>
  <c r="E21" i="14" s="1"/>
  <c r="L34" i="15"/>
  <c r="N34" i="15" s="1"/>
  <c r="N19" i="15"/>
  <c r="L34" i="16"/>
  <c r="N34" i="16" s="1"/>
  <c r="N19" i="16"/>
  <c r="M34" i="17"/>
  <c r="O34" i="17" s="1"/>
  <c r="O19" i="17"/>
  <c r="L34" i="14"/>
  <c r="N19" i="14"/>
  <c r="N35" i="15"/>
  <c r="N20" i="15"/>
  <c r="F19" i="15"/>
  <c r="H18" i="14"/>
  <c r="F18" i="14"/>
  <c r="H19" i="17"/>
  <c r="M20" i="17" s="1"/>
  <c r="E20" i="17"/>
  <c r="F19" i="16"/>
  <c r="H19" i="16"/>
  <c r="L20" i="16" s="1"/>
  <c r="E20" i="16"/>
  <c r="E20" i="15"/>
  <c r="H20" i="13"/>
  <c r="M21" i="13" s="1"/>
  <c r="M36" i="13" s="1"/>
  <c r="E21" i="16" l="1"/>
  <c r="E21" i="17"/>
  <c r="L20" i="14"/>
  <c r="F19" i="14"/>
  <c r="H20" i="15"/>
  <c r="L21" i="15" s="1"/>
  <c r="F20" i="15"/>
  <c r="H21" i="15" s="1"/>
  <c r="L35" i="16"/>
  <c r="N35" i="16" s="1"/>
  <c r="N20" i="16"/>
  <c r="M35" i="17"/>
  <c r="O35" i="17" s="1"/>
  <c r="O20" i="17"/>
  <c r="L35" i="14"/>
  <c r="N20" i="14"/>
  <c r="L36" i="15"/>
  <c r="N36" i="15" s="1"/>
  <c r="N21" i="15"/>
  <c r="F20" i="17"/>
  <c r="L22" i="15"/>
  <c r="H19" i="14"/>
  <c r="L21" i="14"/>
  <c r="H20" i="17"/>
  <c r="M21" i="17" s="1"/>
  <c r="H20" i="16"/>
  <c r="F20" i="16"/>
  <c r="E21" i="15"/>
  <c r="M22" i="13"/>
  <c r="M37" i="13" s="1"/>
  <c r="H21" i="16" l="1"/>
  <c r="L22" i="16" s="1"/>
  <c r="L37" i="16" s="1"/>
  <c r="F21" i="16"/>
  <c r="H22" i="16" s="1"/>
  <c r="H21" i="17"/>
  <c r="M22" i="17" s="1"/>
  <c r="M37" i="17" s="1"/>
  <c r="N22" i="16"/>
  <c r="L21" i="16"/>
  <c r="M36" i="17"/>
  <c r="O36" i="17" s="1"/>
  <c r="O21" i="17"/>
  <c r="L36" i="14"/>
  <c r="N21" i="14"/>
  <c r="L37" i="15"/>
  <c r="N37" i="15" s="1"/>
  <c r="N22" i="15"/>
  <c r="F21" i="17"/>
  <c r="H22" i="17" s="1"/>
  <c r="M23" i="17" s="1"/>
  <c r="O37" i="17"/>
  <c r="O22" i="17"/>
  <c r="F21" i="15"/>
  <c r="H22" i="15" s="1"/>
  <c r="L23" i="15" s="1"/>
  <c r="N37" i="16"/>
  <c r="H20" i="14"/>
  <c r="F20" i="14"/>
  <c r="L22" i="14" l="1"/>
  <c r="H21" i="14"/>
  <c r="L37" i="14"/>
  <c r="N22" i="14"/>
  <c r="L38" i="15"/>
  <c r="N38" i="15" s="1"/>
  <c r="N23" i="15"/>
  <c r="M38" i="17"/>
  <c r="O38" i="17" s="1"/>
  <c r="O23" i="17"/>
  <c r="L36" i="16"/>
  <c r="N36" i="16" s="1"/>
  <c r="N21" i="16"/>
  <c r="O24" i="17"/>
  <c r="F22" i="17"/>
  <c r="N39" i="15"/>
  <c r="N24" i="15"/>
  <c r="F22" i="15"/>
  <c r="F21" i="14"/>
  <c r="L23" i="14" s="1"/>
  <c r="H22" i="13"/>
  <c r="M23" i="13" s="1"/>
  <c r="M38" i="13" s="1"/>
  <c r="L23" i="16"/>
  <c r="F22" i="16"/>
  <c r="L38" i="16" l="1"/>
  <c r="N38" i="16" s="1"/>
  <c r="N23" i="16"/>
  <c r="L38" i="14"/>
  <c r="N23" i="14"/>
  <c r="O39" i="17"/>
  <c r="P39" i="17" s="1"/>
  <c r="N39" i="16"/>
  <c r="N24" i="16"/>
  <c r="O34" i="13"/>
  <c r="O19" i="13"/>
  <c r="O35" i="13"/>
  <c r="O20" i="13"/>
  <c r="H22" i="14"/>
  <c r="F22" i="14"/>
  <c r="N25" i="14" l="1"/>
  <c r="L24" i="14"/>
  <c r="R39" i="17"/>
  <c r="Q39" i="17"/>
  <c r="S39" i="17" s="1"/>
  <c r="O36" i="13"/>
  <c r="O21" i="13"/>
  <c r="L39" i="14" l="1"/>
  <c r="N24" i="14"/>
  <c r="W39" i="17"/>
  <c r="O37" i="13"/>
  <c r="O22" i="13"/>
  <c r="O38" i="13" l="1"/>
  <c r="O23" i="13"/>
  <c r="O39" i="13"/>
  <c r="O24" i="13"/>
  <c r="O42" i="18"/>
  <c r="S42" i="18" s="1"/>
  <c r="O42" i="14"/>
  <c r="N42" i="19"/>
  <c r="P41" i="13"/>
  <c r="R41" i="13" l="1"/>
  <c r="Q41" i="13"/>
  <c r="O42" i="19"/>
  <c r="P42" i="19"/>
  <c r="Q42" i="19" s="1"/>
  <c r="U42" i="19" s="1"/>
  <c r="Q42" i="14"/>
  <c r="P42" i="14"/>
  <c r="R42" i="14" s="1"/>
  <c r="V42" i="14" l="1"/>
  <c r="S41" i="13"/>
  <c r="W41" i="13" l="1"/>
  <c r="T42" i="13"/>
  <c r="B4" i="8"/>
  <c r="B4" i="22"/>
  <c r="B5" i="8"/>
  <c r="B5" i="22" l="1"/>
  <c r="N27" i="15"/>
  <c r="N28" i="15"/>
  <c r="N26" i="15"/>
  <c r="B6" i="8" l="1"/>
  <c r="B6" i="22"/>
  <c r="O12" i="16"/>
  <c r="O11" i="16"/>
  <c r="P12" i="17"/>
  <c r="P11" i="17"/>
  <c r="B7" i="8" l="1"/>
  <c r="B7" i="22"/>
  <c r="R11" i="17"/>
  <c r="Q11" i="17"/>
  <c r="P11" i="16"/>
  <c r="Q11" i="16"/>
  <c r="R12" i="17"/>
  <c r="Q12" i="17"/>
  <c r="Q12" i="16"/>
  <c r="P12" i="16"/>
  <c r="N41" i="21"/>
  <c r="O41" i="15"/>
  <c r="B8" i="8" l="1"/>
  <c r="P41" i="15"/>
  <c r="Q41" i="15"/>
  <c r="R41" i="15" s="1"/>
  <c r="B8" i="22"/>
  <c r="P41" i="21"/>
  <c r="O41" i="21"/>
  <c r="N41" i="20"/>
  <c r="P13" i="17"/>
  <c r="V41" i="15" l="1"/>
  <c r="B9" i="8"/>
  <c r="Q41" i="21"/>
  <c r="B9" i="22"/>
  <c r="Q13" i="17"/>
  <c r="R13" i="17"/>
  <c r="P41" i="20"/>
  <c r="O41" i="20"/>
  <c r="P14" i="17"/>
  <c r="U41" i="21" l="1"/>
  <c r="R42" i="21"/>
  <c r="B11" i="22"/>
  <c r="B11" i="8"/>
  <c r="Q41" i="20"/>
  <c r="Q14" i="17"/>
  <c r="R14" i="17"/>
  <c r="U41" i="20" l="1"/>
  <c r="R42" i="20"/>
  <c r="I14" i="21"/>
  <c r="I14" i="20" s="1"/>
  <c r="J14" i="15" s="1"/>
  <c r="J14" i="16" s="1"/>
  <c r="K14" i="17" s="1"/>
  <c r="N28" i="14"/>
  <c r="N29" i="14"/>
  <c r="N30" i="14"/>
  <c r="N31" i="14"/>
  <c r="I16" i="21" l="1"/>
  <c r="I16" i="20" s="1"/>
  <c r="J16" i="15" s="1"/>
  <c r="J16" i="16" s="1"/>
  <c r="K16" i="17" s="1"/>
  <c r="I43" i="19"/>
  <c r="H43" i="18" s="1"/>
  <c r="I10" i="19"/>
  <c r="H10" i="18" s="1"/>
  <c r="E8" i="18" s="1"/>
  <c r="I27" i="19"/>
  <c r="H27" i="18" s="1"/>
  <c r="P38" i="17"/>
  <c r="P37" i="17"/>
  <c r="I11" i="19"/>
  <c r="H11" i="18" s="1"/>
  <c r="O29" i="14"/>
  <c r="O15" i="14"/>
  <c r="O28" i="14"/>
  <c r="O14" i="14"/>
  <c r="O31" i="14"/>
  <c r="O30" i="14"/>
  <c r="O27" i="14"/>
  <c r="I17" i="21" l="1"/>
  <c r="I17" i="20" s="1"/>
  <c r="J17" i="15" s="1"/>
  <c r="J17" i="16" s="1"/>
  <c r="K17" i="17" s="1"/>
  <c r="E9" i="18"/>
  <c r="F9" i="18"/>
  <c r="J11" i="18" s="1"/>
  <c r="J26" i="18" s="1"/>
  <c r="K26" i="18" s="1"/>
  <c r="L26" i="18" s="1"/>
  <c r="P30" i="14"/>
  <c r="Q30" i="14"/>
  <c r="Q31" i="14"/>
  <c r="P31" i="14"/>
  <c r="P14" i="14"/>
  <c r="Q14" i="14"/>
  <c r="P28" i="14"/>
  <c r="Q28" i="14"/>
  <c r="Q37" i="17"/>
  <c r="R37" i="17"/>
  <c r="S37" i="17" s="1"/>
  <c r="P15" i="14"/>
  <c r="Q15" i="14"/>
  <c r="Q38" i="17"/>
  <c r="R38" i="17"/>
  <c r="P29" i="14"/>
  <c r="Q29" i="14"/>
  <c r="R29" i="14" s="1"/>
  <c r="P27" i="14"/>
  <c r="Q27" i="14"/>
  <c r="E10" i="19"/>
  <c r="E9" i="19"/>
  <c r="O38" i="16"/>
  <c r="O39" i="16"/>
  <c r="I28" i="19"/>
  <c r="H28" i="18" s="1"/>
  <c r="F10" i="19" l="1"/>
  <c r="M26" i="18"/>
  <c r="N26" i="18"/>
  <c r="R31" i="14"/>
  <c r="R30" i="14"/>
  <c r="S30" i="14" s="1"/>
  <c r="K11" i="18"/>
  <c r="L11" i="18" s="1"/>
  <c r="W37" i="17"/>
  <c r="V31" i="14"/>
  <c r="S31" i="14"/>
  <c r="V29" i="14"/>
  <c r="I18" i="21"/>
  <c r="I18" i="20" s="1"/>
  <c r="J18" i="15" s="1"/>
  <c r="J18" i="16" s="1"/>
  <c r="K18" i="17" s="1"/>
  <c r="R27" i="14"/>
  <c r="I12" i="19"/>
  <c r="H12" i="18" s="1"/>
  <c r="E10" i="18" s="1"/>
  <c r="R28" i="14"/>
  <c r="S29" i="14" s="1"/>
  <c r="R15" i="14"/>
  <c r="S38" i="17"/>
  <c r="Q38" i="16"/>
  <c r="P38" i="16"/>
  <c r="P39" i="16"/>
  <c r="Q39" i="16"/>
  <c r="I29" i="19"/>
  <c r="H29" i="18" s="1"/>
  <c r="M43" i="19"/>
  <c r="K43" i="18"/>
  <c r="K11" i="19"/>
  <c r="E11" i="19"/>
  <c r="I13" i="19"/>
  <c r="H13" i="18" s="1"/>
  <c r="V30" i="14" l="1"/>
  <c r="M11" i="19"/>
  <c r="K26" i="19"/>
  <c r="M26" i="19" s="1"/>
  <c r="F11" i="19"/>
  <c r="K12" i="19" s="1"/>
  <c r="W38" i="17"/>
  <c r="T38" i="17"/>
  <c r="T39" i="17"/>
  <c r="V15" i="14"/>
  <c r="V28" i="14"/>
  <c r="S28" i="14"/>
  <c r="V27" i="14"/>
  <c r="S27" i="14"/>
  <c r="N11" i="18"/>
  <c r="M11" i="18"/>
  <c r="R38" i="16"/>
  <c r="I19" i="21"/>
  <c r="I19" i="20" s="1"/>
  <c r="J19" i="15" s="1"/>
  <c r="J19" i="16" s="1"/>
  <c r="K19" i="17" s="1"/>
  <c r="E11" i="18"/>
  <c r="R39" i="16"/>
  <c r="L43" i="18"/>
  <c r="F10" i="18"/>
  <c r="E12" i="19"/>
  <c r="I30" i="19"/>
  <c r="H30" i="18" s="1"/>
  <c r="F11" i="18" l="1"/>
  <c r="J13" i="18" s="1"/>
  <c r="J28" i="18" s="1"/>
  <c r="K28" i="18" s="1"/>
  <c r="L28" i="18" s="1"/>
  <c r="M28" i="18" s="1"/>
  <c r="J12" i="18"/>
  <c r="J27" i="18" s="1"/>
  <c r="K27" i="18" s="1"/>
  <c r="L27" i="18" s="1"/>
  <c r="N28" i="18"/>
  <c r="M12" i="19"/>
  <c r="K27" i="19"/>
  <c r="M27" i="19" s="1"/>
  <c r="K13" i="18"/>
  <c r="L13" i="18" s="1"/>
  <c r="V38" i="16"/>
  <c r="V39" i="16"/>
  <c r="S39" i="16"/>
  <c r="S40" i="16"/>
  <c r="M43" i="18"/>
  <c r="N43" i="18"/>
  <c r="I20" i="21"/>
  <c r="I20" i="20" s="1"/>
  <c r="J20" i="15" s="1"/>
  <c r="J20" i="16" s="1"/>
  <c r="K20" i="17" s="1"/>
  <c r="I14" i="19"/>
  <c r="H14" i="18" s="1"/>
  <c r="E12" i="18" s="1"/>
  <c r="I31" i="19"/>
  <c r="H31" i="18" s="1"/>
  <c r="F12" i="19"/>
  <c r="K13" i="19" s="1"/>
  <c r="E13" i="19"/>
  <c r="F13" i="19" l="1"/>
  <c r="E14" i="19"/>
  <c r="F12" i="18"/>
  <c r="N27" i="18"/>
  <c r="M27" i="18"/>
  <c r="K12" i="18"/>
  <c r="L12" i="18" s="1"/>
  <c r="M13" i="19"/>
  <c r="K28" i="19"/>
  <c r="M28" i="19" s="1"/>
  <c r="M13" i="18"/>
  <c r="N13" i="18"/>
  <c r="I21" i="21"/>
  <c r="I21" i="20" s="1"/>
  <c r="J21" i="15" s="1"/>
  <c r="J21" i="16" s="1"/>
  <c r="K21" i="17" s="1"/>
  <c r="I16" i="19"/>
  <c r="H16" i="18" s="1"/>
  <c r="E14" i="18" s="1"/>
  <c r="I15" i="19"/>
  <c r="H15" i="18" s="1"/>
  <c r="E13" i="18" s="1"/>
  <c r="J14" i="18"/>
  <c r="J29" i="18" s="1"/>
  <c r="K29" i="18" s="1"/>
  <c r="L29" i="18" s="1"/>
  <c r="K14" i="19"/>
  <c r="I32" i="19"/>
  <c r="H32" i="18" s="1"/>
  <c r="I17" i="19"/>
  <c r="H17" i="18" s="1"/>
  <c r="F13" i="18" l="1"/>
  <c r="J15" i="18" s="1"/>
  <c r="J30" i="18" s="1"/>
  <c r="K30" i="18" s="1"/>
  <c r="L30" i="18" s="1"/>
  <c r="F14" i="18"/>
  <c r="E15" i="19"/>
  <c r="F14" i="19"/>
  <c r="F15" i="19" s="1"/>
  <c r="M14" i="19"/>
  <c r="K29" i="19"/>
  <c r="M29" i="19" s="1"/>
  <c r="M29" i="18"/>
  <c r="N29" i="18"/>
  <c r="M12" i="18"/>
  <c r="N12" i="18"/>
  <c r="I22" i="21"/>
  <c r="I22" i="20" s="1"/>
  <c r="J22" i="15" s="1"/>
  <c r="J22" i="16" s="1"/>
  <c r="K22" i="17" s="1"/>
  <c r="K15" i="18"/>
  <c r="I33" i="19"/>
  <c r="H33" i="18" s="1"/>
  <c r="E15" i="18"/>
  <c r="I18" i="19"/>
  <c r="H18" i="18" s="1"/>
  <c r="N32" i="14"/>
  <c r="E16" i="19" l="1"/>
  <c r="F16" i="19"/>
  <c r="F15" i="18"/>
  <c r="M30" i="18"/>
  <c r="N30" i="18"/>
  <c r="J16" i="18"/>
  <c r="J31" i="18" s="1"/>
  <c r="K31" i="18" s="1"/>
  <c r="L31" i="18" s="1"/>
  <c r="K15" i="19"/>
  <c r="K14" i="18"/>
  <c r="L14" i="18" s="1"/>
  <c r="I24" i="21"/>
  <c r="I24" i="20" s="1"/>
  <c r="J24" i="15" s="1"/>
  <c r="J24" i="16" s="1"/>
  <c r="K24" i="17" s="1"/>
  <c r="I23" i="21"/>
  <c r="I23" i="20" s="1"/>
  <c r="J23" i="15" s="1"/>
  <c r="J23" i="16" s="1"/>
  <c r="K23" i="17" s="1"/>
  <c r="J17" i="18"/>
  <c r="J32" i="18" s="1"/>
  <c r="K32" i="18" s="1"/>
  <c r="L15" i="18"/>
  <c r="I34" i="19"/>
  <c r="H34" i="18" s="1"/>
  <c r="E16" i="18"/>
  <c r="N33" i="14"/>
  <c r="O32" i="14"/>
  <c r="O16" i="14"/>
  <c r="I19" i="19"/>
  <c r="H19" i="18" s="1"/>
  <c r="F16" i="18" l="1"/>
  <c r="E17" i="19"/>
  <c r="K16" i="18"/>
  <c r="L16" i="18" s="1"/>
  <c r="M15" i="19"/>
  <c r="K30" i="19"/>
  <c r="M30" i="19" s="1"/>
  <c r="M31" i="18"/>
  <c r="N31" i="18"/>
  <c r="M15" i="18"/>
  <c r="N15" i="18"/>
  <c r="M14" i="18"/>
  <c r="N14" i="18"/>
  <c r="J18" i="18"/>
  <c r="J33" i="18" s="1"/>
  <c r="L32" i="18"/>
  <c r="Q32" i="14"/>
  <c r="P32" i="14"/>
  <c r="Q16" i="14"/>
  <c r="P16" i="14"/>
  <c r="K17" i="18"/>
  <c r="I35" i="19"/>
  <c r="H35" i="18" s="1"/>
  <c r="E17" i="18"/>
  <c r="N34" i="14"/>
  <c r="O17" i="14"/>
  <c r="O33" i="14"/>
  <c r="I20" i="19"/>
  <c r="H20" i="18" s="1"/>
  <c r="E18" i="19" l="1"/>
  <c r="F17" i="19"/>
  <c r="F18" i="19" s="1"/>
  <c r="F17" i="18"/>
  <c r="K16" i="19"/>
  <c r="M16" i="18"/>
  <c r="N16" i="18"/>
  <c r="M32" i="18"/>
  <c r="N32" i="18"/>
  <c r="R32" i="14"/>
  <c r="R16" i="14"/>
  <c r="S16" i="14" s="1"/>
  <c r="Q33" i="14"/>
  <c r="P33" i="14"/>
  <c r="Q17" i="14"/>
  <c r="P17" i="14"/>
  <c r="K33" i="18"/>
  <c r="K18" i="18"/>
  <c r="P40" i="13"/>
  <c r="K18" i="19"/>
  <c r="K17" i="19"/>
  <c r="I36" i="19"/>
  <c r="H36" i="18" s="1"/>
  <c r="E18" i="18"/>
  <c r="I21" i="19"/>
  <c r="H21" i="18" s="1"/>
  <c r="O18" i="14"/>
  <c r="O34" i="14"/>
  <c r="N35" i="14"/>
  <c r="F18" i="18" l="1"/>
  <c r="E19" i="19"/>
  <c r="F19" i="19"/>
  <c r="J19" i="18"/>
  <c r="J34" i="18" s="1"/>
  <c r="M17" i="19"/>
  <c r="K32" i="19"/>
  <c r="M32" i="19" s="1"/>
  <c r="M18" i="19"/>
  <c r="K33" i="19"/>
  <c r="M33" i="19" s="1"/>
  <c r="M16" i="19"/>
  <c r="K31" i="19"/>
  <c r="M31" i="19" s="1"/>
  <c r="V32" i="14"/>
  <c r="S32" i="14"/>
  <c r="R33" i="14"/>
  <c r="R17" i="14"/>
  <c r="V16" i="14"/>
  <c r="W16" i="14" s="1"/>
  <c r="R40" i="13"/>
  <c r="Q40" i="13"/>
  <c r="Q34" i="14"/>
  <c r="P34" i="14"/>
  <c r="L17" i="18"/>
  <c r="P18" i="14"/>
  <c r="Q18" i="14"/>
  <c r="L33" i="18"/>
  <c r="K34" i="18"/>
  <c r="I37" i="19"/>
  <c r="H37" i="18" s="1"/>
  <c r="E19" i="18"/>
  <c r="K19" i="19"/>
  <c r="N36" i="14"/>
  <c r="O35" i="14"/>
  <c r="O19" i="14"/>
  <c r="I22" i="19"/>
  <c r="H22" i="18" s="1"/>
  <c r="S10" i="17"/>
  <c r="S11" i="17"/>
  <c r="S12" i="17"/>
  <c r="S13" i="17"/>
  <c r="S9" i="17"/>
  <c r="R10" i="16"/>
  <c r="R11" i="16"/>
  <c r="R12" i="16"/>
  <c r="R9" i="16"/>
  <c r="R9" i="15"/>
  <c r="S9" i="13"/>
  <c r="E20" i="19" l="1"/>
  <c r="F20" i="19"/>
  <c r="F19" i="18"/>
  <c r="J20" i="18"/>
  <c r="J35" i="18" s="1"/>
  <c r="K35" i="18" s="1"/>
  <c r="L35" i="18" s="1"/>
  <c r="K19" i="18"/>
  <c r="M19" i="19"/>
  <c r="K34" i="19"/>
  <c r="M34" i="19" s="1"/>
  <c r="W10" i="17"/>
  <c r="T10" i="17"/>
  <c r="V10" i="16"/>
  <c r="S10" i="16"/>
  <c r="W9" i="17"/>
  <c r="T9" i="17"/>
  <c r="V9" i="16"/>
  <c r="S9" i="16"/>
  <c r="W9" i="13"/>
  <c r="T9" i="13"/>
  <c r="V12" i="16"/>
  <c r="S12" i="16"/>
  <c r="V11" i="16"/>
  <c r="S11" i="16"/>
  <c r="W13" i="17"/>
  <c r="T13" i="17"/>
  <c r="W12" i="17"/>
  <c r="T12" i="17"/>
  <c r="V9" i="15"/>
  <c r="S9" i="15"/>
  <c r="W11" i="17"/>
  <c r="T11" i="17"/>
  <c r="V17" i="14"/>
  <c r="W17" i="14" s="1"/>
  <c r="S17" i="14"/>
  <c r="V33" i="14"/>
  <c r="S33" i="14"/>
  <c r="M33" i="18"/>
  <c r="N33" i="18"/>
  <c r="M17" i="18"/>
  <c r="N17" i="18"/>
  <c r="S40" i="13"/>
  <c r="R18" i="14"/>
  <c r="R34" i="14"/>
  <c r="J21" i="18"/>
  <c r="J36" i="18" s="1"/>
  <c r="K36" i="18" s="1"/>
  <c r="L18" i="18"/>
  <c r="L34" i="18"/>
  <c r="P19" i="14"/>
  <c r="Q19" i="14"/>
  <c r="P35" i="14"/>
  <c r="Q35" i="14"/>
  <c r="L19" i="18"/>
  <c r="I38" i="19"/>
  <c r="H38" i="18" s="1"/>
  <c r="E20" i="18"/>
  <c r="E8" i="21"/>
  <c r="E9" i="21" s="1"/>
  <c r="E10" i="21" s="1"/>
  <c r="O36" i="14"/>
  <c r="O20" i="14"/>
  <c r="N37" i="14"/>
  <c r="R14" i="14"/>
  <c r="E11" i="21" l="1"/>
  <c r="E12" i="21" s="1"/>
  <c r="E13" i="21" s="1"/>
  <c r="F20" i="18"/>
  <c r="E21" i="19"/>
  <c r="X9" i="13"/>
  <c r="W9" i="15"/>
  <c r="X9" i="17"/>
  <c r="W11" i="16"/>
  <c r="K20" i="18"/>
  <c r="L20" i="18" s="1"/>
  <c r="X13" i="17"/>
  <c r="X10" i="17"/>
  <c r="X11" i="17"/>
  <c r="W12" i="16"/>
  <c r="W40" i="13"/>
  <c r="T41" i="13"/>
  <c r="V34" i="14"/>
  <c r="S34" i="14"/>
  <c r="V14" i="14"/>
  <c r="S15" i="14"/>
  <c r="V18" i="14"/>
  <c r="S18" i="14"/>
  <c r="M18" i="18"/>
  <c r="N18" i="18"/>
  <c r="M34" i="18"/>
  <c r="N34" i="18"/>
  <c r="M35" i="18"/>
  <c r="N35" i="18"/>
  <c r="M19" i="18"/>
  <c r="N19" i="18"/>
  <c r="R19" i="14"/>
  <c r="X12" i="17"/>
  <c r="W10" i="16"/>
  <c r="W9" i="16"/>
  <c r="I24" i="19"/>
  <c r="H24" i="18" s="1"/>
  <c r="I23" i="19"/>
  <c r="H23" i="18" s="1"/>
  <c r="E21" i="18" s="1"/>
  <c r="R35" i="14"/>
  <c r="L36" i="18"/>
  <c r="Q20" i="14"/>
  <c r="P20" i="14"/>
  <c r="Q36" i="14"/>
  <c r="P36" i="14"/>
  <c r="K21" i="18"/>
  <c r="I39" i="19"/>
  <c r="H39" i="18" s="1"/>
  <c r="K21" i="19"/>
  <c r="K20" i="19"/>
  <c r="N39" i="14"/>
  <c r="O21" i="14"/>
  <c r="N38" i="14"/>
  <c r="O37" i="14"/>
  <c r="E22" i="19" l="1"/>
  <c r="F21" i="19"/>
  <c r="F22" i="19" s="1"/>
  <c r="F23" i="19" s="1"/>
  <c r="F21" i="18"/>
  <c r="F22" i="18"/>
  <c r="F13" i="21"/>
  <c r="K14" i="21" s="1"/>
  <c r="E14" i="21"/>
  <c r="W15" i="14"/>
  <c r="J22" i="18"/>
  <c r="J37" i="18" s="1"/>
  <c r="M20" i="19"/>
  <c r="K35" i="19"/>
  <c r="M35" i="19" s="1"/>
  <c r="M21" i="19"/>
  <c r="K36" i="19"/>
  <c r="V35" i="14"/>
  <c r="S35" i="14"/>
  <c r="V19" i="14"/>
  <c r="S19" i="14"/>
  <c r="M20" i="18"/>
  <c r="N20" i="18"/>
  <c r="M36" i="18"/>
  <c r="N36" i="18"/>
  <c r="R20" i="14"/>
  <c r="R36" i="14"/>
  <c r="J23" i="18"/>
  <c r="J38" i="18" s="1"/>
  <c r="K38" i="18" s="1"/>
  <c r="P21" i="14"/>
  <c r="Q21" i="14"/>
  <c r="P37" i="14"/>
  <c r="Q37" i="14"/>
  <c r="K37" i="18"/>
  <c r="K22" i="19"/>
  <c r="K37" i="19" s="1"/>
  <c r="M37" i="19" s="1"/>
  <c r="M36" i="19"/>
  <c r="N40" i="14"/>
  <c r="N41" i="14"/>
  <c r="O22" i="14"/>
  <c r="O39" i="14"/>
  <c r="O38" i="14"/>
  <c r="O23" i="14"/>
  <c r="O10" i="15"/>
  <c r="E15" i="21" l="1"/>
  <c r="E16" i="21" s="1"/>
  <c r="K29" i="21"/>
  <c r="M14" i="21"/>
  <c r="K22" i="18"/>
  <c r="L22" i="18" s="1"/>
  <c r="M22" i="19"/>
  <c r="V20" i="14"/>
  <c r="S20" i="14"/>
  <c r="V36" i="14"/>
  <c r="S36" i="14"/>
  <c r="R37" i="14"/>
  <c r="I40" i="19"/>
  <c r="T41" i="14"/>
  <c r="U41" i="14"/>
  <c r="R21" i="14"/>
  <c r="J24" i="18"/>
  <c r="J39" i="18" s="1"/>
  <c r="L38" i="18"/>
  <c r="P23" i="14"/>
  <c r="Q23" i="14"/>
  <c r="Q10" i="15"/>
  <c r="P10" i="15"/>
  <c r="Q39" i="14"/>
  <c r="P39" i="14"/>
  <c r="P22" i="14"/>
  <c r="Q22" i="14"/>
  <c r="L21" i="18"/>
  <c r="L37" i="18"/>
  <c r="P38" i="14"/>
  <c r="Q38" i="14"/>
  <c r="K23" i="18"/>
  <c r="K23" i="19"/>
  <c r="K38" i="19" s="1"/>
  <c r="M38" i="19" s="1"/>
  <c r="O24" i="14"/>
  <c r="O40" i="14"/>
  <c r="P13" i="13"/>
  <c r="P28" i="13"/>
  <c r="O11" i="14"/>
  <c r="E17" i="21" l="1"/>
  <c r="M23" i="19"/>
  <c r="V37" i="14"/>
  <c r="S37" i="14"/>
  <c r="V21" i="14"/>
  <c r="S21" i="14"/>
  <c r="M37" i="18"/>
  <c r="N37" i="18"/>
  <c r="M21" i="18"/>
  <c r="N21" i="18"/>
  <c r="M38" i="18"/>
  <c r="N38" i="18"/>
  <c r="M22" i="18"/>
  <c r="N22" i="18"/>
  <c r="H40" i="18"/>
  <c r="T41" i="19"/>
  <c r="S41" i="19"/>
  <c r="R23" i="14"/>
  <c r="R22" i="14"/>
  <c r="R39" i="14"/>
  <c r="R38" i="14"/>
  <c r="K24" i="18"/>
  <c r="R13" i="13"/>
  <c r="Q13" i="13"/>
  <c r="Q11" i="14"/>
  <c r="P11" i="14"/>
  <c r="Q40" i="14"/>
  <c r="P40" i="14"/>
  <c r="R28" i="13"/>
  <c r="Q28" i="13"/>
  <c r="Q24" i="14"/>
  <c r="P24" i="14"/>
  <c r="K25" i="18"/>
  <c r="K39" i="18"/>
  <c r="F10" i="21"/>
  <c r="O25" i="14"/>
  <c r="O41" i="14"/>
  <c r="O13" i="14"/>
  <c r="P36" i="17"/>
  <c r="O12" i="14"/>
  <c r="P25" i="13"/>
  <c r="P27" i="13"/>
  <c r="P26" i="13"/>
  <c r="P11" i="13"/>
  <c r="P10" i="13"/>
  <c r="K11" i="21" l="1"/>
  <c r="E18" i="21"/>
  <c r="V38" i="14"/>
  <c r="S38" i="14"/>
  <c r="V39" i="14"/>
  <c r="S39" i="14"/>
  <c r="V22" i="14"/>
  <c r="S22" i="14"/>
  <c r="V23" i="14"/>
  <c r="S23" i="14"/>
  <c r="Q41" i="18"/>
  <c r="R41" i="18"/>
  <c r="R11" i="14"/>
  <c r="R24" i="14"/>
  <c r="R40" i="14"/>
  <c r="R11" i="13"/>
  <c r="Q11" i="13"/>
  <c r="R27" i="13"/>
  <c r="Q27" i="13"/>
  <c r="P13" i="14"/>
  <c r="Q13" i="14"/>
  <c r="R25" i="13"/>
  <c r="Q25" i="13"/>
  <c r="L39" i="18"/>
  <c r="L24" i="18"/>
  <c r="R36" i="17"/>
  <c r="Q36" i="17"/>
  <c r="Q25" i="14"/>
  <c r="P25" i="14"/>
  <c r="R26" i="13"/>
  <c r="Q26" i="13"/>
  <c r="S26" i="13" s="1"/>
  <c r="Q12" i="14"/>
  <c r="P12" i="14"/>
  <c r="R10" i="13"/>
  <c r="Q10" i="13"/>
  <c r="Q41" i="14"/>
  <c r="P41" i="14"/>
  <c r="L23" i="18"/>
  <c r="K41" i="18"/>
  <c r="K24" i="19"/>
  <c r="K39" i="19" s="1"/>
  <c r="M39" i="19" s="1"/>
  <c r="F11" i="21"/>
  <c r="S13" i="13"/>
  <c r="S28" i="13"/>
  <c r="K12" i="21" l="1"/>
  <c r="E19" i="21"/>
  <c r="K26" i="21"/>
  <c r="M26" i="21" s="1"/>
  <c r="M11" i="21"/>
  <c r="M25" i="19"/>
  <c r="M41" i="19"/>
  <c r="N41" i="19" s="1"/>
  <c r="M31" i="20"/>
  <c r="M16" i="20"/>
  <c r="K40" i="18"/>
  <c r="L40" i="18" s="1"/>
  <c r="M40" i="19"/>
  <c r="M24" i="19"/>
  <c r="W26" i="13"/>
  <c r="W28" i="13"/>
  <c r="W13" i="13"/>
  <c r="V40" i="14"/>
  <c r="S40" i="14"/>
  <c r="V24" i="14"/>
  <c r="S24" i="14"/>
  <c r="V11" i="14"/>
  <c r="S11" i="14"/>
  <c r="M24" i="18"/>
  <c r="N24" i="18"/>
  <c r="M39" i="18"/>
  <c r="N39" i="18"/>
  <c r="M23" i="18"/>
  <c r="N23" i="18"/>
  <c r="R41" i="14"/>
  <c r="S25" i="13"/>
  <c r="R25" i="14"/>
  <c r="S36" i="17"/>
  <c r="S27" i="13"/>
  <c r="T28" i="13" s="1"/>
  <c r="S10" i="13"/>
  <c r="R13" i="14"/>
  <c r="R12" i="14"/>
  <c r="L25" i="18"/>
  <c r="L41" i="18"/>
  <c r="F12" i="21"/>
  <c r="O37" i="16"/>
  <c r="P14" i="13"/>
  <c r="P29" i="13"/>
  <c r="E20" i="21" l="1"/>
  <c r="E21" i="21" s="1"/>
  <c r="E22" i="21" s="1"/>
  <c r="K13" i="21"/>
  <c r="F14" i="21"/>
  <c r="K27" i="21"/>
  <c r="M27" i="21" s="1"/>
  <c r="M12" i="21"/>
  <c r="W11" i="14"/>
  <c r="M32" i="20"/>
  <c r="M17" i="20"/>
  <c r="M29" i="21"/>
  <c r="N40" i="18"/>
  <c r="M40" i="18"/>
  <c r="W36" i="17"/>
  <c r="T37" i="17"/>
  <c r="W25" i="13"/>
  <c r="W10" i="13"/>
  <c r="T10" i="13"/>
  <c r="T26" i="13"/>
  <c r="W27" i="13"/>
  <c r="T27" i="13"/>
  <c r="V13" i="14"/>
  <c r="S13" i="14"/>
  <c r="S14" i="14"/>
  <c r="V25" i="14"/>
  <c r="S25" i="14"/>
  <c r="S26" i="14"/>
  <c r="V12" i="14"/>
  <c r="S12" i="14"/>
  <c r="V41" i="14"/>
  <c r="S41" i="14"/>
  <c r="S42" i="14"/>
  <c r="M41" i="18"/>
  <c r="N41" i="18"/>
  <c r="M25" i="18"/>
  <c r="N25" i="18"/>
  <c r="Q43" i="14"/>
  <c r="R29" i="13"/>
  <c r="Q29" i="13"/>
  <c r="O41" i="19"/>
  <c r="P41" i="19"/>
  <c r="R14" i="13"/>
  <c r="Q14" i="13"/>
  <c r="P37" i="16"/>
  <c r="Q37" i="16"/>
  <c r="N43" i="19"/>
  <c r="P30" i="13"/>
  <c r="P15" i="13"/>
  <c r="F15" i="21" l="1"/>
  <c r="K15" i="21"/>
  <c r="K30" i="21" s="1"/>
  <c r="K28" i="21"/>
  <c r="M28" i="21" s="1"/>
  <c r="M13" i="21"/>
  <c r="V44" i="14"/>
  <c r="V45" i="14" s="1"/>
  <c r="W14" i="14"/>
  <c r="X10" i="13"/>
  <c r="W12" i="14"/>
  <c r="M33" i="20"/>
  <c r="M18" i="20"/>
  <c r="W13" i="14"/>
  <c r="S29" i="13"/>
  <c r="R43" i="14"/>
  <c r="S14" i="13"/>
  <c r="R37" i="16"/>
  <c r="Q41" i="19"/>
  <c r="R15" i="13"/>
  <c r="Q15" i="13"/>
  <c r="R30" i="13"/>
  <c r="Q30" i="13"/>
  <c r="P43" i="19"/>
  <c r="O43" i="19"/>
  <c r="M15" i="21"/>
  <c r="O41" i="18"/>
  <c r="O43" i="18"/>
  <c r="P31" i="13"/>
  <c r="P16" i="13"/>
  <c r="R16" i="13" s="1"/>
  <c r="F16" i="21" l="1"/>
  <c r="K16" i="21"/>
  <c r="W18" i="14"/>
  <c r="M34" i="20"/>
  <c r="M19" i="20"/>
  <c r="M35" i="20"/>
  <c r="M20" i="20"/>
  <c r="M30" i="21"/>
  <c r="V37" i="16"/>
  <c r="S38" i="16"/>
  <c r="W14" i="13"/>
  <c r="X14" i="13" s="1"/>
  <c r="T14" i="13"/>
  <c r="W29" i="13"/>
  <c r="T29" i="13"/>
  <c r="P42" i="18"/>
  <c r="U41" i="19"/>
  <c r="R42" i="19"/>
  <c r="S43" i="18"/>
  <c r="P43" i="18"/>
  <c r="V43" i="14"/>
  <c r="S43" i="14"/>
  <c r="S41" i="18"/>
  <c r="S15" i="13"/>
  <c r="S30" i="13"/>
  <c r="Q43" i="19"/>
  <c r="Q31" i="13"/>
  <c r="R31" i="13"/>
  <c r="Q16" i="13"/>
  <c r="P17" i="13"/>
  <c r="P32" i="13"/>
  <c r="P33" i="13"/>
  <c r="P18" i="13"/>
  <c r="G30" i="1"/>
  <c r="K31" i="21" l="1"/>
  <c r="M31" i="21" s="1"/>
  <c r="M16" i="21"/>
  <c r="F17" i="21"/>
  <c r="K17" i="21"/>
  <c r="F18" i="21"/>
  <c r="W30" i="13"/>
  <c r="T30" i="13"/>
  <c r="W15" i="13"/>
  <c r="X15" i="13" s="1"/>
  <c r="T15" i="13"/>
  <c r="U43" i="19"/>
  <c r="R43" i="19"/>
  <c r="S16" i="13"/>
  <c r="S31" i="13"/>
  <c r="R18" i="13"/>
  <c r="Q18" i="13"/>
  <c r="R32" i="13"/>
  <c r="Q32" i="13"/>
  <c r="R33" i="13"/>
  <c r="Q33" i="13"/>
  <c r="R17" i="13"/>
  <c r="Q17" i="13"/>
  <c r="P19" i="13"/>
  <c r="P34" i="13"/>
  <c r="K18" i="21" l="1"/>
  <c r="F19" i="21"/>
  <c r="K19" i="21"/>
  <c r="K32" i="21"/>
  <c r="M32" i="21" s="1"/>
  <c r="M17" i="21"/>
  <c r="K33" i="21"/>
  <c r="M33" i="21" s="1"/>
  <c r="M18" i="21"/>
  <c r="M36" i="20"/>
  <c r="M21" i="20"/>
  <c r="M37" i="20"/>
  <c r="M22" i="20"/>
  <c r="S17" i="13"/>
  <c r="W17" i="13" s="1"/>
  <c r="W16" i="13"/>
  <c r="X16" i="13" s="1"/>
  <c r="T16" i="13"/>
  <c r="S18" i="13"/>
  <c r="W31" i="13"/>
  <c r="T31" i="13"/>
  <c r="S32" i="13"/>
  <c r="S33" i="13"/>
  <c r="R34" i="13"/>
  <c r="Q34" i="13"/>
  <c r="R19" i="13"/>
  <c r="Q19" i="13"/>
  <c r="P35" i="13"/>
  <c r="P20" i="13"/>
  <c r="K20" i="21" l="1"/>
  <c r="F20" i="21"/>
  <c r="F21" i="21"/>
  <c r="K22" i="21" s="1"/>
  <c r="K37" i="21" s="1"/>
  <c r="K21" i="21"/>
  <c r="K36" i="21" s="1"/>
  <c r="K34" i="21"/>
  <c r="M34" i="21" s="1"/>
  <c r="M19" i="21"/>
  <c r="T17" i="13"/>
  <c r="W32" i="13"/>
  <c r="T32" i="13"/>
  <c r="W18" i="13"/>
  <c r="T18" i="13"/>
  <c r="W33" i="13"/>
  <c r="T33" i="13"/>
  <c r="S34" i="13"/>
  <c r="S19" i="13"/>
  <c r="R20" i="13"/>
  <c r="Q20" i="13"/>
  <c r="R35" i="13"/>
  <c r="Q35" i="13"/>
  <c r="O39" i="15"/>
  <c r="P21" i="13"/>
  <c r="P36" i="13"/>
  <c r="K35" i="21" l="1"/>
  <c r="M35" i="21" s="1"/>
  <c r="M20" i="21"/>
  <c r="M21" i="21"/>
  <c r="F22" i="21"/>
  <c r="K23" i="21" s="1"/>
  <c r="K38" i="21" s="1"/>
  <c r="M38" i="20"/>
  <c r="M23" i="20"/>
  <c r="M39" i="20"/>
  <c r="M24" i="20"/>
  <c r="M36" i="21"/>
  <c r="S20" i="13"/>
  <c r="W20" i="13" s="1"/>
  <c r="W19" i="13"/>
  <c r="T19" i="13"/>
  <c r="W34" i="13"/>
  <c r="T34" i="13"/>
  <c r="S35" i="13"/>
  <c r="R36" i="13"/>
  <c r="Q36" i="13"/>
  <c r="Q39" i="15"/>
  <c r="P39" i="15"/>
  <c r="R21" i="13"/>
  <c r="Q21" i="13"/>
  <c r="M22" i="21"/>
  <c r="O40" i="15"/>
  <c r="P22" i="13"/>
  <c r="P37" i="13"/>
  <c r="M37" i="21" l="1"/>
  <c r="T20" i="13"/>
  <c r="W35" i="13"/>
  <c r="T35" i="13"/>
  <c r="S36" i="13"/>
  <c r="R39" i="15"/>
  <c r="S21" i="13"/>
  <c r="Q40" i="15"/>
  <c r="P40" i="15"/>
  <c r="R22" i="13"/>
  <c r="Q22" i="13"/>
  <c r="R37" i="13"/>
  <c r="Q37" i="13"/>
  <c r="N40" i="20"/>
  <c r="M23" i="21"/>
  <c r="P39" i="13"/>
  <c r="P23" i="13"/>
  <c r="P38" i="13"/>
  <c r="P24" i="13"/>
  <c r="R40" i="15" l="1"/>
  <c r="V40" i="15" s="1"/>
  <c r="M38" i="21"/>
  <c r="V39" i="15"/>
  <c r="W36" i="13"/>
  <c r="T36" i="13"/>
  <c r="S40" i="15"/>
  <c r="S41" i="15"/>
  <c r="W21" i="13"/>
  <c r="T21" i="13"/>
  <c r="S37" i="13"/>
  <c r="S22" i="13"/>
  <c r="R38" i="13"/>
  <c r="Q38" i="13"/>
  <c r="S38" i="13" s="1"/>
  <c r="R24" i="13"/>
  <c r="Q24" i="13"/>
  <c r="P40" i="20"/>
  <c r="O40" i="20"/>
  <c r="Q23" i="13"/>
  <c r="R23" i="13"/>
  <c r="R39" i="13"/>
  <c r="Q39" i="13"/>
  <c r="W38" i="13" l="1"/>
  <c r="T38" i="13"/>
  <c r="W22" i="13"/>
  <c r="T22" i="13"/>
  <c r="W37" i="13"/>
  <c r="T37" i="13"/>
  <c r="S24" i="13"/>
  <c r="S39" i="13"/>
  <c r="S23" i="13"/>
  <c r="Q40" i="20"/>
  <c r="N39" i="21"/>
  <c r="N40" i="21"/>
  <c r="W39" i="13" l="1"/>
  <c r="T39" i="13"/>
  <c r="T40" i="13"/>
  <c r="U40" i="20"/>
  <c r="R41" i="20"/>
  <c r="W24" i="13"/>
  <c r="T24" i="13"/>
  <c r="T25" i="13"/>
  <c r="W23" i="13"/>
  <c r="T23" i="13"/>
  <c r="P40" i="21"/>
  <c r="O40" i="21"/>
  <c r="P39" i="21"/>
  <c r="O39" i="21"/>
  <c r="Q39" i="21" l="1"/>
  <c r="Q40" i="21"/>
  <c r="U40" i="21" l="1"/>
  <c r="R40" i="21"/>
  <c r="R41" i="21"/>
  <c r="U39" i="21"/>
  <c r="N13" i="21"/>
  <c r="N11" i="21"/>
  <c r="N12" i="21"/>
  <c r="N9" i="21"/>
  <c r="N10" i="21"/>
  <c r="N10" i="20"/>
  <c r="N11" i="20"/>
  <c r="N12" i="20"/>
  <c r="N14" i="20"/>
  <c r="N9" i="20"/>
  <c r="N13" i="20"/>
  <c r="N12" i="19"/>
  <c r="N11" i="19"/>
  <c r="N14" i="19"/>
  <c r="N15" i="19"/>
  <c r="O11" i="15"/>
  <c r="O12" i="15"/>
  <c r="P10" i="21" l="1"/>
  <c r="O10" i="21"/>
  <c r="Q11" i="15"/>
  <c r="P11" i="15"/>
  <c r="P12" i="21"/>
  <c r="O12" i="21"/>
  <c r="P11" i="19"/>
  <c r="O11" i="19"/>
  <c r="P12" i="19"/>
  <c r="O12" i="19"/>
  <c r="P9" i="21"/>
  <c r="O9" i="21"/>
  <c r="P14" i="20"/>
  <c r="O14" i="20"/>
  <c r="O11" i="21"/>
  <c r="P11" i="21"/>
  <c r="P11" i="20"/>
  <c r="O11" i="20"/>
  <c r="O13" i="20"/>
  <c r="P13" i="20"/>
  <c r="Q13" i="20" s="1"/>
  <c r="O14" i="19"/>
  <c r="P14" i="19"/>
  <c r="P10" i="20"/>
  <c r="O10" i="20"/>
  <c r="Q12" i="15"/>
  <c r="P12" i="15"/>
  <c r="R12" i="15" s="1"/>
  <c r="P9" i="20"/>
  <c r="O9" i="20"/>
  <c r="P12" i="20"/>
  <c r="O12" i="20"/>
  <c r="O15" i="19"/>
  <c r="P15" i="19"/>
  <c r="O13" i="21"/>
  <c r="P13" i="21"/>
  <c r="R10" i="15"/>
  <c r="N13" i="19"/>
  <c r="O13" i="18"/>
  <c r="O14" i="18"/>
  <c r="Q12" i="20" l="1"/>
  <c r="Q10" i="21"/>
  <c r="Q13" i="21"/>
  <c r="U13" i="21" s="1"/>
  <c r="U12" i="20"/>
  <c r="U10" i="21"/>
  <c r="V12" i="15"/>
  <c r="U13" i="20"/>
  <c r="R13" i="20"/>
  <c r="V10" i="15"/>
  <c r="S10" i="15"/>
  <c r="S14" i="18"/>
  <c r="P14" i="18"/>
  <c r="S13" i="18"/>
  <c r="Q10" i="20"/>
  <c r="Q15" i="19"/>
  <c r="Q9" i="21"/>
  <c r="R10" i="21" s="1"/>
  <c r="Q11" i="21"/>
  <c r="R11" i="15"/>
  <c r="S12" i="15" s="1"/>
  <c r="Q12" i="19"/>
  <c r="Q11" i="19"/>
  <c r="Q9" i="20"/>
  <c r="Q14" i="19"/>
  <c r="Q14" i="20"/>
  <c r="Q12" i="21"/>
  <c r="Q11" i="20"/>
  <c r="R12" i="20" s="1"/>
  <c r="P13" i="19"/>
  <c r="O13" i="19"/>
  <c r="S11" i="13"/>
  <c r="P12" i="13"/>
  <c r="N15" i="21"/>
  <c r="N14" i="21"/>
  <c r="N17" i="19"/>
  <c r="N16" i="19"/>
  <c r="O13" i="15"/>
  <c r="W10" i="15" l="1"/>
  <c r="V13" i="20"/>
  <c r="V11" i="15"/>
  <c r="W11" i="15" s="1"/>
  <c r="S11" i="15"/>
  <c r="U11" i="21"/>
  <c r="R11" i="21"/>
  <c r="U12" i="21"/>
  <c r="V13" i="21" s="1"/>
  <c r="R12" i="21"/>
  <c r="U14" i="20"/>
  <c r="V14" i="20" s="1"/>
  <c r="R14" i="20"/>
  <c r="W11" i="13"/>
  <c r="T11" i="13"/>
  <c r="R13" i="21"/>
  <c r="U9" i="21"/>
  <c r="R9" i="21"/>
  <c r="U10" i="20"/>
  <c r="R10" i="20"/>
  <c r="U11" i="20"/>
  <c r="R11" i="20"/>
  <c r="U9" i="20"/>
  <c r="R9" i="20"/>
  <c r="U15" i="19"/>
  <c r="R15" i="19"/>
  <c r="U14" i="19"/>
  <c r="U11" i="19"/>
  <c r="R11" i="19"/>
  <c r="U12" i="19"/>
  <c r="R12" i="19"/>
  <c r="T14" i="18"/>
  <c r="X11" i="13"/>
  <c r="Q13" i="19"/>
  <c r="Q13" i="15"/>
  <c r="P13" i="15"/>
  <c r="P16" i="19"/>
  <c r="O16" i="19"/>
  <c r="P15" i="21"/>
  <c r="O15" i="21"/>
  <c r="R12" i="13"/>
  <c r="Q12" i="13"/>
  <c r="P14" i="21"/>
  <c r="O14" i="21"/>
  <c r="O17" i="19"/>
  <c r="P17" i="19"/>
  <c r="N15" i="20"/>
  <c r="O14" i="15"/>
  <c r="N16" i="21"/>
  <c r="N18" i="19"/>
  <c r="N20" i="19"/>
  <c r="N19" i="19"/>
  <c r="R14" i="19" l="1"/>
  <c r="V9" i="20"/>
  <c r="V9" i="21"/>
  <c r="V11" i="19"/>
  <c r="V12" i="19"/>
  <c r="V15" i="19"/>
  <c r="V10" i="21"/>
  <c r="V11" i="21"/>
  <c r="V10" i="20"/>
  <c r="R13" i="15"/>
  <c r="S13" i="15" s="1"/>
  <c r="V11" i="20"/>
  <c r="V12" i="21"/>
  <c r="W12" i="15"/>
  <c r="V12" i="20"/>
  <c r="U13" i="19"/>
  <c r="R13" i="19"/>
  <c r="S12" i="13"/>
  <c r="Q15" i="21"/>
  <c r="Q14" i="21"/>
  <c r="Q17" i="19"/>
  <c r="Q16" i="19"/>
  <c r="P19" i="19"/>
  <c r="O19" i="19"/>
  <c r="O18" i="19"/>
  <c r="P18" i="19"/>
  <c r="O16" i="21"/>
  <c r="P16" i="21"/>
  <c r="O15" i="20"/>
  <c r="P15" i="20"/>
  <c r="P20" i="19"/>
  <c r="O20" i="19"/>
  <c r="Q14" i="15"/>
  <c r="P14" i="15"/>
  <c r="O15" i="18"/>
  <c r="O15" i="15"/>
  <c r="S14" i="17"/>
  <c r="N17" i="20"/>
  <c r="N16" i="20"/>
  <c r="O13" i="16"/>
  <c r="O14" i="16"/>
  <c r="N21" i="19"/>
  <c r="V13" i="19" l="1"/>
  <c r="V13" i="15"/>
  <c r="V14" i="19"/>
  <c r="Q15" i="20"/>
  <c r="R15" i="20" s="1"/>
  <c r="W12" i="13"/>
  <c r="W43" i="13" s="1"/>
  <c r="W44" i="13" s="1"/>
  <c r="T12" i="13"/>
  <c r="T13" i="13"/>
  <c r="U15" i="20"/>
  <c r="W14" i="17"/>
  <c r="T14" i="17"/>
  <c r="U14" i="21"/>
  <c r="R14" i="21"/>
  <c r="U15" i="21"/>
  <c r="R15" i="21"/>
  <c r="U16" i="19"/>
  <c r="R16" i="19"/>
  <c r="U17" i="19"/>
  <c r="R17" i="19"/>
  <c r="S15" i="18"/>
  <c r="P15" i="18"/>
  <c r="Q19" i="19"/>
  <c r="Q16" i="21"/>
  <c r="Q18" i="19"/>
  <c r="R14" i="15"/>
  <c r="Q20" i="19"/>
  <c r="O17" i="20"/>
  <c r="P17" i="20"/>
  <c r="Q14" i="16"/>
  <c r="P14" i="16"/>
  <c r="P21" i="19"/>
  <c r="O21" i="19"/>
  <c r="Q15" i="15"/>
  <c r="P15" i="15"/>
  <c r="P13" i="16"/>
  <c r="Q13" i="16"/>
  <c r="P16" i="20"/>
  <c r="O16" i="20"/>
  <c r="N18" i="20"/>
  <c r="O15" i="16"/>
  <c r="O16" i="15"/>
  <c r="P15" i="17"/>
  <c r="N18" i="21"/>
  <c r="N17" i="21"/>
  <c r="N23" i="19"/>
  <c r="T15" i="18" l="1"/>
  <c r="X14" i="17"/>
  <c r="W13" i="15"/>
  <c r="X13" i="13"/>
  <c r="X12" i="13"/>
  <c r="X17" i="13" s="1"/>
  <c r="V15" i="20"/>
  <c r="V16" i="19"/>
  <c r="V15" i="21"/>
  <c r="U16" i="21"/>
  <c r="R16" i="21"/>
  <c r="V14" i="15"/>
  <c r="W14" i="15" s="1"/>
  <c r="S14" i="15"/>
  <c r="V14" i="21"/>
  <c r="U19" i="19"/>
  <c r="R19" i="19"/>
  <c r="U20" i="19"/>
  <c r="R20" i="19"/>
  <c r="U18" i="19"/>
  <c r="R18" i="19"/>
  <c r="R13" i="16"/>
  <c r="Q16" i="20"/>
  <c r="R15" i="15"/>
  <c r="Q21" i="19"/>
  <c r="P15" i="16"/>
  <c r="Q15" i="16"/>
  <c r="P17" i="21"/>
  <c r="O17" i="21"/>
  <c r="O23" i="19"/>
  <c r="P23" i="19"/>
  <c r="P18" i="20"/>
  <c r="O18" i="20"/>
  <c r="P18" i="21"/>
  <c r="O18" i="21"/>
  <c r="Q15" i="17"/>
  <c r="R15" i="17"/>
  <c r="Q16" i="15"/>
  <c r="P16" i="15"/>
  <c r="O11" i="18"/>
  <c r="R14" i="16"/>
  <c r="Q17" i="20"/>
  <c r="N24" i="19"/>
  <c r="N22" i="19"/>
  <c r="P16" i="17"/>
  <c r="N19" i="21"/>
  <c r="N25" i="19"/>
  <c r="P18" i="17"/>
  <c r="O16" i="16"/>
  <c r="O17" i="15"/>
  <c r="U16" i="20" l="1"/>
  <c r="R16" i="20"/>
  <c r="V15" i="15"/>
  <c r="S15" i="15"/>
  <c r="V13" i="16"/>
  <c r="S13" i="16"/>
  <c r="V14" i="16"/>
  <c r="S14" i="16"/>
  <c r="U17" i="20"/>
  <c r="R17" i="20"/>
  <c r="S11" i="18"/>
  <c r="P11" i="18"/>
  <c r="U21" i="19"/>
  <c r="R21" i="19"/>
  <c r="Q17" i="21"/>
  <c r="S15" i="17"/>
  <c r="R16" i="15"/>
  <c r="Q18" i="21"/>
  <c r="Q23" i="19"/>
  <c r="Q16" i="17"/>
  <c r="R16" i="17"/>
  <c r="O24" i="19"/>
  <c r="P24" i="19"/>
  <c r="O19" i="21"/>
  <c r="P19" i="21"/>
  <c r="Q17" i="15"/>
  <c r="P17" i="15"/>
  <c r="P22" i="19"/>
  <c r="O22" i="19"/>
  <c r="O25" i="19"/>
  <c r="P25" i="19"/>
  <c r="P16" i="16"/>
  <c r="Q16" i="16"/>
  <c r="R18" i="17"/>
  <c r="Q18" i="17"/>
  <c r="O16" i="18"/>
  <c r="R15" i="16"/>
  <c r="S15" i="16" s="1"/>
  <c r="Q18" i="20"/>
  <c r="N19" i="20"/>
  <c r="O18" i="15"/>
  <c r="N20" i="21"/>
  <c r="N27" i="19"/>
  <c r="O17" i="16"/>
  <c r="O19" i="15"/>
  <c r="W13" i="16" l="1"/>
  <c r="T11" i="18"/>
  <c r="W14" i="16"/>
  <c r="V16" i="15"/>
  <c r="W16" i="15" s="1"/>
  <c r="S16" i="15"/>
  <c r="U18" i="21"/>
  <c r="R18" i="21"/>
  <c r="W15" i="17"/>
  <c r="T15" i="17"/>
  <c r="U18" i="20"/>
  <c r="R18" i="20"/>
  <c r="U17" i="21"/>
  <c r="R17" i="21"/>
  <c r="U23" i="19"/>
  <c r="S16" i="18"/>
  <c r="P16" i="18"/>
  <c r="V15" i="16"/>
  <c r="S16" i="17"/>
  <c r="R16" i="16"/>
  <c r="S16" i="16" s="1"/>
  <c r="W15" i="15"/>
  <c r="Q19" i="21"/>
  <c r="Q25" i="19"/>
  <c r="S18" i="17"/>
  <c r="Q22" i="19"/>
  <c r="R23" i="19" s="1"/>
  <c r="R17" i="15"/>
  <c r="P17" i="16"/>
  <c r="Q17" i="16"/>
  <c r="O19" i="20"/>
  <c r="P19" i="20"/>
  <c r="P20" i="21"/>
  <c r="O20" i="21"/>
  <c r="P19" i="15"/>
  <c r="Q19" i="15"/>
  <c r="O27" i="19"/>
  <c r="P27" i="19"/>
  <c r="Q18" i="15"/>
  <c r="P18" i="15"/>
  <c r="Q24" i="19"/>
  <c r="N20" i="20"/>
  <c r="P17" i="17"/>
  <c r="N26" i="19"/>
  <c r="P19" i="17"/>
  <c r="P20" i="17"/>
  <c r="N21" i="21"/>
  <c r="N29" i="19"/>
  <c r="O18" i="16"/>
  <c r="T16" i="18" l="1"/>
  <c r="X15" i="17"/>
  <c r="W16" i="17"/>
  <c r="X16" i="17" s="1"/>
  <c r="T16" i="17"/>
  <c r="V17" i="15"/>
  <c r="S17" i="15"/>
  <c r="Q19" i="20"/>
  <c r="U19" i="21"/>
  <c r="R19" i="21"/>
  <c r="W18" i="17"/>
  <c r="U24" i="19"/>
  <c r="R24" i="19"/>
  <c r="U22" i="19"/>
  <c r="R22" i="19"/>
  <c r="U25" i="19"/>
  <c r="R25" i="19"/>
  <c r="R17" i="16"/>
  <c r="W15" i="16"/>
  <c r="V16" i="16"/>
  <c r="R18" i="15"/>
  <c r="Q27" i="19"/>
  <c r="R19" i="15"/>
  <c r="Q20" i="21"/>
  <c r="R19" i="17"/>
  <c r="Q19" i="17"/>
  <c r="Q17" i="17"/>
  <c r="R17" i="17"/>
  <c r="P29" i="19"/>
  <c r="O29" i="19"/>
  <c r="O20" i="20"/>
  <c r="P20" i="20"/>
  <c r="Q18" i="16"/>
  <c r="P18" i="16"/>
  <c r="O26" i="19"/>
  <c r="P26" i="19"/>
  <c r="O21" i="21"/>
  <c r="P21" i="21"/>
  <c r="R20" i="17"/>
  <c r="Q20" i="17"/>
  <c r="O12" i="18"/>
  <c r="N21" i="20"/>
  <c r="O24" i="18"/>
  <c r="O38" i="15"/>
  <c r="N28" i="19"/>
  <c r="N30" i="19"/>
  <c r="N31" i="19"/>
  <c r="O23" i="18"/>
  <c r="P21" i="17"/>
  <c r="O19" i="16"/>
  <c r="O20" i="15"/>
  <c r="W16" i="16" l="1"/>
  <c r="U20" i="21"/>
  <c r="R20" i="21"/>
  <c r="U27" i="19"/>
  <c r="V18" i="15"/>
  <c r="S18" i="15"/>
  <c r="U19" i="20"/>
  <c r="R19" i="20"/>
  <c r="V19" i="15"/>
  <c r="S19" i="15"/>
  <c r="V17" i="16"/>
  <c r="S17" i="16"/>
  <c r="S24" i="18"/>
  <c r="P24" i="18"/>
  <c r="S23" i="18"/>
  <c r="S12" i="18"/>
  <c r="P12" i="18"/>
  <c r="P13" i="18"/>
  <c r="S17" i="17"/>
  <c r="Q26" i="19"/>
  <c r="Q20" i="20"/>
  <c r="S19" i="17"/>
  <c r="R18" i="16"/>
  <c r="Q21" i="21"/>
  <c r="Q29" i="19"/>
  <c r="Q21" i="17"/>
  <c r="R21" i="17"/>
  <c r="P20" i="15"/>
  <c r="Q20" i="15"/>
  <c r="Q19" i="16"/>
  <c r="P19" i="16"/>
  <c r="O31" i="19"/>
  <c r="P31" i="19"/>
  <c r="P30" i="19"/>
  <c r="O30" i="19"/>
  <c r="O21" i="20"/>
  <c r="P21" i="20"/>
  <c r="P28" i="19"/>
  <c r="O28" i="19"/>
  <c r="Q38" i="15"/>
  <c r="P38" i="15"/>
  <c r="O17" i="18"/>
  <c r="N24" i="20"/>
  <c r="S20" i="17"/>
  <c r="N22" i="20"/>
  <c r="N22" i="21"/>
  <c r="N23" i="20"/>
  <c r="N33" i="19"/>
  <c r="O25" i="18"/>
  <c r="O26" i="18"/>
  <c r="P22" i="17"/>
  <c r="O20" i="16"/>
  <c r="O21" i="15"/>
  <c r="O22" i="15"/>
  <c r="S26" i="18" l="1"/>
  <c r="T12" i="18"/>
  <c r="W19" i="17"/>
  <c r="T19" i="17"/>
  <c r="U20" i="20"/>
  <c r="R20" i="20"/>
  <c r="U26" i="19"/>
  <c r="R26" i="19"/>
  <c r="V18" i="16"/>
  <c r="S18" i="16"/>
  <c r="W17" i="17"/>
  <c r="T17" i="17"/>
  <c r="T18" i="17"/>
  <c r="R27" i="19"/>
  <c r="W20" i="17"/>
  <c r="T20" i="17"/>
  <c r="U21" i="21"/>
  <c r="R21" i="21"/>
  <c r="S17" i="18"/>
  <c r="P17" i="18"/>
  <c r="P25" i="18"/>
  <c r="P26" i="18"/>
  <c r="T13" i="18"/>
  <c r="U29" i="19"/>
  <c r="S25" i="18"/>
  <c r="R19" i="16"/>
  <c r="Q28" i="19"/>
  <c r="R29" i="19" s="1"/>
  <c r="Q21" i="20"/>
  <c r="R38" i="15"/>
  <c r="S21" i="17"/>
  <c r="R20" i="15"/>
  <c r="Q31" i="19"/>
  <c r="P22" i="20"/>
  <c r="O22" i="20"/>
  <c r="P22" i="21"/>
  <c r="O22" i="21"/>
  <c r="P21" i="15"/>
  <c r="Q21" i="15"/>
  <c r="O33" i="19"/>
  <c r="P33" i="19"/>
  <c r="O23" i="20"/>
  <c r="P23" i="20"/>
  <c r="Q20" i="16"/>
  <c r="P20" i="16"/>
  <c r="Q22" i="15"/>
  <c r="P22" i="15"/>
  <c r="P24" i="20"/>
  <c r="O24" i="20"/>
  <c r="Q22" i="17"/>
  <c r="R22" i="17"/>
  <c r="Q30" i="19"/>
  <c r="N25" i="20"/>
  <c r="N32" i="19"/>
  <c r="N23" i="21"/>
  <c r="N27" i="20"/>
  <c r="N34" i="19"/>
  <c r="O27" i="18"/>
  <c r="O21" i="16"/>
  <c r="O23" i="15"/>
  <c r="X17" i="17" l="1"/>
  <c r="R22" i="15"/>
  <c r="V22" i="15" s="1"/>
  <c r="V20" i="15"/>
  <c r="S20" i="15"/>
  <c r="W21" i="17"/>
  <c r="T21" i="17"/>
  <c r="S27" i="18"/>
  <c r="P27" i="18"/>
  <c r="U21" i="20"/>
  <c r="R21" i="20"/>
  <c r="V38" i="15"/>
  <c r="S39" i="15"/>
  <c r="V19" i="16"/>
  <c r="S19" i="16"/>
  <c r="U31" i="19"/>
  <c r="R31" i="19"/>
  <c r="U28" i="19"/>
  <c r="R28" i="19"/>
  <c r="U30" i="19"/>
  <c r="R30" i="19"/>
  <c r="R21" i="15"/>
  <c r="Q23" i="20"/>
  <c r="Q22" i="21"/>
  <c r="Q22" i="20"/>
  <c r="Q24" i="20"/>
  <c r="Q33" i="19"/>
  <c r="R20" i="16"/>
  <c r="S22" i="17"/>
  <c r="P25" i="20"/>
  <c r="O25" i="20"/>
  <c r="O27" i="20"/>
  <c r="P27" i="20"/>
  <c r="P23" i="21"/>
  <c r="O23" i="21"/>
  <c r="Q23" i="15"/>
  <c r="P23" i="15"/>
  <c r="O34" i="19"/>
  <c r="P34" i="19"/>
  <c r="P32" i="19"/>
  <c r="O32" i="19"/>
  <c r="P21" i="16"/>
  <c r="Q21" i="16"/>
  <c r="N26" i="20"/>
  <c r="P24" i="17"/>
  <c r="P23" i="17"/>
  <c r="N24" i="21"/>
  <c r="N28" i="20"/>
  <c r="O28" i="18"/>
  <c r="O22" i="16"/>
  <c r="O24" i="15"/>
  <c r="O25" i="15"/>
  <c r="U22" i="21" l="1"/>
  <c r="R22" i="21"/>
  <c r="U23" i="20"/>
  <c r="R23" i="20"/>
  <c r="W22" i="17"/>
  <c r="T22" i="17"/>
  <c r="V21" i="15"/>
  <c r="S21" i="15"/>
  <c r="V20" i="16"/>
  <c r="S20" i="16"/>
  <c r="U24" i="20"/>
  <c r="R24" i="20"/>
  <c r="S22" i="15"/>
  <c r="U22" i="20"/>
  <c r="R22" i="20"/>
  <c r="S28" i="18"/>
  <c r="P28" i="18"/>
  <c r="U33" i="19"/>
  <c r="Q25" i="20"/>
  <c r="Q34" i="19"/>
  <c r="R21" i="16"/>
  <c r="Q27" i="20"/>
  <c r="Q23" i="21"/>
  <c r="Q32" i="19"/>
  <c r="R33" i="19" s="1"/>
  <c r="R23" i="15"/>
  <c r="Q24" i="17"/>
  <c r="R24" i="17"/>
  <c r="Q24" i="15"/>
  <c r="P24" i="15"/>
  <c r="R24" i="15" s="1"/>
  <c r="Q23" i="17"/>
  <c r="R23" i="17"/>
  <c r="Q22" i="16"/>
  <c r="P22" i="16"/>
  <c r="Q25" i="15"/>
  <c r="P25" i="15"/>
  <c r="P28" i="20"/>
  <c r="O28" i="20"/>
  <c r="P26" i="20"/>
  <c r="O26" i="20"/>
  <c r="P24" i="21"/>
  <c r="O24" i="21"/>
  <c r="O18" i="18"/>
  <c r="N35" i="19"/>
  <c r="N29" i="20"/>
  <c r="N25" i="21"/>
  <c r="N26" i="21"/>
  <c r="N36" i="19"/>
  <c r="O29" i="18"/>
  <c r="O23" i="16"/>
  <c r="O27" i="15"/>
  <c r="O26" i="15"/>
  <c r="U27" i="20" l="1"/>
  <c r="V21" i="16"/>
  <c r="S21" i="16"/>
  <c r="U25" i="20"/>
  <c r="R25" i="20"/>
  <c r="V24" i="15"/>
  <c r="S24" i="15"/>
  <c r="U23" i="21"/>
  <c r="R23" i="21"/>
  <c r="V23" i="15"/>
  <c r="S23" i="15"/>
  <c r="S18" i="18"/>
  <c r="P18" i="18"/>
  <c r="U32" i="19"/>
  <c r="R32" i="19"/>
  <c r="U34" i="19"/>
  <c r="R34" i="19"/>
  <c r="S29" i="18"/>
  <c r="P29" i="18"/>
  <c r="R25" i="15"/>
  <c r="Q28" i="20"/>
  <c r="Q26" i="20"/>
  <c r="R22" i="16"/>
  <c r="Q24" i="21"/>
  <c r="S23" i="17"/>
  <c r="P25" i="21"/>
  <c r="O25" i="21"/>
  <c r="P26" i="21"/>
  <c r="O26" i="21"/>
  <c r="P26" i="15"/>
  <c r="Q26" i="15"/>
  <c r="P27" i="15"/>
  <c r="Q27" i="15"/>
  <c r="P23" i="16"/>
  <c r="Q23" i="16"/>
  <c r="O29" i="20"/>
  <c r="P29" i="20"/>
  <c r="O35" i="19"/>
  <c r="P35" i="19"/>
  <c r="P36" i="19"/>
  <c r="O36" i="19"/>
  <c r="S24" i="17"/>
  <c r="P25" i="17"/>
  <c r="N30" i="20"/>
  <c r="P26" i="17"/>
  <c r="N27" i="21"/>
  <c r="N37" i="19"/>
  <c r="N38" i="19"/>
  <c r="O30" i="18"/>
  <c r="O24" i="16"/>
  <c r="R23" i="16" l="1"/>
  <c r="U28" i="20"/>
  <c r="R28" i="20"/>
  <c r="V23" i="16"/>
  <c r="S23" i="16"/>
  <c r="W24" i="17"/>
  <c r="T24" i="17"/>
  <c r="V22" i="16"/>
  <c r="S22" i="16"/>
  <c r="U26" i="20"/>
  <c r="R26" i="20"/>
  <c r="W23" i="17"/>
  <c r="T23" i="17"/>
  <c r="R27" i="20"/>
  <c r="V25" i="15"/>
  <c r="S25" i="15"/>
  <c r="U24" i="21"/>
  <c r="R24" i="21"/>
  <c r="S30" i="18"/>
  <c r="P30" i="18"/>
  <c r="Q36" i="19"/>
  <c r="Q26" i="21"/>
  <c r="Q25" i="21"/>
  <c r="Q35" i="19"/>
  <c r="R26" i="15"/>
  <c r="R27" i="15"/>
  <c r="P37" i="19"/>
  <c r="O37" i="19"/>
  <c r="P30" i="20"/>
  <c r="O30" i="20"/>
  <c r="O38" i="19"/>
  <c r="P38" i="19"/>
  <c r="O27" i="21"/>
  <c r="P27" i="21"/>
  <c r="Q25" i="17"/>
  <c r="R25" i="17"/>
  <c r="S25" i="17" s="1"/>
  <c r="R26" i="17"/>
  <c r="Q26" i="17"/>
  <c r="P24" i="16"/>
  <c r="Q24" i="16"/>
  <c r="Q29" i="20"/>
  <c r="O28" i="15"/>
  <c r="N40" i="19"/>
  <c r="N28" i="21"/>
  <c r="N39" i="19"/>
  <c r="O31" i="18"/>
  <c r="O25" i="16"/>
  <c r="O29" i="15"/>
  <c r="U29" i="20" l="1"/>
  <c r="R29" i="20"/>
  <c r="V26" i="15"/>
  <c r="S26" i="15"/>
  <c r="U26" i="21"/>
  <c r="R26" i="21"/>
  <c r="U25" i="21"/>
  <c r="R25" i="21"/>
  <c r="W25" i="17"/>
  <c r="T25" i="17"/>
  <c r="V27" i="15"/>
  <c r="S27" i="15"/>
  <c r="U35" i="19"/>
  <c r="R35" i="19"/>
  <c r="U36" i="19"/>
  <c r="R36" i="19"/>
  <c r="S31" i="18"/>
  <c r="P31" i="18"/>
  <c r="Q37" i="19"/>
  <c r="Q27" i="21"/>
  <c r="Q38" i="19"/>
  <c r="R24" i="16"/>
  <c r="Q30" i="20"/>
  <c r="P28" i="21"/>
  <c r="O28" i="21"/>
  <c r="P25" i="16"/>
  <c r="Q25" i="16"/>
  <c r="O40" i="19"/>
  <c r="P40" i="19"/>
  <c r="P28" i="15"/>
  <c r="Q28" i="15"/>
  <c r="R28" i="15" s="1"/>
  <c r="O39" i="19"/>
  <c r="P39" i="19"/>
  <c r="Q29" i="15"/>
  <c r="P29" i="15"/>
  <c r="O19" i="18"/>
  <c r="S26" i="17"/>
  <c r="P27" i="17"/>
  <c r="N31" i="20"/>
  <c r="N29" i="21"/>
  <c r="O32" i="18"/>
  <c r="W26" i="17" l="1"/>
  <c r="T26" i="17"/>
  <c r="U27" i="21"/>
  <c r="R27" i="21"/>
  <c r="U30" i="20"/>
  <c r="R30" i="20"/>
  <c r="V28" i="15"/>
  <c r="S28" i="15"/>
  <c r="V24" i="16"/>
  <c r="S24" i="16"/>
  <c r="S19" i="18"/>
  <c r="P19" i="18"/>
  <c r="S32" i="18"/>
  <c r="P32" i="18"/>
  <c r="U37" i="19"/>
  <c r="R37" i="19"/>
  <c r="U38" i="19"/>
  <c r="R38" i="19"/>
  <c r="Q39" i="19"/>
  <c r="R25" i="16"/>
  <c r="R29" i="15"/>
  <c r="Q28" i="21"/>
  <c r="O29" i="21"/>
  <c r="P29" i="21"/>
  <c r="O31" i="20"/>
  <c r="P31" i="20"/>
  <c r="R27" i="17"/>
  <c r="Q27" i="17"/>
  <c r="Q40" i="19"/>
  <c r="O30" i="15"/>
  <c r="N32" i="20"/>
  <c r="N33" i="20"/>
  <c r="P28" i="17"/>
  <c r="O26" i="16"/>
  <c r="N31" i="21"/>
  <c r="N30" i="21"/>
  <c r="O33" i="18"/>
  <c r="O27" i="16"/>
  <c r="O31" i="15"/>
  <c r="Q29" i="21" l="1"/>
  <c r="U28" i="21"/>
  <c r="R28" i="21"/>
  <c r="V29" i="15"/>
  <c r="S29" i="15"/>
  <c r="S27" i="17"/>
  <c r="V25" i="16"/>
  <c r="S25" i="16"/>
  <c r="U29" i="21"/>
  <c r="R29" i="21"/>
  <c r="S33" i="18"/>
  <c r="P33" i="18"/>
  <c r="U40" i="19"/>
  <c r="R40" i="19"/>
  <c r="R41" i="19"/>
  <c r="U39" i="19"/>
  <c r="R39" i="19"/>
  <c r="Q31" i="20"/>
  <c r="Q30" i="15"/>
  <c r="P30" i="15"/>
  <c r="R30" i="15" s="1"/>
  <c r="P30" i="21"/>
  <c r="O30" i="21"/>
  <c r="P31" i="21"/>
  <c r="O31" i="21"/>
  <c r="P26" i="16"/>
  <c r="Q26" i="16"/>
  <c r="R28" i="17"/>
  <c r="Q28" i="17"/>
  <c r="Q27" i="16"/>
  <c r="P27" i="16"/>
  <c r="P33" i="20"/>
  <c r="O33" i="20"/>
  <c r="Q31" i="15"/>
  <c r="P31" i="15"/>
  <c r="P32" i="20"/>
  <c r="O32" i="20"/>
  <c r="N32" i="21"/>
  <c r="O34" i="18"/>
  <c r="P29" i="17"/>
  <c r="O28" i="16"/>
  <c r="O29" i="16"/>
  <c r="O32" i="15"/>
  <c r="U44" i="19" l="1"/>
  <c r="U45" i="19" s="1"/>
  <c r="V17" i="19" s="1"/>
  <c r="S28" i="17"/>
  <c r="W28" i="17" s="1"/>
  <c r="W27" i="17"/>
  <c r="T27" i="17"/>
  <c r="T28" i="17"/>
  <c r="V30" i="15"/>
  <c r="S30" i="15"/>
  <c r="U31" i="20"/>
  <c r="R31" i="20"/>
  <c r="S34" i="18"/>
  <c r="P34" i="18"/>
  <c r="R31" i="15"/>
  <c r="Q31" i="21"/>
  <c r="Q32" i="20"/>
  <c r="R27" i="16"/>
  <c r="Q33" i="20"/>
  <c r="Q30" i="21"/>
  <c r="R26" i="16"/>
  <c r="Q29" i="17"/>
  <c r="R29" i="17"/>
  <c r="O32" i="21"/>
  <c r="P32" i="21"/>
  <c r="Q32" i="15"/>
  <c r="P32" i="15"/>
  <c r="P29" i="16"/>
  <c r="Q29" i="16"/>
  <c r="Q28" i="16"/>
  <c r="P28" i="16"/>
  <c r="N34" i="20"/>
  <c r="N34" i="21"/>
  <c r="N33" i="21"/>
  <c r="N35" i="21"/>
  <c r="O36" i="18"/>
  <c r="O35" i="18"/>
  <c r="P31" i="17"/>
  <c r="P30" i="17"/>
  <c r="O30" i="16"/>
  <c r="O33" i="15"/>
  <c r="R32" i="15" l="1"/>
  <c r="U30" i="21"/>
  <c r="R30" i="21"/>
  <c r="V27" i="16"/>
  <c r="S27" i="16"/>
  <c r="V32" i="15"/>
  <c r="S32" i="15"/>
  <c r="U32" i="20"/>
  <c r="R32" i="20"/>
  <c r="V31" i="15"/>
  <c r="S31" i="15"/>
  <c r="U33" i="20"/>
  <c r="R33" i="20"/>
  <c r="U31" i="21"/>
  <c r="R31" i="21"/>
  <c r="V26" i="16"/>
  <c r="S26" i="16"/>
  <c r="S36" i="18"/>
  <c r="P36" i="18"/>
  <c r="S35" i="18"/>
  <c r="P35" i="18"/>
  <c r="S29" i="17"/>
  <c r="Q32" i="21"/>
  <c r="R28" i="16"/>
  <c r="R29" i="16"/>
  <c r="P33" i="21"/>
  <c r="O33" i="21"/>
  <c r="P34" i="21"/>
  <c r="O34" i="21"/>
  <c r="Q33" i="15"/>
  <c r="P33" i="15"/>
  <c r="R33" i="15" s="1"/>
  <c r="Q30" i="16"/>
  <c r="P30" i="16"/>
  <c r="Q30" i="17"/>
  <c r="R30" i="17"/>
  <c r="S30" i="17" s="1"/>
  <c r="P34" i="20"/>
  <c r="O34" i="20"/>
  <c r="Q31" i="17"/>
  <c r="R31" i="17"/>
  <c r="O35" i="21"/>
  <c r="P35" i="21"/>
  <c r="N35" i="20"/>
  <c r="N36" i="21"/>
  <c r="O38" i="18"/>
  <c r="O39" i="18"/>
  <c r="O37" i="18"/>
  <c r="P32" i="17"/>
  <c r="O31" i="16"/>
  <c r="O34" i="15"/>
  <c r="O36" i="15"/>
  <c r="O35" i="15"/>
  <c r="V29" i="16" l="1"/>
  <c r="S29" i="16"/>
  <c r="V28" i="16"/>
  <c r="S28" i="16"/>
  <c r="U32" i="21"/>
  <c r="R32" i="21"/>
  <c r="W29" i="17"/>
  <c r="T29" i="17"/>
  <c r="V33" i="15"/>
  <c r="S33" i="15"/>
  <c r="W30" i="17"/>
  <c r="T30" i="17"/>
  <c r="S37" i="18"/>
  <c r="P37" i="18"/>
  <c r="S39" i="18"/>
  <c r="P39" i="18"/>
  <c r="S38" i="18"/>
  <c r="P38" i="18"/>
  <c r="Q35" i="21"/>
  <c r="Q33" i="21"/>
  <c r="Q34" i="21"/>
  <c r="S31" i="17"/>
  <c r="Q34" i="20"/>
  <c r="R30" i="16"/>
  <c r="P36" i="21"/>
  <c r="O36" i="21"/>
  <c r="Q36" i="15"/>
  <c r="P36" i="15"/>
  <c r="R36" i="15" s="1"/>
  <c r="O35" i="20"/>
  <c r="P35" i="20"/>
  <c r="Q34" i="15"/>
  <c r="P34" i="15"/>
  <c r="Q35" i="15"/>
  <c r="P35" i="15"/>
  <c r="P31" i="16"/>
  <c r="Q31" i="16"/>
  <c r="R31" i="16" s="1"/>
  <c r="Q32" i="17"/>
  <c r="R32" i="17"/>
  <c r="N37" i="20"/>
  <c r="N36" i="20"/>
  <c r="O40" i="18"/>
  <c r="P33" i="17"/>
  <c r="O32" i="16"/>
  <c r="O37" i="15"/>
  <c r="U34" i="21" l="1"/>
  <c r="R34" i="21"/>
  <c r="U33" i="21"/>
  <c r="R33" i="21"/>
  <c r="V30" i="16"/>
  <c r="S30" i="16"/>
  <c r="W31" i="17"/>
  <c r="T31" i="17"/>
  <c r="V36" i="15"/>
  <c r="U34" i="20"/>
  <c r="R34" i="20"/>
  <c r="V31" i="16"/>
  <c r="S31" i="16"/>
  <c r="U35" i="21"/>
  <c r="R35" i="21"/>
  <c r="S40" i="18"/>
  <c r="P40" i="18"/>
  <c r="P41" i="18"/>
  <c r="Q36" i="21"/>
  <c r="R35" i="15"/>
  <c r="S36" i="15" s="1"/>
  <c r="R34" i="15"/>
  <c r="S32" i="17"/>
  <c r="Q35" i="20"/>
  <c r="O36" i="20"/>
  <c r="P36" i="20"/>
  <c r="P37" i="15"/>
  <c r="Q37" i="15"/>
  <c r="O37" i="20"/>
  <c r="P37" i="20"/>
  <c r="P32" i="16"/>
  <c r="Q32" i="16"/>
  <c r="Q33" i="17"/>
  <c r="R33" i="17"/>
  <c r="N38" i="20"/>
  <c r="N37" i="21"/>
  <c r="N38" i="21"/>
  <c r="P34" i="17"/>
  <c r="O33" i="16"/>
  <c r="U35" i="20" l="1"/>
  <c r="R35" i="20"/>
  <c r="W32" i="17"/>
  <c r="T32" i="17"/>
  <c r="V34" i="15"/>
  <c r="S34" i="15"/>
  <c r="U36" i="21"/>
  <c r="R36" i="21"/>
  <c r="V35" i="15"/>
  <c r="S35" i="15"/>
  <c r="Q36" i="20"/>
  <c r="S33" i="17"/>
  <c r="R32" i="16"/>
  <c r="R37" i="15"/>
  <c r="O37" i="21"/>
  <c r="P37" i="21"/>
  <c r="P33" i="16"/>
  <c r="Q33" i="16"/>
  <c r="P38" i="20"/>
  <c r="O38" i="20"/>
  <c r="R34" i="17"/>
  <c r="Q34" i="17"/>
  <c r="S34" i="17" s="1"/>
  <c r="P38" i="21"/>
  <c r="O38" i="21"/>
  <c r="Q37" i="20"/>
  <c r="O34" i="16"/>
  <c r="N39" i="20"/>
  <c r="O35" i="16"/>
  <c r="V32" i="16" l="1"/>
  <c r="S32" i="16"/>
  <c r="W34" i="17"/>
  <c r="T34" i="17"/>
  <c r="W33" i="17"/>
  <c r="T33" i="17"/>
  <c r="V37" i="15"/>
  <c r="V42" i="15" s="1"/>
  <c r="V43" i="15" s="1"/>
  <c r="W17" i="15" s="1"/>
  <c r="S37" i="15"/>
  <c r="S38" i="15"/>
  <c r="U36" i="20"/>
  <c r="R36" i="20"/>
  <c r="U37" i="20"/>
  <c r="R37" i="20"/>
  <c r="Q37" i="21"/>
  <c r="Q38" i="21"/>
  <c r="R33" i="16"/>
  <c r="Q38" i="20"/>
  <c r="Q35" i="16"/>
  <c r="P35" i="16"/>
  <c r="O39" i="20"/>
  <c r="P39" i="20"/>
  <c r="Q34" i="16"/>
  <c r="P34" i="16"/>
  <c r="P35" i="17"/>
  <c r="O36" i="16"/>
  <c r="V33" i="16" l="1"/>
  <c r="S33" i="16"/>
  <c r="U38" i="21"/>
  <c r="R38" i="21"/>
  <c r="R39" i="21"/>
  <c r="U37" i="21"/>
  <c r="R37" i="21"/>
  <c r="U38" i="20"/>
  <c r="R38" i="20"/>
  <c r="Q39" i="20"/>
  <c r="R35" i="16"/>
  <c r="R34" i="16"/>
  <c r="Q36" i="16"/>
  <c r="P36" i="16"/>
  <c r="R35" i="17"/>
  <c r="Q35" i="17"/>
  <c r="U43" i="21" l="1"/>
  <c r="U44" i="21" s="1"/>
  <c r="V16" i="21" s="1"/>
  <c r="V35" i="16"/>
  <c r="S35" i="16"/>
  <c r="V34" i="16"/>
  <c r="S34" i="16"/>
  <c r="U39" i="20"/>
  <c r="R39" i="20"/>
  <c r="R40" i="20"/>
  <c r="S35" i="17"/>
  <c r="R36" i="16"/>
  <c r="U43" i="20" l="1"/>
  <c r="U44" i="20" s="1"/>
  <c r="V16" i="20" s="1"/>
  <c r="T35" i="17"/>
  <c r="T36" i="17"/>
  <c r="S36" i="16"/>
  <c r="S37" i="16"/>
  <c r="W35" i="17"/>
  <c r="W40" i="17" s="1"/>
  <c r="V36" i="16"/>
  <c r="V41" i="16" l="1"/>
  <c r="V42" i="16" s="1"/>
  <c r="W17" i="16" s="1"/>
  <c r="W41" i="17"/>
  <c r="X18" i="17" s="1"/>
  <c r="C34" i="1" l="1"/>
  <c r="D34" i="1"/>
  <c r="E34" i="1"/>
  <c r="F34" i="1"/>
  <c r="B34" i="1"/>
  <c r="G32" i="1"/>
  <c r="G33" i="1"/>
  <c r="D12" i="5" l="1"/>
  <c r="D11" i="5"/>
  <c r="E11" i="5" s="1"/>
  <c r="F11" i="5" s="1"/>
  <c r="D10" i="5"/>
  <c r="E10" i="5" s="1"/>
  <c r="F10" i="5" s="1"/>
  <c r="D8" i="5"/>
  <c r="E8" i="5" s="1"/>
  <c r="F8" i="5" s="1"/>
  <c r="G8" i="5" s="1"/>
  <c r="E5" i="10" s="1"/>
  <c r="D9" i="5"/>
  <c r="E9" i="5" s="1"/>
  <c r="F9" i="5" s="1"/>
  <c r="G9" i="5" s="1"/>
  <c r="E6" i="10" s="1"/>
  <c r="G34" i="1"/>
  <c r="G10" i="5" l="1"/>
  <c r="E7" i="10" s="1"/>
  <c r="D13" i="5"/>
  <c r="E12" i="5"/>
  <c r="F12" i="5" s="1"/>
  <c r="F5" i="10"/>
  <c r="Y5" i="10" s="1"/>
  <c r="H5" i="10"/>
  <c r="I5" i="10" s="1"/>
  <c r="T5" i="10" s="1"/>
  <c r="D14" i="5" l="1"/>
  <c r="E13" i="5"/>
  <c r="F13" i="5" s="1"/>
  <c r="G11" i="5"/>
  <c r="E8" i="10" s="1"/>
  <c r="J5" i="10"/>
  <c r="R5" i="10" s="1"/>
  <c r="G12" i="5" l="1"/>
  <c r="E9" i="10" s="1"/>
  <c r="D15" i="5"/>
  <c r="E14" i="5"/>
  <c r="F14" i="5" s="1"/>
  <c r="K5" i="10"/>
  <c r="U5" i="10"/>
  <c r="H6" i="10"/>
  <c r="D16" i="5" l="1"/>
  <c r="E15" i="5"/>
  <c r="F15" i="5" s="1"/>
  <c r="G13" i="5"/>
  <c r="E10" i="10" s="1"/>
  <c r="I6" i="10"/>
  <c r="H7" i="10"/>
  <c r="I7" i="10" s="1"/>
  <c r="D17" i="5" l="1"/>
  <c r="E16" i="5"/>
  <c r="F16" i="5" s="1"/>
  <c r="G14" i="5"/>
  <c r="E11" i="10" s="1"/>
  <c r="J7" i="10"/>
  <c r="R7" i="10" s="1"/>
  <c r="T7" i="10"/>
  <c r="J6" i="10"/>
  <c r="R6" i="10" s="1"/>
  <c r="T6" i="10"/>
  <c r="F6" i="10"/>
  <c r="Y6" i="10" s="1"/>
  <c r="H8" i="10"/>
  <c r="I8" i="10" s="1"/>
  <c r="E17" i="5" l="1"/>
  <c r="F17" i="5" s="1"/>
  <c r="D18" i="5"/>
  <c r="G15" i="5"/>
  <c r="E12" i="10" s="1"/>
  <c r="U7" i="10"/>
  <c r="U6" i="10"/>
  <c r="J8" i="10"/>
  <c r="R8" i="10" s="1"/>
  <c r="T8" i="10"/>
  <c r="K6" i="10"/>
  <c r="H9" i="10"/>
  <c r="I9" i="10" s="1"/>
  <c r="F7" i="10"/>
  <c r="Y7" i="10" s="1"/>
  <c r="D19" i="5" l="1"/>
  <c r="E18" i="5"/>
  <c r="F18" i="5" s="1"/>
  <c r="G16" i="5"/>
  <c r="E13" i="10" s="1"/>
  <c r="U8" i="10"/>
  <c r="J9" i="10"/>
  <c r="R9" i="10" s="1"/>
  <c r="T9" i="10"/>
  <c r="K7" i="10"/>
  <c r="F8" i="10"/>
  <c r="Y8" i="10" s="1"/>
  <c r="H10" i="10"/>
  <c r="I10" i="10" s="1"/>
  <c r="G17" i="5" l="1"/>
  <c r="E14" i="10" s="1"/>
  <c r="G18" i="5"/>
  <c r="E15" i="10" s="1"/>
  <c r="D20" i="5"/>
  <c r="E19" i="5"/>
  <c r="F19" i="5" s="1"/>
  <c r="G19" i="5" s="1"/>
  <c r="U9" i="10"/>
  <c r="J10" i="10"/>
  <c r="R10" i="10" s="1"/>
  <c r="T10" i="10"/>
  <c r="K8" i="10"/>
  <c r="F9" i="10"/>
  <c r="Y9" i="10" s="1"/>
  <c r="E20" i="5" l="1"/>
  <c r="F20" i="5" s="1"/>
  <c r="G20" i="5" s="1"/>
  <c r="D21" i="5"/>
  <c r="U10" i="10"/>
  <c r="K9" i="10"/>
  <c r="F10" i="10"/>
  <c r="Y10" i="10" s="1"/>
  <c r="E21" i="5" l="1"/>
  <c r="F21" i="5" s="1"/>
  <c r="G21" i="5" s="1"/>
  <c r="D22" i="5"/>
  <c r="K10" i="10"/>
  <c r="D23" i="5" l="1"/>
  <c r="E22" i="5"/>
  <c r="F22" i="5" s="1"/>
  <c r="G22" i="5" s="1"/>
  <c r="E19" i="10" s="1"/>
  <c r="H11" i="10"/>
  <c r="I11" i="10" s="1"/>
  <c r="D24" i="5" l="1"/>
  <c r="E23" i="5"/>
  <c r="F23" i="5" s="1"/>
  <c r="G23" i="5" s="1"/>
  <c r="E20" i="10" s="1"/>
  <c r="J11" i="10"/>
  <c r="R11" i="10" s="1"/>
  <c r="T11" i="10"/>
  <c r="F11" i="10"/>
  <c r="Y11" i="10" s="1"/>
  <c r="E24" i="5" l="1"/>
  <c r="F24" i="5" s="1"/>
  <c r="G24" i="5" s="1"/>
  <c r="E21" i="10" s="1"/>
  <c r="D25" i="5"/>
  <c r="U11" i="10"/>
  <c r="K11" i="10"/>
  <c r="E25" i="5" l="1"/>
  <c r="F25" i="5" s="1"/>
  <c r="G25" i="5" s="1"/>
  <c r="E22" i="10" s="1"/>
  <c r="D26" i="5"/>
  <c r="O20" i="18"/>
  <c r="E16" i="10" s="1"/>
  <c r="D27" i="5" l="1"/>
  <c r="E26" i="5"/>
  <c r="F26" i="5" s="1"/>
  <c r="G26" i="5" s="1"/>
  <c r="E23" i="10" s="1"/>
  <c r="S20" i="18"/>
  <c r="P20" i="18"/>
  <c r="O21" i="18"/>
  <c r="E17" i="10" s="1"/>
  <c r="D28" i="5" l="1"/>
  <c r="E27" i="5"/>
  <c r="F27" i="5" s="1"/>
  <c r="G27" i="5" s="1"/>
  <c r="E24" i="10" s="1"/>
  <c r="S21" i="18"/>
  <c r="P21" i="18"/>
  <c r="O22" i="18"/>
  <c r="E18" i="10" s="1"/>
  <c r="D39" i="5" l="1"/>
  <c r="E39" i="5" s="1"/>
  <c r="F39" i="5" s="1"/>
  <c r="D38" i="5"/>
  <c r="E38" i="5" s="1"/>
  <c r="F38" i="5" s="1"/>
  <c r="E28" i="5"/>
  <c r="F28" i="5" s="1"/>
  <c r="G28" i="5" s="1"/>
  <c r="E25" i="10" s="1"/>
  <c r="D34" i="5"/>
  <c r="E34" i="5" s="1"/>
  <c r="F34" i="5" s="1"/>
  <c r="D35" i="5"/>
  <c r="E35" i="5" s="1"/>
  <c r="F35" i="5" s="1"/>
  <c r="D30" i="5"/>
  <c r="E30" i="5" s="1"/>
  <c r="F30" i="5" s="1"/>
  <c r="D42" i="5"/>
  <c r="E42" i="5" s="1"/>
  <c r="F42" i="5" s="1"/>
  <c r="D41" i="5"/>
  <c r="E41" i="5" s="1"/>
  <c r="F41" i="5" s="1"/>
  <c r="D37" i="5"/>
  <c r="E37" i="5" s="1"/>
  <c r="F37" i="5" s="1"/>
  <c r="D33" i="5"/>
  <c r="E33" i="5" s="1"/>
  <c r="F33" i="5" s="1"/>
  <c r="D29" i="5"/>
  <c r="E29" i="5" s="1"/>
  <c r="F29" i="5" s="1"/>
  <c r="G29" i="5" s="1"/>
  <c r="E26" i="10" s="1"/>
  <c r="D31" i="5"/>
  <c r="E31" i="5" s="1"/>
  <c r="F31" i="5" s="1"/>
  <c r="D40" i="5"/>
  <c r="E40" i="5" s="1"/>
  <c r="F40" i="5" s="1"/>
  <c r="D36" i="5"/>
  <c r="E36" i="5" s="1"/>
  <c r="F36" i="5" s="1"/>
  <c r="D32" i="5"/>
  <c r="E32" i="5" s="1"/>
  <c r="F32" i="5" s="1"/>
  <c r="S22" i="18"/>
  <c r="P22" i="18"/>
  <c r="P23" i="18"/>
  <c r="G30" i="5" l="1"/>
  <c r="E27" i="10" s="1"/>
  <c r="S44" i="18"/>
  <c r="S45" i="18" s="1"/>
  <c r="T17" i="18" s="1"/>
  <c r="B12" i="8"/>
  <c r="B12" i="22"/>
  <c r="G31" i="5" l="1"/>
  <c r="E28" i="10" s="1"/>
  <c r="B13" i="22"/>
  <c r="B13" i="8"/>
  <c r="H12" i="10"/>
  <c r="I12" i="10" s="1"/>
  <c r="G32" i="5" l="1"/>
  <c r="E29" i="10" s="1"/>
  <c r="J12" i="10"/>
  <c r="R12" i="10" s="1"/>
  <c r="T12" i="10"/>
  <c r="H13" i="10"/>
  <c r="I13" i="10" s="1"/>
  <c r="B14" i="22"/>
  <c r="B14" i="8"/>
  <c r="F12" i="10"/>
  <c r="Y12" i="10" s="1"/>
  <c r="G33" i="5" l="1"/>
  <c r="E30" i="10" s="1"/>
  <c r="U12" i="10"/>
  <c r="J13" i="10"/>
  <c r="R13" i="10" s="1"/>
  <c r="T13" i="10"/>
  <c r="H14" i="10"/>
  <c r="I14" i="10" s="1"/>
  <c r="B15" i="22"/>
  <c r="B15" i="8"/>
  <c r="F13" i="10"/>
  <c r="Y13" i="10" s="1"/>
  <c r="G34" i="5" l="1"/>
  <c r="E31" i="10" s="1"/>
  <c r="U13" i="10"/>
  <c r="J14" i="10"/>
  <c r="R14" i="10" s="1"/>
  <c r="T14" i="10"/>
  <c r="H15" i="10"/>
  <c r="B16" i="22"/>
  <c r="B16" i="8"/>
  <c r="K13" i="10"/>
  <c r="F14" i="10"/>
  <c r="Y14" i="10" s="1"/>
  <c r="K12" i="10"/>
  <c r="G35" i="5" l="1"/>
  <c r="E32" i="10" s="1"/>
  <c r="U14" i="10"/>
  <c r="H16" i="10"/>
  <c r="H17" i="10"/>
  <c r="J17" i="10"/>
  <c r="B17" i="22"/>
  <c r="B17" i="8"/>
  <c r="K14" i="10"/>
  <c r="F15" i="10"/>
  <c r="Y15" i="10" s="1"/>
  <c r="G36" i="5" l="1"/>
  <c r="E33" i="10" s="1"/>
  <c r="K17" i="10"/>
  <c r="T17" i="10" s="1"/>
  <c r="R17" i="10"/>
  <c r="J18" i="10"/>
  <c r="B18" i="22"/>
  <c r="B18" i="8"/>
  <c r="F16" i="10"/>
  <c r="Y16" i="10" s="1"/>
  <c r="G37" i="5" l="1"/>
  <c r="E34" i="10" s="1"/>
  <c r="U17" i="10"/>
  <c r="K18" i="10"/>
  <c r="T18" i="10" s="1"/>
  <c r="R18" i="10"/>
  <c r="H18" i="10"/>
  <c r="J19" i="10"/>
  <c r="B19" i="22"/>
  <c r="B19" i="8"/>
  <c r="F17" i="10"/>
  <c r="Y17" i="10" s="1"/>
  <c r="G38" i="5" l="1"/>
  <c r="E35" i="10" s="1"/>
  <c r="U18" i="10"/>
  <c r="K19" i="10"/>
  <c r="T19" i="10" s="1"/>
  <c r="R19" i="10"/>
  <c r="H19" i="10"/>
  <c r="J20" i="10"/>
  <c r="B20" i="22"/>
  <c r="B20" i="8"/>
  <c r="F18" i="10"/>
  <c r="Y18" i="10" s="1"/>
  <c r="G39" i="5" l="1"/>
  <c r="E36" i="10" s="1"/>
  <c r="U19" i="10"/>
  <c r="K20" i="10"/>
  <c r="T20" i="10" s="1"/>
  <c r="R20" i="10"/>
  <c r="H20" i="10"/>
  <c r="J21" i="10"/>
  <c r="B21" i="22"/>
  <c r="B21" i="8"/>
  <c r="F19" i="10"/>
  <c r="Y19" i="10" s="1"/>
  <c r="G40" i="5" l="1"/>
  <c r="E37" i="10" s="1"/>
  <c r="U20" i="10"/>
  <c r="K21" i="10"/>
  <c r="T21" i="10" s="1"/>
  <c r="R21" i="10"/>
  <c r="H21" i="10"/>
  <c r="H22" i="10"/>
  <c r="J22" i="10"/>
  <c r="B22" i="22"/>
  <c r="B22" i="8"/>
  <c r="F20" i="10"/>
  <c r="Y20" i="10" s="1"/>
  <c r="G41" i="5" l="1"/>
  <c r="E38" i="10" s="1"/>
  <c r="U21" i="10"/>
  <c r="K22" i="10"/>
  <c r="T22" i="10" s="1"/>
  <c r="R22" i="10"/>
  <c r="H23" i="10"/>
  <c r="J23" i="10"/>
  <c r="B23" i="22"/>
  <c r="B23" i="8"/>
  <c r="F21" i="10"/>
  <c r="Y21" i="10" s="1"/>
  <c r="G42" i="5" l="1"/>
  <c r="E39" i="10" s="1"/>
  <c r="U22" i="10"/>
  <c r="K23" i="10"/>
  <c r="T23" i="10" s="1"/>
  <c r="R23" i="10"/>
  <c r="H24" i="10"/>
  <c r="J24" i="10"/>
  <c r="B24" i="22"/>
  <c r="B24" i="8"/>
  <c r="F22" i="10"/>
  <c r="Y22" i="10" s="1"/>
  <c r="U23" i="10" l="1"/>
  <c r="K24" i="10"/>
  <c r="T24" i="10" s="1"/>
  <c r="R24" i="10"/>
  <c r="H25" i="10"/>
  <c r="J25" i="10"/>
  <c r="B25" i="22"/>
  <c r="B25" i="8"/>
  <c r="F23" i="10"/>
  <c r="Y23" i="10" s="1"/>
  <c r="U24" i="10" l="1"/>
  <c r="K25" i="10"/>
  <c r="T25" i="10" s="1"/>
  <c r="R25" i="10"/>
  <c r="H26" i="10"/>
  <c r="J26" i="10"/>
  <c r="B26" i="22"/>
  <c r="B26" i="8"/>
  <c r="F24" i="10"/>
  <c r="Y24" i="10" s="1"/>
  <c r="U25" i="10" l="1"/>
  <c r="K26" i="10"/>
  <c r="T26" i="10" s="1"/>
  <c r="R26" i="10"/>
  <c r="H27" i="10"/>
  <c r="J27" i="10"/>
  <c r="B27" i="22"/>
  <c r="B27" i="8"/>
  <c r="F25" i="10"/>
  <c r="Y25" i="10" s="1"/>
  <c r="U26" i="10" l="1"/>
  <c r="K27" i="10"/>
  <c r="T27" i="10" s="1"/>
  <c r="R27" i="10"/>
  <c r="H28" i="10"/>
  <c r="J28" i="10"/>
  <c r="B28" i="22"/>
  <c r="B28" i="8"/>
  <c r="F26" i="10"/>
  <c r="Y26" i="10" s="1"/>
  <c r="U27" i="10" l="1"/>
  <c r="K28" i="10"/>
  <c r="T28" i="10" s="1"/>
  <c r="R28" i="10"/>
  <c r="H29" i="10"/>
  <c r="J29" i="10"/>
  <c r="B29" i="22"/>
  <c r="B29" i="8"/>
  <c r="F27" i="10"/>
  <c r="Y27" i="10" s="1"/>
  <c r="U28" i="10" l="1"/>
  <c r="K29" i="10"/>
  <c r="T29" i="10" s="1"/>
  <c r="R29" i="10"/>
  <c r="H30" i="10"/>
  <c r="J30" i="10"/>
  <c r="B30" i="22"/>
  <c r="B30" i="8"/>
  <c r="F28" i="10"/>
  <c r="Y28" i="10" s="1"/>
  <c r="U29" i="10" l="1"/>
  <c r="K30" i="10"/>
  <c r="T30" i="10" s="1"/>
  <c r="R30" i="10"/>
  <c r="H31" i="10"/>
  <c r="J31" i="10"/>
  <c r="B31" i="22"/>
  <c r="B31" i="8"/>
  <c r="F29" i="10"/>
  <c r="Y29" i="10" s="1"/>
  <c r="U30" i="10" l="1"/>
  <c r="K31" i="10"/>
  <c r="T31" i="10" s="1"/>
  <c r="R31" i="10"/>
  <c r="H32" i="10"/>
  <c r="J32" i="10"/>
  <c r="B32" i="22"/>
  <c r="B32" i="8"/>
  <c r="F30" i="10"/>
  <c r="Y30" i="10" s="1"/>
  <c r="U31" i="10" l="1"/>
  <c r="K32" i="10"/>
  <c r="T32" i="10" s="1"/>
  <c r="R32" i="10"/>
  <c r="H33" i="10"/>
  <c r="B33" i="22"/>
  <c r="B33" i="8"/>
  <c r="F31" i="10"/>
  <c r="Y31" i="10" s="1"/>
  <c r="U32" i="10" l="1"/>
  <c r="H34" i="10"/>
  <c r="J33" i="10"/>
  <c r="B34" i="22"/>
  <c r="B34" i="8"/>
  <c r="B35" i="8" s="1"/>
  <c r="B36" i="8" s="1"/>
  <c r="B37" i="8" s="1"/>
  <c r="F32" i="10"/>
  <c r="Y32" i="10" s="1"/>
  <c r="K33" i="10" l="1"/>
  <c r="T33" i="10" s="1"/>
  <c r="R33" i="10"/>
  <c r="H35" i="10"/>
  <c r="B35" i="22"/>
  <c r="J34" i="10"/>
  <c r="F33" i="10"/>
  <c r="Y33" i="10" s="1"/>
  <c r="U33" i="10" l="1"/>
  <c r="K34" i="10"/>
  <c r="T34" i="10" s="1"/>
  <c r="R34" i="10"/>
  <c r="P36" i="10"/>
  <c r="P37" i="10" s="1"/>
  <c r="B36" i="22"/>
  <c r="J35" i="10"/>
  <c r="R35" i="10" s="1"/>
  <c r="F34" i="10"/>
  <c r="Y34" i="10" s="1"/>
  <c r="F35" i="10"/>
  <c r="Y35" i="10" s="1"/>
  <c r="U34" i="10" l="1"/>
  <c r="K35" i="10"/>
  <c r="T35" i="10" s="1"/>
  <c r="U35" i="10" s="1"/>
  <c r="B37" i="22"/>
  <c r="J36" i="10"/>
  <c r="K36" i="10" l="1"/>
  <c r="H36" i="10"/>
  <c r="F36" i="10"/>
  <c r="Y36" i="10" s="1"/>
  <c r="Y37" i="10" s="1"/>
  <c r="B38" i="22"/>
  <c r="J37" i="10"/>
  <c r="K37" i="10" s="1"/>
  <c r="H37" i="10" l="1"/>
  <c r="H38" i="10"/>
  <c r="J38" i="10"/>
  <c r="K38" i="10" s="1"/>
  <c r="F37" i="10" l="1"/>
  <c r="J39" i="10"/>
  <c r="K39" i="10" s="1"/>
  <c r="F38" i="10"/>
  <c r="H39" i="10" l="1"/>
  <c r="H40" i="10" s="1"/>
  <c r="H41" i="10" s="1"/>
  <c r="I15" i="10" s="1"/>
  <c r="F39" i="10"/>
  <c r="J15" i="10" l="1"/>
  <c r="R15" i="10" s="1"/>
  <c r="T15" i="10"/>
  <c r="J16" i="10"/>
  <c r="K16" i="10" s="1"/>
  <c r="T16" i="10" s="1"/>
  <c r="K15" i="10" l="1"/>
  <c r="U15" i="10"/>
  <c r="R16" i="10"/>
  <c r="R36" i="10" s="1"/>
  <c r="R37" i="10" s="1"/>
  <c r="T36" i="10"/>
  <c r="T37" i="10" s="1"/>
  <c r="U16" i="10" l="1"/>
  <c r="U36" i="10" s="1"/>
  <c r="U37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Sahil Pathan</author>
  </authors>
  <commentList>
    <comment ref="B18" authorId="0" shapeId="0" xr:uid="{F2FB7098-7B62-4D61-8396-43BF21E7749D}">
      <text>
        <r>
          <rPr>
            <b/>
            <sz val="9"/>
            <color indexed="81"/>
            <rFont val="Tahoma"/>
            <family val="2"/>
          </rPr>
          <t>Sahil Pathan:</t>
        </r>
        <r>
          <rPr>
            <sz val="9"/>
            <color indexed="81"/>
            <rFont val="Tahoma"/>
            <family val="2"/>
          </rPr>
          <t xml:space="preserve">
As per CDM tool 14
</t>
        </r>
      </text>
    </comment>
    <comment ref="D18" authorId="0" shapeId="0" xr:uid="{B65C012A-6D55-42F1-BD61-0C3B89E94B1C}">
      <text>
        <r>
          <rPr>
            <b/>
            <sz val="9"/>
            <color indexed="81"/>
            <rFont val="Tahoma"/>
            <family val="2"/>
          </rPr>
          <t>Sahil Pathan:</t>
        </r>
        <r>
          <rPr>
            <sz val="9"/>
            <color indexed="81"/>
            <rFont val="Tahoma"/>
            <family val="2"/>
          </rPr>
          <t xml:space="preserve">
As per tool CDM tool 12
Rainfall&lt;1000mm/yr and elevation&lt;2000m</t>
        </r>
      </text>
    </comment>
    <comment ref="E18" authorId="0" shapeId="0" xr:uid="{116E3D0A-0992-49FB-BD40-5EEA6780C509}">
      <text>
        <r>
          <rPr>
            <b/>
            <sz val="9"/>
            <color indexed="81"/>
            <rFont val="Tahoma"/>
            <family val="2"/>
          </rPr>
          <t>Sahil Pathan:</t>
        </r>
        <r>
          <rPr>
            <sz val="9"/>
            <color indexed="81"/>
            <rFont val="Tahoma"/>
            <family val="2"/>
          </rPr>
          <t xml:space="preserve">
As per tool CDM tool 12
Rainfall&lt;1000mm/yr and elevation&lt;2000m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Sahil Pathan</author>
    <author xml:space="preserve">Pankaj Kumar Tomar </author>
  </authors>
  <commentList>
    <comment ref="P1" authorId="0" shapeId="0" xr:uid="{4C318EA4-6B60-4A78-8AC0-02EB9866699E}">
      <text>
        <r>
          <rPr>
            <b/>
            <sz val="9"/>
            <color indexed="81"/>
            <rFont val="Tahoma"/>
            <family val="2"/>
          </rPr>
          <t>Sahil Pathan:</t>
        </r>
        <r>
          <rPr>
            <sz val="9"/>
            <color indexed="81"/>
            <rFont val="Tahoma"/>
            <family val="2"/>
          </rPr>
          <t xml:space="preserve">
As per tool CDM tool 12
Rainfall&lt;1000mm/yr and elevation&lt;2000m</t>
        </r>
      </text>
    </comment>
    <comment ref="Q1" authorId="0" shapeId="0" xr:uid="{6E373C72-6008-44AB-B671-AE077341B2C0}">
      <text>
        <r>
          <rPr>
            <b/>
            <sz val="9"/>
            <color indexed="81"/>
            <rFont val="Tahoma"/>
            <family val="2"/>
          </rPr>
          <t>Sahil Pathan:</t>
        </r>
        <r>
          <rPr>
            <sz val="9"/>
            <color indexed="81"/>
            <rFont val="Tahoma"/>
            <family val="2"/>
          </rPr>
          <t xml:space="preserve">
As per tool CDM tool 12
Rainfall&lt;1000mm/yr and elevation&lt;2000m</t>
        </r>
      </text>
    </comment>
    <comment ref="D6" authorId="1" shapeId="0" xr:uid="{F6FD10A4-AC19-4EBC-8EE8-059033B36B7F}">
      <text>
        <r>
          <rPr>
            <b/>
            <sz val="9"/>
            <color indexed="81"/>
            <rFont val="Tahoma"/>
            <family val="2"/>
          </rPr>
          <t>Pankaj Kumar Tomar :</t>
        </r>
        <r>
          <rPr>
            <sz val="9"/>
            <color indexed="81"/>
            <rFont val="Tahoma"/>
            <family val="2"/>
          </rPr>
          <t xml:space="preserve">
Tab Database of attached excel file can be used as reference of ex-post monitored Biomass (tonnes/ha) in each stratum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Sahil Pathan</author>
  </authors>
  <commentList>
    <comment ref="I4" authorId="0" shapeId="0" xr:uid="{11E663FC-3859-4768-83F0-AF93640C071B}">
      <text>
        <r>
          <rPr>
            <b/>
            <sz val="9"/>
            <color indexed="81"/>
            <rFont val="Tahoma"/>
            <family val="2"/>
          </rPr>
          <t>Sahil Pathan:</t>
        </r>
        <r>
          <rPr>
            <sz val="9"/>
            <color indexed="81"/>
            <rFont val="Tahoma"/>
            <family val="2"/>
          </rPr>
          <t xml:space="preserve">
soil distrubance is less than 10%</t>
        </r>
      </text>
    </comment>
    <comment ref="I5" authorId="0" shapeId="0" xr:uid="{8786FDBC-24D1-43B7-9353-A94A7CF61BFB}">
      <text>
        <r>
          <rPr>
            <b/>
            <sz val="9"/>
            <color indexed="81"/>
            <rFont val="Tahoma"/>
            <family val="2"/>
          </rPr>
          <t>Sahil Pathan:</t>
        </r>
        <r>
          <rPr>
            <sz val="9"/>
            <color indexed="81"/>
            <rFont val="Tahoma"/>
            <family val="2"/>
          </rPr>
          <t xml:space="preserve">
As per tool 16, Maximum dSOC is considered as  0.8
</t>
        </r>
      </text>
    </comment>
    <comment ref="D8" authorId="0" shapeId="0" xr:uid="{519BF471-C4B2-4A38-A504-128BBE55AFAC}">
      <text>
        <r>
          <rPr>
            <b/>
            <sz val="9"/>
            <color indexed="81"/>
            <rFont val="Tahoma"/>
            <family val="2"/>
          </rPr>
          <t>Sahil Pathan:</t>
        </r>
        <r>
          <rPr>
            <sz val="9"/>
            <color indexed="81"/>
            <rFont val="Tahoma"/>
            <family val="2"/>
          </rPr>
          <t xml:space="preserve">
project had implemented from 2018 to 2022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Sahil Pathan</author>
    <author xml:space="preserve">Pankaj Kumar Tomar </author>
  </authors>
  <commentList>
    <comment ref="O1" authorId="0" shapeId="0" xr:uid="{D9BB9251-ED23-40C2-98B3-F289B0CD8B61}">
      <text>
        <r>
          <rPr>
            <b/>
            <sz val="9"/>
            <color indexed="81"/>
            <rFont val="Tahoma"/>
            <family val="2"/>
          </rPr>
          <t>Pankaj Tomar:</t>
        </r>
        <r>
          <rPr>
            <sz val="9"/>
            <color indexed="81"/>
            <rFont val="Tahoma"/>
            <family val="2"/>
          </rPr>
          <t xml:space="preserve">
As per tool CDM tool 12
Rainfall&lt;1000mm/yr and elevation&lt;2000m</t>
        </r>
      </text>
    </comment>
    <comment ref="P1" authorId="0" shapeId="0" xr:uid="{769AD3FD-267C-4D33-8E94-08DDD00DB7AC}">
      <text>
        <r>
          <rPr>
            <b/>
            <sz val="9"/>
            <color indexed="81"/>
            <rFont val="Tahoma"/>
            <family val="2"/>
          </rPr>
          <t>Sahil Pathan:</t>
        </r>
        <r>
          <rPr>
            <sz val="9"/>
            <color indexed="81"/>
            <rFont val="Tahoma"/>
            <family val="2"/>
          </rPr>
          <t xml:space="preserve">
As per tool CDM tool 12
Rainfall&lt;1000mm/yr and elevation&lt;2000m</t>
        </r>
      </text>
    </comment>
    <comment ref="D6" authorId="1" shapeId="0" xr:uid="{FB6A08F7-29CF-40F2-ABE6-A6CE1DA314BB}">
      <text>
        <r>
          <rPr>
            <b/>
            <sz val="9"/>
            <color indexed="81"/>
            <rFont val="Tahoma"/>
            <family val="2"/>
          </rPr>
          <t>Pankaj Kumar Tomar :</t>
        </r>
        <r>
          <rPr>
            <sz val="9"/>
            <color indexed="81"/>
            <rFont val="Tahoma"/>
            <family val="2"/>
          </rPr>
          <t xml:space="preserve">
Tab Database of attached excel file can be used as reference of ex-post monitored Biomass (tonnes/ha) in each stratum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Sahil Pathan</author>
    <author xml:space="preserve">Pankaj Kumar Tomar </author>
  </authors>
  <commentList>
    <comment ref="L1" authorId="0" shapeId="0" xr:uid="{319A3BB5-B4B6-48B0-AC2E-5143FAC95347}">
      <text>
        <r>
          <rPr>
            <b/>
            <sz val="9"/>
            <color indexed="81"/>
            <rFont val="Tahoma"/>
            <family val="2"/>
          </rPr>
          <t>Sahil Pathan:</t>
        </r>
        <r>
          <rPr>
            <sz val="9"/>
            <color indexed="81"/>
            <rFont val="Tahoma"/>
            <family val="2"/>
          </rPr>
          <t xml:space="preserve">
As per tool CDM tool 12
Rainfall&lt;1000mm/yr and elevation&lt;2000m</t>
        </r>
      </text>
    </comment>
    <comment ref="M1" authorId="0" shapeId="0" xr:uid="{CC3F3A05-968E-411A-AF14-FCAF44FC9B19}">
      <text>
        <r>
          <rPr>
            <b/>
            <sz val="9"/>
            <color indexed="81"/>
            <rFont val="Tahoma"/>
            <family val="2"/>
          </rPr>
          <t>Sahil Pathan:</t>
        </r>
        <r>
          <rPr>
            <sz val="9"/>
            <color indexed="81"/>
            <rFont val="Tahoma"/>
            <family val="2"/>
          </rPr>
          <t xml:space="preserve">
As per tool CDM tool 12
Rainfall&lt;1000mm/yr and elevation&lt;2000m</t>
        </r>
      </text>
    </comment>
    <comment ref="N1" authorId="0" shapeId="0" xr:uid="{4A51FF0F-F48E-40F2-8F96-BA7990C86DD9}">
      <text>
        <r>
          <rPr>
            <b/>
            <sz val="9"/>
            <color indexed="81"/>
            <rFont val="Tahoma"/>
            <family val="2"/>
          </rPr>
          <t>Sahil Pathan:</t>
        </r>
        <r>
          <rPr>
            <sz val="9"/>
            <color indexed="81"/>
            <rFont val="Tahoma"/>
            <family val="2"/>
          </rPr>
          <t xml:space="preserve">
As per tool CDM tool 12
Rainfall&lt;1000mm/yr and elevation&lt;2000m</t>
        </r>
      </text>
    </comment>
    <comment ref="D6" authorId="1" shapeId="0" xr:uid="{6AAC3654-89EE-4BFE-BE82-128A4C13014D}">
      <text>
        <r>
          <rPr>
            <b/>
            <sz val="9"/>
            <color indexed="81"/>
            <rFont val="Tahoma"/>
            <family val="2"/>
          </rPr>
          <t>Pankaj Kumar Tomar :</t>
        </r>
        <r>
          <rPr>
            <sz val="9"/>
            <color indexed="81"/>
            <rFont val="Tahoma"/>
            <family val="2"/>
          </rPr>
          <t xml:space="preserve">
Tab Database of attached excel file can be used as reference of ex-post monitored Biomass (tonnes/ha) in each stratum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Sahil Pathan</author>
    <author xml:space="preserve">Pankaj Kumar Tomar </author>
  </authors>
  <commentList>
    <comment ref="N1" authorId="0" shapeId="0" xr:uid="{810F0329-1CAF-421C-88C1-DAB975BD84C7}">
      <text>
        <r>
          <rPr>
            <b/>
            <sz val="9"/>
            <color indexed="81"/>
            <rFont val="Tahoma"/>
            <family val="2"/>
          </rPr>
          <t>Sahil Pathan:</t>
        </r>
        <r>
          <rPr>
            <sz val="9"/>
            <color indexed="81"/>
            <rFont val="Tahoma"/>
            <family val="2"/>
          </rPr>
          <t xml:space="preserve">
As per tool CDM tool 12
Rainfall&lt;1000mm/yr and elevation&lt;2000m</t>
        </r>
      </text>
    </comment>
    <comment ref="O1" authorId="0" shapeId="0" xr:uid="{50EC37D8-BC41-49B8-A84C-C89C4014AB86}">
      <text>
        <r>
          <rPr>
            <b/>
            <sz val="9"/>
            <color indexed="81"/>
            <rFont val="Tahoma"/>
            <family val="2"/>
          </rPr>
          <t>Pankaj Tomar:</t>
        </r>
        <r>
          <rPr>
            <sz val="9"/>
            <color indexed="81"/>
            <rFont val="Tahoma"/>
            <family val="2"/>
          </rPr>
          <t xml:space="preserve">
As per tool CDM tool 12
Rainfall&lt;1000mm/yr and elevation&lt;2000m</t>
        </r>
      </text>
    </comment>
    <comment ref="D6" authorId="1" shapeId="0" xr:uid="{60A1D030-5408-4934-9A07-10A58A565B47}">
      <text>
        <r>
          <rPr>
            <b/>
            <sz val="9"/>
            <color indexed="81"/>
            <rFont val="Tahoma"/>
            <family val="2"/>
          </rPr>
          <t>Pankaj Kumar Tomar :</t>
        </r>
        <r>
          <rPr>
            <sz val="9"/>
            <color indexed="81"/>
            <rFont val="Tahoma"/>
            <family val="2"/>
          </rPr>
          <t xml:space="preserve">
Tab Database of attached excel file can be used as reference of ex-post monitored Biomass (tonnes/ha) in each stratum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Sahil Pathan</author>
    <author xml:space="preserve">Pankaj Kumar Tomar </author>
  </authors>
  <commentList>
    <comment ref="P1" authorId="0" shapeId="0" xr:uid="{81BD13A2-B5FD-4246-80FA-942F05A1FEAB}">
      <text>
        <r>
          <rPr>
            <b/>
            <sz val="9"/>
            <color indexed="81"/>
            <rFont val="Tahoma"/>
            <family val="2"/>
          </rPr>
          <t>Sahil Pathan:</t>
        </r>
        <r>
          <rPr>
            <sz val="9"/>
            <color indexed="81"/>
            <rFont val="Tahoma"/>
            <family val="2"/>
          </rPr>
          <t xml:space="preserve">
As per tool CDM tool 12
Rainfall&lt;1000mm/yr and elevation&lt;2000m</t>
        </r>
      </text>
    </comment>
    <comment ref="Q1" authorId="0" shapeId="0" xr:uid="{5862BCCA-7926-4475-A63D-1CE8B297A5B9}">
      <text>
        <r>
          <rPr>
            <b/>
            <sz val="9"/>
            <color indexed="81"/>
            <rFont val="Tahoma"/>
            <family val="2"/>
          </rPr>
          <t>Sahil Pathan:</t>
        </r>
        <r>
          <rPr>
            <sz val="9"/>
            <color indexed="81"/>
            <rFont val="Tahoma"/>
            <family val="2"/>
          </rPr>
          <t xml:space="preserve">
As per tool CDM tool 12
Rainfall&lt;1000mm/yr and elevation&lt;2000m</t>
        </r>
      </text>
    </comment>
    <comment ref="D6" authorId="1" shapeId="0" xr:uid="{D7861CB8-AC04-47D2-8898-47231DCC7BAD}">
      <text>
        <r>
          <rPr>
            <b/>
            <sz val="9"/>
            <color indexed="81"/>
            <rFont val="Tahoma"/>
            <family val="2"/>
          </rPr>
          <t>Pankaj Kumar Tomar :</t>
        </r>
        <r>
          <rPr>
            <sz val="9"/>
            <color indexed="81"/>
            <rFont val="Tahoma"/>
            <family val="2"/>
          </rPr>
          <t xml:space="preserve">
Tab Database of attached excel file can be used as reference of ex-post monitored Biomass (tonnes/ha) in each stratum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Sahil Pathan</author>
    <author xml:space="preserve">Pankaj Kumar Tomar </author>
  </authors>
  <commentList>
    <comment ref="N1" authorId="0" shapeId="0" xr:uid="{DA18B1BF-0C13-423C-927B-511F16480CB0}">
      <text>
        <r>
          <rPr>
            <b/>
            <sz val="9"/>
            <color indexed="81"/>
            <rFont val="Tahoma"/>
            <family val="2"/>
          </rPr>
          <t>Sahil Pathan:</t>
        </r>
        <r>
          <rPr>
            <sz val="9"/>
            <color indexed="81"/>
            <rFont val="Tahoma"/>
            <family val="2"/>
          </rPr>
          <t xml:space="preserve">
As per tool CDM tool 12
Rainfall&lt;1000mm/yr and elevation&lt;2000m</t>
        </r>
      </text>
    </comment>
    <comment ref="O1" authorId="0" shapeId="0" xr:uid="{19A96887-B29D-4779-B490-3067D147B525}">
      <text>
        <r>
          <rPr>
            <b/>
            <sz val="9"/>
            <color indexed="81"/>
            <rFont val="Tahoma"/>
            <family val="2"/>
          </rPr>
          <t>Sahil Pathan:</t>
        </r>
        <r>
          <rPr>
            <sz val="9"/>
            <color indexed="81"/>
            <rFont val="Tahoma"/>
            <family val="2"/>
          </rPr>
          <t xml:space="preserve">
As per tool CDM tool 12
Rainfall&lt;1000mm/yr and elevation&lt;2000m</t>
        </r>
      </text>
    </comment>
    <comment ref="D6" authorId="1" shapeId="0" xr:uid="{50858599-A67D-4C62-B149-6CD31DD615B0}">
      <text>
        <r>
          <rPr>
            <b/>
            <sz val="9"/>
            <color indexed="81"/>
            <rFont val="Tahoma"/>
            <family val="2"/>
          </rPr>
          <t>Pankaj Kumar Tomar :</t>
        </r>
        <r>
          <rPr>
            <sz val="9"/>
            <color indexed="81"/>
            <rFont val="Tahoma"/>
            <family val="2"/>
          </rPr>
          <t xml:space="preserve">
Tab Database of attached excel file can be used as reference of ex-post monitored Biomass (tonnes/ha) in each stratum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Sahil Pathan</author>
    <author xml:space="preserve">Pankaj Kumar Tomar </author>
  </authors>
  <commentList>
    <comment ref="N1" authorId="0" shapeId="0" xr:uid="{60D8F1DE-A808-464F-8B75-0D26F9B1E9A5}">
      <text>
        <r>
          <rPr>
            <b/>
            <sz val="9"/>
            <color indexed="81"/>
            <rFont val="Tahoma"/>
            <family val="2"/>
          </rPr>
          <t>Sahil Pathan:</t>
        </r>
        <r>
          <rPr>
            <sz val="9"/>
            <color indexed="81"/>
            <rFont val="Tahoma"/>
            <family val="2"/>
          </rPr>
          <t xml:space="preserve">
As per tool CDM tool 12
Rainfall&lt;1000mm/yr and elevation&lt;2000m</t>
        </r>
      </text>
    </comment>
    <comment ref="O1" authorId="0" shapeId="0" xr:uid="{510078FF-DF1E-44E2-941C-76D17FA1A721}">
      <text>
        <r>
          <rPr>
            <b/>
            <sz val="9"/>
            <color indexed="81"/>
            <rFont val="Tahoma"/>
            <family val="2"/>
          </rPr>
          <t>Sahil Pathan:</t>
        </r>
        <r>
          <rPr>
            <sz val="9"/>
            <color indexed="81"/>
            <rFont val="Tahoma"/>
            <family val="2"/>
          </rPr>
          <t xml:space="preserve">
As per tool CDM tool 12
Rainfall&lt;1000mm/yr and elevation&lt;2000m</t>
        </r>
      </text>
    </comment>
    <comment ref="D6" authorId="1" shapeId="0" xr:uid="{BF1B244B-0C7B-4FF3-AE2D-AE4ADFCE14F4}">
      <text>
        <r>
          <rPr>
            <b/>
            <sz val="9"/>
            <color indexed="81"/>
            <rFont val="Tahoma"/>
            <family val="2"/>
          </rPr>
          <t>Pankaj Kumar Tomar :</t>
        </r>
        <r>
          <rPr>
            <sz val="9"/>
            <color indexed="81"/>
            <rFont val="Tahoma"/>
            <family val="2"/>
          </rPr>
          <t xml:space="preserve">
Tab Database of attached excel file can be used as reference of ex-post monitored Biomass (tonnes/ha) in each stratum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Sahil Pathan</author>
    <author xml:space="preserve">Pankaj Kumar Tomar </author>
  </authors>
  <commentList>
    <comment ref="O1" authorId="0" shapeId="0" xr:uid="{FAD3EAE9-5AC8-4FF0-B6E2-2E390806CA67}">
      <text>
        <r>
          <rPr>
            <b/>
            <sz val="9"/>
            <color indexed="81"/>
            <rFont val="Tahoma"/>
            <family val="2"/>
          </rPr>
          <t>Sahil Pathan:</t>
        </r>
        <r>
          <rPr>
            <sz val="9"/>
            <color indexed="81"/>
            <rFont val="Tahoma"/>
            <family val="2"/>
          </rPr>
          <t xml:space="preserve">
As per tool CDM tool 12
Rainfall&lt;1000mm/yr and elevation&lt;2000m</t>
        </r>
      </text>
    </comment>
    <comment ref="P1" authorId="0" shapeId="0" xr:uid="{451C2E77-8346-42D7-8B49-8A8C1D99F6CC}">
      <text>
        <r>
          <rPr>
            <b/>
            <sz val="9"/>
            <color indexed="81"/>
            <rFont val="Tahoma"/>
            <family val="2"/>
          </rPr>
          <t>Sahil Pathan:</t>
        </r>
        <r>
          <rPr>
            <sz val="9"/>
            <color indexed="81"/>
            <rFont val="Tahoma"/>
            <family val="2"/>
          </rPr>
          <t xml:space="preserve">
As per tool CDM tool 12
Rainfall&lt;1000mm/yr and elevation&lt;2000m</t>
        </r>
      </text>
    </comment>
    <comment ref="D6" authorId="1" shapeId="0" xr:uid="{CE44F786-E250-4AC4-A248-05503AF8E218}">
      <text>
        <r>
          <rPr>
            <b/>
            <sz val="9"/>
            <color indexed="81"/>
            <rFont val="Tahoma"/>
            <family val="2"/>
          </rPr>
          <t>Pankaj Kumar Tomar :</t>
        </r>
        <r>
          <rPr>
            <sz val="9"/>
            <color indexed="81"/>
            <rFont val="Tahoma"/>
            <family val="2"/>
          </rPr>
          <t xml:space="preserve">
Tab Database of attached excel file can be used as reference of ex-post monitored Biomass (tonnes/ha) in each stratum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Sahil Pathan</author>
    <author xml:space="preserve">Pankaj Kumar Tomar </author>
  </authors>
  <commentList>
    <comment ref="O1" authorId="0" shapeId="0" xr:uid="{81B36C5D-D2C7-45B0-8BEC-5CF24781820C}">
      <text>
        <r>
          <rPr>
            <b/>
            <sz val="9"/>
            <color indexed="81"/>
            <rFont val="Tahoma"/>
            <family val="2"/>
          </rPr>
          <t>Sahil Pathan:</t>
        </r>
        <r>
          <rPr>
            <sz val="9"/>
            <color indexed="81"/>
            <rFont val="Tahoma"/>
            <family val="2"/>
          </rPr>
          <t xml:space="preserve">
As per tool CDM tool 12
Rainfall&lt;1000mm/yr and elevation&lt;2000m</t>
        </r>
      </text>
    </comment>
    <comment ref="P1" authorId="0" shapeId="0" xr:uid="{37784C0A-A634-4273-A1D0-39F85CC189A9}">
      <text>
        <r>
          <rPr>
            <b/>
            <sz val="9"/>
            <color indexed="81"/>
            <rFont val="Tahoma"/>
            <family val="2"/>
          </rPr>
          <t>Sahil Pathan:</t>
        </r>
        <r>
          <rPr>
            <sz val="9"/>
            <color indexed="81"/>
            <rFont val="Tahoma"/>
            <family val="2"/>
          </rPr>
          <t xml:space="preserve">
As per tool CDM tool 12
Rainfall&lt;1000mm/yr and elevation&lt;2000m</t>
        </r>
      </text>
    </comment>
    <comment ref="D6" authorId="1" shapeId="0" xr:uid="{E684374A-624D-4F31-B9FE-A921AE988096}">
      <text>
        <r>
          <rPr>
            <b/>
            <sz val="9"/>
            <color indexed="81"/>
            <rFont val="Tahoma"/>
            <family val="2"/>
          </rPr>
          <t>Pankaj Kumar Tomar :</t>
        </r>
        <r>
          <rPr>
            <sz val="9"/>
            <color indexed="81"/>
            <rFont val="Tahoma"/>
            <family val="2"/>
          </rPr>
          <t xml:space="preserve">
Tab Database of attached excel file can be used as reference of ex-post monitored Biomass (tonnes/ha) in each stratum</t>
        </r>
      </text>
    </comment>
  </commentList>
</comments>
</file>

<file path=xl/sharedStrings.xml><?xml version="1.0" encoding="utf-8"?>
<sst xmlns="http://schemas.openxmlformats.org/spreadsheetml/2006/main" count="454" uniqueCount="183">
  <si>
    <t>Carbon Pool</t>
  </si>
  <si>
    <t>Description</t>
  </si>
  <si>
    <t>Approach used/ Justification</t>
  </si>
  <si>
    <t>Total  biomass</t>
  </si>
  <si>
    <t>Biomass generated by the tree as AGB (stem, branch etc) and BGB</t>
  </si>
  <si>
    <t>The toat Biomass Value (tonnes/ha) at the time of monitoring (17/03/2024) is used to develop the growth curve of the species. Future growth is expected on the basis of the value monitored at the end of the first monitoring period.</t>
  </si>
  <si>
    <t>Litter</t>
  </si>
  <si>
    <t>Litter biomass on ground area.</t>
  </si>
  <si>
    <t>Litter has been calculated using default value table- Parameter table 5 given in the tool-12 (https://cdm.unfccc.int/methodologies/ARmethodologies/tools/ar-am-tool-12-v3.1.pdf)</t>
  </si>
  <si>
    <t>Dead wood</t>
  </si>
  <si>
    <t>Biomass by the tree as deadwood over the floor of land</t>
  </si>
  <si>
    <t>Deadwood has been calculated using default value table- Parameter table 5 given in the tool-12 (https://cdm.unfccc.int/methodologies/ARmethodologies/tools/ar-am-tool-12-v3.1.pdf)</t>
  </si>
  <si>
    <t>Soil Organic Carbon</t>
  </si>
  <si>
    <t>Carbon sequestration by the soil in the form of SOC upto the depth of 30 cm</t>
  </si>
  <si>
    <t>SOC has been calculated using tool-16 (https://cdm.unfccc.int/methodologies/ARmethodologies/tools/ar-am-tool-16-v1.1.0.pdf) and spreadsheet given (https://view.officeapps.live.com/op/view.aspx?src=https%3A%2F%2Fcdm.unfccc.int%2Fmethodologies%2FARmethodologies%2FARWG30_SOC_Tool_Multizones.xls&amp;wdOrigin=BROWSELINK)</t>
  </si>
  <si>
    <t>Parameters</t>
  </si>
  <si>
    <t>Species</t>
  </si>
  <si>
    <r>
      <t>BGB (Root Shoot ratio)(R</t>
    </r>
    <r>
      <rPr>
        <b/>
        <vertAlign val="subscript"/>
        <sz val="11"/>
        <color theme="1"/>
        <rFont val="Times New Roman"/>
        <family val="1"/>
      </rPr>
      <t>j</t>
    </r>
    <r>
      <rPr>
        <b/>
        <sz val="11"/>
        <color theme="1"/>
        <rFont val="Times New Roman"/>
        <family val="1"/>
      </rPr>
      <t>)</t>
    </r>
  </si>
  <si>
    <t>Carbon Fraction</t>
  </si>
  <si>
    <t>Deadwood</t>
  </si>
  <si>
    <t>Daman/Pomogranate</t>
  </si>
  <si>
    <t>Jamfal/ Guava</t>
  </si>
  <si>
    <t>Sitafal / Custard apple</t>
  </si>
  <si>
    <t>Mahogany</t>
  </si>
  <si>
    <t>Plantation Summary</t>
  </si>
  <si>
    <t>Grand Total</t>
  </si>
  <si>
    <t>Spacing</t>
  </si>
  <si>
    <t>DADAM/POMEGRANATE</t>
  </si>
  <si>
    <t>JAMFAL / GUAVA</t>
  </si>
  <si>
    <t>MAHOGANY</t>
  </si>
  <si>
    <t>SITAFAL / CUSTARD APPLE</t>
  </si>
  <si>
    <r>
      <t>Carbon Fraction t C(t d.m)</t>
    </r>
    <r>
      <rPr>
        <b/>
        <vertAlign val="superscript"/>
        <sz val="11"/>
        <color theme="1"/>
        <rFont val="Times New Roman"/>
        <family val="1"/>
      </rPr>
      <t>-1</t>
    </r>
  </si>
  <si>
    <t>Litter (%)</t>
  </si>
  <si>
    <t>Deadwood (%)</t>
  </si>
  <si>
    <t>Pomegranate</t>
  </si>
  <si>
    <t>Stratum Name</t>
  </si>
  <si>
    <t>Age of stratum at the time of monitoring (17/03/2024)</t>
  </si>
  <si>
    <t>Total Biomass (tonnes/ha)</t>
  </si>
  <si>
    <t>Reference sheet (ex-post monitored data)</t>
  </si>
  <si>
    <t>Age (years)</t>
  </si>
  <si>
    <t>MAI in TGB (tonnes)</t>
  </si>
  <si>
    <t>Total Biomass (tonnes)</t>
  </si>
  <si>
    <r>
      <t>Total CO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 xml:space="preserve"> sequestration by tree  (t CO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e)</t>
    </r>
  </si>
  <si>
    <r>
      <t>Total CO2 sequestration by Litter (t CO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e)</t>
    </r>
  </si>
  <si>
    <r>
      <t>Total CO2 sequestration by Deadwood  (t CO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e)</t>
    </r>
  </si>
  <si>
    <r>
      <t>Total emission reductions/removals sequestration (tCO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e)</t>
    </r>
  </si>
  <si>
    <r>
      <t>Annual emission reductions/removals sequestration (tCO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e)</t>
    </r>
  </si>
  <si>
    <r>
      <t>Baseline Scenario: to date GHG emission reduction and removal at year t, tCO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e (BE)</t>
    </r>
  </si>
  <si>
    <r>
      <t>Leakage date GHG emission reduction and removal at year t, tCO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e</t>
    </r>
  </si>
  <si>
    <r>
      <t>total to-date GHG emission reductions and removals generated in the
project scenario (tCO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e)</t>
    </r>
  </si>
  <si>
    <t>LTA of stratum (Total number of VCUs for issuance)</t>
  </si>
  <si>
    <t>Age (Years)</t>
  </si>
  <si>
    <t>Vintage Year</t>
  </si>
  <si>
    <t>TB/ha (to date)</t>
  </si>
  <si>
    <t>References</t>
  </si>
  <si>
    <t>total to-date GHG emission reductions and removals generated in the project scenario (tCO2e)</t>
  </si>
  <si>
    <t>2022 PM</t>
  </si>
  <si>
    <t>2021 PM</t>
  </si>
  <si>
    <t>18/06/2018 to 31/12/2018</t>
  </si>
  <si>
    <t>The Biomass value is recorded in the current monitoring period has been used to develop growth model.</t>
  </si>
  <si>
    <t>2020PM</t>
  </si>
  <si>
    <t>01/01/2019 to 31/12/2019</t>
  </si>
  <si>
    <t>2019 PM</t>
  </si>
  <si>
    <t>01/01/2020 to 31/12/2020</t>
  </si>
  <si>
    <t>2018 PM</t>
  </si>
  <si>
    <t>01/01/2021 to 31/12/2021</t>
  </si>
  <si>
    <t>01/01/2022 to 31/12/2022</t>
  </si>
  <si>
    <t>01/01/2023 to 31/12/2023</t>
  </si>
  <si>
    <t>01/01/2024 to 31/12/2024</t>
  </si>
  <si>
    <t>01/01/2025 to 31/12/2025</t>
  </si>
  <si>
    <t>01/01/2026 to 31/12/2026</t>
  </si>
  <si>
    <t>01/01/2027 to 31/12/2027</t>
  </si>
  <si>
    <t>01/01/2028 to 31/12/2028</t>
  </si>
  <si>
    <t>01/01/2029 to 31/12/2029</t>
  </si>
  <si>
    <t>01/01/2030 to 31/12/2030</t>
  </si>
  <si>
    <t>01/01/2031 to 31/12/2031</t>
  </si>
  <si>
    <t>01/01/2032 to 31/12/2032</t>
  </si>
  <si>
    <t>01/01/2033 to 31/12/2033</t>
  </si>
  <si>
    <t>01/01/2034 to 31/12/2034</t>
  </si>
  <si>
    <t>01/01/2035 to 31/12/2035</t>
  </si>
  <si>
    <t>01/01/2036 to 31/12/2036</t>
  </si>
  <si>
    <t>01/01/2037 to 31/12/2037</t>
  </si>
  <si>
    <t>01/01/2038 to 31/12/2038</t>
  </si>
  <si>
    <t>01/01/2039 to 31/12/2039</t>
  </si>
  <si>
    <t>01/01/2040 to 31/12/2040</t>
  </si>
  <si>
    <t>01/01/2041 to 31/12/2041</t>
  </si>
  <si>
    <t>01/01/2042 to 31/12/2042</t>
  </si>
  <si>
    <t>01/01/2043 to 31/12/2043</t>
  </si>
  <si>
    <t>01/01/2044 to 31/12/2044</t>
  </si>
  <si>
    <t>01/01/2045 to 31/12/2045</t>
  </si>
  <si>
    <t>01/01/2046 to 31/12/2046</t>
  </si>
  <si>
    <t>01/01/2047 to 31/12/2047</t>
  </si>
  <si>
    <t>01/01/2048 to 31/12/2048</t>
  </si>
  <si>
    <t>01/01/2049 to 31/12/2049</t>
  </si>
  <si>
    <t>01/01/2050 to 31/12/2050</t>
  </si>
  <si>
    <t>01/01/2051 to 31/12/2051</t>
  </si>
  <si>
    <t>01/01/2052 to 17/06/2052</t>
  </si>
  <si>
    <t>SUM</t>
  </si>
  <si>
    <t>LTA</t>
  </si>
  <si>
    <t>Gauva</t>
  </si>
  <si>
    <t>Total CO2 sequestration by tree  (t CO2e)</t>
  </si>
  <si>
    <t>Total CO2 sequestration by Litter (t CO2e)</t>
  </si>
  <si>
    <t>Total CO2 sequestration by Deadwood  (t CO2e)</t>
  </si>
  <si>
    <t>Total emission reductions/removals sequestration (tCO2e)</t>
  </si>
  <si>
    <t>Leakage date GHG emission reduction and removal at year t, tCO2e</t>
  </si>
  <si>
    <t>Total to-date GHG emission reductions and removals generated in the
project scenario (tCO2e)</t>
  </si>
  <si>
    <t>MAI (TGB/ha)</t>
  </si>
  <si>
    <t>2018 GA</t>
  </si>
  <si>
    <r>
      <t>Total CO2 sequestration by tree  (t CO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e)</t>
    </r>
  </si>
  <si>
    <t>Leakage date GHG emission reduction and removal at year t tCO2e</t>
  </si>
  <si>
    <t>total to-date GHG emission reductions and removals generated in the
project scenario (tCO2e)</t>
  </si>
  <si>
    <t>2018 MH</t>
  </si>
  <si>
    <t>The Biomass value is recorded in the monitoring period has been used to develop growth model.</t>
  </si>
  <si>
    <t>total Biomass (tonnes/ha)</t>
  </si>
  <si>
    <t>Age</t>
  </si>
  <si>
    <t>MAI of in TGB (tonnes)</t>
  </si>
  <si>
    <t>2019 MH</t>
  </si>
  <si>
    <t>Custard Apple</t>
  </si>
  <si>
    <t>2019 CA</t>
  </si>
  <si>
    <t>Total CO2 sequestration by tree  (t CO2/year)</t>
  </si>
  <si>
    <t>Total CO2 sequestration by Litter (t CO2/year)</t>
  </si>
  <si>
    <t>Total CO2 sequestration by Deadwood  (t CO2/year)</t>
  </si>
  <si>
    <t>Age (year)</t>
  </si>
  <si>
    <t>Parameter</t>
  </si>
  <si>
    <t>Symbol</t>
  </si>
  <si>
    <t>Value</t>
  </si>
  <si>
    <t xml:space="preserve">Source (SOC estimation tool-16, V01.1.0) </t>
  </si>
  <si>
    <t>Reference/ Justification</t>
  </si>
  <si>
    <t>Reference SOC (tC/ha)</t>
  </si>
  <si>
    <t>SOCREF,i</t>
  </si>
  <si>
    <t>Table 3: HACsoils, Tropical dry.</t>
  </si>
  <si>
    <t>https://oar.icrisat.org/6817/1/CurrentSc_104_10_1308-1323_2013.pdf</t>
  </si>
  <si>
    <r>
      <t>C/CO</t>
    </r>
    <r>
      <rPr>
        <b/>
        <vertAlign val="subscript"/>
        <sz val="11"/>
        <rFont val="Times New Roman"/>
        <family val="1"/>
      </rPr>
      <t>2</t>
    </r>
  </si>
  <si>
    <t xml:space="preserve">Land use factor  </t>
  </si>
  <si>
    <t>fLU ,i</t>
  </si>
  <si>
    <t xml:space="preserve"> Table 4: Long -term cultivated</t>
  </si>
  <si>
    <t>Area has been continuously managed for crops for more than 20 years</t>
  </si>
  <si>
    <t xml:space="preserve"> SOCINITIAL,i</t>
  </si>
  <si>
    <t>Management factor</t>
  </si>
  <si>
    <t>fMG,i</t>
  </si>
  <si>
    <t xml:space="preserve"> Table 4 Full tillage</t>
  </si>
  <si>
    <t>In the Baseline, Substantial soil disturbance with  frequent (within-year) tillage operations.Substantial soil disturbance with frequent tillage operations. At planting time, less than 30% of the surface is covered by residues.</t>
  </si>
  <si>
    <t xml:space="preserve"> SOCLOSS,i </t>
  </si>
  <si>
    <t>Input factor</t>
  </si>
  <si>
    <t>fIN,i</t>
  </si>
  <si>
    <t>Table 5 Low</t>
  </si>
  <si>
    <t xml:space="preserve">In baseline the project land is crop land.In the baseline,production of  crops yielding low residues crops such as tobacco, cotton etc. </t>
  </si>
  <si>
    <t xml:space="preserve"> dSOCt,i</t>
  </si>
  <si>
    <t>Area (Ha)</t>
  </si>
  <si>
    <t>dSOCt,i</t>
  </si>
  <si>
    <r>
      <t>Annual  change in SOC  (tCO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e)</t>
    </r>
  </si>
  <si>
    <r>
      <t>Total change in SOC  (tCO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e)</t>
    </r>
  </si>
  <si>
    <t>Total Baseline emissions (tCO2e) to date</t>
  </si>
  <si>
    <t>Annual Baseline emissions (tCO2e) to date</t>
  </si>
  <si>
    <t>Year</t>
  </si>
  <si>
    <t>2020 PM</t>
  </si>
  <si>
    <t>Total Leakage emissions (tCO2e) to date</t>
  </si>
  <si>
    <t>Total leakage emissions (tCO2e) to date</t>
  </si>
  <si>
    <t>Annual Leakage emissions (tCO2e) to date</t>
  </si>
  <si>
    <t>LTA Calculation AS per VCS standard v4.7</t>
  </si>
  <si>
    <t>Summary Table As per PDMR template</t>
  </si>
  <si>
    <t>As per the Table 1.11 in PDMR template</t>
  </si>
  <si>
    <t>Vintage Period</t>
  </si>
  <si>
    <r>
      <t>Baseline Scenario: to date GHG emission reduction and removal at year t, tCO</t>
    </r>
    <r>
      <rPr>
        <b/>
        <vertAlign val="subscript"/>
        <sz val="10.5"/>
        <color rgb="FFFFFFFF"/>
        <rFont val="Franklin Gothic Book"/>
        <family val="2"/>
      </rPr>
      <t>2</t>
    </r>
    <r>
      <rPr>
        <b/>
        <sz val="10.5"/>
        <color rgb="FFFFFFFF"/>
        <rFont val="Franklin Gothic Book"/>
        <family val="2"/>
      </rPr>
      <t>e (BE)</t>
    </r>
  </si>
  <si>
    <r>
      <t>Project scenario: to date GH emissiom reduction and removal at year t (tCO</t>
    </r>
    <r>
      <rPr>
        <b/>
        <vertAlign val="subscript"/>
        <sz val="10.5"/>
        <color rgb="FFFFFFFF"/>
        <rFont val="Franklin Gothic Book"/>
        <family val="2"/>
      </rPr>
      <t>2</t>
    </r>
    <r>
      <rPr>
        <b/>
        <sz val="10.5"/>
        <color rgb="FFFFFFFF"/>
        <rFont val="Franklin Gothic Book"/>
        <family val="2"/>
      </rPr>
      <t>e) (PE)</t>
    </r>
  </si>
  <si>
    <r>
      <t>Annual change in GHG benefit (tCO</t>
    </r>
    <r>
      <rPr>
        <b/>
        <vertAlign val="subscript"/>
        <sz val="10.5"/>
        <color rgb="FFFFFFFF"/>
        <rFont val="Franklin Gothic Book"/>
        <family val="2"/>
      </rPr>
      <t>2</t>
    </r>
    <r>
      <rPr>
        <b/>
        <sz val="10.5"/>
        <color rgb="FFFFFFFF"/>
        <rFont val="Franklin Gothic Book"/>
        <family val="2"/>
      </rPr>
      <t>e) (PE</t>
    </r>
    <r>
      <rPr>
        <b/>
        <vertAlign val="subscript"/>
        <sz val="10.5"/>
        <color rgb="FFFFFFFF"/>
        <rFont val="Franklin Gothic Book"/>
        <family val="2"/>
      </rPr>
      <t>t</t>
    </r>
    <r>
      <rPr>
        <b/>
        <sz val="10.5"/>
        <color rgb="FFFFFFFF"/>
        <rFont val="Franklin Gothic Book"/>
        <family val="2"/>
      </rPr>
      <t>-PE</t>
    </r>
    <r>
      <rPr>
        <b/>
        <vertAlign val="subscript"/>
        <sz val="10.5"/>
        <color rgb="FFFFFFFF"/>
        <rFont val="Franklin Gothic Book"/>
        <family val="2"/>
      </rPr>
      <t>t1</t>
    </r>
    <r>
      <rPr>
        <b/>
        <sz val="10.5"/>
        <color rgb="FFFFFFFF"/>
        <rFont val="Franklin Gothic Book"/>
        <family val="2"/>
      </rPr>
      <t>)</t>
    </r>
  </si>
  <si>
    <r>
      <t>Leakage Emissions (tCO</t>
    </r>
    <r>
      <rPr>
        <b/>
        <vertAlign val="subscript"/>
        <sz val="10.5"/>
        <color rgb="FFFFFFFF"/>
        <rFont val="Franklin Gothic Book"/>
        <family val="2"/>
      </rPr>
      <t>2</t>
    </r>
    <r>
      <rPr>
        <b/>
        <sz val="10.5"/>
        <color rgb="FFFFFFFF"/>
        <rFont val="Franklin Gothic Book"/>
        <family val="2"/>
      </rPr>
      <t>e)</t>
    </r>
  </si>
  <si>
    <r>
      <t>Expected net GHG benefit to date (tCO</t>
    </r>
    <r>
      <rPr>
        <b/>
        <vertAlign val="subscript"/>
        <sz val="10.5"/>
        <color rgb="FFFFFFFF"/>
        <rFont val="Franklin Gothic Book"/>
        <family val="2"/>
      </rPr>
      <t>2</t>
    </r>
    <r>
      <rPr>
        <b/>
        <sz val="10.5"/>
        <color rgb="FFFFFFFF"/>
        <rFont val="Franklin Gothic Book"/>
        <family val="2"/>
      </rPr>
      <t>e) (PE</t>
    </r>
    <r>
      <rPr>
        <b/>
        <vertAlign val="subscript"/>
        <sz val="10.5"/>
        <color rgb="FFFFFFFF"/>
        <rFont val="Franklin Gothic Book"/>
        <family val="2"/>
      </rPr>
      <t>t</t>
    </r>
    <r>
      <rPr>
        <b/>
        <sz val="10.5"/>
        <color rgb="FFFFFFFF"/>
        <rFont val="Franklin Gothic Book"/>
        <family val="2"/>
      </rPr>
      <t>-BE</t>
    </r>
    <r>
      <rPr>
        <b/>
        <vertAlign val="subscript"/>
        <sz val="10.5"/>
        <color rgb="FFFFFFFF"/>
        <rFont val="Franklin Gothic Book"/>
        <family val="2"/>
      </rPr>
      <t>t</t>
    </r>
    <r>
      <rPr>
        <b/>
        <sz val="10.5"/>
        <color rgb="FFFFFFFF"/>
        <rFont val="Franklin Gothic Book"/>
        <family val="2"/>
      </rPr>
      <t>)</t>
    </r>
  </si>
  <si>
    <r>
      <t>Total credit available each year (tCO</t>
    </r>
    <r>
      <rPr>
        <b/>
        <vertAlign val="subscript"/>
        <sz val="10.5"/>
        <color rgb="FFFFFFFF"/>
        <rFont val="Franklin Gothic Book"/>
        <family val="2"/>
      </rPr>
      <t>2</t>
    </r>
    <r>
      <rPr>
        <b/>
        <sz val="10.5"/>
        <color rgb="FFFFFFFF"/>
        <rFont val="Franklin Gothic Book"/>
        <family val="2"/>
      </rPr>
      <t>e/Yr)</t>
    </r>
  </si>
  <si>
    <t>Buffer pool (19%)</t>
  </si>
  <si>
    <t>Total number of VCUs for issuance</t>
  </si>
  <si>
    <t>Vintage period</t>
  </si>
  <si>
    <r>
      <t>Estimated baseline emissions (tCO</t>
    </r>
    <r>
      <rPr>
        <b/>
        <vertAlign val="subscript"/>
        <sz val="9.5"/>
        <color rgb="FFFFFFFF"/>
        <rFont val="Franklin Gothic Book"/>
        <family val="2"/>
      </rPr>
      <t>2</t>
    </r>
    <r>
      <rPr>
        <b/>
        <sz val="9.5"/>
        <color rgb="FFFFFFFF"/>
        <rFont val="Franklin Gothic Book"/>
        <family val="2"/>
      </rPr>
      <t>e)</t>
    </r>
  </si>
  <si>
    <r>
      <t>Estimated project emissions (tCO</t>
    </r>
    <r>
      <rPr>
        <b/>
        <vertAlign val="subscript"/>
        <sz val="9.5"/>
        <color rgb="FFFFFFFF"/>
        <rFont val="Franklin Gothic Book"/>
        <family val="2"/>
      </rPr>
      <t>2</t>
    </r>
    <r>
      <rPr>
        <b/>
        <sz val="9.5"/>
        <color rgb="FFFFFFFF"/>
        <rFont val="Franklin Gothic Book"/>
        <family val="2"/>
      </rPr>
      <t>e)</t>
    </r>
  </si>
  <si>
    <r>
      <t>Estimated leakage emissions (tCO</t>
    </r>
    <r>
      <rPr>
        <b/>
        <vertAlign val="subscript"/>
        <sz val="9.5"/>
        <color rgb="FFFFFFFF"/>
        <rFont val="Franklin Gothic Book"/>
        <family val="2"/>
      </rPr>
      <t>2</t>
    </r>
    <r>
      <rPr>
        <b/>
        <sz val="9.5"/>
        <color rgb="FFFFFFFF"/>
        <rFont val="Franklin Gothic Book"/>
        <family val="2"/>
      </rPr>
      <t>e)</t>
    </r>
  </si>
  <si>
    <r>
      <t>Estimated buffer pool allocation (tCO</t>
    </r>
    <r>
      <rPr>
        <b/>
        <vertAlign val="subscript"/>
        <sz val="9.5"/>
        <color rgb="FFFFFFFF"/>
        <rFont val="Franklin Gothic Book"/>
        <family val="2"/>
      </rPr>
      <t>2</t>
    </r>
    <r>
      <rPr>
        <b/>
        <sz val="9.5"/>
        <color rgb="FFFFFFFF"/>
        <rFont val="Franklin Gothic Book"/>
        <family val="2"/>
      </rPr>
      <t>e)</t>
    </r>
  </si>
  <si>
    <r>
      <t>Estimated reduction VCUs (tCO</t>
    </r>
    <r>
      <rPr>
        <b/>
        <vertAlign val="subscript"/>
        <sz val="9.5"/>
        <color rgb="FFFFFFFF"/>
        <rFont val="Franklin Gothic Book"/>
        <family val="2"/>
      </rPr>
      <t>2</t>
    </r>
    <r>
      <rPr>
        <b/>
        <sz val="9.5"/>
        <color rgb="FFFFFFFF"/>
        <rFont val="Franklin Gothic Book"/>
        <family val="2"/>
      </rPr>
      <t>e)</t>
    </r>
  </si>
  <si>
    <r>
      <t>Estimated removal VCUs (tCO</t>
    </r>
    <r>
      <rPr>
        <b/>
        <vertAlign val="subscript"/>
        <sz val="9.5"/>
        <color rgb="FFFFFFFF"/>
        <rFont val="Franklin Gothic Book"/>
        <family val="2"/>
      </rPr>
      <t>2</t>
    </r>
    <r>
      <rPr>
        <b/>
        <sz val="9.5"/>
        <color rgb="FFFFFFFF"/>
        <rFont val="Franklin Gothic Book"/>
        <family val="2"/>
      </rPr>
      <t>e)</t>
    </r>
  </si>
  <si>
    <r>
      <t>Estimated total VCU issuance (tCO</t>
    </r>
    <r>
      <rPr>
        <b/>
        <vertAlign val="subscript"/>
        <sz val="9.5"/>
        <color rgb="FFFFFFFF"/>
        <rFont val="Franklin Gothic Book"/>
        <family val="2"/>
      </rPr>
      <t>2</t>
    </r>
    <r>
      <rPr>
        <b/>
        <sz val="9.5"/>
        <color rgb="FFFFFFFF"/>
        <rFont val="Franklin Gothic Book"/>
        <family val="2"/>
      </rPr>
      <t>e)</t>
    </r>
  </si>
  <si>
    <r>
      <t>Estimated GHG emission reductions or removals (tCO</t>
    </r>
    <r>
      <rPr>
        <b/>
        <vertAlign val="subscript"/>
        <sz val="9.5"/>
        <color rgb="FFFFFFFF"/>
        <rFont val="Franklin Gothic Book"/>
        <family val="2"/>
      </rPr>
      <t>2</t>
    </r>
    <r>
      <rPr>
        <b/>
        <sz val="9.5"/>
        <color rgb="FFFFFFFF"/>
        <rFont val="Franklin Gothic Book"/>
        <family val="2"/>
      </rPr>
      <t>e)</t>
    </r>
  </si>
  <si>
    <t>01/01/2048 to 17/06/2048</t>
  </si>
  <si>
    <t>Total</t>
  </si>
  <si>
    <t>Annual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</si>
</sst>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charset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.5"/>
      <color rgb="FFFFFFFF"/>
      <name val="Franklin Gothic Book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vertAlign val="subscript"/>
      <sz val="11"/>
      <color theme="1"/>
      <name val="Times New Roman"/>
      <family val="1"/>
    </font>
    <font>
      <b/>
      <vertAlign val="subscript"/>
      <sz val="11"/>
      <name val="Times New Roman"/>
      <family val="1"/>
    </font>
    <font>
      <sz val="11"/>
      <color theme="9"/>
      <name val="Calibri"/>
      <family val="2"/>
      <scheme val="minor"/>
    </font>
    <font>
      <sz val="10.5"/>
      <color theme="1"/>
      <name val="Franklin Gothic Book"/>
      <family val="2"/>
    </font>
    <font>
      <b/>
      <sz val="12"/>
      <color theme="1"/>
      <name val="Calibri"/>
      <family val="2"/>
      <scheme val="minor"/>
    </font>
    <font>
      <b/>
      <vertAlign val="subscript"/>
      <sz val="10.5"/>
      <color rgb="FFFFFFFF"/>
      <name val="Franklin Gothic Book"/>
      <family val="2"/>
    </font>
    <font>
      <b/>
      <sz val="9.5"/>
      <color rgb="FFFFFFFF"/>
      <name val="Franklin Gothic Book"/>
      <family val="2"/>
    </font>
    <font>
      <b/>
      <vertAlign val="subscript"/>
      <sz val="9.5"/>
      <color rgb="FFFFFFFF"/>
      <name val="Franklin Gothic Book"/>
      <family val="2"/>
    </font>
    <font>
      <b/>
      <sz val="10"/>
      <color theme="1"/>
      <name val="Calibri"/>
      <family val="2"/>
      <scheme val="minor"/>
    </font>
    <font>
      <b/>
      <vertAlign val="superscript"/>
      <sz val="11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11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2B395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 applyNumberFormat="0" applyFill="0" applyBorder="0" applyAlignment="0" applyProtection="0"/>
    <xf numFmtId="0" fontId="14" fillId="0" borderId="0"/>
    <xf numFmtId="43" fontId="15" fillId="0" borderId="0" applyFont="0" applyFill="0" applyBorder="0" applyAlignment="0" applyProtection="0"/>
  </cellStyleXfs>
  <cellXfs count="147">
    <xf numFmtId="0" fontId="0" fillId="0" borderId="0" xfId="0"/>
    <xf numFmtId="0" fontId="8" fillId="0" borderId="4" xfId="0" applyFont="1" applyBorder="1" applyAlignment="1">
      <alignment horizontal="center"/>
    </xf>
    <xf numFmtId="0" fontId="8" fillId="0" borderId="0" xfId="0" applyFont="1"/>
    <xf numFmtId="2" fontId="8" fillId="0" borderId="4" xfId="0" applyNumberFormat="1" applyFont="1" applyBorder="1" applyAlignment="1">
      <alignment horizontal="center"/>
    </xf>
    <xf numFmtId="0" fontId="9" fillId="0" borderId="4" xfId="1" applyFont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9" fillId="7" borderId="4" xfId="1" applyFont="1" applyFill="1" applyBorder="1" applyAlignment="1">
      <alignment horizontal="center" vertical="center"/>
    </xf>
    <xf numFmtId="0" fontId="10" fillId="7" borderId="4" xfId="2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2" fontId="9" fillId="0" borderId="4" xfId="1" applyNumberFormat="1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/>
      <protection locked="0"/>
    </xf>
    <xf numFmtId="4" fontId="9" fillId="0" borderId="4" xfId="1" applyNumberFormat="1" applyFont="1" applyBorder="1" applyAlignment="1">
      <alignment horizontal="center" vertical="center"/>
    </xf>
    <xf numFmtId="0" fontId="10" fillId="0" borderId="4" xfId="0" applyFont="1" applyBorder="1" applyAlignment="1" applyProtection="1">
      <alignment horizontal="center" vertical="center"/>
      <protection locked="0"/>
    </xf>
    <xf numFmtId="2" fontId="9" fillId="6" borderId="4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6" borderId="4" xfId="0" applyFont="1" applyFill="1" applyBorder="1" applyAlignment="1">
      <alignment horizontal="center"/>
    </xf>
    <xf numFmtId="9" fontId="8" fillId="6" borderId="4" xfId="0" applyNumberFormat="1" applyFont="1" applyFill="1" applyBorder="1" applyAlignment="1">
      <alignment horizontal="center"/>
    </xf>
    <xf numFmtId="9" fontId="8" fillId="6" borderId="0" xfId="0" applyNumberFormat="1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6" fillId="6" borderId="0" xfId="2" applyFill="1" applyBorder="1" applyAlignment="1">
      <alignment horizontal="left" wrapText="1"/>
    </xf>
    <xf numFmtId="0" fontId="12" fillId="5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4" xfId="0" applyFont="1" applyBorder="1" applyAlignment="1">
      <alignment horizontal="center" wrapText="1"/>
    </xf>
    <xf numFmtId="0" fontId="12" fillId="9" borderId="4" xfId="0" applyFont="1" applyFill="1" applyBorder="1" applyAlignment="1">
      <alignment horizontal="center"/>
    </xf>
    <xf numFmtId="0" fontId="12" fillId="9" borderId="4" xfId="0" applyFont="1" applyFill="1" applyBorder="1" applyAlignment="1">
      <alignment horizontal="left"/>
    </xf>
    <xf numFmtId="0" fontId="0" fillId="0" borderId="0" xfId="0" applyAlignment="1">
      <alignment wrapText="1"/>
    </xf>
    <xf numFmtId="0" fontId="13" fillId="10" borderId="4" xfId="0" applyFont="1" applyFill="1" applyBorder="1" applyAlignment="1">
      <alignment vertical="center"/>
    </xf>
    <xf numFmtId="2" fontId="12" fillId="5" borderId="4" xfId="0" applyNumberFormat="1" applyFont="1" applyFill="1" applyBorder="1" applyAlignment="1">
      <alignment horizontal="center"/>
    </xf>
    <xf numFmtId="0" fontId="7" fillId="6" borderId="0" xfId="0" applyFont="1" applyFill="1" applyAlignment="1">
      <alignment horizontal="center" vertical="center" wrapText="1"/>
    </xf>
    <xf numFmtId="0" fontId="8" fillId="6" borderId="0" xfId="0" applyFont="1" applyFill="1"/>
    <xf numFmtId="0" fontId="8" fillId="6" borderId="0" xfId="0" applyFont="1" applyFill="1" applyAlignment="1">
      <alignment horizontal="left"/>
    </xf>
    <xf numFmtId="1" fontId="8" fillId="0" borderId="4" xfId="4" applyNumberFormat="1" applyFont="1" applyBorder="1" applyAlignment="1">
      <alignment horizontal="center"/>
    </xf>
    <xf numFmtId="0" fontId="6" fillId="7" borderId="4" xfId="2" applyFill="1" applyBorder="1" applyAlignment="1">
      <alignment horizontal="center" vertical="center"/>
    </xf>
    <xf numFmtId="0" fontId="0" fillId="0" borderId="4" xfId="0" applyBorder="1"/>
    <xf numFmtId="2" fontId="0" fillId="0" borderId="4" xfId="0" applyNumberFormat="1" applyBorder="1" applyAlignment="1">
      <alignment horizontal="center"/>
    </xf>
    <xf numFmtId="1" fontId="8" fillId="0" borderId="0" xfId="4" applyNumberFormat="1" applyFont="1"/>
    <xf numFmtId="0" fontId="8" fillId="0" borderId="5" xfId="0" applyFont="1" applyBorder="1" applyAlignment="1">
      <alignment horizontal="center"/>
    </xf>
    <xf numFmtId="14" fontId="0" fillId="0" borderId="0" xfId="0" applyNumberFormat="1"/>
    <xf numFmtId="2" fontId="1" fillId="0" borderId="4" xfId="0" applyNumberFormat="1" applyFont="1" applyBorder="1" applyAlignment="1">
      <alignment vertical="center" wrapText="1"/>
    </xf>
    <xf numFmtId="2" fontId="1" fillId="0" borderId="2" xfId="0" applyNumberFormat="1" applyFont="1" applyBorder="1" applyAlignment="1">
      <alignment vertical="center" wrapText="1"/>
    </xf>
    <xf numFmtId="0" fontId="18" fillId="0" borderId="0" xfId="0" applyFont="1"/>
    <xf numFmtId="2" fontId="8" fillId="0" borderId="5" xfId="0" applyNumberFormat="1" applyFont="1" applyBorder="1" applyAlignment="1">
      <alignment horizontal="center"/>
    </xf>
    <xf numFmtId="1" fontId="8" fillId="0" borderId="0" xfId="4" applyNumberFormat="1" applyFont="1" applyFill="1" applyAlignment="1">
      <alignment horizontal="center"/>
    </xf>
    <xf numFmtId="1" fontId="8" fillId="0" borderId="0" xfId="4" applyNumberFormat="1" applyFont="1" applyFill="1"/>
    <xf numFmtId="0" fontId="7" fillId="12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2" fontId="0" fillId="0" borderId="4" xfId="0" applyNumberFormat="1" applyBorder="1" applyAlignment="1">
      <alignment horizontal="center" wrapText="1"/>
    </xf>
    <xf numFmtId="2" fontId="0" fillId="14" borderId="4" xfId="0" applyNumberFormat="1" applyFill="1" applyBorder="1" applyAlignment="1">
      <alignment horizontal="center"/>
    </xf>
    <xf numFmtId="2" fontId="0" fillId="14" borderId="4" xfId="0" applyNumberFormat="1" applyFill="1" applyBorder="1" applyAlignment="1">
      <alignment horizontal="center" vertical="center"/>
    </xf>
    <xf numFmtId="2" fontId="19" fillId="15" borderId="11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/>
    </xf>
    <xf numFmtId="2" fontId="0" fillId="6" borderId="4" xfId="0" applyNumberFormat="1" applyFill="1" applyBorder="1" applyAlignment="1">
      <alignment horizontal="center"/>
    </xf>
    <xf numFmtId="1" fontId="8" fillId="0" borderId="0" xfId="4" applyNumberFormat="1" applyFont="1" applyAlignment="1">
      <alignment horizontal="center"/>
    </xf>
    <xf numFmtId="1" fontId="0" fillId="0" borderId="4" xfId="0" applyNumberFormat="1" applyBorder="1" applyAlignment="1">
      <alignment horizontal="center"/>
    </xf>
    <xf numFmtId="0" fontId="1" fillId="5" borderId="4" xfId="0" applyFont="1" applyFill="1" applyBorder="1"/>
    <xf numFmtId="1" fontId="1" fillId="5" borderId="4" xfId="0" applyNumberFormat="1" applyFont="1" applyFill="1" applyBorder="1" applyAlignment="1">
      <alignment horizontal="left"/>
    </xf>
    <xf numFmtId="0" fontId="20" fillId="5" borderId="4" xfId="0" applyFont="1" applyFill="1" applyBorder="1" applyAlignment="1">
      <alignment horizontal="left"/>
    </xf>
    <xf numFmtId="1" fontId="20" fillId="5" borderId="4" xfId="0" applyNumberFormat="1" applyFont="1" applyFill="1" applyBorder="1" applyAlignment="1">
      <alignment horizontal="left"/>
    </xf>
    <xf numFmtId="0" fontId="13" fillId="10" borderId="5" xfId="0" applyFont="1" applyFill="1" applyBorder="1" applyAlignment="1">
      <alignment vertical="center"/>
    </xf>
    <xf numFmtId="2" fontId="0" fillId="0" borderId="5" xfId="0" applyNumberFormat="1" applyBorder="1" applyAlignment="1">
      <alignment horizontal="center"/>
    </xf>
    <xf numFmtId="1" fontId="7" fillId="5" borderId="4" xfId="4" applyNumberFormat="1" applyFont="1" applyFill="1" applyBorder="1" applyAlignment="1">
      <alignment horizontal="left"/>
    </xf>
    <xf numFmtId="0" fontId="7" fillId="5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wrapText="1"/>
    </xf>
    <xf numFmtId="0" fontId="9" fillId="5" borderId="4" xfId="1" applyFont="1" applyFill="1" applyBorder="1" applyAlignment="1">
      <alignment horizontal="center" vertical="center" wrapText="1"/>
    </xf>
    <xf numFmtId="1" fontId="7" fillId="5" borderId="4" xfId="4" applyNumberFormat="1" applyFont="1" applyFill="1" applyBorder="1" applyAlignment="1">
      <alignment horizontal="center"/>
    </xf>
    <xf numFmtId="14" fontId="0" fillId="0" borderId="0" xfId="0" applyNumberFormat="1" applyAlignment="1">
      <alignment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7" fillId="8" borderId="4" xfId="0" applyFont="1" applyFill="1" applyBorder="1" applyAlignment="1">
      <alignment vertical="center" wrapText="1"/>
    </xf>
    <xf numFmtId="0" fontId="7" fillId="8" borderId="4" xfId="0" applyFont="1" applyFill="1" applyBorder="1" applyAlignment="1">
      <alignment vertical="center"/>
    </xf>
    <xf numFmtId="0" fontId="9" fillId="8" borderId="4" xfId="1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6" borderId="4" xfId="0" applyFont="1" applyFill="1" applyBorder="1" applyAlignment="1">
      <alignment horizontal="center" vertical="center"/>
    </xf>
    <xf numFmtId="9" fontId="8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/>
    </xf>
    <xf numFmtId="2" fontId="8" fillId="11" borderId="4" xfId="0" applyNumberFormat="1" applyFont="1" applyFill="1" applyBorder="1" applyAlignment="1">
      <alignment horizontal="center"/>
    </xf>
    <xf numFmtId="2" fontId="10" fillId="0" borderId="4" xfId="1" applyNumberFormat="1" applyFont="1" applyBorder="1" applyAlignment="1">
      <alignment horizontal="center" vertical="center"/>
    </xf>
    <xf numFmtId="2" fontId="8" fillId="0" borderId="0" xfId="0" applyNumberFormat="1" applyFont="1"/>
    <xf numFmtId="2" fontId="12" fillId="0" borderId="4" xfId="0" applyNumberFormat="1" applyFont="1" applyBorder="1" applyAlignment="1">
      <alignment horizontal="center"/>
    </xf>
    <xf numFmtId="1" fontId="1" fillId="5" borderId="4" xfId="0" applyNumberFormat="1" applyFont="1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" fontId="8" fillId="0" borderId="4" xfId="4" applyNumberFormat="1" applyFont="1" applyBorder="1" applyAlignment="1">
      <alignment horizontal="left"/>
    </xf>
    <xf numFmtId="1" fontId="7" fillId="5" borderId="4" xfId="4" applyNumberFormat="1" applyFont="1" applyFill="1" applyBorder="1" applyAlignment="1">
      <alignment vertical="center" wrapText="1"/>
    </xf>
    <xf numFmtId="1" fontId="13" fillId="0" borderId="0" xfId="4" applyNumberFormat="1" applyFont="1" applyAlignment="1">
      <alignment horizontal="center" vertical="center" wrapText="1"/>
    </xf>
    <xf numFmtId="1" fontId="13" fillId="10" borderId="4" xfId="4" applyNumberFormat="1" applyFont="1" applyFill="1" applyBorder="1" applyAlignment="1">
      <alignment horizontal="center" vertical="center" wrapText="1"/>
    </xf>
    <xf numFmtId="1" fontId="22" fillId="10" borderId="4" xfId="0" applyNumberFormat="1" applyFont="1" applyFill="1" applyBorder="1" applyAlignment="1">
      <alignment vertical="center" wrapText="1"/>
    </xf>
    <xf numFmtId="1" fontId="8" fillId="0" borderId="4" xfId="4" applyNumberFormat="1" applyFont="1" applyFill="1" applyBorder="1" applyAlignment="1">
      <alignment horizontal="left"/>
    </xf>
    <xf numFmtId="1" fontId="7" fillId="5" borderId="4" xfId="4" applyNumberFormat="1" applyFont="1" applyFill="1" applyBorder="1"/>
    <xf numFmtId="165" fontId="8" fillId="0" borderId="0" xfId="4" applyNumberFormat="1" applyFont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/>
    </xf>
    <xf numFmtId="0" fontId="1" fillId="13" borderId="4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13" borderId="12" xfId="0" applyFont="1" applyFill="1" applyBorder="1" applyAlignment="1">
      <alignment horizontal="center" vertical="center"/>
    </xf>
    <xf numFmtId="0" fontId="1" fillId="13" borderId="1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" fillId="13" borderId="4" xfId="0" applyFont="1" applyFill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 wrapText="1"/>
    </xf>
    <xf numFmtId="2" fontId="24" fillId="0" borderId="2" xfId="0" applyNumberFormat="1" applyFont="1" applyBorder="1" applyAlignment="1">
      <alignment horizontal="center" vertical="center" wrapText="1"/>
    </xf>
    <xf numFmtId="2" fontId="24" fillId="0" borderId="3" xfId="0" applyNumberFormat="1" applyFont="1" applyBorder="1" applyAlignment="1">
      <alignment horizontal="center" vertical="center" wrapText="1"/>
    </xf>
    <xf numFmtId="0" fontId="1" fillId="1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2" fontId="24" fillId="0" borderId="4" xfId="0" applyNumberFormat="1" applyFont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/>
    </xf>
    <xf numFmtId="0" fontId="13" fillId="10" borderId="4" xfId="0" applyFont="1" applyFill="1" applyBorder="1" applyAlignment="1">
      <alignment horizontal="center" vertical="center" wrapText="1"/>
    </xf>
    <xf numFmtId="1" fontId="7" fillId="5" borderId="4" xfId="4" applyNumberFormat="1" applyFont="1" applyFill="1" applyBorder="1" applyAlignment="1">
      <alignment horizontal="center" vertical="center"/>
    </xf>
  </cellXfs>
  <cellStyles count="5">
    <cellStyle name="Comma" xfId="4" builtinId="3"/>
    <cellStyle name="Excel Built-in Normal 1" xfId="1" xr:uid="{85F5835B-2E43-427F-98FE-23A70EA56122}"/>
    <cellStyle name="Hyperlink" xfId="2" builtinId="8"/>
    <cellStyle name="Normal" xfId="0" builtinId="0"/>
    <cellStyle name="Normal 2" xfId="3" xr:uid="{B9A500E4-5DA0-4EA7-8AE5-264D1B2B5F25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6</xdr:row>
          <xdr:rowOff>85725</xdr:rowOff>
        </xdr:from>
        <xdr:to>
          <xdr:col>3</xdr:col>
          <xdr:colOff>1323975</xdr:colOff>
          <xdr:row>11</xdr:row>
          <xdr:rowOff>76200</xdr:rowOff>
        </xdr:to>
        <xdr:sp macro="" textlink="">
          <xdr:nvSpPr>
            <xdr:cNvPr id="27659" name="Object 11" hidden="1">
              <a:extLst>
                <a:ext uri="{63B3BB69-23CF-44E3-9099-C40C66FF867C}">
                  <a14:compatExt spid="_x0000_s27659"/>
                </a:ext>
                <a:ext uri="{FF2B5EF4-FFF2-40B4-BE49-F238E27FC236}">
                  <a16:creationId xmlns:a16="http://schemas.microsoft.com/office/drawing/2014/main" id="{00000000-0008-0000-0100-00000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6</xdr:row>
          <xdr:rowOff>142875</xdr:rowOff>
        </xdr:from>
        <xdr:to>
          <xdr:col>3</xdr:col>
          <xdr:colOff>1295400</xdr:colOff>
          <xdr:row>11</xdr:row>
          <xdr:rowOff>95250</xdr:rowOff>
        </xdr:to>
        <xdr:sp macro="" textlink="">
          <xdr:nvSpPr>
            <xdr:cNvPr id="31754" name="Object 10" hidden="1">
              <a:extLst>
                <a:ext uri="{63B3BB69-23CF-44E3-9099-C40C66FF867C}">
                  <a14:compatExt spid="_x0000_s31754"/>
                </a:ext>
                <a:ext uri="{FF2B5EF4-FFF2-40B4-BE49-F238E27FC236}">
                  <a16:creationId xmlns:a16="http://schemas.microsoft.com/office/drawing/2014/main" id="{00000000-0008-0000-0200-00000A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7</xdr:row>
          <xdr:rowOff>47625</xdr:rowOff>
        </xdr:from>
        <xdr:to>
          <xdr:col>4</xdr:col>
          <xdr:colOff>0</xdr:colOff>
          <xdr:row>10</xdr:row>
          <xdr:rowOff>152400</xdr:rowOff>
        </xdr:to>
        <xdr:sp macro="" textlink="">
          <xdr:nvSpPr>
            <xdr:cNvPr id="32779" name="Object 11" hidden="1">
              <a:extLst>
                <a:ext uri="{63B3BB69-23CF-44E3-9099-C40C66FF867C}">
                  <a14:compatExt spid="_x0000_s32779"/>
                </a:ext>
                <a:ext uri="{FF2B5EF4-FFF2-40B4-BE49-F238E27FC236}">
                  <a16:creationId xmlns:a16="http://schemas.microsoft.com/office/drawing/2014/main" id="{00000000-0008-0000-0300-00000B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6</xdr:row>
          <xdr:rowOff>57150</xdr:rowOff>
        </xdr:from>
        <xdr:to>
          <xdr:col>3</xdr:col>
          <xdr:colOff>1352550</xdr:colOff>
          <xdr:row>11</xdr:row>
          <xdr:rowOff>85725</xdr:rowOff>
        </xdr:to>
        <xdr:sp macro="" textlink="">
          <xdr:nvSpPr>
            <xdr:cNvPr id="26639" name="Object 15" hidden="1">
              <a:extLst>
                <a:ext uri="{63B3BB69-23CF-44E3-9099-C40C66FF867C}">
                  <a14:compatExt spid="_x0000_s26639"/>
                </a:ext>
                <a:ext uri="{FF2B5EF4-FFF2-40B4-BE49-F238E27FC236}">
                  <a16:creationId xmlns:a16="http://schemas.microsoft.com/office/drawing/2014/main" id="{00000000-0008-0000-0400-00000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6</xdr:row>
          <xdr:rowOff>57150</xdr:rowOff>
        </xdr:from>
        <xdr:to>
          <xdr:col>3</xdr:col>
          <xdr:colOff>1190625</xdr:colOff>
          <xdr:row>10</xdr:row>
          <xdr:rowOff>171450</xdr:rowOff>
        </xdr:to>
        <xdr:sp macro="" textlink="">
          <xdr:nvSpPr>
            <xdr:cNvPr id="34828" name="Object 12" hidden="1">
              <a:extLst>
                <a:ext uri="{63B3BB69-23CF-44E3-9099-C40C66FF867C}">
                  <a14:compatExt spid="_x0000_s34828"/>
                </a:ext>
                <a:ext uri="{FF2B5EF4-FFF2-40B4-BE49-F238E27FC236}">
                  <a16:creationId xmlns:a16="http://schemas.microsoft.com/office/drawing/2014/main" id="{00000000-0008-0000-0500-00000C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6</xdr:row>
          <xdr:rowOff>57150</xdr:rowOff>
        </xdr:from>
        <xdr:to>
          <xdr:col>3</xdr:col>
          <xdr:colOff>1295400</xdr:colOff>
          <xdr:row>11</xdr:row>
          <xdr:rowOff>0</xdr:rowOff>
        </xdr:to>
        <xdr:sp macro="" textlink="">
          <xdr:nvSpPr>
            <xdr:cNvPr id="33803" name="Object 11" hidden="1">
              <a:extLst>
                <a:ext uri="{63B3BB69-23CF-44E3-9099-C40C66FF867C}">
                  <a14:compatExt spid="_x0000_s33803"/>
                </a:ext>
                <a:ext uri="{FF2B5EF4-FFF2-40B4-BE49-F238E27FC236}">
                  <a16:creationId xmlns:a16="http://schemas.microsoft.com/office/drawing/2014/main" id="{00000000-0008-0000-0600-00000B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6</xdr:row>
          <xdr:rowOff>38100</xdr:rowOff>
        </xdr:from>
        <xdr:to>
          <xdr:col>3</xdr:col>
          <xdr:colOff>1314450</xdr:colOff>
          <xdr:row>11</xdr:row>
          <xdr:rowOff>38100</xdr:rowOff>
        </xdr:to>
        <xdr:sp macro="" textlink="">
          <xdr:nvSpPr>
            <xdr:cNvPr id="28683" name="Object 11" hidden="1">
              <a:extLst>
                <a:ext uri="{63B3BB69-23CF-44E3-9099-C40C66FF867C}">
                  <a14:compatExt spid="_x0000_s28683"/>
                </a:ext>
                <a:ext uri="{FF2B5EF4-FFF2-40B4-BE49-F238E27FC236}">
                  <a16:creationId xmlns:a16="http://schemas.microsoft.com/office/drawing/2014/main" id="{00000000-0008-0000-0700-00000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</xdr:row>
          <xdr:rowOff>95250</xdr:rowOff>
        </xdr:from>
        <xdr:to>
          <xdr:col>3</xdr:col>
          <xdr:colOff>1238250</xdr:colOff>
          <xdr:row>11</xdr:row>
          <xdr:rowOff>0</xdr:rowOff>
        </xdr:to>
        <xdr:sp macro="" textlink="">
          <xdr:nvSpPr>
            <xdr:cNvPr id="29707" name="Object 11" hidden="1">
              <a:extLst>
                <a:ext uri="{63B3BB69-23CF-44E3-9099-C40C66FF867C}">
                  <a14:compatExt spid="_x0000_s29707"/>
                </a:ext>
                <a:ext uri="{FF2B5EF4-FFF2-40B4-BE49-F238E27FC236}">
                  <a16:creationId xmlns:a16="http://schemas.microsoft.com/office/drawing/2014/main" id="{00000000-0008-0000-0800-00000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6</xdr:row>
          <xdr:rowOff>66675</xdr:rowOff>
        </xdr:from>
        <xdr:to>
          <xdr:col>3</xdr:col>
          <xdr:colOff>1162050</xdr:colOff>
          <xdr:row>11</xdr:row>
          <xdr:rowOff>123825</xdr:rowOff>
        </xdr:to>
        <xdr:sp macro="" textlink="">
          <xdr:nvSpPr>
            <xdr:cNvPr id="30731" name="Object 11" hidden="1">
              <a:extLst>
                <a:ext uri="{63B3BB69-23CF-44E3-9099-C40C66FF867C}">
                  <a14:compatExt spid="_x0000_s30731"/>
                </a:ext>
                <a:ext uri="{FF2B5EF4-FFF2-40B4-BE49-F238E27FC236}">
                  <a16:creationId xmlns:a16="http://schemas.microsoft.com/office/drawing/2014/main" id="{00000000-0008-0000-0900-00000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Operations%20-%20NBS\Pankaj%20Tomar\Pankaj\1.%20Verra,%20CDM,%20CCB,%20Plan%20VIVO,%20GS\CDM\Methodologies\ARWG30_SOC_Tool_Multizones%20(3).xls" TargetMode="External"/><Relationship Id="rId1" Type="http://schemas.openxmlformats.org/officeDocument/2006/relationships/externalLinkPath" Target="file:///Y:\Operations%20-%20NBS\Pankaj%20Tomar\Pankaj\1.%20Verra,%20CDM,%20CCB,%20Plan%20VIVO,%20GS\CDM\Methodologies\ARWG30_SOC_Tool_Multizones%20(3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fisolutionsllp-my.sharepoint.com/personal/sahil_infisolutions_org/Documents/VCS_3562/PRR%201.0/PRR-1%20V.%201.2/ERR/Ex%20Post%20ER%203562%20.xlsx" TargetMode="External"/><Relationship Id="rId1" Type="http://schemas.openxmlformats.org/officeDocument/2006/relationships/externalLinkPath" Target="Ex%20Post%20ER%203562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Cover Sheet"/>
      <sheetName val="Calculator"/>
      <sheetName val="IPCC Major Climate Zones"/>
      <sheetName val="IPCC Tables"/>
      <sheetName val="Notes"/>
    </sheetNames>
    <sheetDataSet>
      <sheetData sheetId="0"/>
      <sheetData sheetId="1"/>
      <sheetData sheetId="2"/>
      <sheetData sheetId="3"/>
      <sheetData sheetId="4">
        <row r="2">
          <cell r="K2" t="str">
            <v>1. Long-term cultivated cropland</v>
          </cell>
          <cell r="L2" t="str">
            <v>2. Short-term or set aside cropland</v>
          </cell>
          <cell r="M2" t="str">
            <v>3. Grassland</v>
          </cell>
          <cell r="Q2" t="str">
            <v>1. Full tillage</v>
          </cell>
          <cell r="R2" t="str">
            <v>2. Reduced tillage</v>
          </cell>
          <cell r="S2" t="str">
            <v>3. No-till</v>
          </cell>
          <cell r="W2" t="str">
            <v>1. Improved</v>
          </cell>
          <cell r="X2" t="str">
            <v>2. Nominal</v>
          </cell>
          <cell r="Y2" t="str">
            <v>3. Moderately degraded</v>
          </cell>
          <cell r="Z2" t="str">
            <v>4. Severely degraded</v>
          </cell>
        </row>
        <row r="15">
          <cell r="C15" t="str">
            <v>1. Low</v>
          </cell>
          <cell r="D15" t="str">
            <v>2. Medium</v>
          </cell>
          <cell r="E15" t="str">
            <v>3. High without manure</v>
          </cell>
          <cell r="F15" t="str">
            <v>4. High with manure</v>
          </cell>
          <cell r="K15" t="str">
            <v>1. Low</v>
          </cell>
          <cell r="L15" t="str">
            <v>2. Medium</v>
          </cell>
          <cell r="M15" t="str">
            <v>3. High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ey Data"/>
      <sheetName val="PSP Information"/>
      <sheetName val="Database"/>
      <sheetName val="Uncertainty"/>
      <sheetName val="Baseline"/>
      <sheetName val="SOC"/>
      <sheetName val="GHG emission"/>
      <sheetName val="Final Calculation"/>
      <sheetName val="Vintage period"/>
      <sheetName val="Comparision Ex ante and Ex post"/>
      <sheetName val="LTA"/>
      <sheetName val="SOC for LTA"/>
      <sheetName val="LTA Approach"/>
      <sheetName val="2018 GA"/>
      <sheetName val="2018 MH"/>
      <sheetName val="2018 PM"/>
      <sheetName val="2019 CA"/>
      <sheetName val="2019 MH"/>
      <sheetName val="2019 PM"/>
      <sheetName val="2020 PM"/>
      <sheetName val="2021 PM"/>
      <sheetName val="2022 P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9">
          <cell r="J9" t="str">
            <v>18/06/2018 to 31/12/2018</v>
          </cell>
        </row>
        <row r="10">
          <cell r="J10" t="str">
            <v>01/01/2019 to 31/12/2019</v>
          </cell>
        </row>
        <row r="11">
          <cell r="J11" t="str">
            <v>01/01/2020 to 31/12/2020</v>
          </cell>
        </row>
        <row r="12">
          <cell r="J12" t="str">
            <v>01/01/2021 to 31/12/2021</v>
          </cell>
        </row>
        <row r="13">
          <cell r="J13" t="str">
            <v>01/01/2022 to 31/12/2022</v>
          </cell>
        </row>
        <row r="14">
          <cell r="J14" t="str">
            <v>01/01/2023 to 31/12/2023</v>
          </cell>
        </row>
        <row r="15">
          <cell r="J15" t="str">
            <v>01/01/2024 to 31/12/2024</v>
          </cell>
        </row>
        <row r="16">
          <cell r="J16" t="str">
            <v>01/01/2025 to 31/12/2025</v>
          </cell>
        </row>
        <row r="17">
          <cell r="J17" t="str">
            <v>01/01/2026 to 31/12/2026</v>
          </cell>
        </row>
        <row r="18">
          <cell r="J18" t="str">
            <v>01/01/2027 to 31/12/2027</v>
          </cell>
        </row>
        <row r="19">
          <cell r="J19" t="str">
            <v>01/01/2028 to 31/12/2028</v>
          </cell>
        </row>
        <row r="20">
          <cell r="J20" t="str">
            <v>01/01/2029 to 31/12/2029</v>
          </cell>
        </row>
        <row r="21">
          <cell r="J21" t="str">
            <v>01/01/2030 to 31/12/2030</v>
          </cell>
        </row>
        <row r="22">
          <cell r="J22" t="str">
            <v>01/01/2031 to 31/12/2031</v>
          </cell>
        </row>
        <row r="23">
          <cell r="J23" t="str">
            <v>01/01/2032 to 31/12/2032</v>
          </cell>
        </row>
        <row r="24">
          <cell r="J24" t="str">
            <v>01/01/2033 to 31/12/2033</v>
          </cell>
        </row>
        <row r="25">
          <cell r="J25" t="str">
            <v>01/01/2034 to 31/12/2034</v>
          </cell>
        </row>
        <row r="26">
          <cell r="J26" t="str">
            <v>01/01/2035 to 31/12/2035</v>
          </cell>
        </row>
        <row r="27">
          <cell r="J27" t="str">
            <v>01/01/2036 to 31/12/2036</v>
          </cell>
        </row>
        <row r="28">
          <cell r="J28" t="str">
            <v>01/01/2037 to 31/12/2037</v>
          </cell>
        </row>
        <row r="29">
          <cell r="J29" t="str">
            <v>01/01/2038 to 31/12/2038</v>
          </cell>
        </row>
        <row r="30">
          <cell r="J30" t="str">
            <v>01/01/2039 to 31/12/2039</v>
          </cell>
        </row>
        <row r="31">
          <cell r="J31" t="str">
            <v>01/01/2040 to 31/12/2040</v>
          </cell>
        </row>
        <row r="32">
          <cell r="J32" t="str">
            <v>01/01/2041 to 31/12/2041</v>
          </cell>
        </row>
        <row r="33">
          <cell r="J33" t="str">
            <v>01/01/2042 to 31/12/2042</v>
          </cell>
        </row>
        <row r="34">
          <cell r="J34" t="str">
            <v>01/01/2043 to 31/12/2043</v>
          </cell>
        </row>
        <row r="35">
          <cell r="J35" t="str">
            <v>01/01/2044 to 31/12/2044</v>
          </cell>
        </row>
        <row r="36">
          <cell r="J36" t="str">
            <v>01/01/2045 to 31/12/2045</v>
          </cell>
        </row>
        <row r="37">
          <cell r="J37" t="str">
            <v>01/01/2046 to 31/12/2046</v>
          </cell>
        </row>
        <row r="38">
          <cell r="J38" t="str">
            <v>01/01/2047 to 31/12/2047</v>
          </cell>
        </row>
        <row r="39">
          <cell r="J39" t="str">
            <v>01/01/2048 to 31/12/2048</v>
          </cell>
        </row>
        <row r="40">
          <cell r="J40" t="str">
            <v>01/01/2049 to 31/12/2049</v>
          </cell>
        </row>
        <row r="41">
          <cell r="J41" t="str">
            <v>01/01/2050 to 31/12/2050</v>
          </cell>
        </row>
        <row r="42">
          <cell r="J42" t="str">
            <v>01/01/2051 to 31/12/2051</v>
          </cell>
        </row>
        <row r="43">
          <cell r="J43" t="str">
            <v>01/01/2052 to 17/06/2052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Relationship Id="rId6" Type="http://schemas.openxmlformats.org/officeDocument/2006/relationships/comments" Target="../comments10.xml"/><Relationship Id="rId5" Type="http://schemas.openxmlformats.org/officeDocument/2006/relationships/image" Target="../media/image1.emf"/><Relationship Id="rId4" Type="http://schemas.openxmlformats.org/officeDocument/2006/relationships/package" Target="../embeddings/Microsoft_Excel_Worksheet8.xlsx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hyperlink" Target="https://oar.icrisat.org/6817/1/CurrentSc_104_10_1308-1323_2013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2.xml"/><Relationship Id="rId5" Type="http://schemas.openxmlformats.org/officeDocument/2006/relationships/image" Target="../media/image1.emf"/><Relationship Id="rId4" Type="http://schemas.openxmlformats.org/officeDocument/2006/relationships/package" Target="../embeddings/Microsoft_Excel_Worksheet.xlsx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3.xml"/><Relationship Id="rId5" Type="http://schemas.openxmlformats.org/officeDocument/2006/relationships/image" Target="../media/image1.emf"/><Relationship Id="rId4" Type="http://schemas.openxmlformats.org/officeDocument/2006/relationships/package" Target="../embeddings/Microsoft_Excel_Worksheet1.xlsx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4.xml"/><Relationship Id="rId5" Type="http://schemas.openxmlformats.org/officeDocument/2006/relationships/image" Target="../media/image1.emf"/><Relationship Id="rId4" Type="http://schemas.openxmlformats.org/officeDocument/2006/relationships/package" Target="../embeddings/Microsoft_Excel_Worksheet2.xlsx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Excel_Worksheet3.xlsx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4.xml"/><Relationship Id="rId5" Type="http://schemas.openxmlformats.org/officeDocument/2006/relationships/comments" Target="../comments5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6.xml"/><Relationship Id="rId5" Type="http://schemas.openxmlformats.org/officeDocument/2006/relationships/image" Target="../media/image1.emf"/><Relationship Id="rId4" Type="http://schemas.openxmlformats.org/officeDocument/2006/relationships/package" Target="../embeddings/Microsoft_Excel_Worksheet4.xlsx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7.xml"/><Relationship Id="rId5" Type="http://schemas.openxmlformats.org/officeDocument/2006/relationships/image" Target="../media/image1.emf"/><Relationship Id="rId4" Type="http://schemas.openxmlformats.org/officeDocument/2006/relationships/package" Target="../embeddings/Microsoft_Excel_Worksheet5.xls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6" Type="http://schemas.openxmlformats.org/officeDocument/2006/relationships/comments" Target="../comments8.xml"/><Relationship Id="rId5" Type="http://schemas.openxmlformats.org/officeDocument/2006/relationships/image" Target="../media/image1.emf"/><Relationship Id="rId4" Type="http://schemas.openxmlformats.org/officeDocument/2006/relationships/package" Target="../embeddings/Microsoft_Excel_Worksheet6.xlsx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Excel_Worksheet7.xlsx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8.xml"/><Relationship Id="rId5" Type="http://schemas.openxmlformats.org/officeDocument/2006/relationships/comments" Target="../comments9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EF292-8095-41E1-9924-373A6AA8286C}">
  <sheetPr codeName="Sheet1"/>
  <dimension ref="A1:G34"/>
  <sheetViews>
    <sheetView zoomScale="67" zoomScaleNormal="78" workbookViewId="0">
      <selection activeCell="H29" sqref="H29"/>
    </sheetView>
  </sheetViews>
  <sheetFormatPr defaultRowHeight="15"/>
  <cols>
    <col min="1" max="1" width="37.7109375" style="2" customWidth="1"/>
    <col min="2" max="2" width="48" style="2" customWidth="1"/>
    <col min="3" max="3" width="58.5703125" style="14" customWidth="1"/>
    <col min="4" max="4" width="15.42578125" style="2" bestFit="1" customWidth="1"/>
    <col min="5" max="5" width="30.7109375" style="2" bestFit="1" customWidth="1"/>
    <col min="6" max="6" width="34.85546875" style="2" bestFit="1" customWidth="1"/>
    <col min="7" max="7" width="18.85546875" style="2" customWidth="1"/>
    <col min="8" max="8" width="12.140625" style="2" bestFit="1" customWidth="1"/>
    <col min="9" max="9" width="11.28515625" style="2" bestFit="1" customWidth="1"/>
    <col min="10" max="16384" width="9.140625" style="2"/>
  </cols>
  <sheetData>
    <row r="1" spans="1:6">
      <c r="A1" s="49" t="s">
        <v>0</v>
      </c>
      <c r="B1" s="49" t="s">
        <v>1</v>
      </c>
      <c r="C1" s="49" t="s">
        <v>2</v>
      </c>
    </row>
    <row r="2" spans="1:6" ht="44.25" customHeight="1">
      <c r="A2" s="104" t="s">
        <v>3</v>
      </c>
      <c r="B2" s="107" t="s">
        <v>4</v>
      </c>
      <c r="C2" s="107" t="s">
        <v>5</v>
      </c>
    </row>
    <row r="3" spans="1:6" ht="15" hidden="1" customHeight="1">
      <c r="A3" s="105"/>
      <c r="B3" s="108"/>
      <c r="C3" s="108"/>
    </row>
    <row r="4" spans="1:6" ht="15" hidden="1" customHeight="1">
      <c r="A4" s="105"/>
      <c r="B4" s="108"/>
      <c r="C4" s="108"/>
    </row>
    <row r="5" spans="1:6" ht="15" hidden="1" customHeight="1">
      <c r="A5" s="105"/>
      <c r="B5" s="108"/>
      <c r="C5" s="108"/>
    </row>
    <row r="6" spans="1:6" ht="30" customHeight="1">
      <c r="A6" s="105"/>
      <c r="B6" s="108"/>
      <c r="C6" s="108"/>
    </row>
    <row r="7" spans="1:6">
      <c r="A7" s="106"/>
      <c r="B7" s="109"/>
      <c r="C7" s="109"/>
    </row>
    <row r="8" spans="1:6" ht="15" customHeight="1">
      <c r="A8" s="104" t="s">
        <v>6</v>
      </c>
      <c r="B8" s="107" t="s">
        <v>7</v>
      </c>
      <c r="C8" s="110" t="s">
        <v>8</v>
      </c>
    </row>
    <row r="9" spans="1:6">
      <c r="A9" s="106"/>
      <c r="B9" s="109"/>
      <c r="C9" s="110"/>
    </row>
    <row r="10" spans="1:6" ht="30" customHeight="1">
      <c r="A10" s="104" t="s">
        <v>9</v>
      </c>
      <c r="B10" s="107" t="s">
        <v>10</v>
      </c>
      <c r="C10" s="107" t="s">
        <v>11</v>
      </c>
    </row>
    <row r="11" spans="1:6">
      <c r="A11" s="106"/>
      <c r="B11" s="109"/>
      <c r="C11" s="109"/>
    </row>
    <row r="12" spans="1:6" ht="15" customHeight="1">
      <c r="A12" s="111" t="s">
        <v>12</v>
      </c>
      <c r="B12" s="110" t="s">
        <v>13</v>
      </c>
      <c r="C12" s="110" t="s">
        <v>14</v>
      </c>
    </row>
    <row r="13" spans="1:6">
      <c r="A13" s="111"/>
      <c r="B13" s="110"/>
      <c r="C13" s="110"/>
    </row>
    <row r="14" spans="1:6">
      <c r="C14" s="15"/>
    </row>
    <row r="16" spans="1:6">
      <c r="A16" s="47"/>
      <c r="B16" s="48"/>
      <c r="C16" s="48"/>
      <c r="D16" s="48"/>
      <c r="E16" s="48"/>
      <c r="F16" s="48"/>
    </row>
    <row r="17" spans="1:7">
      <c r="A17" s="112" t="s">
        <v>15</v>
      </c>
      <c r="B17" s="113"/>
      <c r="C17" s="113"/>
      <c r="D17" s="113"/>
      <c r="E17" s="114"/>
    </row>
    <row r="18" spans="1:7" ht="17.25">
      <c r="A18" s="84" t="s">
        <v>16</v>
      </c>
      <c r="B18" s="84" t="s">
        <v>17</v>
      </c>
      <c r="C18" s="82" t="s">
        <v>18</v>
      </c>
      <c r="D18" s="82" t="s">
        <v>6</v>
      </c>
      <c r="E18" s="82" t="s">
        <v>19</v>
      </c>
    </row>
    <row r="19" spans="1:7">
      <c r="A19" s="85" t="s">
        <v>20</v>
      </c>
      <c r="B19" s="86">
        <v>0.25</v>
      </c>
      <c r="C19" s="86">
        <v>0.47</v>
      </c>
      <c r="D19" s="87">
        <v>0.04</v>
      </c>
      <c r="E19" s="87">
        <v>0.02</v>
      </c>
    </row>
    <row r="20" spans="1:7">
      <c r="A20" s="85" t="s">
        <v>21</v>
      </c>
      <c r="B20" s="86">
        <v>0.25</v>
      </c>
      <c r="C20" s="86">
        <v>0.47</v>
      </c>
      <c r="D20" s="87">
        <v>0.04</v>
      </c>
      <c r="E20" s="87">
        <v>0.02</v>
      </c>
    </row>
    <row r="21" spans="1:7">
      <c r="A21" s="85" t="s">
        <v>22</v>
      </c>
      <c r="B21" s="88">
        <v>0.25</v>
      </c>
      <c r="C21" s="86">
        <v>0.47</v>
      </c>
      <c r="D21" s="87">
        <v>0.04</v>
      </c>
      <c r="E21" s="87">
        <v>0.02</v>
      </c>
    </row>
    <row r="22" spans="1:7">
      <c r="A22" s="85" t="s">
        <v>23</v>
      </c>
      <c r="B22" s="88">
        <v>0.25</v>
      </c>
      <c r="C22" s="86">
        <v>0.47</v>
      </c>
      <c r="D22" s="87">
        <v>0.04</v>
      </c>
      <c r="E22" s="87">
        <v>0.02</v>
      </c>
    </row>
    <row r="23" spans="1:7" s="32" customFormat="1">
      <c r="A23" s="31"/>
      <c r="B23" s="31"/>
      <c r="C23" s="31"/>
      <c r="D23" s="31"/>
      <c r="E23" s="31"/>
      <c r="F23" s="31"/>
    </row>
    <row r="24" spans="1:7" s="32" customFormat="1">
      <c r="A24" s="33"/>
      <c r="B24" s="19"/>
      <c r="C24" s="20"/>
      <c r="D24" s="19"/>
      <c r="E24" s="19"/>
      <c r="F24" s="18"/>
    </row>
    <row r="25" spans="1:7" s="32" customFormat="1">
      <c r="B25" s="19"/>
      <c r="C25" s="20"/>
      <c r="D25" s="19"/>
      <c r="E25" s="19"/>
      <c r="F25" s="18"/>
    </row>
    <row r="26" spans="1:7" ht="17.25" customHeight="1"/>
    <row r="27" spans="1:7" s="23" customFormat="1" ht="18.75">
      <c r="A27" s="26"/>
      <c r="B27" s="115" t="s">
        <v>24</v>
      </c>
      <c r="C27" s="115"/>
      <c r="D27" s="115"/>
      <c r="E27" s="115"/>
      <c r="F27" s="115"/>
      <c r="G27" s="21" t="s">
        <v>25</v>
      </c>
    </row>
    <row r="28" spans="1:7" s="23" customFormat="1" ht="18.75">
      <c r="A28" s="26"/>
      <c r="B28" s="89">
        <v>2018</v>
      </c>
      <c r="C28" s="89">
        <v>2019</v>
      </c>
      <c r="D28" s="89">
        <v>2020</v>
      </c>
      <c r="E28" s="89">
        <v>2021</v>
      </c>
      <c r="F28" s="89">
        <v>2022</v>
      </c>
      <c r="G28" s="22"/>
    </row>
    <row r="29" spans="1:7" s="24" customFormat="1" ht="18.75">
      <c r="A29" s="27" t="s">
        <v>26</v>
      </c>
      <c r="B29" s="22"/>
      <c r="C29" s="25"/>
      <c r="D29" s="22"/>
      <c r="E29" s="22"/>
      <c r="F29" s="22"/>
      <c r="G29" s="22"/>
    </row>
    <row r="30" spans="1:7" s="24" customFormat="1" ht="18.75">
      <c r="A30" s="27" t="s">
        <v>27</v>
      </c>
      <c r="B30" s="37">
        <v>169.72824904353962</v>
      </c>
      <c r="C30" s="37">
        <v>148.30789439737356</v>
      </c>
      <c r="D30" s="37">
        <v>110.97637684411472</v>
      </c>
      <c r="E30" s="37">
        <v>14.26018630932067</v>
      </c>
      <c r="F30" s="37">
        <v>21.351872195351167</v>
      </c>
      <c r="G30" s="37">
        <f>SUM(B30:F30)</f>
        <v>464.62457878969974</v>
      </c>
    </row>
    <row r="31" spans="1:7" s="24" customFormat="1" ht="18.75">
      <c r="A31" s="27" t="s">
        <v>28</v>
      </c>
      <c r="B31" s="37">
        <v>12.840993270003771</v>
      </c>
      <c r="C31" s="37">
        <v>0</v>
      </c>
      <c r="D31" s="37">
        <v>0</v>
      </c>
      <c r="E31" s="37">
        <v>0</v>
      </c>
      <c r="F31" s="37">
        <v>0</v>
      </c>
      <c r="G31" s="37">
        <f>SUM(B31:F31)</f>
        <v>12.840993270003771</v>
      </c>
    </row>
    <row r="32" spans="1:7" s="24" customFormat="1" ht="18.75">
      <c r="A32" s="27" t="s">
        <v>29</v>
      </c>
      <c r="B32" s="37">
        <v>12.165999846688401</v>
      </c>
      <c r="C32" s="37">
        <v>1.082210688821696</v>
      </c>
      <c r="D32" s="37">
        <v>0</v>
      </c>
      <c r="E32" s="37">
        <v>0</v>
      </c>
      <c r="F32" s="37">
        <v>0</v>
      </c>
      <c r="G32" s="37">
        <f>SUM(B32:F32)</f>
        <v>13.248210535510097</v>
      </c>
    </row>
    <row r="33" spans="1:7" s="24" customFormat="1" ht="18.75">
      <c r="A33" s="27" t="s">
        <v>30</v>
      </c>
      <c r="B33" s="37">
        <v>0</v>
      </c>
      <c r="C33" s="37">
        <v>11.79733867792535</v>
      </c>
      <c r="D33" s="37">
        <v>0</v>
      </c>
      <c r="E33" s="37">
        <v>0</v>
      </c>
      <c r="F33" s="37">
        <v>0</v>
      </c>
      <c r="G33" s="37">
        <f>SUM(B33:F33)</f>
        <v>11.79733867792535</v>
      </c>
    </row>
    <row r="34" spans="1:7" s="24" customFormat="1" ht="18.75">
      <c r="A34" s="27" t="s">
        <v>25</v>
      </c>
      <c r="B34" s="93">
        <f t="shared" ref="B34:F34" si="0">SUM(B30:B33)</f>
        <v>194.73524216023179</v>
      </c>
      <c r="C34" s="93">
        <f t="shared" si="0"/>
        <v>161.18744376412062</v>
      </c>
      <c r="D34" s="93">
        <f t="shared" si="0"/>
        <v>110.97637684411472</v>
      </c>
      <c r="E34" s="93">
        <f t="shared" si="0"/>
        <v>14.26018630932067</v>
      </c>
      <c r="F34" s="93">
        <f t="shared" si="0"/>
        <v>21.351872195351167</v>
      </c>
      <c r="G34" s="30">
        <f>SUM(B34:F34)</f>
        <v>502.511121273139</v>
      </c>
    </row>
  </sheetData>
  <mergeCells count="14">
    <mergeCell ref="A17:E17"/>
    <mergeCell ref="B27:F27"/>
    <mergeCell ref="B8:B9"/>
    <mergeCell ref="A8:A9"/>
    <mergeCell ref="C8:C9"/>
    <mergeCell ref="A2:A7"/>
    <mergeCell ref="B2:B7"/>
    <mergeCell ref="C2:C7"/>
    <mergeCell ref="C10:C11"/>
    <mergeCell ref="C12:C13"/>
    <mergeCell ref="A12:A13"/>
    <mergeCell ref="B12:B13"/>
    <mergeCell ref="B10:B11"/>
    <mergeCell ref="A10:A11"/>
  </mergeCell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F3A02-168D-4927-BCEA-E01C3F652FA9}">
  <sheetPr codeName="Sheet10">
    <tabColor theme="1"/>
  </sheetPr>
  <dimension ref="A1:X41"/>
  <sheetViews>
    <sheetView topLeftCell="A9" zoomScaleNormal="100" workbookViewId="0">
      <selection activeCell="H22" sqref="H22"/>
    </sheetView>
  </sheetViews>
  <sheetFormatPr defaultRowHeight="15"/>
  <cols>
    <col min="2" max="2" width="26.5703125" customWidth="1"/>
    <col min="3" max="3" width="13.42578125" customWidth="1"/>
    <col min="4" max="4" width="19.7109375" customWidth="1"/>
    <col min="6" max="6" width="14.5703125" customWidth="1"/>
    <col min="8" max="8" width="13.5703125" customWidth="1"/>
    <col min="12" max="12" width="22.42578125" bestFit="1" customWidth="1"/>
    <col min="13" max="13" width="13" customWidth="1"/>
    <col min="14" max="14" width="13.5703125" customWidth="1"/>
    <col min="15" max="15" width="16.42578125" customWidth="1"/>
    <col min="16" max="16" width="17" customWidth="1"/>
    <col min="17" max="17" width="15.5703125" bestFit="1" customWidth="1"/>
    <col min="18" max="18" width="14.42578125" bestFit="1" customWidth="1"/>
    <col min="19" max="19" width="20.28515625" customWidth="1"/>
    <col min="20" max="20" width="20.5703125" customWidth="1"/>
    <col min="21" max="21" width="26.140625" customWidth="1"/>
    <col min="22" max="22" width="21.140625" customWidth="1"/>
    <col min="23" max="23" width="28.140625" customWidth="1"/>
    <col min="24" max="24" width="19.140625" customWidth="1"/>
  </cols>
  <sheetData>
    <row r="1" spans="1:24" ht="30.75">
      <c r="O1" s="81" t="s">
        <v>31</v>
      </c>
      <c r="P1" s="82" t="s">
        <v>32</v>
      </c>
      <c r="Q1" s="82" t="s">
        <v>33</v>
      </c>
    </row>
    <row r="2" spans="1:24">
      <c r="O2" s="16">
        <v>0.47</v>
      </c>
      <c r="P2" s="17">
        <v>0.04</v>
      </c>
      <c r="Q2" s="17">
        <v>0.02</v>
      </c>
    </row>
    <row r="5" spans="1:24">
      <c r="A5" s="138" t="s">
        <v>34</v>
      </c>
      <c r="B5" s="138"/>
      <c r="C5" s="138"/>
      <c r="D5" s="138"/>
      <c r="E5" s="138"/>
      <c r="F5" s="138"/>
      <c r="G5" s="138"/>
      <c r="H5" s="138"/>
    </row>
    <row r="6" spans="1:24" ht="45">
      <c r="A6" s="50" t="s">
        <v>35</v>
      </c>
      <c r="B6" s="50" t="s">
        <v>36</v>
      </c>
      <c r="C6" s="50" t="s">
        <v>37</v>
      </c>
      <c r="D6" s="79" t="s">
        <v>38</v>
      </c>
      <c r="E6" s="50" t="s">
        <v>122</v>
      </c>
      <c r="F6" s="50" t="s">
        <v>37</v>
      </c>
      <c r="G6" s="50" t="s">
        <v>122</v>
      </c>
      <c r="H6" s="50" t="s">
        <v>37</v>
      </c>
      <c r="K6" s="119" t="s">
        <v>115</v>
      </c>
      <c r="L6" s="120"/>
      <c r="M6" s="120"/>
      <c r="N6" s="121"/>
      <c r="O6" s="117" t="s">
        <v>41</v>
      </c>
      <c r="P6" s="122" t="s">
        <v>100</v>
      </c>
      <c r="Q6" s="122" t="s">
        <v>101</v>
      </c>
      <c r="R6" s="117" t="s">
        <v>102</v>
      </c>
      <c r="S6" s="122" t="s">
        <v>103</v>
      </c>
      <c r="T6" s="122" t="s">
        <v>46</v>
      </c>
      <c r="U6" s="122" t="s">
        <v>47</v>
      </c>
      <c r="V6" s="117" t="s">
        <v>104</v>
      </c>
      <c r="W6" s="122" t="s">
        <v>105</v>
      </c>
      <c r="X6" s="117" t="s">
        <v>50</v>
      </c>
    </row>
    <row r="7" spans="1:24">
      <c r="A7" s="51"/>
      <c r="B7" s="52">
        <v>0</v>
      </c>
      <c r="C7" s="52">
        <v>0</v>
      </c>
      <c r="D7" s="124"/>
      <c r="E7" s="37">
        <v>0.53846153846153799</v>
      </c>
      <c r="F7" s="53">
        <v>0</v>
      </c>
      <c r="G7" s="53">
        <v>0</v>
      </c>
      <c r="H7" s="53">
        <v>0</v>
      </c>
      <c r="K7" s="117" t="s">
        <v>51</v>
      </c>
      <c r="L7" s="117" t="s">
        <v>52</v>
      </c>
      <c r="M7" s="117" t="s">
        <v>53</v>
      </c>
      <c r="N7" s="77"/>
      <c r="O7" s="123"/>
      <c r="P7" s="122"/>
      <c r="Q7" s="122"/>
      <c r="R7" s="123"/>
      <c r="S7" s="122"/>
      <c r="T7" s="122"/>
      <c r="U7" s="122"/>
      <c r="V7" s="123"/>
      <c r="W7" s="122" t="s">
        <v>55</v>
      </c>
      <c r="X7" s="123"/>
    </row>
    <row r="8" spans="1:24">
      <c r="A8" s="51" t="s">
        <v>56</v>
      </c>
      <c r="B8" s="37">
        <f>'2021 PM (MAI)'!B8</f>
        <v>2.2082191780821914</v>
      </c>
      <c r="C8" s="54">
        <v>9.8368636984050504</v>
      </c>
      <c r="D8" s="125"/>
      <c r="E8" s="37">
        <f>1+E7</f>
        <v>1.5384615384615379</v>
      </c>
      <c r="F8" s="54">
        <v>0</v>
      </c>
      <c r="G8" s="37">
        <v>1</v>
      </c>
      <c r="H8" s="37">
        <v>0</v>
      </c>
      <c r="K8" s="118"/>
      <c r="L8" s="118"/>
      <c r="M8" s="118"/>
      <c r="N8" s="78" t="s">
        <v>54</v>
      </c>
      <c r="O8" s="118"/>
      <c r="P8" s="122"/>
      <c r="Q8" s="122"/>
      <c r="R8" s="118"/>
      <c r="S8" s="122"/>
      <c r="T8" s="122"/>
      <c r="U8" s="122"/>
      <c r="V8" s="118"/>
      <c r="W8" s="122"/>
      <c r="X8" s="118"/>
    </row>
    <row r="9" spans="1:24" ht="15" customHeight="1">
      <c r="A9" s="51" t="s">
        <v>57</v>
      </c>
      <c r="B9" s="37">
        <f>'2021 PM (MAI)'!B9</f>
        <v>3.2082191780821914</v>
      </c>
      <c r="C9" s="37">
        <v>24.637416774964301</v>
      </c>
      <c r="D9" s="125"/>
      <c r="E9" s="37">
        <f t="shared" ref="E9" si="0">1+E8</f>
        <v>2.5384615384615379</v>
      </c>
      <c r="F9" s="37">
        <f>TREND(C7:C8,B7:B8,E9,TRUE)</f>
        <v>11.307980840550567</v>
      </c>
      <c r="G9" s="37">
        <v>2</v>
      </c>
      <c r="H9" s="37">
        <v>0</v>
      </c>
      <c r="K9" s="3">
        <f>'2021 PM (MAI)'!J9</f>
        <v>1</v>
      </c>
      <c r="L9" s="44" t="str">
        <f>'2021 PM (MAI)'!K10</f>
        <v>01/01/2022 to 31/12/2022</v>
      </c>
      <c r="M9" s="37">
        <f>H8</f>
        <v>0</v>
      </c>
      <c r="N9" s="135" t="s">
        <v>112</v>
      </c>
      <c r="O9" s="37"/>
      <c r="P9" s="37"/>
      <c r="Q9" s="37">
        <f>P9*$P$2</f>
        <v>0</v>
      </c>
      <c r="R9" s="37"/>
      <c r="S9" s="37">
        <f>SUM(P9:R9)</f>
        <v>0</v>
      </c>
      <c r="T9" s="37">
        <f>S9</f>
        <v>0</v>
      </c>
      <c r="U9" s="37">
        <f>Baseline!L7</f>
        <v>0</v>
      </c>
      <c r="V9" s="37">
        <f>Leakage!L8</f>
        <v>0</v>
      </c>
      <c r="W9" s="37">
        <f>S9-U9-V9</f>
        <v>0</v>
      </c>
      <c r="X9" s="37">
        <f>W9</f>
        <v>0</v>
      </c>
    </row>
    <row r="10" spans="1:24">
      <c r="A10" s="51" t="s">
        <v>60</v>
      </c>
      <c r="B10" s="37">
        <f>'2021 PM (MAI)'!B10</f>
        <v>4.2082191780821914</v>
      </c>
      <c r="C10" s="37">
        <v>26.234077947684799</v>
      </c>
      <c r="D10" s="125"/>
      <c r="E10" s="37">
        <f>1+E9</f>
        <v>3.5384615384615379</v>
      </c>
      <c r="F10" s="37">
        <f>TREND(C9:C10,B9:B10,E10,TRUE)</f>
        <v>25.164701929369578</v>
      </c>
      <c r="G10" s="37">
        <v>3</v>
      </c>
      <c r="H10" s="37">
        <f>TREND(C8:C9,B8:B9,G10,TRUE)</f>
        <v>21.555657778201279</v>
      </c>
      <c r="K10" s="3">
        <f>'2021 PM (MAI)'!J10</f>
        <v>2</v>
      </c>
      <c r="L10" s="44" t="str">
        <f>'2021 PM (MAI)'!K11</f>
        <v>01/01/2023 to 31/12/2023</v>
      </c>
      <c r="M10" s="37">
        <f t="shared" ref="M10:M23" si="1">H9</f>
        <v>0</v>
      </c>
      <c r="N10" s="136"/>
      <c r="O10" s="37">
        <f>M10*Overview!$F$30</f>
        <v>0</v>
      </c>
      <c r="P10" s="37">
        <f>O10*$O$2*3.67</f>
        <v>0</v>
      </c>
      <c r="Q10" s="37">
        <f>P10*$P$2</f>
        <v>0</v>
      </c>
      <c r="R10" s="37">
        <f>P10*$Q$2</f>
        <v>0</v>
      </c>
      <c r="S10" s="37">
        <f t="shared" ref="S10:S39" si="2">SUM(P10:R10)</f>
        <v>0</v>
      </c>
      <c r="T10" s="37">
        <f>S10-S9</f>
        <v>0</v>
      </c>
      <c r="U10" s="37">
        <f>Baseline!L8</f>
        <v>0</v>
      </c>
      <c r="V10" s="37">
        <f>Leakage!L9</f>
        <v>0</v>
      </c>
      <c r="W10" s="37">
        <f t="shared" ref="W10:W39" si="3">S10-U10-V10</f>
        <v>0</v>
      </c>
      <c r="X10" s="37">
        <f>W10-W9</f>
        <v>0</v>
      </c>
    </row>
    <row r="11" spans="1:24">
      <c r="A11" s="51" t="s">
        <v>62</v>
      </c>
      <c r="B11" s="37">
        <f>'2021 PM (MAI)'!B11</f>
        <v>5.2082191780821914</v>
      </c>
      <c r="C11" s="37">
        <v>38.666798304946994</v>
      </c>
      <c r="D11" s="125"/>
      <c r="E11" s="37">
        <f t="shared" ref="E11:E21" si="4">1+E10</f>
        <v>4.5384615384615383</v>
      </c>
      <c r="F11" s="37">
        <f>TREND(C10:C11,B10:B11,E11,TRUE)</f>
        <v>30.33988886440342</v>
      </c>
      <c r="G11" s="37">
        <v>4</v>
      </c>
      <c r="H11" s="37">
        <f>TREND(C9:C10,B9:B10,G11,TRUE)</f>
        <v>25.901622470625192</v>
      </c>
      <c r="K11" s="3">
        <f>'2021 PM (MAI)'!J11</f>
        <v>3</v>
      </c>
      <c r="L11" s="44" t="str">
        <f>'2021 PM (MAI)'!K12</f>
        <v>01/01/2024 to 31/12/2024</v>
      </c>
      <c r="M11" s="37">
        <f t="shared" si="1"/>
        <v>21.555657778201279</v>
      </c>
      <c r="N11" s="136"/>
      <c r="O11" s="37">
        <f>M11*Overview!$F$30</f>
        <v>460.25364996688103</v>
      </c>
      <c r="P11" s="37">
        <f t="shared" ref="P11:P14" si="5">O11*$O$2*3.67</f>
        <v>793.89152082787302</v>
      </c>
      <c r="Q11" s="37">
        <f t="shared" ref="Q11:Q39" si="6">P11*$P$2</f>
        <v>31.75566083311492</v>
      </c>
      <c r="R11" s="37">
        <f t="shared" ref="R11:R39" si="7">P11*$Q$2</f>
        <v>15.87783041655746</v>
      </c>
      <c r="S11" s="37">
        <f t="shared" si="2"/>
        <v>841.5250120775454</v>
      </c>
      <c r="T11" s="37">
        <f t="shared" ref="T11:T39" si="8">S11-S10</f>
        <v>841.5250120775454</v>
      </c>
      <c r="U11" s="37">
        <f>Baseline!L9</f>
        <v>0</v>
      </c>
      <c r="V11" s="37">
        <f>Leakage!L10</f>
        <v>0</v>
      </c>
      <c r="W11" s="37">
        <f t="shared" si="3"/>
        <v>841.5250120775454</v>
      </c>
      <c r="X11" s="37">
        <f>W11-W10</f>
        <v>841.5250120775454</v>
      </c>
    </row>
    <row r="12" spans="1:24">
      <c r="A12" s="51" t="s">
        <v>64</v>
      </c>
      <c r="B12" s="37">
        <f>'2021 PM (MAI)'!B12</f>
        <v>5.7479452054794518</v>
      </c>
      <c r="C12" s="37">
        <v>61.938115801516687</v>
      </c>
      <c r="D12" s="126"/>
      <c r="E12" s="37">
        <f t="shared" si="4"/>
        <v>5.5384615384615383</v>
      </c>
      <c r="F12" s="37">
        <f>TREND(C11:C12,B11:B12,E12,TRUE)</f>
        <v>52.905827792305359</v>
      </c>
      <c r="G12" s="37">
        <v>5</v>
      </c>
      <c r="H12" s="37">
        <f>TREND(C10:C11,B10:B11,G12,TRUE)</f>
        <v>36.078067490832133</v>
      </c>
      <c r="K12" s="3">
        <f>'2021 PM (MAI)'!J12</f>
        <v>4</v>
      </c>
      <c r="L12" s="44" t="str">
        <f>'2021 PM (MAI)'!K13</f>
        <v>01/01/2025 to 31/12/2025</v>
      </c>
      <c r="M12" s="37">
        <f t="shared" si="1"/>
        <v>25.901622470625192</v>
      </c>
      <c r="N12" s="136"/>
      <c r="O12" s="37">
        <f>M12*Overview!$F$30</f>
        <v>553.04813264502502</v>
      </c>
      <c r="P12" s="37">
        <f t="shared" si="5"/>
        <v>953.9527239994037</v>
      </c>
      <c r="Q12" s="37">
        <f t="shared" si="6"/>
        <v>38.158108959976147</v>
      </c>
      <c r="R12" s="37">
        <f t="shared" si="7"/>
        <v>19.079054479988073</v>
      </c>
      <c r="S12" s="37">
        <f t="shared" si="2"/>
        <v>1011.1898874393679</v>
      </c>
      <c r="T12" s="37">
        <f t="shared" si="8"/>
        <v>169.66487536182251</v>
      </c>
      <c r="U12" s="37">
        <f>Baseline!L10</f>
        <v>0</v>
      </c>
      <c r="V12" s="37">
        <f>Leakage!L11</f>
        <v>0</v>
      </c>
      <c r="W12" s="37">
        <f t="shared" si="3"/>
        <v>1011.1898874393679</v>
      </c>
      <c r="X12" s="37">
        <f t="shared" ref="X12:X17" si="9">W12-W11</f>
        <v>169.66487536182251</v>
      </c>
    </row>
    <row r="13" spans="1:24">
      <c r="A13" s="51"/>
      <c r="B13" s="51"/>
      <c r="C13" s="51"/>
      <c r="D13" s="51"/>
      <c r="E13" s="37">
        <f t="shared" si="4"/>
        <v>6.5384615384615383</v>
      </c>
      <c r="F13" s="37">
        <f>TREND(C11:C12,B11:B12,$E$13,TRUE)</f>
        <v>96.022735844325354</v>
      </c>
      <c r="G13" s="37">
        <v>6</v>
      </c>
      <c r="H13" s="37">
        <f>TREND(C11:C12,B11:B12,$G$13,TRUE)</f>
        <v>72.805939200929942</v>
      </c>
      <c r="K13" s="3">
        <f>'2021 PM (MAI)'!J13</f>
        <v>5</v>
      </c>
      <c r="L13" s="44" t="str">
        <f>'2021 PM (MAI)'!K14</f>
        <v>01/01/2026 to 31/12/2026</v>
      </c>
      <c r="M13" s="37">
        <f t="shared" si="1"/>
        <v>36.078067490832133</v>
      </c>
      <c r="N13" s="136"/>
      <c r="O13" s="37">
        <f>M13*Overview!$F$30</f>
        <v>770.33428611950148</v>
      </c>
      <c r="P13" s="37">
        <f t="shared" si="5"/>
        <v>1328.7496101275281</v>
      </c>
      <c r="Q13" s="37">
        <f t="shared" si="6"/>
        <v>53.149984405101122</v>
      </c>
      <c r="R13" s="37">
        <f t="shared" si="7"/>
        <v>26.574992202550561</v>
      </c>
      <c r="S13" s="37">
        <f t="shared" si="2"/>
        <v>1408.4745867351799</v>
      </c>
      <c r="T13" s="37">
        <f t="shared" si="8"/>
        <v>397.28469929581195</v>
      </c>
      <c r="U13" s="37">
        <f>Baseline!L11</f>
        <v>0</v>
      </c>
      <c r="V13" s="37">
        <f>Leakage!L12</f>
        <v>0</v>
      </c>
      <c r="W13" s="37">
        <f t="shared" si="3"/>
        <v>1408.4745867351799</v>
      </c>
      <c r="X13" s="37">
        <f t="shared" si="9"/>
        <v>397.28469929581195</v>
      </c>
    </row>
    <row r="14" spans="1:24">
      <c r="A14" s="51"/>
      <c r="B14" s="51"/>
      <c r="C14" s="51"/>
      <c r="D14" s="51"/>
      <c r="E14" s="37">
        <f t="shared" si="4"/>
        <v>7.5384615384615383</v>
      </c>
      <c r="F14" s="37">
        <f>TREND(F9:F13,E9:E13,E14:$E$22,TRUE)</f>
        <v>102.29941781533644</v>
      </c>
      <c r="G14" s="37">
        <v>7</v>
      </c>
      <c r="H14" s="37">
        <f>TREND(F10:F13,E10:E13,G14:$G$22,TRUE)</f>
        <v>97.231911970336427</v>
      </c>
      <c r="K14" s="3">
        <f>'2021 PM (MAI)'!J14</f>
        <v>6</v>
      </c>
      <c r="L14" s="44" t="str">
        <f>'2021 PM (MAI)'!K15</f>
        <v>01/01/2027 to 31/12/2027</v>
      </c>
      <c r="M14" s="37">
        <f t="shared" si="1"/>
        <v>72.805939200929942</v>
      </c>
      <c r="N14" s="136"/>
      <c r="O14" s="37">
        <f>M14*Overview!$F$30</f>
        <v>1554.5431088807636</v>
      </c>
      <c r="P14" s="37">
        <f t="shared" si="5"/>
        <v>2681.4314085084288</v>
      </c>
      <c r="Q14" s="37">
        <f t="shared" si="6"/>
        <v>107.25725634033715</v>
      </c>
      <c r="R14" s="37">
        <f t="shared" si="7"/>
        <v>53.628628170168575</v>
      </c>
      <c r="S14" s="37">
        <f>SUM(P14:R14)</f>
        <v>2842.3172930189348</v>
      </c>
      <c r="T14" s="37">
        <f t="shared" si="8"/>
        <v>1433.842706283755</v>
      </c>
      <c r="U14" s="37">
        <f>Baseline!L12</f>
        <v>0</v>
      </c>
      <c r="V14" s="37">
        <f>Leakage!L13</f>
        <v>0</v>
      </c>
      <c r="W14" s="37">
        <f>S14-U14-V14</f>
        <v>2842.3172930189348</v>
      </c>
      <c r="X14" s="37">
        <f t="shared" si="9"/>
        <v>1433.842706283755</v>
      </c>
    </row>
    <row r="15" spans="1:24">
      <c r="A15" s="51"/>
      <c r="B15" s="51"/>
      <c r="C15" s="51"/>
      <c r="D15" s="51"/>
      <c r="E15" s="37">
        <f t="shared" si="4"/>
        <v>8.5384615384615383</v>
      </c>
      <c r="F15" s="37">
        <f>TREND(F11:F14,E11:E14,E15:$E$22,TRUE)</f>
        <v>135.14084130529739</v>
      </c>
      <c r="G15" s="37">
        <v>8</v>
      </c>
      <c r="H15" s="37">
        <f>TREND(F11:F14,E11:E14,G15:$G$22,TRUE)</f>
        <v>121.19493004119175</v>
      </c>
      <c r="K15" s="3">
        <f>'2021 PM (MAI)'!J15</f>
        <v>7</v>
      </c>
      <c r="L15" s="44" t="str">
        <f>'2021 PM (MAI)'!K16</f>
        <v>01/01/2028 to 31/12/2028</v>
      </c>
      <c r="M15" s="37">
        <f t="shared" si="1"/>
        <v>97.231911970336427</v>
      </c>
      <c r="N15" s="137"/>
      <c r="O15" s="37">
        <f>M15*Overview!$F$30</f>
        <v>2076.0833577002586</v>
      </c>
      <c r="P15" s="37">
        <f t="shared" ref="P15:P35" si="10">O15*$O$2*3.67</f>
        <v>3581.0361836971761</v>
      </c>
      <c r="Q15" s="37">
        <f t="shared" si="6"/>
        <v>143.24144734788703</v>
      </c>
      <c r="R15" s="37">
        <f t="shared" si="7"/>
        <v>71.620723673943516</v>
      </c>
      <c r="S15" s="37">
        <f t="shared" si="2"/>
        <v>3795.8983547190064</v>
      </c>
      <c r="T15" s="37">
        <f t="shared" si="8"/>
        <v>953.58106170007159</v>
      </c>
      <c r="U15" s="37">
        <f>Baseline!L13</f>
        <v>0</v>
      </c>
      <c r="V15" s="37">
        <f>Leakage!L14</f>
        <v>0</v>
      </c>
      <c r="W15" s="37">
        <f>S15-U15-V15</f>
        <v>3795.8983547190064</v>
      </c>
      <c r="X15" s="37">
        <f t="shared" si="9"/>
        <v>953.58106170007159</v>
      </c>
    </row>
    <row r="16" spans="1:24">
      <c r="A16" s="51"/>
      <c r="B16" s="51"/>
      <c r="C16" s="51"/>
      <c r="D16" s="51"/>
      <c r="E16" s="37">
        <f t="shared" si="4"/>
        <v>9.5384615384615383</v>
      </c>
      <c r="F16" s="37">
        <f>TREND(F12:F15,E12:E15,E16:$E$22,TRUE)</f>
        <v>159.8376363168129</v>
      </c>
      <c r="G16" s="37">
        <v>9</v>
      </c>
      <c r="H16" s="37">
        <f>TREND(F12:F15,E12:E15,G16:$G$22,TRUE)</f>
        <v>146.21554356627516</v>
      </c>
      <c r="K16" s="3">
        <f>'2021 PM (MAI)'!J16</f>
        <v>8</v>
      </c>
      <c r="L16" s="44" t="str">
        <f>'2021 PM (MAI)'!K17</f>
        <v>01/01/2029 to 31/12/2029</v>
      </c>
      <c r="M16" s="37">
        <f t="shared" si="1"/>
        <v>121.19493004119175</v>
      </c>
      <c r="N16" s="37"/>
      <c r="O16" s="37">
        <f>M16*Overview!$F$30</f>
        <v>2587.7386569640521</v>
      </c>
      <c r="P16" s="37">
        <f t="shared" si="10"/>
        <v>4463.5904093972931</v>
      </c>
      <c r="Q16" s="37">
        <f t="shared" si="6"/>
        <v>178.54361637589173</v>
      </c>
      <c r="R16" s="37">
        <f t="shared" si="7"/>
        <v>89.271808187945865</v>
      </c>
      <c r="S16" s="37">
        <f t="shared" si="2"/>
        <v>4731.4058339611302</v>
      </c>
      <c r="T16" s="37">
        <f t="shared" si="8"/>
        <v>935.50747924212374</v>
      </c>
      <c r="U16" s="37">
        <f>Baseline!L14</f>
        <v>0</v>
      </c>
      <c r="V16" s="37">
        <f>Leakage!L15</f>
        <v>0</v>
      </c>
      <c r="W16" s="37">
        <f>S16-U16-V16</f>
        <v>4731.4058339611302</v>
      </c>
      <c r="X16" s="37">
        <f t="shared" si="9"/>
        <v>935.50747924212374</v>
      </c>
    </row>
    <row r="17" spans="1:24">
      <c r="A17" s="51"/>
      <c r="B17" s="51"/>
      <c r="C17" s="51"/>
      <c r="D17" s="51"/>
      <c r="E17" s="37">
        <f t="shared" si="4"/>
        <v>10.538461538461538</v>
      </c>
      <c r="F17" s="37">
        <f>TREND(F13:F16,E13:E16,E17:$E$22,TRUE)</f>
        <v>179.39668904729893</v>
      </c>
      <c r="G17" s="37">
        <v>10</v>
      </c>
      <c r="H17" s="37">
        <f>TREND(F13:F16,E13:E16,G17:$G$22,TRUE)</f>
        <v>167.31974385997611</v>
      </c>
      <c r="K17" s="3">
        <f>'2021 PM (MAI)'!J17</f>
        <v>9</v>
      </c>
      <c r="L17" s="44" t="str">
        <f>'2021 PM (MAI)'!K18</f>
        <v>01/01/2030 to 31/12/2030</v>
      </c>
      <c r="M17" s="37">
        <f t="shared" si="1"/>
        <v>146.21554356627516</v>
      </c>
      <c r="N17" s="37"/>
      <c r="O17" s="37">
        <f>M17*Overview!$F$30</f>
        <v>3121.9755992009077</v>
      </c>
      <c r="P17" s="37">
        <f t="shared" si="10"/>
        <v>5385.0957110616446</v>
      </c>
      <c r="Q17" s="37">
        <f t="shared" si="6"/>
        <v>215.40382844246579</v>
      </c>
      <c r="R17" s="37">
        <f t="shared" si="7"/>
        <v>107.7019142212329</v>
      </c>
      <c r="S17" s="37">
        <f t="shared" si="2"/>
        <v>5708.2014537253435</v>
      </c>
      <c r="T17" s="37">
        <f t="shared" si="8"/>
        <v>976.79561976421337</v>
      </c>
      <c r="U17" s="37">
        <f>Baseline!L15</f>
        <v>0</v>
      </c>
      <c r="V17" s="37">
        <f>Leakage!L16</f>
        <v>0</v>
      </c>
      <c r="W17" s="37">
        <f t="shared" si="3"/>
        <v>5708.2014537253435</v>
      </c>
      <c r="X17" s="37">
        <f t="shared" si="9"/>
        <v>976.79561976421337</v>
      </c>
    </row>
    <row r="18" spans="1:24">
      <c r="A18" s="51"/>
      <c r="B18" s="51"/>
      <c r="C18" s="51"/>
      <c r="D18" s="51"/>
      <c r="E18" s="37">
        <f t="shared" si="4"/>
        <v>11.538461538461538</v>
      </c>
      <c r="F18" s="37">
        <f>TREND(F14:F17,E14:E17,E18:$E$22,TRUE)</f>
        <v>208.16579829803715</v>
      </c>
      <c r="G18" s="37">
        <v>11</v>
      </c>
      <c r="H18" s="37">
        <f>TREND(F14:F17,E14:E17,G18:$G$22,TRUE)</f>
        <v>194.38179629071544</v>
      </c>
      <c r="K18" s="3">
        <f>'2021 PM (MAI)'!J18</f>
        <v>10</v>
      </c>
      <c r="L18" s="44" t="str">
        <f>'2021 PM (MAI)'!K19</f>
        <v>01/01/2031 to 31/12/2031</v>
      </c>
      <c r="M18" s="37">
        <f t="shared" si="1"/>
        <v>167.31974385997611</v>
      </c>
      <c r="N18" s="37"/>
      <c r="O18" s="37">
        <f>M18*Overview!$F$30</f>
        <v>3572.5897866571031</v>
      </c>
      <c r="P18" s="37">
        <f t="shared" si="10"/>
        <v>6162.3601230048371</v>
      </c>
      <c r="Q18" s="37">
        <f t="shared" si="6"/>
        <v>246.49440492019349</v>
      </c>
      <c r="R18" s="37">
        <f t="shared" si="7"/>
        <v>123.24720246009674</v>
      </c>
      <c r="S18" s="37">
        <f t="shared" si="2"/>
        <v>6532.1017303851268</v>
      </c>
      <c r="T18" s="37">
        <f t="shared" si="8"/>
        <v>823.90027665978323</v>
      </c>
      <c r="U18" s="37">
        <f>Baseline!L16</f>
        <v>0</v>
      </c>
      <c r="V18" s="37">
        <f>Leakage!L17</f>
        <v>0</v>
      </c>
      <c r="W18" s="37">
        <f t="shared" si="3"/>
        <v>6532.1017303851268</v>
      </c>
      <c r="X18" s="37">
        <f>W41-SUM(X9:X17)</f>
        <v>-767.32278457697521</v>
      </c>
    </row>
    <row r="19" spans="1:24">
      <c r="A19" s="51"/>
      <c r="B19" s="51"/>
      <c r="C19" s="51"/>
      <c r="D19" s="51"/>
      <c r="E19" s="37">
        <f t="shared" si="4"/>
        <v>12.538461538461538</v>
      </c>
      <c r="F19" s="37">
        <f>TREND(F15:F18,E15:E18,E19:$E$22,TRUE)</f>
        <v>230.29372216903795</v>
      </c>
      <c r="G19" s="37">
        <v>12</v>
      </c>
      <c r="H19" s="37">
        <f>TREND(F15:F18,E15:E18,G19:$G$22,TRUE)</f>
        <v>217.44420320010767</v>
      </c>
      <c r="K19" s="3">
        <f>'2021 PM (MAI)'!J19</f>
        <v>11</v>
      </c>
      <c r="L19" s="44" t="str">
        <f>'2021 PM (MAI)'!K20</f>
        <v>01/01/2032 to 31/12/2032</v>
      </c>
      <c r="M19" s="37">
        <f t="shared" si="1"/>
        <v>194.38179629071544</v>
      </c>
      <c r="N19" s="37"/>
      <c r="O19" s="37">
        <f>M19*Overview!$F$30</f>
        <v>4150.4152715021419</v>
      </c>
      <c r="P19" s="37">
        <f t="shared" si="10"/>
        <v>7159.0513018140446</v>
      </c>
      <c r="Q19" s="37">
        <f t="shared" si="6"/>
        <v>286.36205207256177</v>
      </c>
      <c r="R19" s="37">
        <f t="shared" si="7"/>
        <v>143.18102603628088</v>
      </c>
      <c r="S19" s="37">
        <f t="shared" si="2"/>
        <v>7588.5943799228871</v>
      </c>
      <c r="T19" s="37">
        <f t="shared" si="8"/>
        <v>1056.4926495377604</v>
      </c>
      <c r="U19" s="37">
        <f>Baseline!L17</f>
        <v>0</v>
      </c>
      <c r="V19" s="37">
        <f>Leakage!L18</f>
        <v>0</v>
      </c>
      <c r="W19" s="37">
        <f t="shared" si="3"/>
        <v>7588.5943799228871</v>
      </c>
      <c r="X19" s="37">
        <v>0</v>
      </c>
    </row>
    <row r="20" spans="1:24">
      <c r="A20" s="51"/>
      <c r="B20" s="51"/>
      <c r="C20" s="51"/>
      <c r="D20" s="51"/>
      <c r="E20" s="37">
        <f t="shared" si="4"/>
        <v>13.538461538461538</v>
      </c>
      <c r="F20" s="37">
        <f>TREND(F16:F19,E16:E19,E20:$E$22,TRUE)</f>
        <v>254.4578031596501</v>
      </c>
      <c r="G20" s="37">
        <v>13</v>
      </c>
      <c r="H20" s="37">
        <f>TREND(F16:F19,E16:E19,G20:$G$22,TRUE)</f>
        <v>241.52732956232785</v>
      </c>
      <c r="K20" s="3">
        <f>'2021 PM (MAI)'!J20</f>
        <v>12</v>
      </c>
      <c r="L20" s="44" t="str">
        <f>'2021 PM (MAI)'!K21</f>
        <v>01/01/2033 to 31/12/2033</v>
      </c>
      <c r="M20" s="37">
        <f t="shared" si="1"/>
        <v>217.44420320010767</v>
      </c>
      <c r="N20" s="37"/>
      <c r="O20" s="37">
        <f>M20*Overview!$F$30</f>
        <v>4642.8408363486678</v>
      </c>
      <c r="P20" s="37">
        <f t="shared" si="10"/>
        <v>8008.4361586178165</v>
      </c>
      <c r="Q20" s="37">
        <f t="shared" si="6"/>
        <v>320.33744634471265</v>
      </c>
      <c r="R20" s="37">
        <f t="shared" si="7"/>
        <v>160.16872317235632</v>
      </c>
      <c r="S20" s="37">
        <f t="shared" si="2"/>
        <v>8488.9423281348863</v>
      </c>
      <c r="T20" s="37">
        <f t="shared" si="8"/>
        <v>900.34794821199921</v>
      </c>
      <c r="U20" s="37">
        <f>Baseline!L18</f>
        <v>0</v>
      </c>
      <c r="V20" s="37">
        <f>Leakage!L19</f>
        <v>0</v>
      </c>
      <c r="W20" s="37">
        <f t="shared" si="3"/>
        <v>8488.9423281348863</v>
      </c>
      <c r="X20" s="37">
        <v>0</v>
      </c>
    </row>
    <row r="21" spans="1:24">
      <c r="A21" s="51"/>
      <c r="B21" s="51"/>
      <c r="C21" s="51"/>
      <c r="D21" s="51"/>
      <c r="E21" s="37">
        <f t="shared" si="4"/>
        <v>14.538461538461538</v>
      </c>
      <c r="F21" s="37">
        <f>TREND(F17:F20,E17:E20,E21:$E$22,TRUE)</f>
        <v>279.9063197205196</v>
      </c>
      <c r="G21" s="37">
        <v>14</v>
      </c>
      <c r="H21" s="37">
        <f>TREND(F17:F20,E17:E20,G21:$G$22,TRUE)</f>
        <v>266.58955923239364</v>
      </c>
      <c r="K21" s="3">
        <f>'2021 PM (MAI)'!J21</f>
        <v>13</v>
      </c>
      <c r="L21" s="44" t="str">
        <f>'2021 PM (MAI)'!K22</f>
        <v>01/01/2034 to 31/12/2034</v>
      </c>
      <c r="M21" s="37">
        <f t="shared" si="1"/>
        <v>241.52732956232785</v>
      </c>
      <c r="N21" s="37"/>
      <c r="O21" s="37">
        <f>M21*Overview!$F$30</f>
        <v>5157.0606724992858</v>
      </c>
      <c r="P21" s="37">
        <f t="shared" si="10"/>
        <v>8895.4139539940188</v>
      </c>
      <c r="Q21" s="37">
        <f t="shared" si="6"/>
        <v>355.81655815976075</v>
      </c>
      <c r="R21" s="37">
        <f t="shared" si="7"/>
        <v>177.90827907988037</v>
      </c>
      <c r="S21" s="37">
        <f t="shared" si="2"/>
        <v>9429.1387912336595</v>
      </c>
      <c r="T21" s="37">
        <f t="shared" si="8"/>
        <v>940.19646309877317</v>
      </c>
      <c r="U21" s="37">
        <f>Baseline!L19</f>
        <v>0</v>
      </c>
      <c r="V21" s="37">
        <f>Leakage!L20</f>
        <v>0</v>
      </c>
      <c r="W21" s="37">
        <f t="shared" si="3"/>
        <v>9429.1387912336595</v>
      </c>
      <c r="X21" s="37">
        <v>0</v>
      </c>
    </row>
    <row r="22" spans="1:24">
      <c r="A22" s="51"/>
      <c r="B22" s="51"/>
      <c r="C22" s="51"/>
      <c r="D22" s="51"/>
      <c r="E22" s="37">
        <v>15</v>
      </c>
      <c r="F22" s="37">
        <f>TREND(F18:F21,E18:E21,E22:$E$22,TRUE)</f>
        <v>290.16232586819984</v>
      </c>
      <c r="G22" s="37">
        <v>15</v>
      </c>
      <c r="H22" s="37">
        <f>TREND(F18:F21,E18:E21,G22:$G$22,TRUE)</f>
        <v>290.16232586819984</v>
      </c>
      <c r="K22" s="3">
        <f>'2021 PM (MAI)'!J22</f>
        <v>14</v>
      </c>
      <c r="L22" s="44" t="str">
        <f>'2021 PM (MAI)'!K23</f>
        <v>01/01/2035 to 31/12/2035</v>
      </c>
      <c r="M22" s="37">
        <f t="shared" si="1"/>
        <v>266.58955923239364</v>
      </c>
      <c r="N22" s="62"/>
      <c r="O22" s="37">
        <f>M22*Overview!$F$30</f>
        <v>5692.1861973450686</v>
      </c>
      <c r="P22" s="37">
        <f t="shared" si="10"/>
        <v>9818.4519718005085</v>
      </c>
      <c r="Q22" s="37">
        <f t="shared" si="6"/>
        <v>392.73807887202037</v>
      </c>
      <c r="R22" s="37">
        <f t="shared" si="7"/>
        <v>196.36903943601018</v>
      </c>
      <c r="S22" s="37">
        <f t="shared" si="2"/>
        <v>10407.55909010854</v>
      </c>
      <c r="T22" s="37">
        <f t="shared" si="8"/>
        <v>978.42029887488025</v>
      </c>
      <c r="U22" s="37">
        <f>Baseline!L20</f>
        <v>0</v>
      </c>
      <c r="V22" s="37">
        <f>Leakage!L21</f>
        <v>0</v>
      </c>
      <c r="W22" s="37">
        <f t="shared" si="3"/>
        <v>10407.55909010854</v>
      </c>
      <c r="X22" s="37">
        <v>0</v>
      </c>
    </row>
    <row r="23" spans="1:24">
      <c r="K23" s="3">
        <f>'2021 PM (MAI)'!J23</f>
        <v>15</v>
      </c>
      <c r="L23" s="44" t="str">
        <f>'2021 PM (MAI)'!K24</f>
        <v>01/01/2036 to 31/12/2036</v>
      </c>
      <c r="M23" s="37">
        <f t="shared" si="1"/>
        <v>290.16232586819984</v>
      </c>
      <c r="N23" s="37"/>
      <c r="O23" s="37">
        <f>M23*Overview!$F$30</f>
        <v>6195.5088978436406</v>
      </c>
      <c r="P23" s="37">
        <f t="shared" si="10"/>
        <v>10686.633297890494</v>
      </c>
      <c r="Q23" s="37">
        <f t="shared" si="6"/>
        <v>427.46533191561974</v>
      </c>
      <c r="R23" s="37">
        <f t="shared" si="7"/>
        <v>213.73266595780987</v>
      </c>
      <c r="S23" s="37">
        <f t="shared" si="2"/>
        <v>11327.831295763925</v>
      </c>
      <c r="T23" s="37">
        <f t="shared" si="8"/>
        <v>920.27220565538482</v>
      </c>
      <c r="U23" s="37">
        <f>Baseline!L21</f>
        <v>0</v>
      </c>
      <c r="V23" s="37">
        <f>Leakage!L22</f>
        <v>0</v>
      </c>
      <c r="W23" s="37">
        <f t="shared" si="3"/>
        <v>11327.831295763925</v>
      </c>
      <c r="X23" s="37">
        <v>0</v>
      </c>
    </row>
    <row r="24" spans="1:24">
      <c r="K24" s="3">
        <f>'2021 PM (MAI)'!J24</f>
        <v>16</v>
      </c>
      <c r="L24" s="44" t="str">
        <f>'2021 PM (MAI)'!K25</f>
        <v>01/01/2037 to 31/12/2037</v>
      </c>
      <c r="M24" s="37">
        <f>M9</f>
        <v>0</v>
      </c>
      <c r="N24" s="37"/>
      <c r="O24" s="37">
        <f>M24*Overview!$F$30</f>
        <v>0</v>
      </c>
      <c r="P24" s="37">
        <f t="shared" si="10"/>
        <v>0</v>
      </c>
      <c r="Q24" s="37">
        <f t="shared" si="6"/>
        <v>0</v>
      </c>
      <c r="R24" s="37">
        <f t="shared" si="7"/>
        <v>0</v>
      </c>
      <c r="S24" s="37">
        <f t="shared" si="2"/>
        <v>0</v>
      </c>
      <c r="T24" s="37">
        <f t="shared" si="8"/>
        <v>-11327.831295763925</v>
      </c>
      <c r="U24" s="37">
        <f>Baseline!L22</f>
        <v>0</v>
      </c>
      <c r="V24" s="37">
        <f>Leakage!L23</f>
        <v>0</v>
      </c>
      <c r="W24" s="37">
        <f t="shared" si="3"/>
        <v>0</v>
      </c>
      <c r="X24" s="37">
        <v>0</v>
      </c>
    </row>
    <row r="25" spans="1:24">
      <c r="K25" s="3">
        <f>'2021 PM (MAI)'!J25</f>
        <v>17</v>
      </c>
      <c r="L25" s="44" t="str">
        <f>'2021 PM (MAI)'!K26</f>
        <v>01/01/2038 to 31/12/2038</v>
      </c>
      <c r="M25" s="37">
        <f t="shared" ref="M25:M39" si="11">M10</f>
        <v>0</v>
      </c>
      <c r="N25" s="37"/>
      <c r="O25" s="37">
        <f>M25*Overview!$F$30</f>
        <v>0</v>
      </c>
      <c r="P25" s="37">
        <f t="shared" si="10"/>
        <v>0</v>
      </c>
      <c r="Q25" s="37">
        <f t="shared" si="6"/>
        <v>0</v>
      </c>
      <c r="R25" s="37">
        <f t="shared" si="7"/>
        <v>0</v>
      </c>
      <c r="S25" s="37">
        <f t="shared" si="2"/>
        <v>0</v>
      </c>
      <c r="T25" s="37">
        <f t="shared" si="8"/>
        <v>0</v>
      </c>
      <c r="U25" s="37">
        <f>Baseline!L23</f>
        <v>0</v>
      </c>
      <c r="V25" s="37">
        <f>Leakage!L24</f>
        <v>0</v>
      </c>
      <c r="W25" s="37">
        <f t="shared" si="3"/>
        <v>0</v>
      </c>
      <c r="X25" s="37">
        <v>0</v>
      </c>
    </row>
    <row r="26" spans="1:24">
      <c r="K26" s="3">
        <f>'2021 PM (MAI)'!J26</f>
        <v>18</v>
      </c>
      <c r="L26" s="44" t="str">
        <f>'2021 PM (MAI)'!K27</f>
        <v>01/01/2039 to 31/12/2039</v>
      </c>
      <c r="M26" s="37">
        <f t="shared" si="11"/>
        <v>21.555657778201279</v>
      </c>
      <c r="N26" s="37"/>
      <c r="O26" s="37">
        <f>M26*Overview!$F$30</f>
        <v>460.25364996688103</v>
      </c>
      <c r="P26" s="37">
        <f t="shared" si="10"/>
        <v>793.89152082787302</v>
      </c>
      <c r="Q26" s="37">
        <f t="shared" si="6"/>
        <v>31.75566083311492</v>
      </c>
      <c r="R26" s="37">
        <f t="shared" si="7"/>
        <v>15.87783041655746</v>
      </c>
      <c r="S26" s="37">
        <f t="shared" si="2"/>
        <v>841.5250120775454</v>
      </c>
      <c r="T26" s="37">
        <f t="shared" si="8"/>
        <v>841.5250120775454</v>
      </c>
      <c r="U26" s="37">
        <f>Baseline!L24</f>
        <v>0</v>
      </c>
      <c r="V26" s="37">
        <f>Leakage!L25</f>
        <v>0</v>
      </c>
      <c r="W26" s="37">
        <f t="shared" si="3"/>
        <v>841.5250120775454</v>
      </c>
      <c r="X26" s="37">
        <v>0</v>
      </c>
    </row>
    <row r="27" spans="1:24">
      <c r="K27" s="3">
        <f>'2021 PM (MAI)'!J27</f>
        <v>19</v>
      </c>
      <c r="L27" s="44" t="str">
        <f>'2021 PM (MAI)'!K28</f>
        <v>01/01/2040 to 31/12/2040</v>
      </c>
      <c r="M27" s="37">
        <f t="shared" si="11"/>
        <v>25.901622470625192</v>
      </c>
      <c r="N27" s="37"/>
      <c r="O27" s="37">
        <f>M27*Overview!$F$30</f>
        <v>553.04813264502502</v>
      </c>
      <c r="P27" s="37">
        <f t="shared" si="10"/>
        <v>953.9527239994037</v>
      </c>
      <c r="Q27" s="37">
        <f t="shared" si="6"/>
        <v>38.158108959976147</v>
      </c>
      <c r="R27" s="37">
        <f t="shared" si="7"/>
        <v>19.079054479988073</v>
      </c>
      <c r="S27" s="37">
        <f t="shared" si="2"/>
        <v>1011.1898874393679</v>
      </c>
      <c r="T27" s="37">
        <f t="shared" si="8"/>
        <v>169.66487536182251</v>
      </c>
      <c r="U27" s="37">
        <f>Baseline!L25</f>
        <v>0</v>
      </c>
      <c r="V27" s="37">
        <f>Leakage!L26</f>
        <v>0</v>
      </c>
      <c r="W27" s="37">
        <f t="shared" si="3"/>
        <v>1011.1898874393679</v>
      </c>
      <c r="X27" s="37">
        <v>0</v>
      </c>
    </row>
    <row r="28" spans="1:24">
      <c r="K28" s="3">
        <f>'2021 PM (MAI)'!J28</f>
        <v>20</v>
      </c>
      <c r="L28" s="44" t="str">
        <f>'2021 PM (MAI)'!K29</f>
        <v>01/01/2041 to 31/12/2041</v>
      </c>
      <c r="M28" s="37">
        <f t="shared" si="11"/>
        <v>36.078067490832133</v>
      </c>
      <c r="N28" s="37"/>
      <c r="O28" s="37">
        <f>M28*Overview!$F$30</f>
        <v>770.33428611950148</v>
      </c>
      <c r="P28" s="37">
        <f t="shared" si="10"/>
        <v>1328.7496101275281</v>
      </c>
      <c r="Q28" s="37">
        <f t="shared" si="6"/>
        <v>53.149984405101122</v>
      </c>
      <c r="R28" s="37">
        <f t="shared" si="7"/>
        <v>26.574992202550561</v>
      </c>
      <c r="S28" s="37">
        <f t="shared" si="2"/>
        <v>1408.4745867351799</v>
      </c>
      <c r="T28" s="37">
        <f t="shared" si="8"/>
        <v>397.28469929581195</v>
      </c>
      <c r="U28" s="37">
        <f>Baseline!L26</f>
        <v>0</v>
      </c>
      <c r="V28" s="37">
        <f>Leakage!L27</f>
        <v>0</v>
      </c>
      <c r="W28" s="37">
        <f t="shared" si="3"/>
        <v>1408.4745867351799</v>
      </c>
      <c r="X28" s="37">
        <v>0</v>
      </c>
    </row>
    <row r="29" spans="1:24">
      <c r="K29" s="3">
        <f>'2021 PM (MAI)'!J29</f>
        <v>21</v>
      </c>
      <c r="L29" s="44" t="str">
        <f>'2021 PM (MAI)'!K30</f>
        <v>01/01/2042 to 31/12/2042</v>
      </c>
      <c r="M29" s="37">
        <f t="shared" si="11"/>
        <v>72.805939200929942</v>
      </c>
      <c r="N29" s="37"/>
      <c r="O29" s="37">
        <f>M29*Overview!$F$30</f>
        <v>1554.5431088807636</v>
      </c>
      <c r="P29" s="37">
        <f t="shared" si="10"/>
        <v>2681.4314085084288</v>
      </c>
      <c r="Q29" s="37">
        <f t="shared" si="6"/>
        <v>107.25725634033715</v>
      </c>
      <c r="R29" s="37">
        <f t="shared" si="7"/>
        <v>53.628628170168575</v>
      </c>
      <c r="S29" s="37">
        <f t="shared" si="2"/>
        <v>2842.3172930189348</v>
      </c>
      <c r="T29" s="37">
        <f t="shared" si="8"/>
        <v>1433.842706283755</v>
      </c>
      <c r="U29" s="37">
        <f>Baseline!L27</f>
        <v>0</v>
      </c>
      <c r="V29" s="37">
        <f>Leakage!L28</f>
        <v>0</v>
      </c>
      <c r="W29" s="37">
        <f t="shared" si="3"/>
        <v>2842.3172930189348</v>
      </c>
      <c r="X29" s="37">
        <v>0</v>
      </c>
    </row>
    <row r="30" spans="1:24">
      <c r="K30" s="3">
        <f>'2021 PM (MAI)'!J30</f>
        <v>22</v>
      </c>
      <c r="L30" s="44" t="str">
        <f>'2021 PM (MAI)'!K31</f>
        <v>01/01/2043 to 31/12/2043</v>
      </c>
      <c r="M30" s="37">
        <f t="shared" si="11"/>
        <v>97.231911970336427</v>
      </c>
      <c r="N30" s="37"/>
      <c r="O30" s="37">
        <f>M30*Overview!$F$30</f>
        <v>2076.0833577002586</v>
      </c>
      <c r="P30" s="37">
        <f t="shared" si="10"/>
        <v>3581.0361836971761</v>
      </c>
      <c r="Q30" s="37">
        <f t="shared" si="6"/>
        <v>143.24144734788703</v>
      </c>
      <c r="R30" s="37">
        <f t="shared" si="7"/>
        <v>71.620723673943516</v>
      </c>
      <c r="S30" s="37">
        <f t="shared" si="2"/>
        <v>3795.8983547190064</v>
      </c>
      <c r="T30" s="37">
        <f t="shared" si="8"/>
        <v>953.58106170007159</v>
      </c>
      <c r="U30" s="37">
        <f>Baseline!L28</f>
        <v>0</v>
      </c>
      <c r="V30" s="37">
        <f>Leakage!L29</f>
        <v>0</v>
      </c>
      <c r="W30" s="37">
        <f t="shared" si="3"/>
        <v>3795.8983547190064</v>
      </c>
      <c r="X30" s="37">
        <v>0</v>
      </c>
    </row>
    <row r="31" spans="1:24">
      <c r="K31" s="3">
        <f>'2021 PM (MAI)'!J31</f>
        <v>23</v>
      </c>
      <c r="L31" s="44" t="str">
        <f>'2021 PM (MAI)'!K32</f>
        <v>01/01/2044 to 31/12/2044</v>
      </c>
      <c r="M31" s="37">
        <f t="shared" si="11"/>
        <v>121.19493004119175</v>
      </c>
      <c r="N31" s="37"/>
      <c r="O31" s="37">
        <f>M31*Overview!$F$30</f>
        <v>2587.7386569640521</v>
      </c>
      <c r="P31" s="37">
        <f t="shared" si="10"/>
        <v>4463.5904093972931</v>
      </c>
      <c r="Q31" s="37">
        <f t="shared" si="6"/>
        <v>178.54361637589173</v>
      </c>
      <c r="R31" s="37">
        <f t="shared" si="7"/>
        <v>89.271808187945865</v>
      </c>
      <c r="S31" s="37">
        <f t="shared" si="2"/>
        <v>4731.4058339611302</v>
      </c>
      <c r="T31" s="37">
        <f t="shared" si="8"/>
        <v>935.50747924212374</v>
      </c>
      <c r="U31" s="37">
        <f>Baseline!L29</f>
        <v>0</v>
      </c>
      <c r="V31" s="37">
        <f>Leakage!L30</f>
        <v>0</v>
      </c>
      <c r="W31" s="37">
        <f t="shared" si="3"/>
        <v>4731.4058339611302</v>
      </c>
      <c r="X31" s="37">
        <v>0</v>
      </c>
    </row>
    <row r="32" spans="1:24">
      <c r="K32" s="3">
        <f>'2021 PM (MAI)'!J32</f>
        <v>24</v>
      </c>
      <c r="L32" s="44" t="str">
        <f>'2021 PM (MAI)'!K33</f>
        <v>01/01/2045 to 31/12/2045</v>
      </c>
      <c r="M32" s="37">
        <f t="shared" si="11"/>
        <v>146.21554356627516</v>
      </c>
      <c r="N32" s="37"/>
      <c r="O32" s="37">
        <f>M32*Overview!$F$30</f>
        <v>3121.9755992009077</v>
      </c>
      <c r="P32" s="37">
        <f t="shared" si="10"/>
        <v>5385.0957110616446</v>
      </c>
      <c r="Q32" s="37">
        <f t="shared" si="6"/>
        <v>215.40382844246579</v>
      </c>
      <c r="R32" s="37">
        <f t="shared" si="7"/>
        <v>107.7019142212329</v>
      </c>
      <c r="S32" s="37">
        <f t="shared" si="2"/>
        <v>5708.2014537253435</v>
      </c>
      <c r="T32" s="37">
        <f t="shared" si="8"/>
        <v>976.79561976421337</v>
      </c>
      <c r="U32" s="37">
        <f>Baseline!L30</f>
        <v>0</v>
      </c>
      <c r="V32" s="37">
        <f>Leakage!L31</f>
        <v>0</v>
      </c>
      <c r="W32" s="37">
        <f t="shared" si="3"/>
        <v>5708.2014537253435</v>
      </c>
      <c r="X32" s="37">
        <v>0</v>
      </c>
    </row>
    <row r="33" spans="11:24">
      <c r="K33" s="3">
        <f>'2021 PM (MAI)'!J33</f>
        <v>25</v>
      </c>
      <c r="L33" s="44" t="str">
        <f>'2021 PM (MAI)'!K34</f>
        <v>01/01/2046 to 31/12/2046</v>
      </c>
      <c r="M33" s="37">
        <f t="shared" si="11"/>
        <v>167.31974385997611</v>
      </c>
      <c r="N33" s="37"/>
      <c r="O33" s="37">
        <f>M33*Overview!$F$30</f>
        <v>3572.5897866571031</v>
      </c>
      <c r="P33" s="37">
        <f t="shared" si="10"/>
        <v>6162.3601230048371</v>
      </c>
      <c r="Q33" s="37">
        <f t="shared" si="6"/>
        <v>246.49440492019349</v>
      </c>
      <c r="R33" s="37">
        <f t="shared" si="7"/>
        <v>123.24720246009674</v>
      </c>
      <c r="S33" s="37">
        <f t="shared" si="2"/>
        <v>6532.1017303851268</v>
      </c>
      <c r="T33" s="37">
        <f t="shared" si="8"/>
        <v>823.90027665978323</v>
      </c>
      <c r="U33" s="37">
        <f>Baseline!L31</f>
        <v>0</v>
      </c>
      <c r="V33" s="37">
        <f>Leakage!L32</f>
        <v>0</v>
      </c>
      <c r="W33" s="37">
        <f t="shared" si="3"/>
        <v>6532.1017303851268</v>
      </c>
      <c r="X33" s="37">
        <v>0</v>
      </c>
    </row>
    <row r="34" spans="11:24">
      <c r="K34" s="3">
        <f>'2021 PM (MAI)'!J34</f>
        <v>26</v>
      </c>
      <c r="L34" s="44" t="str">
        <f>'2021 PM (MAI)'!K35</f>
        <v>01/01/2047 to 31/12/2047</v>
      </c>
      <c r="M34" s="37">
        <f t="shared" si="11"/>
        <v>194.38179629071544</v>
      </c>
      <c r="N34" s="37"/>
      <c r="O34" s="37">
        <f>M34*Overview!$F$30</f>
        <v>4150.4152715021419</v>
      </c>
      <c r="P34" s="37">
        <f t="shared" si="10"/>
        <v>7159.0513018140446</v>
      </c>
      <c r="Q34" s="37">
        <f t="shared" si="6"/>
        <v>286.36205207256177</v>
      </c>
      <c r="R34" s="37">
        <f t="shared" si="7"/>
        <v>143.18102603628088</v>
      </c>
      <c r="S34" s="37">
        <f t="shared" si="2"/>
        <v>7588.5943799228871</v>
      </c>
      <c r="T34" s="37">
        <f t="shared" si="8"/>
        <v>1056.4926495377604</v>
      </c>
      <c r="U34" s="37">
        <f>Baseline!L32</f>
        <v>0</v>
      </c>
      <c r="V34" s="37">
        <f>Leakage!L33</f>
        <v>0</v>
      </c>
      <c r="W34" s="37">
        <f t="shared" si="3"/>
        <v>7588.5943799228871</v>
      </c>
      <c r="X34" s="37">
        <v>0</v>
      </c>
    </row>
    <row r="35" spans="11:24">
      <c r="K35" s="3">
        <f>'2021 PM (MAI)'!J35</f>
        <v>27</v>
      </c>
      <c r="L35" s="44" t="str">
        <f>'2021 PM (MAI)'!K36</f>
        <v>01/01/2048 to 31/12/2048</v>
      </c>
      <c r="M35" s="37">
        <f t="shared" si="11"/>
        <v>217.44420320010767</v>
      </c>
      <c r="N35" s="37"/>
      <c r="O35" s="37">
        <f>M35*Overview!$F$30</f>
        <v>4642.8408363486678</v>
      </c>
      <c r="P35" s="37">
        <f t="shared" si="10"/>
        <v>8008.4361586178165</v>
      </c>
      <c r="Q35" s="37">
        <f t="shared" si="6"/>
        <v>320.33744634471265</v>
      </c>
      <c r="R35" s="37">
        <f t="shared" si="7"/>
        <v>160.16872317235632</v>
      </c>
      <c r="S35" s="37">
        <f t="shared" si="2"/>
        <v>8488.9423281348863</v>
      </c>
      <c r="T35" s="37">
        <f t="shared" si="8"/>
        <v>900.34794821199921</v>
      </c>
      <c r="U35" s="37">
        <f>Baseline!L33</f>
        <v>0</v>
      </c>
      <c r="V35" s="37">
        <f>Leakage!L34</f>
        <v>0</v>
      </c>
      <c r="W35" s="37">
        <f t="shared" si="3"/>
        <v>8488.9423281348863</v>
      </c>
      <c r="X35" s="37">
        <v>0</v>
      </c>
    </row>
    <row r="36" spans="11:24">
      <c r="K36" s="3">
        <f>'2021 PM (MAI)'!J36</f>
        <v>28</v>
      </c>
      <c r="L36" s="44" t="str">
        <f>'2021 PM (MAI)'!K37</f>
        <v>01/01/2049 to 31/12/2049</v>
      </c>
      <c r="M36" s="37">
        <f t="shared" si="11"/>
        <v>241.52732956232785</v>
      </c>
      <c r="N36" s="37"/>
      <c r="O36" s="37">
        <f>M36*Overview!$F$30</f>
        <v>5157.0606724992858</v>
      </c>
      <c r="P36" s="37">
        <f t="shared" ref="P36:P39" si="12">O36*$O$2*3.67</f>
        <v>8895.4139539940188</v>
      </c>
      <c r="Q36" s="37">
        <f t="shared" si="6"/>
        <v>355.81655815976075</v>
      </c>
      <c r="R36" s="37">
        <f t="shared" si="7"/>
        <v>177.90827907988037</v>
      </c>
      <c r="S36" s="37">
        <f t="shared" si="2"/>
        <v>9429.1387912336595</v>
      </c>
      <c r="T36" s="37">
        <f t="shared" si="8"/>
        <v>940.19646309877317</v>
      </c>
      <c r="U36" s="37">
        <f>Baseline!L34</f>
        <v>0</v>
      </c>
      <c r="V36" s="37">
        <f>Leakage!L35</f>
        <v>0</v>
      </c>
      <c r="W36" s="37">
        <f t="shared" si="3"/>
        <v>9429.1387912336595</v>
      </c>
      <c r="X36" s="37">
        <v>0</v>
      </c>
    </row>
    <row r="37" spans="11:24">
      <c r="K37" s="3">
        <f>'2021 PM (MAI)'!J37</f>
        <v>29</v>
      </c>
      <c r="L37" s="44" t="str">
        <f>'2021 PM (MAI)'!K38</f>
        <v>01/01/2050 to 31/12/2050</v>
      </c>
      <c r="M37" s="37">
        <f t="shared" si="11"/>
        <v>266.58955923239364</v>
      </c>
      <c r="N37" s="37"/>
      <c r="O37" s="37">
        <f>M37*Overview!$F$30</f>
        <v>5692.1861973450686</v>
      </c>
      <c r="P37" s="37">
        <f t="shared" si="12"/>
        <v>9818.4519718005085</v>
      </c>
      <c r="Q37" s="37">
        <f t="shared" si="6"/>
        <v>392.73807887202037</v>
      </c>
      <c r="R37" s="37">
        <f t="shared" si="7"/>
        <v>196.36903943601018</v>
      </c>
      <c r="S37" s="37">
        <f t="shared" si="2"/>
        <v>10407.55909010854</v>
      </c>
      <c r="T37" s="37">
        <f t="shared" si="8"/>
        <v>978.42029887488025</v>
      </c>
      <c r="U37" s="37">
        <f>Baseline!L35</f>
        <v>0</v>
      </c>
      <c r="V37" s="37">
        <f>Leakage!L36</f>
        <v>0</v>
      </c>
      <c r="W37" s="37">
        <f t="shared" si="3"/>
        <v>10407.55909010854</v>
      </c>
      <c r="X37" s="37">
        <v>0</v>
      </c>
    </row>
    <row r="38" spans="11:24">
      <c r="K38" s="3">
        <f>'2021 PM (MAI)'!J38</f>
        <v>30</v>
      </c>
      <c r="L38" s="44" t="str">
        <f>'2021 PM (MAI)'!K39</f>
        <v>01/01/2051 to 31/12/2051</v>
      </c>
      <c r="M38" s="37">
        <f t="shared" si="11"/>
        <v>290.16232586819984</v>
      </c>
      <c r="N38" s="37"/>
      <c r="O38" s="37">
        <f>M38*Overview!$F$30</f>
        <v>6195.5088978436406</v>
      </c>
      <c r="P38" s="37">
        <f t="shared" si="12"/>
        <v>10686.633297890494</v>
      </c>
      <c r="Q38" s="37">
        <f t="shared" si="6"/>
        <v>427.46533191561974</v>
      </c>
      <c r="R38" s="37">
        <f t="shared" si="7"/>
        <v>213.73266595780987</v>
      </c>
      <c r="S38" s="37">
        <f t="shared" si="2"/>
        <v>11327.831295763925</v>
      </c>
      <c r="T38" s="37">
        <f t="shared" si="8"/>
        <v>920.27220565538482</v>
      </c>
      <c r="U38" s="37">
        <f>Baseline!L36</f>
        <v>0</v>
      </c>
      <c r="V38" s="37">
        <f>Leakage!L37</f>
        <v>0</v>
      </c>
      <c r="W38" s="37">
        <f t="shared" si="3"/>
        <v>11327.831295763925</v>
      </c>
      <c r="X38" s="37">
        <v>0</v>
      </c>
    </row>
    <row r="39" spans="11:24">
      <c r="K39" s="3">
        <v>30.46</v>
      </c>
      <c r="L39" s="44" t="str">
        <f>'2021 PM (MAI)'!K40</f>
        <v>01/01/2052 to 17/06/2052</v>
      </c>
      <c r="M39" s="37">
        <f t="shared" si="11"/>
        <v>0</v>
      </c>
      <c r="N39" s="37"/>
      <c r="O39" s="37">
        <f>M39*Overview!$F$30</f>
        <v>0</v>
      </c>
      <c r="P39" s="37">
        <f t="shared" si="12"/>
        <v>0</v>
      </c>
      <c r="Q39" s="37">
        <f t="shared" si="6"/>
        <v>0</v>
      </c>
      <c r="R39" s="37">
        <f t="shared" si="7"/>
        <v>0</v>
      </c>
      <c r="S39" s="37">
        <f t="shared" si="2"/>
        <v>0</v>
      </c>
      <c r="T39" s="37">
        <f t="shared" si="8"/>
        <v>-11327.831295763925</v>
      </c>
      <c r="U39" s="37">
        <f>Baseline!L37</f>
        <v>0</v>
      </c>
      <c r="V39" s="37">
        <f>Leakage!L38</f>
        <v>0</v>
      </c>
      <c r="W39" s="37">
        <f t="shared" si="3"/>
        <v>0</v>
      </c>
      <c r="X39" s="37">
        <v>0</v>
      </c>
    </row>
    <row r="40" spans="11:24" ht="15.75">
      <c r="V40" s="67" t="s">
        <v>97</v>
      </c>
      <c r="W40" s="68">
        <f>SUM(W9:W39)</f>
        <v>148226.36007445105</v>
      </c>
    </row>
    <row r="41" spans="11:24" ht="15.75">
      <c r="V41" s="67" t="s">
        <v>98</v>
      </c>
      <c r="W41" s="68">
        <f>W40/30</f>
        <v>4940.8786691483683</v>
      </c>
    </row>
  </sheetData>
  <mergeCells count="17">
    <mergeCell ref="D7:D12"/>
    <mergeCell ref="W6:W8"/>
    <mergeCell ref="X6:X8"/>
    <mergeCell ref="V6:V8"/>
    <mergeCell ref="A5:H5"/>
    <mergeCell ref="N9:N15"/>
    <mergeCell ref="U6:U8"/>
    <mergeCell ref="K7:K8"/>
    <mergeCell ref="L7:L8"/>
    <mergeCell ref="M7:M8"/>
    <mergeCell ref="K6:N6"/>
    <mergeCell ref="O6:O8"/>
    <mergeCell ref="P6:P8"/>
    <mergeCell ref="Q6:Q8"/>
    <mergeCell ref="R6:R8"/>
    <mergeCell ref="S6:S8"/>
    <mergeCell ref="T6:T8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ksheet" dvAspect="DVASPECT_ICON" shapeId="30731" r:id="rId4">
          <objectPr defaultSize="0" autoPict="0" r:id="rId5">
            <anchor moveWithCells="1">
              <from>
                <xdr:col>3</xdr:col>
                <xdr:colOff>104775</xdr:colOff>
                <xdr:row>6</xdr:row>
                <xdr:rowOff>66675</xdr:rowOff>
              </from>
              <to>
                <xdr:col>3</xdr:col>
                <xdr:colOff>1162050</xdr:colOff>
                <xdr:row>11</xdr:row>
                <xdr:rowOff>123825</xdr:rowOff>
              </to>
            </anchor>
          </objectPr>
        </oleObject>
      </mc:Choice>
      <mc:Fallback>
        <oleObject progId="Worksheet" dvAspect="DVASPECT_ICON" shapeId="30731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BD00C-58AC-4480-8977-61EC1493C58C}">
  <sheetPr codeName="Sheet12">
    <tabColor theme="1"/>
  </sheetPr>
  <dimension ref="B1:I43"/>
  <sheetViews>
    <sheetView topLeftCell="A20" zoomScale="96" zoomScaleNormal="96" workbookViewId="0">
      <selection activeCell="F35" sqref="F35"/>
    </sheetView>
  </sheetViews>
  <sheetFormatPr defaultRowHeight="15"/>
  <cols>
    <col min="1" max="2" width="9.140625" style="2"/>
    <col min="3" max="3" width="23.140625" style="2" bestFit="1" customWidth="1"/>
    <col min="4" max="4" width="10.5703125" style="2" bestFit="1" customWidth="1"/>
    <col min="5" max="5" width="9.5703125" style="2" customWidth="1"/>
    <col min="6" max="6" width="34.140625" style="2" customWidth="1"/>
    <col min="7" max="7" width="33.42578125" style="2" customWidth="1"/>
    <col min="8" max="8" width="15.85546875" style="2" bestFit="1" customWidth="1"/>
    <col min="9" max="9" width="6.28515625" style="2" bestFit="1" customWidth="1"/>
    <col min="10" max="16384" width="9.140625" style="2"/>
  </cols>
  <sheetData>
    <row r="1" spans="2:9" ht="33.75" customHeight="1">
      <c r="C1" s="83" t="s">
        <v>123</v>
      </c>
      <c r="D1" s="83" t="s">
        <v>124</v>
      </c>
      <c r="E1" s="83" t="s">
        <v>125</v>
      </c>
      <c r="F1" s="83" t="s">
        <v>126</v>
      </c>
      <c r="G1" s="83" t="s">
        <v>127</v>
      </c>
      <c r="H1" s="83" t="s">
        <v>123</v>
      </c>
      <c r="I1" s="83" t="s">
        <v>125</v>
      </c>
    </row>
    <row r="2" spans="2:9" ht="15" customHeight="1">
      <c r="C2" s="4" t="s">
        <v>128</v>
      </c>
      <c r="D2" s="5" t="s">
        <v>129</v>
      </c>
      <c r="E2" s="6">
        <v>38</v>
      </c>
      <c r="F2" s="7" t="s">
        <v>130</v>
      </c>
      <c r="G2" s="35" t="s">
        <v>131</v>
      </c>
      <c r="H2" s="8" t="s">
        <v>132</v>
      </c>
      <c r="I2" s="91">
        <f>44/12</f>
        <v>3.6666666666666665</v>
      </c>
    </row>
    <row r="3" spans="2:9">
      <c r="C3" s="4" t="s">
        <v>133</v>
      </c>
      <c r="D3" s="5" t="s">
        <v>134</v>
      </c>
      <c r="E3" s="9">
        <v>0.57999999999999996</v>
      </c>
      <c r="F3" s="10" t="s">
        <v>135</v>
      </c>
      <c r="G3" s="36" t="s">
        <v>136</v>
      </c>
      <c r="H3" s="8" t="s">
        <v>137</v>
      </c>
      <c r="I3" s="11">
        <f>E2*E3*E4*E5</f>
        <v>20.937999999999999</v>
      </c>
    </row>
    <row r="4" spans="2:9">
      <c r="C4" s="4" t="s">
        <v>138</v>
      </c>
      <c r="D4" s="5" t="s">
        <v>139</v>
      </c>
      <c r="E4" s="11">
        <v>1</v>
      </c>
      <c r="F4" s="12" t="s">
        <v>140</v>
      </c>
      <c r="G4" s="36" t="s">
        <v>141</v>
      </c>
      <c r="H4" s="8" t="s">
        <v>142</v>
      </c>
      <c r="I4" s="8">
        <v>0</v>
      </c>
    </row>
    <row r="5" spans="2:9">
      <c r="C5" s="4" t="s">
        <v>143</v>
      </c>
      <c r="D5" s="5" t="s">
        <v>144</v>
      </c>
      <c r="E5" s="9">
        <v>0.95</v>
      </c>
      <c r="F5" s="10" t="s">
        <v>145</v>
      </c>
      <c r="G5" s="36" t="s">
        <v>146</v>
      </c>
      <c r="H5" s="8" t="s">
        <v>147</v>
      </c>
      <c r="I5" s="13">
        <f>IF((($E$2-($I$3-$I$4))/20)&gt;0.8,0.8,(($E$2-($I$3-$I$4))/20))</f>
        <v>0.8</v>
      </c>
    </row>
    <row r="7" spans="2:9" ht="17.25" customHeight="1">
      <c r="B7" s="73" t="s">
        <v>114</v>
      </c>
      <c r="C7" s="74" t="s">
        <v>52</v>
      </c>
      <c r="D7" s="72" t="s">
        <v>148</v>
      </c>
      <c r="E7" s="72" t="s">
        <v>149</v>
      </c>
      <c r="F7" s="72" t="s">
        <v>150</v>
      </c>
      <c r="G7" s="72" t="s">
        <v>151</v>
      </c>
    </row>
    <row r="8" spans="2:9">
      <c r="B8" s="3">
        <v>0.53846153846153799</v>
      </c>
      <c r="C8" s="3" t="str">
        <f>'[2]LTA Approach'!J9</f>
        <v>18/06/2018 to 31/12/2018</v>
      </c>
      <c r="D8" s="90">
        <f>Overview!B34</f>
        <v>194.73524216023179</v>
      </c>
      <c r="E8" s="3">
        <f>(D8*$I$5)*B8</f>
        <v>83.885950469022859</v>
      </c>
      <c r="F8" s="3">
        <f>E8*$I$2</f>
        <v>307.58181838641713</v>
      </c>
      <c r="G8" s="3">
        <f>F8</f>
        <v>307.58181838641713</v>
      </c>
    </row>
    <row r="9" spans="2:9">
      <c r="B9" s="3">
        <f>B8+1</f>
        <v>1.5384615384615379</v>
      </c>
      <c r="C9" s="3" t="str">
        <f>'[2]LTA Approach'!J10</f>
        <v>01/01/2019 to 31/12/2019</v>
      </c>
      <c r="D9" s="90">
        <f>Overview!B34+Overview!C34</f>
        <v>355.92268592435244</v>
      </c>
      <c r="E9" s="3">
        <f>(D9*$I$5)*(B9-B8)</f>
        <v>284.73814873948191</v>
      </c>
      <c r="F9" s="3">
        <f t="shared" ref="F9:F41" si="0">E9*$I$2</f>
        <v>1044.0398787114336</v>
      </c>
      <c r="G9" s="3">
        <f t="shared" ref="G9:G42" si="1">F9+G8</f>
        <v>1351.6216970978508</v>
      </c>
    </row>
    <row r="10" spans="2:9">
      <c r="B10" s="3">
        <f t="shared" ref="B10:B13" si="2">B9+1</f>
        <v>2.5384615384615379</v>
      </c>
      <c r="C10" s="3" t="str">
        <f>'[2]LTA Approach'!J11</f>
        <v>01/01/2020 to 31/12/2020</v>
      </c>
      <c r="D10" s="90">
        <f>Overview!B34+Overview!C34+Overview!D34</f>
        <v>466.89906276846716</v>
      </c>
      <c r="E10" s="3">
        <f t="shared" ref="E10:E42" si="3">(D10*$I$5)*(B10-B9)</f>
        <v>373.51925021477376</v>
      </c>
      <c r="F10" s="3">
        <f t="shared" si="0"/>
        <v>1369.5705841208371</v>
      </c>
      <c r="G10" s="3">
        <f t="shared" si="1"/>
        <v>2721.1922812186876</v>
      </c>
    </row>
    <row r="11" spans="2:9">
      <c r="B11" s="3">
        <f t="shared" si="2"/>
        <v>3.5384615384615379</v>
      </c>
      <c r="C11" s="3" t="str">
        <f>'[2]LTA Approach'!J12</f>
        <v>01/01/2021 to 31/12/2021</v>
      </c>
      <c r="D11" s="90">
        <f>SUM(Overview!B34:E34)</f>
        <v>481.15924907778782</v>
      </c>
      <c r="E11" s="3">
        <f t="shared" si="3"/>
        <v>384.92739926223027</v>
      </c>
      <c r="F11" s="3">
        <f t="shared" si="0"/>
        <v>1411.4004639615109</v>
      </c>
      <c r="G11" s="3">
        <f t="shared" si="1"/>
        <v>4132.5927451801981</v>
      </c>
    </row>
    <row r="12" spans="2:9">
      <c r="B12" s="3">
        <f t="shared" si="2"/>
        <v>4.5384615384615383</v>
      </c>
      <c r="C12" s="3" t="str">
        <f>'[2]LTA Approach'!J13</f>
        <v>01/01/2022 to 31/12/2022</v>
      </c>
      <c r="D12" s="90">
        <f>SUM(Overview!B34:F34)</f>
        <v>502.511121273139</v>
      </c>
      <c r="E12" s="3">
        <f t="shared" si="3"/>
        <v>402.00889701851139</v>
      </c>
      <c r="F12" s="3">
        <f t="shared" si="0"/>
        <v>1474.0326224012083</v>
      </c>
      <c r="G12" s="3">
        <f t="shared" si="1"/>
        <v>5606.625367581406</v>
      </c>
    </row>
    <row r="13" spans="2:9">
      <c r="B13" s="3">
        <f t="shared" si="2"/>
        <v>5.5384615384615383</v>
      </c>
      <c r="C13" s="3" t="str">
        <f>'[2]LTA Approach'!J14</f>
        <v>01/01/2023 to 31/12/2023</v>
      </c>
      <c r="D13" s="3">
        <f>D12</f>
        <v>502.511121273139</v>
      </c>
      <c r="E13" s="3">
        <f t="shared" si="3"/>
        <v>402.00889701851122</v>
      </c>
      <c r="F13" s="3">
        <f t="shared" si="0"/>
        <v>1474.0326224012078</v>
      </c>
      <c r="G13" s="3">
        <f t="shared" si="1"/>
        <v>7080.6579899826138</v>
      </c>
    </row>
    <row r="14" spans="2:9">
      <c r="B14" s="3">
        <f>B13+1</f>
        <v>6.5384615384615383</v>
      </c>
      <c r="C14" s="3" t="str">
        <f>'[2]LTA Approach'!J15</f>
        <v>01/01/2024 to 31/12/2024</v>
      </c>
      <c r="D14" s="3">
        <f>$D$13</f>
        <v>502.511121273139</v>
      </c>
      <c r="E14" s="3">
        <f t="shared" si="3"/>
        <v>402.00889701851122</v>
      </c>
      <c r="F14" s="3">
        <f t="shared" si="0"/>
        <v>1474.0326224012078</v>
      </c>
      <c r="G14" s="3">
        <f t="shared" si="1"/>
        <v>8554.6906123838216</v>
      </c>
    </row>
    <row r="15" spans="2:9">
      <c r="B15" s="3">
        <f>B14+1</f>
        <v>7.5384615384615383</v>
      </c>
      <c r="C15" s="3" t="str">
        <f>'[2]LTA Approach'!J16</f>
        <v>01/01/2025 to 31/12/2025</v>
      </c>
      <c r="D15" s="3">
        <f t="shared" ref="D15:D28" si="4">D14</f>
        <v>502.511121273139</v>
      </c>
      <c r="E15" s="3">
        <f t="shared" si="3"/>
        <v>402.00889701851122</v>
      </c>
      <c r="F15" s="3">
        <f t="shared" si="0"/>
        <v>1474.0326224012078</v>
      </c>
      <c r="G15" s="3">
        <f t="shared" si="1"/>
        <v>10028.723234785029</v>
      </c>
    </row>
    <row r="16" spans="2:9">
      <c r="B16" s="3">
        <f t="shared" ref="B16:B41" si="5">B15+1</f>
        <v>8.5384615384615383</v>
      </c>
      <c r="C16" s="3" t="str">
        <f>'[2]LTA Approach'!J17</f>
        <v>01/01/2026 to 31/12/2026</v>
      </c>
      <c r="D16" s="3">
        <f t="shared" si="4"/>
        <v>502.511121273139</v>
      </c>
      <c r="E16" s="3">
        <f t="shared" si="3"/>
        <v>402.00889701851122</v>
      </c>
      <c r="F16" s="3">
        <f t="shared" si="0"/>
        <v>1474.0326224012078</v>
      </c>
      <c r="G16" s="3">
        <f t="shared" si="1"/>
        <v>11502.755857186237</v>
      </c>
    </row>
    <row r="17" spans="2:7">
      <c r="B17" s="3">
        <f t="shared" si="5"/>
        <v>9.5384615384615383</v>
      </c>
      <c r="C17" s="3" t="str">
        <f>'[2]LTA Approach'!J18</f>
        <v>01/01/2027 to 31/12/2027</v>
      </c>
      <c r="D17" s="3">
        <f t="shared" si="4"/>
        <v>502.511121273139</v>
      </c>
      <c r="E17" s="3">
        <f t="shared" si="3"/>
        <v>402.00889701851122</v>
      </c>
      <c r="F17" s="3">
        <f>E17*$I$2</f>
        <v>1474.0326224012078</v>
      </c>
      <c r="G17" s="3">
        <f t="shared" si="1"/>
        <v>12976.788479587445</v>
      </c>
    </row>
    <row r="18" spans="2:7">
      <c r="B18" s="3">
        <f t="shared" si="5"/>
        <v>10.538461538461538</v>
      </c>
      <c r="C18" s="3" t="str">
        <f>'[2]LTA Approach'!J19</f>
        <v>01/01/2028 to 31/12/2028</v>
      </c>
      <c r="D18" s="3">
        <f t="shared" si="4"/>
        <v>502.511121273139</v>
      </c>
      <c r="E18" s="3">
        <f t="shared" si="3"/>
        <v>402.00889701851122</v>
      </c>
      <c r="F18" s="3">
        <f t="shared" si="0"/>
        <v>1474.0326224012078</v>
      </c>
      <c r="G18" s="3">
        <f t="shared" si="1"/>
        <v>14450.821101988653</v>
      </c>
    </row>
    <row r="19" spans="2:7">
      <c r="B19" s="3">
        <f t="shared" si="5"/>
        <v>11.538461538461538</v>
      </c>
      <c r="C19" s="3" t="str">
        <f>'[2]LTA Approach'!J20</f>
        <v>01/01/2029 to 31/12/2029</v>
      </c>
      <c r="D19" s="3">
        <f t="shared" si="4"/>
        <v>502.511121273139</v>
      </c>
      <c r="E19" s="3">
        <f t="shared" si="3"/>
        <v>402.00889701851122</v>
      </c>
      <c r="F19" s="3">
        <f t="shared" si="0"/>
        <v>1474.0326224012078</v>
      </c>
      <c r="G19" s="3">
        <f t="shared" si="1"/>
        <v>15924.853724389861</v>
      </c>
    </row>
    <row r="20" spans="2:7">
      <c r="B20" s="3">
        <f t="shared" si="5"/>
        <v>12.538461538461538</v>
      </c>
      <c r="C20" s="3" t="str">
        <f>'[2]LTA Approach'!J21</f>
        <v>01/01/2030 to 31/12/2030</v>
      </c>
      <c r="D20" s="3">
        <f t="shared" si="4"/>
        <v>502.511121273139</v>
      </c>
      <c r="E20" s="3">
        <f t="shared" si="3"/>
        <v>402.00889701851122</v>
      </c>
      <c r="F20" s="3">
        <f t="shared" si="0"/>
        <v>1474.0326224012078</v>
      </c>
      <c r="G20" s="3">
        <f t="shared" si="1"/>
        <v>17398.886346791071</v>
      </c>
    </row>
    <row r="21" spans="2:7">
      <c r="B21" s="3">
        <f t="shared" si="5"/>
        <v>13.538461538461538</v>
      </c>
      <c r="C21" s="3" t="str">
        <f>'[2]LTA Approach'!J22</f>
        <v>01/01/2031 to 31/12/2031</v>
      </c>
      <c r="D21" s="3">
        <f t="shared" si="4"/>
        <v>502.511121273139</v>
      </c>
      <c r="E21" s="3">
        <f t="shared" si="3"/>
        <v>402.00889701851122</v>
      </c>
      <c r="F21" s="3">
        <f t="shared" si="0"/>
        <v>1474.0326224012078</v>
      </c>
      <c r="G21" s="3">
        <f t="shared" si="1"/>
        <v>18872.91896919228</v>
      </c>
    </row>
    <row r="22" spans="2:7">
      <c r="B22" s="3">
        <f t="shared" si="5"/>
        <v>14.538461538461538</v>
      </c>
      <c r="C22" s="3" t="str">
        <f>'[2]LTA Approach'!J23</f>
        <v>01/01/2032 to 31/12/2032</v>
      </c>
      <c r="D22" s="3">
        <f t="shared" si="4"/>
        <v>502.511121273139</v>
      </c>
      <c r="E22" s="3">
        <f t="shared" si="3"/>
        <v>402.00889701851122</v>
      </c>
      <c r="F22" s="3">
        <f t="shared" si="0"/>
        <v>1474.0326224012078</v>
      </c>
      <c r="G22" s="3">
        <f t="shared" si="1"/>
        <v>20346.95159159349</v>
      </c>
    </row>
    <row r="23" spans="2:7">
      <c r="B23" s="3">
        <f t="shared" si="5"/>
        <v>15.538461538461538</v>
      </c>
      <c r="C23" s="3" t="str">
        <f>'[2]LTA Approach'!J24</f>
        <v>01/01/2033 to 31/12/2033</v>
      </c>
      <c r="D23" s="3">
        <f t="shared" si="4"/>
        <v>502.511121273139</v>
      </c>
      <c r="E23" s="3">
        <f t="shared" si="3"/>
        <v>402.00889701851122</v>
      </c>
      <c r="F23" s="3">
        <f t="shared" si="0"/>
        <v>1474.0326224012078</v>
      </c>
      <c r="G23" s="3">
        <f t="shared" si="1"/>
        <v>21820.9842139947</v>
      </c>
    </row>
    <row r="24" spans="2:7">
      <c r="B24" s="3">
        <f t="shared" si="5"/>
        <v>16.53846153846154</v>
      </c>
      <c r="C24" s="3" t="str">
        <f>'[2]LTA Approach'!J25</f>
        <v>01/01/2034 to 31/12/2034</v>
      </c>
      <c r="D24" s="3">
        <f t="shared" si="4"/>
        <v>502.511121273139</v>
      </c>
      <c r="E24" s="3">
        <f t="shared" si="3"/>
        <v>402.00889701851196</v>
      </c>
      <c r="F24" s="3">
        <f t="shared" si="0"/>
        <v>1474.0326224012103</v>
      </c>
      <c r="G24" s="3">
        <f t="shared" si="1"/>
        <v>23295.016836395909</v>
      </c>
    </row>
    <row r="25" spans="2:7">
      <c r="B25" s="3">
        <f t="shared" si="5"/>
        <v>17.53846153846154</v>
      </c>
      <c r="C25" s="3" t="str">
        <f>'[2]LTA Approach'!J26</f>
        <v>01/01/2035 to 31/12/2035</v>
      </c>
      <c r="D25" s="3">
        <f t="shared" si="4"/>
        <v>502.511121273139</v>
      </c>
      <c r="E25" s="3">
        <f t="shared" si="3"/>
        <v>402.00889701851122</v>
      </c>
      <c r="F25" s="3">
        <f t="shared" si="0"/>
        <v>1474.0326224012078</v>
      </c>
      <c r="G25" s="3">
        <f t="shared" si="1"/>
        <v>24769.049458797119</v>
      </c>
    </row>
    <row r="26" spans="2:7">
      <c r="B26" s="3">
        <f t="shared" si="5"/>
        <v>18.53846153846154</v>
      </c>
      <c r="C26" s="3" t="str">
        <f>'[2]LTA Approach'!J27</f>
        <v>01/01/2036 to 31/12/2036</v>
      </c>
      <c r="D26" s="3">
        <f t="shared" si="4"/>
        <v>502.511121273139</v>
      </c>
      <c r="E26" s="3">
        <f t="shared" si="3"/>
        <v>402.00889701851122</v>
      </c>
      <c r="F26" s="3">
        <f t="shared" si="0"/>
        <v>1474.0326224012078</v>
      </c>
      <c r="G26" s="3">
        <f t="shared" si="1"/>
        <v>26243.082081198329</v>
      </c>
    </row>
    <row r="27" spans="2:7">
      <c r="B27" s="3">
        <f t="shared" si="5"/>
        <v>19.53846153846154</v>
      </c>
      <c r="C27" s="3" t="str">
        <f>'[2]LTA Approach'!J28</f>
        <v>01/01/2037 to 31/12/2037</v>
      </c>
      <c r="D27" s="3">
        <f t="shared" si="4"/>
        <v>502.511121273139</v>
      </c>
      <c r="E27" s="3">
        <f t="shared" si="3"/>
        <v>402.00889701851122</v>
      </c>
      <c r="F27" s="3">
        <f t="shared" si="0"/>
        <v>1474.0326224012078</v>
      </c>
      <c r="G27" s="3">
        <f t="shared" si="1"/>
        <v>27717.114703599538</v>
      </c>
    </row>
    <row r="28" spans="2:7">
      <c r="B28" s="3">
        <f t="shared" si="5"/>
        <v>20.53846153846154</v>
      </c>
      <c r="C28" s="3" t="str">
        <f>'[2]LTA Approach'!J29</f>
        <v>01/01/2038 to 31/12/2038</v>
      </c>
      <c r="D28" s="3">
        <f t="shared" si="4"/>
        <v>502.511121273139</v>
      </c>
      <c r="E28" s="3">
        <f t="shared" si="3"/>
        <v>402.00889701851122</v>
      </c>
      <c r="F28" s="3">
        <f t="shared" si="0"/>
        <v>1474.0326224012078</v>
      </c>
      <c r="G28" s="3">
        <f t="shared" si="1"/>
        <v>29191.147326000748</v>
      </c>
    </row>
    <row r="29" spans="2:7">
      <c r="B29" s="3">
        <f t="shared" si="5"/>
        <v>21.53846153846154</v>
      </c>
      <c r="C29" s="3" t="str">
        <f>'[2]LTA Approach'!J30</f>
        <v>01/01/2039 to 31/12/2039</v>
      </c>
      <c r="D29" s="90">
        <f>$D$28-D8</f>
        <v>307.77587911290721</v>
      </c>
      <c r="E29" s="3">
        <f t="shared" si="3"/>
        <v>246.22070329032579</v>
      </c>
      <c r="F29" s="3">
        <f t="shared" si="0"/>
        <v>902.80924539786122</v>
      </c>
      <c r="G29" s="3">
        <f t="shared" si="1"/>
        <v>30093.956571398609</v>
      </c>
    </row>
    <row r="30" spans="2:7">
      <c r="B30" s="3">
        <f t="shared" si="5"/>
        <v>22.53846153846154</v>
      </c>
      <c r="C30" s="3" t="str">
        <f>'[2]LTA Approach'!J31</f>
        <v>01/01/2040 to 31/12/2040</v>
      </c>
      <c r="D30" s="90">
        <f t="shared" ref="D30:D42" si="6">$D$28-D9</f>
        <v>146.58843534878656</v>
      </c>
      <c r="E30" s="3">
        <f t="shared" si="3"/>
        <v>117.27074827902925</v>
      </c>
      <c r="F30" s="3">
        <f t="shared" si="0"/>
        <v>429.99274368977387</v>
      </c>
      <c r="G30" s="3">
        <f t="shared" si="1"/>
        <v>30523.949315088383</v>
      </c>
    </row>
    <row r="31" spans="2:7">
      <c r="B31" s="3">
        <f t="shared" si="5"/>
        <v>23.53846153846154</v>
      </c>
      <c r="C31" s="3" t="str">
        <f>'[2]LTA Approach'!J32</f>
        <v>01/01/2041 to 31/12/2041</v>
      </c>
      <c r="D31" s="90">
        <f t="shared" si="6"/>
        <v>35.612058504671836</v>
      </c>
      <c r="E31" s="3">
        <f t="shared" si="3"/>
        <v>28.489646803737472</v>
      </c>
      <c r="F31" s="3">
        <f t="shared" si="0"/>
        <v>104.46203828037072</v>
      </c>
      <c r="G31" s="3">
        <f t="shared" si="1"/>
        <v>30628.411353368752</v>
      </c>
    </row>
    <row r="32" spans="2:7">
      <c r="B32" s="3">
        <f t="shared" si="5"/>
        <v>24.53846153846154</v>
      </c>
      <c r="C32" s="3" t="str">
        <f>'[2]LTA Approach'!J33</f>
        <v>01/01/2042 to 31/12/2042</v>
      </c>
      <c r="D32" s="90">
        <f t="shared" si="6"/>
        <v>21.351872195351177</v>
      </c>
      <c r="E32" s="3">
        <f t="shared" si="3"/>
        <v>17.081497756280942</v>
      </c>
      <c r="F32" s="3">
        <f t="shared" si="0"/>
        <v>62.632158439696788</v>
      </c>
      <c r="G32" s="3">
        <f t="shared" si="1"/>
        <v>30691.04351180845</v>
      </c>
    </row>
    <row r="33" spans="2:7">
      <c r="B33" s="3">
        <f t="shared" si="5"/>
        <v>25.53846153846154</v>
      </c>
      <c r="C33" s="3" t="str">
        <f>'[2]LTA Approach'!J34</f>
        <v>01/01/2043 to 31/12/2043</v>
      </c>
      <c r="D33" s="90">
        <f t="shared" si="6"/>
        <v>0</v>
      </c>
      <c r="E33" s="3">
        <f t="shared" si="3"/>
        <v>0</v>
      </c>
      <c r="F33" s="3">
        <f t="shared" si="0"/>
        <v>0</v>
      </c>
      <c r="G33" s="3">
        <f t="shared" si="1"/>
        <v>30691.04351180845</v>
      </c>
    </row>
    <row r="34" spans="2:7">
      <c r="B34" s="3">
        <f t="shared" si="5"/>
        <v>26.53846153846154</v>
      </c>
      <c r="C34" s="3" t="str">
        <f>'[2]LTA Approach'!J35</f>
        <v>01/01/2044 to 31/12/2044</v>
      </c>
      <c r="D34" s="90">
        <f t="shared" si="6"/>
        <v>0</v>
      </c>
      <c r="E34" s="3">
        <f t="shared" si="3"/>
        <v>0</v>
      </c>
      <c r="F34" s="3">
        <f t="shared" si="0"/>
        <v>0</v>
      </c>
      <c r="G34" s="3">
        <f t="shared" si="1"/>
        <v>30691.04351180845</v>
      </c>
    </row>
    <row r="35" spans="2:7">
      <c r="B35" s="3">
        <f t="shared" si="5"/>
        <v>27.53846153846154</v>
      </c>
      <c r="C35" s="3" t="str">
        <f>'[2]LTA Approach'!J36</f>
        <v>01/01/2045 to 31/12/2045</v>
      </c>
      <c r="D35" s="90">
        <f t="shared" si="6"/>
        <v>0</v>
      </c>
      <c r="E35" s="3">
        <f t="shared" si="3"/>
        <v>0</v>
      </c>
      <c r="F35" s="3">
        <f t="shared" si="0"/>
        <v>0</v>
      </c>
      <c r="G35" s="3">
        <f t="shared" si="1"/>
        <v>30691.04351180845</v>
      </c>
    </row>
    <row r="36" spans="2:7">
      <c r="B36" s="3">
        <f t="shared" si="5"/>
        <v>28.53846153846154</v>
      </c>
      <c r="C36" s="3" t="str">
        <f>'[2]LTA Approach'!J37</f>
        <v>01/01/2046 to 31/12/2046</v>
      </c>
      <c r="D36" s="90">
        <f t="shared" si="6"/>
        <v>0</v>
      </c>
      <c r="E36" s="3">
        <f t="shared" si="3"/>
        <v>0</v>
      </c>
      <c r="F36" s="3">
        <f t="shared" si="0"/>
        <v>0</v>
      </c>
      <c r="G36" s="3">
        <f t="shared" si="1"/>
        <v>30691.04351180845</v>
      </c>
    </row>
    <row r="37" spans="2:7">
      <c r="B37" s="3">
        <f t="shared" si="5"/>
        <v>29.53846153846154</v>
      </c>
      <c r="C37" s="3" t="str">
        <f>'[2]LTA Approach'!J38</f>
        <v>01/01/2047 to 31/12/2047</v>
      </c>
      <c r="D37" s="90">
        <f t="shared" si="6"/>
        <v>0</v>
      </c>
      <c r="E37" s="3">
        <f t="shared" si="3"/>
        <v>0</v>
      </c>
      <c r="F37" s="3">
        <f t="shared" si="0"/>
        <v>0</v>
      </c>
      <c r="G37" s="3">
        <f t="shared" si="1"/>
        <v>30691.04351180845</v>
      </c>
    </row>
    <row r="38" spans="2:7">
      <c r="B38" s="3">
        <f t="shared" si="5"/>
        <v>30.53846153846154</v>
      </c>
      <c r="C38" s="3" t="str">
        <f>'[2]LTA Approach'!J39</f>
        <v>01/01/2048 to 31/12/2048</v>
      </c>
      <c r="D38" s="90">
        <f t="shared" si="6"/>
        <v>0</v>
      </c>
      <c r="E38" s="3">
        <f t="shared" si="3"/>
        <v>0</v>
      </c>
      <c r="F38" s="3">
        <f t="shared" si="0"/>
        <v>0</v>
      </c>
      <c r="G38" s="3">
        <f t="shared" si="1"/>
        <v>30691.04351180845</v>
      </c>
    </row>
    <row r="39" spans="2:7">
      <c r="B39" s="3">
        <f>B38+1</f>
        <v>31.53846153846154</v>
      </c>
      <c r="C39" s="3" t="str">
        <f>'[2]LTA Approach'!J40</f>
        <v>01/01/2049 to 31/12/2049</v>
      </c>
      <c r="D39" s="90">
        <f t="shared" si="6"/>
        <v>0</v>
      </c>
      <c r="E39" s="3">
        <f t="shared" si="3"/>
        <v>0</v>
      </c>
      <c r="F39" s="3">
        <f t="shared" si="0"/>
        <v>0</v>
      </c>
      <c r="G39" s="3">
        <f t="shared" si="1"/>
        <v>30691.04351180845</v>
      </c>
    </row>
    <row r="40" spans="2:7">
      <c r="B40" s="3">
        <f t="shared" si="5"/>
        <v>32.53846153846154</v>
      </c>
      <c r="C40" s="3" t="str">
        <f>'[2]LTA Approach'!J41</f>
        <v>01/01/2050 to 31/12/2050</v>
      </c>
      <c r="D40" s="90">
        <f t="shared" si="6"/>
        <v>0</v>
      </c>
      <c r="E40" s="3">
        <f t="shared" si="3"/>
        <v>0</v>
      </c>
      <c r="F40" s="3">
        <f t="shared" si="0"/>
        <v>0</v>
      </c>
      <c r="G40" s="3">
        <f t="shared" si="1"/>
        <v>30691.04351180845</v>
      </c>
    </row>
    <row r="41" spans="2:7">
      <c r="B41" s="3">
        <f t="shared" si="5"/>
        <v>33.53846153846154</v>
      </c>
      <c r="C41" s="3" t="str">
        <f>'[2]LTA Approach'!J42</f>
        <v>01/01/2051 to 31/12/2051</v>
      </c>
      <c r="D41" s="90">
        <f t="shared" si="6"/>
        <v>0</v>
      </c>
      <c r="E41" s="3">
        <f t="shared" si="3"/>
        <v>0</v>
      </c>
      <c r="F41" s="3">
        <f t="shared" si="0"/>
        <v>0</v>
      </c>
      <c r="G41" s="3">
        <f t="shared" si="1"/>
        <v>30691.04351180845</v>
      </c>
    </row>
    <row r="42" spans="2:7">
      <c r="B42" s="3">
        <v>34</v>
      </c>
      <c r="C42" s="3" t="str">
        <f>'[2]LTA Approach'!J43</f>
        <v>01/01/2052 to 17/06/2052</v>
      </c>
      <c r="D42" s="90">
        <f t="shared" si="6"/>
        <v>0</v>
      </c>
      <c r="E42" s="3">
        <f t="shared" si="3"/>
        <v>0</v>
      </c>
      <c r="F42" s="3">
        <f>E42*$I$2</f>
        <v>0</v>
      </c>
      <c r="G42" s="3">
        <f t="shared" si="1"/>
        <v>30691.04351180845</v>
      </c>
    </row>
    <row r="43" spans="2:7">
      <c r="G43" s="92"/>
    </row>
  </sheetData>
  <dataValidations count="3">
    <dataValidation type="list" allowBlank="1" showInputMessage="1" showErrorMessage="1" sqref="F3" xr:uid="{BD2BF6C0-564A-4A1D-BE85-38BA6BC9ABDD}">
      <formula1>FLU</formula1>
    </dataValidation>
    <dataValidation type="list" allowBlank="1" showInputMessage="1" showErrorMessage="1" sqref="F4" xr:uid="{1F2D37F2-B10F-41A1-9A89-C0CB5899CFAB}">
      <formula1>IF(#REF!&lt;&gt;"3. Grassland",FMG_Cropland,FMG_Grassland)</formula1>
    </dataValidation>
    <dataValidation type="list" allowBlank="1" showInputMessage="1" showErrorMessage="1" sqref="F5" xr:uid="{72BB8944-DDBE-4A86-9A2C-BAD52DC392AB}">
      <formula1>IF(#REF!&lt;&gt;"3. Grassland",FI_Cropland,FI_Grassland)</formula1>
    </dataValidation>
  </dataValidations>
  <hyperlinks>
    <hyperlink ref="G2" r:id="rId1" xr:uid="{AAA5544A-DAE0-4B92-9CFF-0CA3320C2FE0}"/>
  </hyperlinks>
  <pageMargins left="0.7" right="0.7" top="0.75" bottom="0.75" header="0.3" footer="0.3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90A29-660C-4604-8468-007A3E89D6B1}">
  <sheetPr>
    <tabColor theme="1"/>
  </sheetPr>
  <dimension ref="B2:N38"/>
  <sheetViews>
    <sheetView topLeftCell="A28" workbookViewId="0">
      <selection activeCell="A39" sqref="A39:XFD39"/>
    </sheetView>
  </sheetViews>
  <sheetFormatPr defaultRowHeight="15"/>
  <cols>
    <col min="2" max="2" width="12.42578125" bestFit="1" customWidth="1"/>
    <col min="3" max="3" width="23.5703125" bestFit="1" customWidth="1"/>
    <col min="4" max="4" width="10.140625" bestFit="1" customWidth="1"/>
    <col min="5" max="5" width="10.28515625" bestFit="1" customWidth="1"/>
    <col min="6" max="6" width="9.85546875" bestFit="1" customWidth="1"/>
    <col min="7" max="7" width="10.140625" bestFit="1" customWidth="1"/>
    <col min="8" max="8" width="10.28515625" bestFit="1" customWidth="1"/>
    <col min="9" max="9" width="9.7109375" bestFit="1" customWidth="1"/>
    <col min="10" max="12" width="10.140625" bestFit="1" customWidth="1"/>
    <col min="13" max="13" width="25.85546875" customWidth="1"/>
    <col min="14" max="14" width="26.42578125" customWidth="1"/>
  </cols>
  <sheetData>
    <row r="2" spans="2:14">
      <c r="D2" s="144" t="s">
        <v>152</v>
      </c>
      <c r="E2" s="144"/>
      <c r="F2" s="144"/>
      <c r="G2" s="144"/>
      <c r="H2" s="144"/>
      <c r="I2" s="144"/>
      <c r="J2" s="144"/>
      <c r="K2" s="144"/>
      <c r="L2" s="144"/>
      <c r="M2" s="145" t="s">
        <v>152</v>
      </c>
      <c r="N2" s="145" t="s">
        <v>153</v>
      </c>
    </row>
    <row r="3" spans="2:14">
      <c r="B3" s="29" t="s">
        <v>51</v>
      </c>
      <c r="C3" s="69" t="s">
        <v>154</v>
      </c>
      <c r="D3" s="29" t="s">
        <v>64</v>
      </c>
      <c r="E3" s="29" t="s">
        <v>111</v>
      </c>
      <c r="F3" s="29" t="s">
        <v>107</v>
      </c>
      <c r="G3" s="29" t="s">
        <v>62</v>
      </c>
      <c r="H3" s="29" t="s">
        <v>116</v>
      </c>
      <c r="I3" s="29" t="s">
        <v>118</v>
      </c>
      <c r="J3" s="29" t="s">
        <v>155</v>
      </c>
      <c r="K3" s="29" t="s">
        <v>57</v>
      </c>
      <c r="L3" s="29" t="s">
        <v>56</v>
      </c>
      <c r="M3" s="145"/>
      <c r="N3" s="145"/>
    </row>
    <row r="4" spans="2:14" s="48" customFormat="1">
      <c r="B4" s="37">
        <f>SOC!B8</f>
        <v>0.53846153846153799</v>
      </c>
      <c r="C4" s="61" t="str">
        <f>SOC!C8</f>
        <v>18/06/2018 to 31/12/2018</v>
      </c>
      <c r="D4" s="64">
        <v>0</v>
      </c>
      <c r="E4" s="64">
        <v>0</v>
      </c>
      <c r="F4" s="64">
        <v>0</v>
      </c>
      <c r="G4" s="51"/>
      <c r="H4" s="51"/>
      <c r="I4" s="51"/>
      <c r="J4" s="51"/>
      <c r="K4" s="51"/>
      <c r="L4" s="51"/>
      <c r="M4" s="64">
        <f>SUM(D4:L4)</f>
        <v>0</v>
      </c>
      <c r="N4" s="64">
        <f>M4</f>
        <v>0</v>
      </c>
    </row>
    <row r="5" spans="2:14" s="48" customFormat="1">
      <c r="B5" s="37">
        <f>SOC!B9</f>
        <v>1.5384615384615379</v>
      </c>
      <c r="C5" s="61" t="str">
        <f>SOC!C9</f>
        <v>01/01/2019 to 31/12/2019</v>
      </c>
      <c r="D5" s="64">
        <v>0</v>
      </c>
      <c r="E5" s="64">
        <v>0</v>
      </c>
      <c r="F5" s="64">
        <v>0</v>
      </c>
      <c r="G5" s="64">
        <v>0</v>
      </c>
      <c r="H5" s="64">
        <v>0</v>
      </c>
      <c r="I5" s="64">
        <v>0</v>
      </c>
      <c r="J5" s="51"/>
      <c r="K5" s="51"/>
      <c r="L5" s="51"/>
      <c r="M5" s="64">
        <f t="shared" ref="M5:M38" si="0">SUM(D5:L5)</f>
        <v>0</v>
      </c>
      <c r="N5" s="64">
        <f>M5-M4</f>
        <v>0</v>
      </c>
    </row>
    <row r="6" spans="2:14" s="48" customFormat="1">
      <c r="B6" s="37">
        <f>SOC!B10</f>
        <v>2.5384615384615379</v>
      </c>
      <c r="C6" s="61" t="str">
        <f>SOC!C10</f>
        <v>01/01/2020 to 31/12/2020</v>
      </c>
      <c r="D6" s="64">
        <v>0</v>
      </c>
      <c r="E6" s="64">
        <v>0</v>
      </c>
      <c r="F6" s="64">
        <v>0</v>
      </c>
      <c r="G6" s="64">
        <v>0</v>
      </c>
      <c r="H6" s="64">
        <v>0</v>
      </c>
      <c r="I6" s="64">
        <v>0</v>
      </c>
      <c r="J6" s="64">
        <v>0</v>
      </c>
      <c r="K6" s="64"/>
      <c r="L6" s="51"/>
      <c r="M6" s="64">
        <f t="shared" si="0"/>
        <v>0</v>
      </c>
      <c r="N6" s="64">
        <f t="shared" ref="N6:N38" si="1">M6-M5</f>
        <v>0</v>
      </c>
    </row>
    <row r="7" spans="2:14" s="48" customFormat="1">
      <c r="B7" s="37">
        <f>SOC!B11</f>
        <v>3.5384615384615379</v>
      </c>
      <c r="C7" s="61" t="str">
        <f>SOC!C11</f>
        <v>01/01/2021 to 31/12/2021</v>
      </c>
      <c r="D7" s="64">
        <v>0</v>
      </c>
      <c r="E7" s="64">
        <v>0</v>
      </c>
      <c r="F7" s="64">
        <v>0</v>
      </c>
      <c r="G7" s="64">
        <v>0</v>
      </c>
      <c r="H7" s="64">
        <v>0</v>
      </c>
      <c r="I7" s="64">
        <v>0</v>
      </c>
      <c r="J7" s="64">
        <v>0</v>
      </c>
      <c r="K7" s="64">
        <v>0</v>
      </c>
      <c r="L7" s="64">
        <v>0</v>
      </c>
      <c r="M7" s="64">
        <f t="shared" si="0"/>
        <v>0</v>
      </c>
      <c r="N7" s="64">
        <f t="shared" si="1"/>
        <v>0</v>
      </c>
    </row>
    <row r="8" spans="2:14" s="48" customFormat="1">
      <c r="B8" s="37">
        <f>SOC!B12</f>
        <v>4.5384615384615383</v>
      </c>
      <c r="C8" s="61" t="str">
        <f>SOC!C12</f>
        <v>01/01/2022 to 31/12/2022</v>
      </c>
      <c r="D8" s="64">
        <v>0</v>
      </c>
      <c r="E8" s="64">
        <v>0</v>
      </c>
      <c r="F8" s="64">
        <v>0</v>
      </c>
      <c r="G8" s="64">
        <v>0</v>
      </c>
      <c r="H8" s="64">
        <v>0</v>
      </c>
      <c r="I8" s="64">
        <v>0</v>
      </c>
      <c r="J8" s="64">
        <v>0</v>
      </c>
      <c r="K8" s="64">
        <v>0</v>
      </c>
      <c r="L8" s="64">
        <v>0</v>
      </c>
      <c r="M8" s="64">
        <f t="shared" si="0"/>
        <v>0</v>
      </c>
      <c r="N8" s="64">
        <f t="shared" si="1"/>
        <v>0</v>
      </c>
    </row>
    <row r="9" spans="2:14" s="48" customFormat="1">
      <c r="B9" s="37">
        <f>SOC!B13</f>
        <v>5.5384615384615383</v>
      </c>
      <c r="C9" s="61" t="str">
        <f>SOC!C13</f>
        <v>01/01/2023 to 31/12/2023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64">
        <v>0</v>
      </c>
      <c r="L9" s="64">
        <v>0</v>
      </c>
      <c r="M9" s="64">
        <f t="shared" si="0"/>
        <v>0</v>
      </c>
      <c r="N9" s="64">
        <f t="shared" si="1"/>
        <v>0</v>
      </c>
    </row>
    <row r="10" spans="2:14" s="48" customFormat="1">
      <c r="B10" s="37">
        <f>SOC!B14</f>
        <v>6.5384615384615383</v>
      </c>
      <c r="C10" s="61" t="str">
        <f>SOC!C14</f>
        <v>01/01/2024 to 31/12/2024</v>
      </c>
      <c r="D10" s="64">
        <v>0</v>
      </c>
      <c r="E10" s="64">
        <v>0</v>
      </c>
      <c r="F10" s="64">
        <v>0</v>
      </c>
      <c r="G10" s="64">
        <v>0</v>
      </c>
      <c r="H10" s="64">
        <v>0</v>
      </c>
      <c r="I10" s="64">
        <v>0</v>
      </c>
      <c r="J10" s="64">
        <v>0</v>
      </c>
      <c r="K10" s="64">
        <v>0</v>
      </c>
      <c r="L10" s="64">
        <v>0</v>
      </c>
      <c r="M10" s="64">
        <f t="shared" si="0"/>
        <v>0</v>
      </c>
      <c r="N10" s="64">
        <f t="shared" si="1"/>
        <v>0</v>
      </c>
    </row>
    <row r="11" spans="2:14" s="48" customFormat="1">
      <c r="B11" s="37">
        <f>SOC!B15</f>
        <v>7.5384615384615383</v>
      </c>
      <c r="C11" s="61" t="str">
        <f>SOC!C15</f>
        <v>01/01/2025 to 31/12/2025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4">
        <v>0</v>
      </c>
      <c r="L11" s="64">
        <v>0</v>
      </c>
      <c r="M11" s="64">
        <f t="shared" si="0"/>
        <v>0</v>
      </c>
      <c r="N11" s="64">
        <f t="shared" si="1"/>
        <v>0</v>
      </c>
    </row>
    <row r="12" spans="2:14" s="48" customFormat="1">
      <c r="B12" s="37">
        <f>SOC!B16</f>
        <v>8.5384615384615383</v>
      </c>
      <c r="C12" s="61" t="str">
        <f>SOC!C16</f>
        <v>01/01/2026 to 31/12/2026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64">
        <v>0</v>
      </c>
      <c r="M12" s="64">
        <f t="shared" si="0"/>
        <v>0</v>
      </c>
      <c r="N12" s="64">
        <f t="shared" si="1"/>
        <v>0</v>
      </c>
    </row>
    <row r="13" spans="2:14" s="48" customFormat="1">
      <c r="B13" s="37">
        <f>SOC!B17</f>
        <v>9.5384615384615383</v>
      </c>
      <c r="C13" s="61" t="str">
        <f>SOC!C17</f>
        <v>01/01/2027 to 31/12/2027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4">
        <v>0</v>
      </c>
      <c r="L13" s="64">
        <v>0</v>
      </c>
      <c r="M13" s="64">
        <f t="shared" si="0"/>
        <v>0</v>
      </c>
      <c r="N13" s="64">
        <f t="shared" si="1"/>
        <v>0</v>
      </c>
    </row>
    <row r="14" spans="2:14" s="48" customFormat="1">
      <c r="B14" s="37">
        <f>SOC!B18</f>
        <v>10.538461538461538</v>
      </c>
      <c r="C14" s="61" t="str">
        <f>SOC!C18</f>
        <v>01/01/2028 to 31/12/2028</v>
      </c>
      <c r="D14" s="64">
        <v>0</v>
      </c>
      <c r="E14" s="64">
        <v>0</v>
      </c>
      <c r="F14" s="64">
        <v>0</v>
      </c>
      <c r="G14" s="64">
        <v>0</v>
      </c>
      <c r="H14" s="64">
        <v>0</v>
      </c>
      <c r="I14" s="64">
        <v>0</v>
      </c>
      <c r="J14" s="64">
        <v>0</v>
      </c>
      <c r="K14" s="64">
        <v>0</v>
      </c>
      <c r="L14" s="64">
        <v>0</v>
      </c>
      <c r="M14" s="64">
        <f t="shared" si="0"/>
        <v>0</v>
      </c>
      <c r="N14" s="64">
        <f t="shared" si="1"/>
        <v>0</v>
      </c>
    </row>
    <row r="15" spans="2:14" s="48" customFormat="1">
      <c r="B15" s="37">
        <f>SOC!B19</f>
        <v>11.538461538461538</v>
      </c>
      <c r="C15" s="61" t="str">
        <f>SOC!C19</f>
        <v>01/01/2029 to 31/12/2029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64">
        <v>0</v>
      </c>
      <c r="L15" s="64">
        <v>0</v>
      </c>
      <c r="M15" s="64">
        <f t="shared" si="0"/>
        <v>0</v>
      </c>
      <c r="N15" s="64">
        <f t="shared" si="1"/>
        <v>0</v>
      </c>
    </row>
    <row r="16" spans="2:14" s="48" customFormat="1">
      <c r="B16" s="37">
        <f>SOC!B20</f>
        <v>12.538461538461538</v>
      </c>
      <c r="C16" s="61" t="str">
        <f>SOC!C20</f>
        <v>01/01/2030 to 31/12/2030</v>
      </c>
      <c r="D16" s="64">
        <v>0</v>
      </c>
      <c r="E16" s="64">
        <v>0</v>
      </c>
      <c r="F16" s="64">
        <v>0</v>
      </c>
      <c r="G16" s="64">
        <v>0</v>
      </c>
      <c r="H16" s="64">
        <v>0</v>
      </c>
      <c r="I16" s="64">
        <v>0</v>
      </c>
      <c r="J16" s="64">
        <v>0</v>
      </c>
      <c r="K16" s="64">
        <v>0</v>
      </c>
      <c r="L16" s="64">
        <v>0</v>
      </c>
      <c r="M16" s="64">
        <f t="shared" si="0"/>
        <v>0</v>
      </c>
      <c r="N16" s="64">
        <f t="shared" si="1"/>
        <v>0</v>
      </c>
    </row>
    <row r="17" spans="2:14" s="48" customFormat="1">
      <c r="B17" s="37">
        <f>SOC!B21</f>
        <v>13.538461538461538</v>
      </c>
      <c r="C17" s="61" t="str">
        <f>SOC!C21</f>
        <v>01/01/2031 to 31/12/2031</v>
      </c>
      <c r="D17" s="64">
        <v>0</v>
      </c>
      <c r="E17" s="64">
        <v>0</v>
      </c>
      <c r="F17" s="64">
        <v>0</v>
      </c>
      <c r="G17" s="64">
        <v>0</v>
      </c>
      <c r="H17" s="64">
        <v>0</v>
      </c>
      <c r="I17" s="64">
        <v>0</v>
      </c>
      <c r="J17" s="64">
        <v>0</v>
      </c>
      <c r="K17" s="64">
        <v>0</v>
      </c>
      <c r="L17" s="64">
        <v>0</v>
      </c>
      <c r="M17" s="64">
        <f t="shared" si="0"/>
        <v>0</v>
      </c>
      <c r="N17" s="64">
        <f t="shared" si="1"/>
        <v>0</v>
      </c>
    </row>
    <row r="18" spans="2:14" s="48" customFormat="1">
      <c r="B18" s="37">
        <f>SOC!B22</f>
        <v>14.538461538461538</v>
      </c>
      <c r="C18" s="61" t="str">
        <f>SOC!C22</f>
        <v>01/01/2032 to 31/12/2032</v>
      </c>
      <c r="D18" s="64">
        <v>0</v>
      </c>
      <c r="E18" s="64">
        <v>0</v>
      </c>
      <c r="F18" s="64">
        <v>0</v>
      </c>
      <c r="G18" s="64">
        <v>0</v>
      </c>
      <c r="H18" s="64">
        <v>0</v>
      </c>
      <c r="I18" s="64">
        <v>0</v>
      </c>
      <c r="J18" s="64">
        <v>0</v>
      </c>
      <c r="K18" s="64">
        <v>0</v>
      </c>
      <c r="L18" s="64">
        <v>0</v>
      </c>
      <c r="M18" s="64">
        <f t="shared" si="0"/>
        <v>0</v>
      </c>
      <c r="N18" s="64">
        <f t="shared" si="1"/>
        <v>0</v>
      </c>
    </row>
    <row r="19" spans="2:14" s="48" customFormat="1">
      <c r="B19" s="37">
        <f>SOC!B23</f>
        <v>15.538461538461538</v>
      </c>
      <c r="C19" s="61" t="str">
        <f>SOC!C23</f>
        <v>01/01/2033 to 31/12/2033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0</v>
      </c>
      <c r="J19" s="64">
        <v>0</v>
      </c>
      <c r="K19" s="64">
        <v>0</v>
      </c>
      <c r="L19" s="64">
        <v>0</v>
      </c>
      <c r="M19" s="64">
        <f t="shared" si="0"/>
        <v>0</v>
      </c>
      <c r="N19" s="64">
        <f t="shared" si="1"/>
        <v>0</v>
      </c>
    </row>
    <row r="20" spans="2:14" s="48" customFormat="1">
      <c r="B20" s="37">
        <f>SOC!B24</f>
        <v>16.53846153846154</v>
      </c>
      <c r="C20" s="61" t="str">
        <f>SOC!C24</f>
        <v>01/01/2034 to 31/12/2034</v>
      </c>
      <c r="D20" s="64">
        <v>0</v>
      </c>
      <c r="E20" s="64">
        <v>0</v>
      </c>
      <c r="F20" s="64">
        <v>0</v>
      </c>
      <c r="G20" s="64">
        <v>0</v>
      </c>
      <c r="H20" s="64">
        <v>0</v>
      </c>
      <c r="I20" s="64">
        <v>0</v>
      </c>
      <c r="J20" s="64">
        <v>0</v>
      </c>
      <c r="K20" s="64">
        <v>0</v>
      </c>
      <c r="L20" s="64">
        <v>0</v>
      </c>
      <c r="M20" s="64">
        <f t="shared" si="0"/>
        <v>0</v>
      </c>
      <c r="N20" s="64">
        <f t="shared" si="1"/>
        <v>0</v>
      </c>
    </row>
    <row r="21" spans="2:14" s="48" customFormat="1">
      <c r="B21" s="37">
        <f>SOC!B25</f>
        <v>17.53846153846154</v>
      </c>
      <c r="C21" s="61" t="str">
        <f>SOC!C25</f>
        <v>01/01/2035 to 31/12/2035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4">
        <v>0</v>
      </c>
      <c r="M21" s="64">
        <f t="shared" si="0"/>
        <v>0</v>
      </c>
      <c r="N21" s="64">
        <f t="shared" si="1"/>
        <v>0</v>
      </c>
    </row>
    <row r="22" spans="2:14" s="48" customFormat="1">
      <c r="B22" s="37">
        <f>SOC!B26</f>
        <v>18.53846153846154</v>
      </c>
      <c r="C22" s="61" t="str">
        <f>SOC!C26</f>
        <v>01/01/2036 to 31/12/2036</v>
      </c>
      <c r="D22" s="64">
        <v>0</v>
      </c>
      <c r="E22" s="64">
        <v>0</v>
      </c>
      <c r="F22" s="64">
        <v>0</v>
      </c>
      <c r="G22" s="64">
        <v>0</v>
      </c>
      <c r="H22" s="64">
        <v>0</v>
      </c>
      <c r="I22" s="64">
        <v>0</v>
      </c>
      <c r="J22" s="64">
        <v>0</v>
      </c>
      <c r="K22" s="64">
        <v>0</v>
      </c>
      <c r="L22" s="64">
        <v>0</v>
      </c>
      <c r="M22" s="64">
        <f t="shared" si="0"/>
        <v>0</v>
      </c>
      <c r="N22" s="64">
        <f t="shared" si="1"/>
        <v>0</v>
      </c>
    </row>
    <row r="23" spans="2:14" s="48" customFormat="1">
      <c r="B23" s="37">
        <f>SOC!B27</f>
        <v>19.53846153846154</v>
      </c>
      <c r="C23" s="61" t="str">
        <f>SOC!C27</f>
        <v>01/01/2037 to 31/12/2037</v>
      </c>
      <c r="D23" s="64">
        <v>0</v>
      </c>
      <c r="E23" s="64">
        <v>0</v>
      </c>
      <c r="F23" s="64">
        <v>0</v>
      </c>
      <c r="G23" s="64">
        <v>0</v>
      </c>
      <c r="H23" s="64">
        <v>0</v>
      </c>
      <c r="I23" s="64">
        <v>0</v>
      </c>
      <c r="J23" s="64">
        <v>0</v>
      </c>
      <c r="K23" s="64">
        <v>0</v>
      </c>
      <c r="L23" s="64">
        <v>0</v>
      </c>
      <c r="M23" s="64">
        <f t="shared" si="0"/>
        <v>0</v>
      </c>
      <c r="N23" s="64">
        <f t="shared" si="1"/>
        <v>0</v>
      </c>
    </row>
    <row r="24" spans="2:14" s="48" customFormat="1">
      <c r="B24" s="37">
        <f>SOC!B28</f>
        <v>20.53846153846154</v>
      </c>
      <c r="C24" s="61" t="str">
        <f>SOC!C28</f>
        <v>01/01/2038 to 31/12/2038</v>
      </c>
      <c r="D24" s="64">
        <v>0</v>
      </c>
      <c r="E24" s="64">
        <v>0</v>
      </c>
      <c r="F24" s="64">
        <v>0</v>
      </c>
      <c r="G24" s="64">
        <v>0</v>
      </c>
      <c r="H24" s="64">
        <v>0</v>
      </c>
      <c r="I24" s="64">
        <v>0</v>
      </c>
      <c r="J24" s="64">
        <v>0</v>
      </c>
      <c r="K24" s="64">
        <v>0</v>
      </c>
      <c r="L24" s="64">
        <v>0</v>
      </c>
      <c r="M24" s="64">
        <f t="shared" si="0"/>
        <v>0</v>
      </c>
      <c r="N24" s="64">
        <f t="shared" si="1"/>
        <v>0</v>
      </c>
    </row>
    <row r="25" spans="2:14" s="48" customFormat="1">
      <c r="B25" s="37">
        <f>SOC!B29</f>
        <v>21.53846153846154</v>
      </c>
      <c r="C25" s="61" t="str">
        <f>SOC!C29</f>
        <v>01/01/2039 to 31/12/2039</v>
      </c>
      <c r="D25" s="64">
        <v>0</v>
      </c>
      <c r="E25" s="64">
        <v>0</v>
      </c>
      <c r="F25" s="64">
        <v>0</v>
      </c>
      <c r="G25" s="64">
        <v>0</v>
      </c>
      <c r="H25" s="64">
        <v>0</v>
      </c>
      <c r="I25" s="64">
        <v>0</v>
      </c>
      <c r="J25" s="64">
        <v>0</v>
      </c>
      <c r="K25" s="64">
        <v>0</v>
      </c>
      <c r="L25" s="64">
        <v>0</v>
      </c>
      <c r="M25" s="64">
        <f t="shared" si="0"/>
        <v>0</v>
      </c>
      <c r="N25" s="64">
        <f t="shared" si="1"/>
        <v>0</v>
      </c>
    </row>
    <row r="26" spans="2:14" s="48" customFormat="1">
      <c r="B26" s="37">
        <f>SOC!B30</f>
        <v>22.53846153846154</v>
      </c>
      <c r="C26" s="61" t="str">
        <f>SOC!C30</f>
        <v>01/01/2040 to 31/12/2040</v>
      </c>
      <c r="D26" s="64">
        <v>0</v>
      </c>
      <c r="E26" s="64">
        <v>0</v>
      </c>
      <c r="F26" s="64">
        <v>0</v>
      </c>
      <c r="G26" s="64">
        <v>0</v>
      </c>
      <c r="H26" s="64">
        <v>0</v>
      </c>
      <c r="I26" s="64">
        <v>0</v>
      </c>
      <c r="J26" s="64">
        <v>0</v>
      </c>
      <c r="K26" s="64">
        <v>0</v>
      </c>
      <c r="L26" s="64">
        <v>0</v>
      </c>
      <c r="M26" s="64">
        <f t="shared" si="0"/>
        <v>0</v>
      </c>
      <c r="N26" s="64">
        <f t="shared" si="1"/>
        <v>0</v>
      </c>
    </row>
    <row r="27" spans="2:14" s="48" customFormat="1">
      <c r="B27" s="37">
        <f>SOC!B31</f>
        <v>23.53846153846154</v>
      </c>
      <c r="C27" s="61" t="str">
        <f>SOC!C31</f>
        <v>01/01/2041 to 31/12/2041</v>
      </c>
      <c r="D27" s="64">
        <v>0</v>
      </c>
      <c r="E27" s="64">
        <v>0</v>
      </c>
      <c r="F27" s="64">
        <v>0</v>
      </c>
      <c r="G27" s="64">
        <v>0</v>
      </c>
      <c r="H27" s="64">
        <v>0</v>
      </c>
      <c r="I27" s="64">
        <v>0</v>
      </c>
      <c r="J27" s="64">
        <v>0</v>
      </c>
      <c r="K27" s="64">
        <v>0</v>
      </c>
      <c r="L27" s="64">
        <v>0</v>
      </c>
      <c r="M27" s="64">
        <f t="shared" si="0"/>
        <v>0</v>
      </c>
      <c r="N27" s="64">
        <f t="shared" si="1"/>
        <v>0</v>
      </c>
    </row>
    <row r="28" spans="2:14" s="48" customFormat="1">
      <c r="B28" s="37">
        <f>SOC!B32</f>
        <v>24.53846153846154</v>
      </c>
      <c r="C28" s="61" t="str">
        <f>SOC!C32</f>
        <v>01/01/2042 to 31/12/2042</v>
      </c>
      <c r="D28" s="64">
        <v>0</v>
      </c>
      <c r="E28" s="64">
        <v>0</v>
      </c>
      <c r="F28" s="64">
        <v>0</v>
      </c>
      <c r="G28" s="64">
        <v>0</v>
      </c>
      <c r="H28" s="64">
        <v>0</v>
      </c>
      <c r="I28" s="64">
        <v>0</v>
      </c>
      <c r="J28" s="64">
        <v>0</v>
      </c>
      <c r="K28" s="64">
        <v>0</v>
      </c>
      <c r="L28" s="64">
        <v>0</v>
      </c>
      <c r="M28" s="64">
        <f t="shared" si="0"/>
        <v>0</v>
      </c>
      <c r="N28" s="64">
        <f t="shared" si="1"/>
        <v>0</v>
      </c>
    </row>
    <row r="29" spans="2:14" s="48" customFormat="1">
      <c r="B29" s="37">
        <f>SOC!B33</f>
        <v>25.53846153846154</v>
      </c>
      <c r="C29" s="61" t="str">
        <f>SOC!C33</f>
        <v>01/01/2043 to 31/12/2043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64">
        <v>0</v>
      </c>
      <c r="L29" s="64">
        <v>0</v>
      </c>
      <c r="M29" s="64">
        <f t="shared" si="0"/>
        <v>0</v>
      </c>
      <c r="N29" s="64">
        <f t="shared" si="1"/>
        <v>0</v>
      </c>
    </row>
    <row r="30" spans="2:14" s="48" customFormat="1">
      <c r="B30" s="37">
        <f>SOC!B34</f>
        <v>26.53846153846154</v>
      </c>
      <c r="C30" s="61" t="str">
        <f>SOC!C34</f>
        <v>01/01/2044 to 31/12/2044</v>
      </c>
      <c r="D30" s="64">
        <v>0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  <c r="J30" s="64">
        <v>0</v>
      </c>
      <c r="K30" s="64">
        <v>0</v>
      </c>
      <c r="L30" s="64">
        <v>0</v>
      </c>
      <c r="M30" s="64">
        <f t="shared" si="0"/>
        <v>0</v>
      </c>
      <c r="N30" s="64">
        <f t="shared" si="1"/>
        <v>0</v>
      </c>
    </row>
    <row r="31" spans="2:14" s="48" customFormat="1">
      <c r="B31" s="37">
        <f>SOC!B35</f>
        <v>27.53846153846154</v>
      </c>
      <c r="C31" s="61" t="str">
        <f>SOC!C35</f>
        <v>01/01/2045 to 31/12/2045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64">
        <v>0</v>
      </c>
      <c r="J31" s="64">
        <v>0</v>
      </c>
      <c r="K31" s="64">
        <v>0</v>
      </c>
      <c r="L31" s="64">
        <v>0</v>
      </c>
      <c r="M31" s="64">
        <f t="shared" si="0"/>
        <v>0</v>
      </c>
      <c r="N31" s="64">
        <f t="shared" si="1"/>
        <v>0</v>
      </c>
    </row>
    <row r="32" spans="2:14" s="48" customFormat="1">
      <c r="B32" s="37">
        <f>SOC!B36</f>
        <v>28.53846153846154</v>
      </c>
      <c r="C32" s="61" t="str">
        <f>SOC!C36</f>
        <v>01/01/2046 to 31/12/2046</v>
      </c>
      <c r="D32" s="64">
        <v>0</v>
      </c>
      <c r="E32" s="64">
        <v>0</v>
      </c>
      <c r="F32" s="64">
        <v>0</v>
      </c>
      <c r="G32" s="64">
        <v>0</v>
      </c>
      <c r="H32" s="64">
        <v>0</v>
      </c>
      <c r="I32" s="64">
        <v>0</v>
      </c>
      <c r="J32" s="64">
        <v>0</v>
      </c>
      <c r="K32" s="64">
        <v>0</v>
      </c>
      <c r="L32" s="64">
        <v>0</v>
      </c>
      <c r="M32" s="64">
        <f t="shared" si="0"/>
        <v>0</v>
      </c>
      <c r="N32" s="64">
        <f t="shared" si="1"/>
        <v>0</v>
      </c>
    </row>
    <row r="33" spans="2:14" s="48" customFormat="1">
      <c r="B33" s="37">
        <f>SOC!B37</f>
        <v>29.53846153846154</v>
      </c>
      <c r="C33" s="61" t="str">
        <f>SOC!C37</f>
        <v>01/01/2047 to 31/12/2047</v>
      </c>
      <c r="D33" s="64">
        <v>0</v>
      </c>
      <c r="E33" s="64">
        <v>0</v>
      </c>
      <c r="F33" s="64">
        <v>0</v>
      </c>
      <c r="G33" s="64">
        <v>0</v>
      </c>
      <c r="H33" s="64">
        <v>0</v>
      </c>
      <c r="I33" s="64">
        <v>0</v>
      </c>
      <c r="J33" s="64">
        <v>0</v>
      </c>
      <c r="K33" s="64">
        <v>0</v>
      </c>
      <c r="L33" s="64">
        <v>0</v>
      </c>
      <c r="M33" s="64">
        <f t="shared" si="0"/>
        <v>0</v>
      </c>
      <c r="N33" s="64">
        <f t="shared" si="1"/>
        <v>0</v>
      </c>
    </row>
    <row r="34" spans="2:14" s="48" customFormat="1">
      <c r="B34" s="37">
        <f>SOC!B38</f>
        <v>30.53846153846154</v>
      </c>
      <c r="C34" s="61" t="str">
        <f>SOC!C38</f>
        <v>01/01/2048 to 31/12/2048</v>
      </c>
      <c r="D34" s="64">
        <v>0</v>
      </c>
      <c r="E34" s="64">
        <v>0</v>
      </c>
      <c r="F34" s="64">
        <v>0</v>
      </c>
      <c r="G34" s="64">
        <v>0</v>
      </c>
      <c r="H34" s="64">
        <v>0</v>
      </c>
      <c r="I34" s="64">
        <v>0</v>
      </c>
      <c r="J34" s="64">
        <v>0</v>
      </c>
      <c r="K34" s="64">
        <v>0</v>
      </c>
      <c r="L34" s="64">
        <v>0</v>
      </c>
      <c r="M34" s="64">
        <f t="shared" si="0"/>
        <v>0</v>
      </c>
      <c r="N34" s="64">
        <f t="shared" si="1"/>
        <v>0</v>
      </c>
    </row>
    <row r="35" spans="2:14" s="48" customFormat="1">
      <c r="B35" s="37">
        <f>SOC!B39</f>
        <v>31.53846153846154</v>
      </c>
      <c r="C35" s="61" t="str">
        <f>SOC!C39</f>
        <v>01/01/2049 to 31/12/2049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64">
        <v>0</v>
      </c>
      <c r="J35" s="64">
        <v>0</v>
      </c>
      <c r="K35" s="64">
        <v>0</v>
      </c>
      <c r="L35" s="64">
        <v>0</v>
      </c>
      <c r="M35" s="64">
        <f t="shared" si="0"/>
        <v>0</v>
      </c>
      <c r="N35" s="64">
        <f t="shared" si="1"/>
        <v>0</v>
      </c>
    </row>
    <row r="36" spans="2:14">
      <c r="B36" s="37">
        <f>SOC!B40</f>
        <v>32.53846153846154</v>
      </c>
      <c r="C36" s="70" t="str">
        <f>SOC!C40</f>
        <v>01/01/2050 to 31/12/2050</v>
      </c>
      <c r="D36" s="64">
        <v>0</v>
      </c>
      <c r="E36" s="64">
        <v>0</v>
      </c>
      <c r="F36" s="64">
        <v>0</v>
      </c>
      <c r="G36" s="64">
        <v>0</v>
      </c>
      <c r="H36" s="64">
        <v>0</v>
      </c>
      <c r="I36" s="64">
        <v>0</v>
      </c>
      <c r="J36" s="64">
        <v>0</v>
      </c>
      <c r="K36" s="64">
        <v>0</v>
      </c>
      <c r="L36" s="64">
        <v>0</v>
      </c>
      <c r="M36" s="64">
        <f t="shared" si="0"/>
        <v>0</v>
      </c>
      <c r="N36" s="64">
        <f t="shared" si="1"/>
        <v>0</v>
      </c>
    </row>
    <row r="37" spans="2:14">
      <c r="B37" s="37">
        <f>SOC!B41</f>
        <v>33.53846153846154</v>
      </c>
      <c r="C37" s="70" t="str">
        <f>SOC!C41</f>
        <v>01/01/2051 to 31/12/2051</v>
      </c>
      <c r="D37" s="64">
        <v>0</v>
      </c>
      <c r="E37" s="64">
        <v>0</v>
      </c>
      <c r="F37" s="64">
        <v>0</v>
      </c>
      <c r="G37" s="64">
        <v>0</v>
      </c>
      <c r="H37" s="64">
        <v>0</v>
      </c>
      <c r="I37" s="64">
        <v>0</v>
      </c>
      <c r="J37" s="64">
        <v>0</v>
      </c>
      <c r="K37" s="64">
        <v>0</v>
      </c>
      <c r="L37" s="64">
        <v>0</v>
      </c>
      <c r="M37" s="64">
        <f t="shared" si="0"/>
        <v>0</v>
      </c>
      <c r="N37" s="64">
        <f t="shared" si="1"/>
        <v>0</v>
      </c>
    </row>
    <row r="38" spans="2:14">
      <c r="B38" s="37">
        <f>SOC!B42</f>
        <v>34</v>
      </c>
      <c r="C38" s="70" t="str">
        <f>SOC!C42</f>
        <v>01/01/2052 to 17/06/2052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0</v>
      </c>
      <c r="K38" s="64">
        <v>0</v>
      </c>
      <c r="L38" s="64">
        <v>0</v>
      </c>
      <c r="M38" s="64">
        <f t="shared" si="0"/>
        <v>0</v>
      </c>
      <c r="N38" s="64">
        <f t="shared" si="1"/>
        <v>0</v>
      </c>
    </row>
  </sheetData>
  <mergeCells count="3">
    <mergeCell ref="D2:L2"/>
    <mergeCell ref="M2:M3"/>
    <mergeCell ref="N2:N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D1717-216C-4B62-8912-BF81E17ED4AC}">
  <sheetPr codeName="Sheet14">
    <tabColor theme="1"/>
  </sheetPr>
  <dimension ref="B2:N38"/>
  <sheetViews>
    <sheetView topLeftCell="B28" zoomScaleNormal="100" workbookViewId="0">
      <selection activeCell="B39" sqref="B39"/>
    </sheetView>
  </sheetViews>
  <sheetFormatPr defaultRowHeight="15"/>
  <cols>
    <col min="2" max="2" width="12.42578125" bestFit="1" customWidth="1"/>
    <col min="3" max="3" width="23.5703125" bestFit="1" customWidth="1"/>
    <col min="4" max="4" width="10.140625" bestFit="1" customWidth="1"/>
    <col min="5" max="5" width="10.28515625" bestFit="1" customWidth="1"/>
    <col min="6" max="6" width="9.85546875" bestFit="1" customWidth="1"/>
    <col min="7" max="7" width="10.140625" bestFit="1" customWidth="1"/>
    <col min="8" max="8" width="10.28515625" bestFit="1" customWidth="1"/>
    <col min="9" max="9" width="9.7109375" bestFit="1" customWidth="1"/>
    <col min="10" max="10" width="9.42578125" bestFit="1" customWidth="1"/>
    <col min="11" max="12" width="10.140625" bestFit="1" customWidth="1"/>
    <col min="13" max="13" width="25.5703125" customWidth="1"/>
    <col min="14" max="14" width="26.85546875" customWidth="1"/>
  </cols>
  <sheetData>
    <row r="2" spans="2:14">
      <c r="D2" s="144" t="s">
        <v>156</v>
      </c>
      <c r="E2" s="144"/>
      <c r="F2" s="144"/>
      <c r="G2" s="144"/>
      <c r="H2" s="144"/>
      <c r="I2" s="144"/>
      <c r="J2" s="144"/>
      <c r="K2" s="144"/>
      <c r="L2" s="144"/>
      <c r="M2" s="145" t="s">
        <v>157</v>
      </c>
      <c r="N2" s="145" t="s">
        <v>158</v>
      </c>
    </row>
    <row r="3" spans="2:14">
      <c r="B3" s="29" t="s">
        <v>51</v>
      </c>
      <c r="C3" s="69" t="s">
        <v>154</v>
      </c>
      <c r="D3" s="29" t="s">
        <v>64</v>
      </c>
      <c r="E3" s="29" t="s">
        <v>111</v>
      </c>
      <c r="F3" s="29" t="s">
        <v>107</v>
      </c>
      <c r="G3" s="29" t="s">
        <v>62</v>
      </c>
      <c r="H3" s="29" t="s">
        <v>116</v>
      </c>
      <c r="I3" s="29" t="s">
        <v>118</v>
      </c>
      <c r="J3" s="29" t="s">
        <v>155</v>
      </c>
      <c r="K3" s="29" t="s">
        <v>57</v>
      </c>
      <c r="L3" s="29" t="s">
        <v>56</v>
      </c>
      <c r="M3" s="145"/>
      <c r="N3" s="145"/>
    </row>
    <row r="4" spans="2:14" s="48" customFormat="1">
      <c r="B4" s="37">
        <f>SOC!B8</f>
        <v>0.53846153846153799</v>
      </c>
      <c r="C4" s="61" t="str">
        <f>SOC!C8</f>
        <v>18/06/2018 to 31/12/2018</v>
      </c>
      <c r="D4" s="64">
        <v>0</v>
      </c>
      <c r="E4" s="64">
        <v>0</v>
      </c>
      <c r="F4" s="64">
        <v>0</v>
      </c>
      <c r="G4" s="51"/>
      <c r="H4" s="51"/>
      <c r="I4" s="51"/>
      <c r="J4" s="51"/>
      <c r="K4" s="51"/>
      <c r="L4" s="51"/>
      <c r="M4" s="64">
        <f>SUM(D4:L4)</f>
        <v>0</v>
      </c>
      <c r="N4" s="64">
        <f>M4</f>
        <v>0</v>
      </c>
    </row>
    <row r="5" spans="2:14" s="48" customFormat="1">
      <c r="B5" s="37">
        <f>SOC!B9</f>
        <v>1.5384615384615379</v>
      </c>
      <c r="C5" s="61" t="str">
        <f>SOC!C9</f>
        <v>01/01/2019 to 31/12/2019</v>
      </c>
      <c r="D5" s="64">
        <v>0</v>
      </c>
      <c r="E5" s="64">
        <v>0</v>
      </c>
      <c r="F5" s="64">
        <v>0</v>
      </c>
      <c r="G5" s="64">
        <v>0</v>
      </c>
      <c r="H5" s="64">
        <v>0</v>
      </c>
      <c r="I5" s="64">
        <v>0</v>
      </c>
      <c r="J5" s="51"/>
      <c r="K5" s="51"/>
      <c r="L5" s="51"/>
      <c r="M5" s="64">
        <f t="shared" ref="M5:M38" si="0">SUM(D5:L5)</f>
        <v>0</v>
      </c>
      <c r="N5" s="64">
        <f>M5-M4</f>
        <v>0</v>
      </c>
    </row>
    <row r="6" spans="2:14" s="48" customFormat="1">
      <c r="B6" s="37">
        <f>SOC!B10</f>
        <v>2.5384615384615379</v>
      </c>
      <c r="C6" s="61" t="str">
        <f>SOC!C10</f>
        <v>01/01/2020 to 31/12/2020</v>
      </c>
      <c r="D6" s="64">
        <v>0</v>
      </c>
      <c r="E6" s="64">
        <v>0</v>
      </c>
      <c r="F6" s="64">
        <v>0</v>
      </c>
      <c r="G6" s="64">
        <v>0</v>
      </c>
      <c r="H6" s="64">
        <v>0</v>
      </c>
      <c r="I6" s="64">
        <v>0</v>
      </c>
      <c r="J6" s="64">
        <v>0</v>
      </c>
      <c r="K6" s="64"/>
      <c r="L6" s="51"/>
      <c r="M6" s="64">
        <f t="shared" si="0"/>
        <v>0</v>
      </c>
      <c r="N6" s="64">
        <f t="shared" ref="N6" si="1">M6</f>
        <v>0</v>
      </c>
    </row>
    <row r="7" spans="2:14" s="48" customFormat="1">
      <c r="B7" s="37">
        <f>SOC!B11</f>
        <v>3.5384615384615379</v>
      </c>
      <c r="C7" s="61" t="str">
        <f>SOC!C11</f>
        <v>01/01/2021 to 31/12/2021</v>
      </c>
      <c r="D7" s="64">
        <v>0</v>
      </c>
      <c r="E7" s="64">
        <v>0</v>
      </c>
      <c r="F7" s="64">
        <v>0</v>
      </c>
      <c r="G7" s="64">
        <v>0</v>
      </c>
      <c r="H7" s="64">
        <v>0</v>
      </c>
      <c r="I7" s="64">
        <v>0</v>
      </c>
      <c r="J7" s="64">
        <v>0</v>
      </c>
      <c r="K7" s="64">
        <v>0</v>
      </c>
      <c r="L7" s="64">
        <v>0</v>
      </c>
      <c r="M7" s="64">
        <f t="shared" si="0"/>
        <v>0</v>
      </c>
      <c r="N7" s="64">
        <f t="shared" ref="N7" si="2">M7-M6</f>
        <v>0</v>
      </c>
    </row>
    <row r="8" spans="2:14" s="48" customFormat="1">
      <c r="B8" s="37">
        <f>SOC!B12</f>
        <v>4.5384615384615383</v>
      </c>
      <c r="C8" s="61" t="str">
        <f>SOC!C12</f>
        <v>01/01/2022 to 31/12/2022</v>
      </c>
      <c r="D8" s="64">
        <v>0</v>
      </c>
      <c r="E8" s="64">
        <v>0</v>
      </c>
      <c r="F8" s="64">
        <v>0</v>
      </c>
      <c r="G8" s="64">
        <v>0</v>
      </c>
      <c r="H8" s="64">
        <v>0</v>
      </c>
      <c r="I8" s="64">
        <v>0</v>
      </c>
      <c r="J8" s="64">
        <v>0</v>
      </c>
      <c r="K8" s="64">
        <v>0</v>
      </c>
      <c r="L8" s="64">
        <v>0</v>
      </c>
      <c r="M8" s="64">
        <f t="shared" si="0"/>
        <v>0</v>
      </c>
      <c r="N8" s="64">
        <f t="shared" ref="N8" si="3">M8</f>
        <v>0</v>
      </c>
    </row>
    <row r="9" spans="2:14" s="48" customFormat="1">
      <c r="B9" s="37">
        <f>SOC!B13</f>
        <v>5.5384615384615383</v>
      </c>
      <c r="C9" s="61" t="str">
        <f>SOC!C13</f>
        <v>01/01/2023 to 31/12/2023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64">
        <v>0</v>
      </c>
      <c r="L9" s="64">
        <v>0</v>
      </c>
      <c r="M9" s="64">
        <f t="shared" si="0"/>
        <v>0</v>
      </c>
      <c r="N9" s="64">
        <f t="shared" ref="N9" si="4">M9-M8</f>
        <v>0</v>
      </c>
    </row>
    <row r="10" spans="2:14" s="48" customFormat="1">
      <c r="B10" s="37">
        <f>SOC!B14</f>
        <v>6.5384615384615383</v>
      </c>
      <c r="C10" s="61" t="str">
        <f>SOC!C14</f>
        <v>01/01/2024 to 31/12/2024</v>
      </c>
      <c r="D10" s="64">
        <v>0</v>
      </c>
      <c r="E10" s="64">
        <v>0</v>
      </c>
      <c r="F10" s="64">
        <v>0</v>
      </c>
      <c r="G10" s="64">
        <v>0</v>
      </c>
      <c r="H10" s="64">
        <v>0</v>
      </c>
      <c r="I10" s="64">
        <v>0</v>
      </c>
      <c r="J10" s="64">
        <v>0</v>
      </c>
      <c r="K10" s="64">
        <v>0</v>
      </c>
      <c r="L10" s="64">
        <v>0</v>
      </c>
      <c r="M10" s="64">
        <f t="shared" si="0"/>
        <v>0</v>
      </c>
      <c r="N10" s="64">
        <f t="shared" ref="N10" si="5">M10</f>
        <v>0</v>
      </c>
    </row>
    <row r="11" spans="2:14" s="48" customFormat="1">
      <c r="B11" s="37">
        <f>SOC!B15</f>
        <v>7.5384615384615383</v>
      </c>
      <c r="C11" s="61" t="str">
        <f>SOC!C15</f>
        <v>01/01/2025 to 31/12/2025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4">
        <v>0</v>
      </c>
      <c r="L11" s="64">
        <v>0</v>
      </c>
      <c r="M11" s="64">
        <f t="shared" si="0"/>
        <v>0</v>
      </c>
      <c r="N11" s="64">
        <f t="shared" ref="N11" si="6">M11-M10</f>
        <v>0</v>
      </c>
    </row>
    <row r="12" spans="2:14" s="48" customFormat="1">
      <c r="B12" s="37">
        <f>SOC!B16</f>
        <v>8.5384615384615383</v>
      </c>
      <c r="C12" s="61" t="str">
        <f>SOC!C16</f>
        <v>01/01/2026 to 31/12/2026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64">
        <v>0</v>
      </c>
      <c r="M12" s="64">
        <f t="shared" si="0"/>
        <v>0</v>
      </c>
      <c r="N12" s="64">
        <f t="shared" ref="N12" si="7">M12</f>
        <v>0</v>
      </c>
    </row>
    <row r="13" spans="2:14" s="48" customFormat="1">
      <c r="B13" s="37">
        <f>SOC!B17</f>
        <v>9.5384615384615383</v>
      </c>
      <c r="C13" s="61" t="str">
        <f>SOC!C17</f>
        <v>01/01/2027 to 31/12/2027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4">
        <v>0</v>
      </c>
      <c r="L13" s="64">
        <v>0</v>
      </c>
      <c r="M13" s="64">
        <f t="shared" si="0"/>
        <v>0</v>
      </c>
      <c r="N13" s="64">
        <f t="shared" ref="N13" si="8">M13-M12</f>
        <v>0</v>
      </c>
    </row>
    <row r="14" spans="2:14" s="48" customFormat="1">
      <c r="B14" s="37">
        <f>SOC!B18</f>
        <v>10.538461538461538</v>
      </c>
      <c r="C14" s="61" t="str">
        <f>SOC!C18</f>
        <v>01/01/2028 to 31/12/2028</v>
      </c>
      <c r="D14" s="64">
        <v>0</v>
      </c>
      <c r="E14" s="64">
        <v>0</v>
      </c>
      <c r="F14" s="64">
        <v>0</v>
      </c>
      <c r="G14" s="64">
        <v>0</v>
      </c>
      <c r="H14" s="64">
        <v>0</v>
      </c>
      <c r="I14" s="64">
        <v>0</v>
      </c>
      <c r="J14" s="64">
        <v>0</v>
      </c>
      <c r="K14" s="64">
        <v>0</v>
      </c>
      <c r="L14" s="64">
        <v>0</v>
      </c>
      <c r="M14" s="64">
        <f t="shared" si="0"/>
        <v>0</v>
      </c>
      <c r="N14" s="64">
        <f t="shared" ref="N14" si="9">M14</f>
        <v>0</v>
      </c>
    </row>
    <row r="15" spans="2:14" s="48" customFormat="1">
      <c r="B15" s="37">
        <f>SOC!B19</f>
        <v>11.538461538461538</v>
      </c>
      <c r="C15" s="61" t="str">
        <f>SOC!C19</f>
        <v>01/01/2029 to 31/12/2029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64">
        <v>0</v>
      </c>
      <c r="L15" s="64">
        <v>0</v>
      </c>
      <c r="M15" s="64">
        <f t="shared" si="0"/>
        <v>0</v>
      </c>
      <c r="N15" s="64">
        <f t="shared" ref="N15" si="10">M15-M14</f>
        <v>0</v>
      </c>
    </row>
    <row r="16" spans="2:14" s="48" customFormat="1">
      <c r="B16" s="37">
        <f>SOC!B20</f>
        <v>12.538461538461538</v>
      </c>
      <c r="C16" s="61" t="str">
        <f>SOC!C20</f>
        <v>01/01/2030 to 31/12/2030</v>
      </c>
      <c r="D16" s="64">
        <v>0</v>
      </c>
      <c r="E16" s="64">
        <v>0</v>
      </c>
      <c r="F16" s="64">
        <v>0</v>
      </c>
      <c r="G16" s="64">
        <v>0</v>
      </c>
      <c r="H16" s="64">
        <v>0</v>
      </c>
      <c r="I16" s="64">
        <v>0</v>
      </c>
      <c r="J16" s="64">
        <v>0</v>
      </c>
      <c r="K16" s="64">
        <v>0</v>
      </c>
      <c r="L16" s="64">
        <v>0</v>
      </c>
      <c r="M16" s="64">
        <f t="shared" si="0"/>
        <v>0</v>
      </c>
      <c r="N16" s="64">
        <f t="shared" ref="N16" si="11">M16</f>
        <v>0</v>
      </c>
    </row>
    <row r="17" spans="2:14" s="48" customFormat="1">
      <c r="B17" s="37">
        <f>SOC!B21</f>
        <v>13.538461538461538</v>
      </c>
      <c r="C17" s="61" t="str">
        <f>SOC!C21</f>
        <v>01/01/2031 to 31/12/2031</v>
      </c>
      <c r="D17" s="64">
        <v>0</v>
      </c>
      <c r="E17" s="64">
        <v>0</v>
      </c>
      <c r="F17" s="64">
        <v>0</v>
      </c>
      <c r="G17" s="64">
        <v>0</v>
      </c>
      <c r="H17" s="64">
        <v>0</v>
      </c>
      <c r="I17" s="64">
        <v>0</v>
      </c>
      <c r="J17" s="64">
        <v>0</v>
      </c>
      <c r="K17" s="64">
        <v>0</v>
      </c>
      <c r="L17" s="64">
        <v>0</v>
      </c>
      <c r="M17" s="64">
        <f t="shared" si="0"/>
        <v>0</v>
      </c>
      <c r="N17" s="64">
        <f t="shared" ref="N17" si="12">M17-M16</f>
        <v>0</v>
      </c>
    </row>
    <row r="18" spans="2:14" s="48" customFormat="1">
      <c r="B18" s="37">
        <f>SOC!B22</f>
        <v>14.538461538461538</v>
      </c>
      <c r="C18" s="61" t="str">
        <f>SOC!C22</f>
        <v>01/01/2032 to 31/12/2032</v>
      </c>
      <c r="D18" s="64">
        <v>0</v>
      </c>
      <c r="E18" s="64">
        <v>0</v>
      </c>
      <c r="F18" s="64">
        <v>0</v>
      </c>
      <c r="G18" s="64">
        <v>0</v>
      </c>
      <c r="H18" s="64">
        <v>0</v>
      </c>
      <c r="I18" s="64">
        <v>0</v>
      </c>
      <c r="J18" s="64">
        <v>0</v>
      </c>
      <c r="K18" s="64">
        <v>0</v>
      </c>
      <c r="L18" s="64">
        <v>0</v>
      </c>
      <c r="M18" s="64">
        <f t="shared" si="0"/>
        <v>0</v>
      </c>
      <c r="N18" s="64">
        <f t="shared" ref="N18" si="13">M18</f>
        <v>0</v>
      </c>
    </row>
    <row r="19" spans="2:14" s="48" customFormat="1">
      <c r="B19" s="37">
        <f>SOC!B23</f>
        <v>15.538461538461538</v>
      </c>
      <c r="C19" s="61" t="str">
        <f>SOC!C23</f>
        <v>01/01/2033 to 31/12/2033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0</v>
      </c>
      <c r="J19" s="64">
        <v>0</v>
      </c>
      <c r="K19" s="64">
        <v>0</v>
      </c>
      <c r="L19" s="64">
        <v>0</v>
      </c>
      <c r="M19" s="64">
        <f t="shared" si="0"/>
        <v>0</v>
      </c>
      <c r="N19" s="64">
        <f t="shared" ref="N19" si="14">M19-M18</f>
        <v>0</v>
      </c>
    </row>
    <row r="20" spans="2:14" s="48" customFormat="1">
      <c r="B20" s="37">
        <f>SOC!B24</f>
        <v>16.53846153846154</v>
      </c>
      <c r="C20" s="61" t="str">
        <f>SOC!C24</f>
        <v>01/01/2034 to 31/12/2034</v>
      </c>
      <c r="D20" s="64">
        <v>0</v>
      </c>
      <c r="E20" s="64">
        <v>0</v>
      </c>
      <c r="F20" s="64">
        <v>0</v>
      </c>
      <c r="G20" s="64">
        <v>0</v>
      </c>
      <c r="H20" s="64">
        <v>0</v>
      </c>
      <c r="I20" s="64">
        <v>0</v>
      </c>
      <c r="J20" s="64">
        <v>0</v>
      </c>
      <c r="K20" s="64">
        <v>0</v>
      </c>
      <c r="L20" s="64">
        <v>0</v>
      </c>
      <c r="M20" s="64">
        <f t="shared" si="0"/>
        <v>0</v>
      </c>
      <c r="N20" s="64">
        <f t="shared" ref="N20" si="15">M20</f>
        <v>0</v>
      </c>
    </row>
    <row r="21" spans="2:14" s="48" customFormat="1">
      <c r="B21" s="37">
        <f>SOC!B25</f>
        <v>17.53846153846154</v>
      </c>
      <c r="C21" s="61" t="str">
        <f>SOC!C25</f>
        <v>01/01/2035 to 31/12/2035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4">
        <v>0</v>
      </c>
      <c r="M21" s="64">
        <f t="shared" si="0"/>
        <v>0</v>
      </c>
      <c r="N21" s="64">
        <f t="shared" ref="N21" si="16">M21-M20</f>
        <v>0</v>
      </c>
    </row>
    <row r="22" spans="2:14" s="48" customFormat="1">
      <c r="B22" s="37">
        <f>SOC!B26</f>
        <v>18.53846153846154</v>
      </c>
      <c r="C22" s="61" t="str">
        <f>SOC!C26</f>
        <v>01/01/2036 to 31/12/2036</v>
      </c>
      <c r="D22" s="64">
        <v>0</v>
      </c>
      <c r="E22" s="64">
        <v>0</v>
      </c>
      <c r="F22" s="64">
        <v>0</v>
      </c>
      <c r="G22" s="64">
        <v>0</v>
      </c>
      <c r="H22" s="64">
        <v>0</v>
      </c>
      <c r="I22" s="64">
        <v>0</v>
      </c>
      <c r="J22" s="64">
        <v>0</v>
      </c>
      <c r="K22" s="64">
        <v>0</v>
      </c>
      <c r="L22" s="64">
        <v>0</v>
      </c>
      <c r="M22" s="64">
        <f t="shared" si="0"/>
        <v>0</v>
      </c>
      <c r="N22" s="64">
        <f t="shared" ref="N22" si="17">M22</f>
        <v>0</v>
      </c>
    </row>
    <row r="23" spans="2:14" s="48" customFormat="1">
      <c r="B23" s="37">
        <f>SOC!B27</f>
        <v>19.53846153846154</v>
      </c>
      <c r="C23" s="61" t="str">
        <f>SOC!C27</f>
        <v>01/01/2037 to 31/12/2037</v>
      </c>
      <c r="D23" s="64">
        <v>0</v>
      </c>
      <c r="E23" s="64">
        <v>0</v>
      </c>
      <c r="F23" s="64">
        <v>0</v>
      </c>
      <c r="G23" s="64">
        <v>0</v>
      </c>
      <c r="H23" s="64">
        <v>0</v>
      </c>
      <c r="I23" s="64">
        <v>0</v>
      </c>
      <c r="J23" s="64">
        <v>0</v>
      </c>
      <c r="K23" s="64">
        <v>0</v>
      </c>
      <c r="L23" s="64">
        <v>0</v>
      </c>
      <c r="M23" s="64">
        <f t="shared" si="0"/>
        <v>0</v>
      </c>
      <c r="N23" s="64">
        <f t="shared" ref="N23" si="18">M23-M22</f>
        <v>0</v>
      </c>
    </row>
    <row r="24" spans="2:14" s="48" customFormat="1">
      <c r="B24" s="37">
        <f>SOC!B28</f>
        <v>20.53846153846154</v>
      </c>
      <c r="C24" s="61" t="str">
        <f>SOC!C28</f>
        <v>01/01/2038 to 31/12/2038</v>
      </c>
      <c r="D24" s="64">
        <v>0</v>
      </c>
      <c r="E24" s="64">
        <v>0</v>
      </c>
      <c r="F24" s="64">
        <v>0</v>
      </c>
      <c r="G24" s="64">
        <v>0</v>
      </c>
      <c r="H24" s="64">
        <v>0</v>
      </c>
      <c r="I24" s="64">
        <v>0</v>
      </c>
      <c r="J24" s="64">
        <v>0</v>
      </c>
      <c r="K24" s="64">
        <v>0</v>
      </c>
      <c r="L24" s="64">
        <v>0</v>
      </c>
      <c r="M24" s="64">
        <f t="shared" si="0"/>
        <v>0</v>
      </c>
      <c r="N24" s="64">
        <f t="shared" ref="N24" si="19">M24</f>
        <v>0</v>
      </c>
    </row>
    <row r="25" spans="2:14" s="48" customFormat="1">
      <c r="B25" s="37">
        <f>SOC!B29</f>
        <v>21.53846153846154</v>
      </c>
      <c r="C25" s="61" t="str">
        <f>SOC!C29</f>
        <v>01/01/2039 to 31/12/2039</v>
      </c>
      <c r="D25" s="64">
        <v>0</v>
      </c>
      <c r="E25" s="64">
        <v>0</v>
      </c>
      <c r="F25" s="64">
        <v>0</v>
      </c>
      <c r="G25" s="64">
        <v>0</v>
      </c>
      <c r="H25" s="64">
        <v>0</v>
      </c>
      <c r="I25" s="64">
        <v>0</v>
      </c>
      <c r="J25" s="64">
        <v>0</v>
      </c>
      <c r="K25" s="64">
        <v>0</v>
      </c>
      <c r="L25" s="64">
        <v>0</v>
      </c>
      <c r="M25" s="64">
        <f t="shared" si="0"/>
        <v>0</v>
      </c>
      <c r="N25" s="64">
        <f t="shared" ref="N25" si="20">M25-M24</f>
        <v>0</v>
      </c>
    </row>
    <row r="26" spans="2:14" s="48" customFormat="1">
      <c r="B26" s="37">
        <f>SOC!B30</f>
        <v>22.53846153846154</v>
      </c>
      <c r="C26" s="61" t="str">
        <f>SOC!C30</f>
        <v>01/01/2040 to 31/12/2040</v>
      </c>
      <c r="D26" s="64">
        <v>0</v>
      </c>
      <c r="E26" s="64">
        <v>0</v>
      </c>
      <c r="F26" s="64">
        <v>0</v>
      </c>
      <c r="G26" s="64">
        <v>0</v>
      </c>
      <c r="H26" s="64">
        <v>0</v>
      </c>
      <c r="I26" s="64">
        <v>0</v>
      </c>
      <c r="J26" s="64">
        <v>0</v>
      </c>
      <c r="K26" s="64">
        <v>0</v>
      </c>
      <c r="L26" s="64">
        <v>0</v>
      </c>
      <c r="M26" s="64">
        <f t="shared" si="0"/>
        <v>0</v>
      </c>
      <c r="N26" s="64">
        <f t="shared" ref="N26" si="21">M26</f>
        <v>0</v>
      </c>
    </row>
    <row r="27" spans="2:14" s="48" customFormat="1">
      <c r="B27" s="37">
        <f>SOC!B31</f>
        <v>23.53846153846154</v>
      </c>
      <c r="C27" s="61" t="str">
        <f>SOC!C31</f>
        <v>01/01/2041 to 31/12/2041</v>
      </c>
      <c r="D27" s="64">
        <v>0</v>
      </c>
      <c r="E27" s="64">
        <v>0</v>
      </c>
      <c r="F27" s="64">
        <v>0</v>
      </c>
      <c r="G27" s="64">
        <v>0</v>
      </c>
      <c r="H27" s="64">
        <v>0</v>
      </c>
      <c r="I27" s="64">
        <v>0</v>
      </c>
      <c r="J27" s="64">
        <v>0</v>
      </c>
      <c r="K27" s="64">
        <v>0</v>
      </c>
      <c r="L27" s="64">
        <v>0</v>
      </c>
      <c r="M27" s="64">
        <f t="shared" si="0"/>
        <v>0</v>
      </c>
      <c r="N27" s="64">
        <f t="shared" ref="N27" si="22">M27-M26</f>
        <v>0</v>
      </c>
    </row>
    <row r="28" spans="2:14" s="48" customFormat="1">
      <c r="B28" s="37">
        <f>SOC!B32</f>
        <v>24.53846153846154</v>
      </c>
      <c r="C28" s="61" t="str">
        <f>SOC!C32</f>
        <v>01/01/2042 to 31/12/2042</v>
      </c>
      <c r="D28" s="64">
        <v>0</v>
      </c>
      <c r="E28" s="64">
        <v>0</v>
      </c>
      <c r="F28" s="64">
        <v>0</v>
      </c>
      <c r="G28" s="64">
        <v>0</v>
      </c>
      <c r="H28" s="64">
        <v>0</v>
      </c>
      <c r="I28" s="64">
        <v>0</v>
      </c>
      <c r="J28" s="64">
        <v>0</v>
      </c>
      <c r="K28" s="64">
        <v>0</v>
      </c>
      <c r="L28" s="64">
        <v>0</v>
      </c>
      <c r="M28" s="64">
        <f t="shared" si="0"/>
        <v>0</v>
      </c>
      <c r="N28" s="64">
        <f t="shared" ref="N28" si="23">M28</f>
        <v>0</v>
      </c>
    </row>
    <row r="29" spans="2:14" s="48" customFormat="1">
      <c r="B29" s="37">
        <f>SOC!B33</f>
        <v>25.53846153846154</v>
      </c>
      <c r="C29" s="61" t="str">
        <f>SOC!C33</f>
        <v>01/01/2043 to 31/12/2043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64">
        <v>0</v>
      </c>
      <c r="L29" s="64">
        <v>0</v>
      </c>
      <c r="M29" s="64">
        <f t="shared" si="0"/>
        <v>0</v>
      </c>
      <c r="N29" s="64">
        <f t="shared" ref="N29" si="24">M29-M28</f>
        <v>0</v>
      </c>
    </row>
    <row r="30" spans="2:14" s="48" customFormat="1">
      <c r="B30" s="37">
        <f>SOC!B34</f>
        <v>26.53846153846154</v>
      </c>
      <c r="C30" s="61" t="str">
        <f>SOC!C34</f>
        <v>01/01/2044 to 31/12/2044</v>
      </c>
      <c r="D30" s="64">
        <v>0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  <c r="J30" s="64">
        <v>0</v>
      </c>
      <c r="K30" s="64">
        <v>0</v>
      </c>
      <c r="L30" s="64">
        <v>0</v>
      </c>
      <c r="M30" s="64">
        <f t="shared" si="0"/>
        <v>0</v>
      </c>
      <c r="N30" s="64">
        <f t="shared" ref="N30" si="25">M30</f>
        <v>0</v>
      </c>
    </row>
    <row r="31" spans="2:14" s="48" customFormat="1">
      <c r="B31" s="37">
        <f>SOC!B35</f>
        <v>27.53846153846154</v>
      </c>
      <c r="C31" s="61" t="str">
        <f>SOC!C35</f>
        <v>01/01/2045 to 31/12/2045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64">
        <v>0</v>
      </c>
      <c r="J31" s="64">
        <v>0</v>
      </c>
      <c r="K31" s="64">
        <v>0</v>
      </c>
      <c r="L31" s="64">
        <v>0</v>
      </c>
      <c r="M31" s="64">
        <f t="shared" si="0"/>
        <v>0</v>
      </c>
      <c r="N31" s="64">
        <f t="shared" ref="N31" si="26">M31-M30</f>
        <v>0</v>
      </c>
    </row>
    <row r="32" spans="2:14" s="48" customFormat="1">
      <c r="B32" s="37">
        <f>SOC!B36</f>
        <v>28.53846153846154</v>
      </c>
      <c r="C32" s="61" t="str">
        <f>SOC!C36</f>
        <v>01/01/2046 to 31/12/2046</v>
      </c>
      <c r="D32" s="64">
        <v>0</v>
      </c>
      <c r="E32" s="64">
        <v>0</v>
      </c>
      <c r="F32" s="64">
        <v>0</v>
      </c>
      <c r="G32" s="64">
        <v>0</v>
      </c>
      <c r="H32" s="64">
        <v>0</v>
      </c>
      <c r="I32" s="64">
        <v>0</v>
      </c>
      <c r="J32" s="64">
        <v>0</v>
      </c>
      <c r="K32" s="64">
        <v>0</v>
      </c>
      <c r="L32" s="64">
        <v>0</v>
      </c>
      <c r="M32" s="64">
        <f t="shared" si="0"/>
        <v>0</v>
      </c>
      <c r="N32" s="64">
        <f t="shared" ref="N32" si="27">M32</f>
        <v>0</v>
      </c>
    </row>
    <row r="33" spans="2:14" s="48" customFormat="1">
      <c r="B33" s="37">
        <f>SOC!B37</f>
        <v>29.53846153846154</v>
      </c>
      <c r="C33" s="61" t="str">
        <f>SOC!C37</f>
        <v>01/01/2047 to 31/12/2047</v>
      </c>
      <c r="D33" s="64">
        <v>0</v>
      </c>
      <c r="E33" s="64">
        <v>0</v>
      </c>
      <c r="F33" s="64">
        <v>0</v>
      </c>
      <c r="G33" s="64">
        <v>0</v>
      </c>
      <c r="H33" s="64">
        <v>0</v>
      </c>
      <c r="I33" s="64">
        <v>0</v>
      </c>
      <c r="J33" s="64">
        <v>0</v>
      </c>
      <c r="K33" s="64">
        <v>0</v>
      </c>
      <c r="L33" s="64">
        <v>0</v>
      </c>
      <c r="M33" s="64">
        <f t="shared" si="0"/>
        <v>0</v>
      </c>
      <c r="N33" s="64">
        <f t="shared" ref="N33" si="28">M33-M32</f>
        <v>0</v>
      </c>
    </row>
    <row r="34" spans="2:14" s="48" customFormat="1">
      <c r="B34" s="37">
        <f>SOC!B38</f>
        <v>30.53846153846154</v>
      </c>
      <c r="C34" s="61" t="str">
        <f>SOC!C38</f>
        <v>01/01/2048 to 31/12/2048</v>
      </c>
      <c r="D34" s="64">
        <v>0</v>
      </c>
      <c r="E34" s="64">
        <v>0</v>
      </c>
      <c r="F34" s="64">
        <v>0</v>
      </c>
      <c r="G34" s="64">
        <v>0</v>
      </c>
      <c r="H34" s="64">
        <v>0</v>
      </c>
      <c r="I34" s="64">
        <v>0</v>
      </c>
      <c r="J34" s="64">
        <v>0</v>
      </c>
      <c r="K34" s="64">
        <v>0</v>
      </c>
      <c r="L34" s="64">
        <v>0</v>
      </c>
      <c r="M34" s="64">
        <f t="shared" si="0"/>
        <v>0</v>
      </c>
      <c r="N34" s="64">
        <f t="shared" ref="N34" si="29">M34</f>
        <v>0</v>
      </c>
    </row>
    <row r="35" spans="2:14" s="48" customFormat="1">
      <c r="B35" s="37">
        <f>B34+1</f>
        <v>31.53846153846154</v>
      </c>
      <c r="C35" s="61" t="str">
        <f>SOC!C39</f>
        <v>01/01/2049 to 31/12/2049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64">
        <v>0</v>
      </c>
      <c r="J35" s="64">
        <v>0</v>
      </c>
      <c r="K35" s="64">
        <v>0</v>
      </c>
      <c r="L35" s="64">
        <v>0</v>
      </c>
      <c r="M35" s="64">
        <f t="shared" si="0"/>
        <v>0</v>
      </c>
      <c r="N35" s="64">
        <f t="shared" ref="N35" si="30">M35-M34</f>
        <v>0</v>
      </c>
    </row>
    <row r="36" spans="2:14">
      <c r="B36" s="37">
        <f t="shared" ref="B36:B37" si="31">B35+1</f>
        <v>32.53846153846154</v>
      </c>
      <c r="C36" s="70" t="str">
        <f>SOC!C40</f>
        <v>01/01/2050 to 31/12/2050</v>
      </c>
      <c r="D36" s="64">
        <v>0</v>
      </c>
      <c r="E36" s="64">
        <v>0</v>
      </c>
      <c r="F36" s="64">
        <v>0</v>
      </c>
      <c r="G36" s="64">
        <v>0</v>
      </c>
      <c r="H36" s="64">
        <v>0</v>
      </c>
      <c r="I36" s="64">
        <v>0</v>
      </c>
      <c r="J36" s="64">
        <v>0</v>
      </c>
      <c r="K36" s="64">
        <v>0</v>
      </c>
      <c r="L36" s="64">
        <v>0</v>
      </c>
      <c r="M36" s="64">
        <f t="shared" si="0"/>
        <v>0</v>
      </c>
      <c r="N36" s="64">
        <f t="shared" ref="N36" si="32">M36</f>
        <v>0</v>
      </c>
    </row>
    <row r="37" spans="2:14">
      <c r="B37" s="37">
        <f t="shared" si="31"/>
        <v>33.53846153846154</v>
      </c>
      <c r="C37" s="70" t="str">
        <f>SOC!C41</f>
        <v>01/01/2051 to 31/12/2051</v>
      </c>
      <c r="D37" s="64">
        <v>0</v>
      </c>
      <c r="E37" s="64">
        <v>0</v>
      </c>
      <c r="F37" s="64">
        <v>0</v>
      </c>
      <c r="G37" s="64">
        <v>0</v>
      </c>
      <c r="H37" s="64">
        <v>0</v>
      </c>
      <c r="I37" s="64">
        <v>0</v>
      </c>
      <c r="J37" s="64">
        <v>0</v>
      </c>
      <c r="K37" s="64">
        <v>0</v>
      </c>
      <c r="L37" s="64">
        <v>0</v>
      </c>
      <c r="M37" s="64">
        <f t="shared" si="0"/>
        <v>0</v>
      </c>
      <c r="N37" s="64">
        <f t="shared" ref="N37" si="33">M37-M36</f>
        <v>0</v>
      </c>
    </row>
    <row r="38" spans="2:14">
      <c r="B38" s="37">
        <v>34</v>
      </c>
      <c r="C38" s="70" t="str">
        <f>SOC!C42</f>
        <v>01/01/2052 to 17/06/2052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0</v>
      </c>
      <c r="K38" s="64">
        <v>0</v>
      </c>
      <c r="L38" s="64">
        <v>0</v>
      </c>
      <c r="M38" s="64">
        <f t="shared" si="0"/>
        <v>0</v>
      </c>
      <c r="N38" s="64">
        <f t="shared" ref="N38" si="34">M38</f>
        <v>0</v>
      </c>
    </row>
  </sheetData>
  <mergeCells count="3">
    <mergeCell ref="D2:L2"/>
    <mergeCell ref="M2:M3"/>
    <mergeCell ref="N2:N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CCFD7-55D9-4A8B-B541-C0FADB4D430F}">
  <sheetPr codeName="Sheet16">
    <tabColor rgb="FFFF0000"/>
  </sheetPr>
  <dimension ref="A3:Y41"/>
  <sheetViews>
    <sheetView topLeftCell="A8" zoomScale="93" zoomScaleNormal="93" workbookViewId="0">
      <selection activeCell="T37" sqref="T37"/>
    </sheetView>
  </sheetViews>
  <sheetFormatPr defaultRowHeight="15"/>
  <cols>
    <col min="1" max="1" width="29.85546875" style="38" customWidth="1"/>
    <col min="2" max="2" width="20" style="38" customWidth="1"/>
    <col min="3" max="3" width="27.42578125" style="38" bestFit="1" customWidth="1"/>
    <col min="4" max="4" width="34.28515625" style="38" customWidth="1"/>
    <col min="5" max="5" width="21.7109375" style="38" customWidth="1"/>
    <col min="6" max="7" width="16" style="38" customWidth="1"/>
    <col min="8" max="8" width="20.140625" style="38" customWidth="1"/>
    <col min="9" max="9" width="20.5703125" style="38" customWidth="1"/>
    <col min="10" max="10" width="15.5703125" style="38" customWidth="1"/>
    <col min="11" max="11" width="21.85546875" style="38" customWidth="1"/>
    <col min="12" max="12" width="11.28515625" style="38" bestFit="1" customWidth="1"/>
    <col min="13" max="13" width="9.140625" style="38"/>
    <col min="14" max="14" width="27" style="38" customWidth="1"/>
    <col min="15" max="15" width="17.5703125" style="38" customWidth="1"/>
    <col min="16" max="16" width="13.85546875" style="38" customWidth="1"/>
    <col min="17" max="17" width="18" style="38" customWidth="1"/>
    <col min="18" max="18" width="12.28515625" style="38" customWidth="1"/>
    <col min="19" max="19" width="16" style="38" customWidth="1"/>
    <col min="20" max="20" width="13.7109375" style="38" customWidth="1"/>
    <col min="21" max="21" width="12.42578125" style="38" customWidth="1"/>
    <col min="22" max="23" width="9.140625" style="38"/>
    <col min="24" max="24" width="35.140625" style="38" customWidth="1"/>
    <col min="25" max="25" width="29.85546875" style="38" customWidth="1"/>
    <col min="26" max="16384" width="9.140625" style="38"/>
  </cols>
  <sheetData>
    <row r="3" spans="1:25" ht="46.5" customHeight="1">
      <c r="C3" s="146" t="s">
        <v>159</v>
      </c>
      <c r="D3" s="146"/>
      <c r="E3" s="146"/>
      <c r="F3" s="146"/>
      <c r="G3" s="146"/>
      <c r="H3" s="146"/>
      <c r="I3" s="146"/>
      <c r="J3" s="146"/>
      <c r="K3" s="146"/>
      <c r="N3" s="146" t="s">
        <v>160</v>
      </c>
      <c r="O3" s="146"/>
      <c r="P3" s="146"/>
      <c r="Q3" s="146"/>
      <c r="R3" s="146"/>
      <c r="S3" s="146"/>
      <c r="T3" s="146"/>
      <c r="U3" s="146"/>
      <c r="Y3" s="97" t="s">
        <v>161</v>
      </c>
    </row>
    <row r="4" spans="1:25" ht="74.25">
      <c r="B4" s="98"/>
      <c r="C4" s="99" t="s">
        <v>162</v>
      </c>
      <c r="D4" s="99" t="s">
        <v>163</v>
      </c>
      <c r="E4" s="99" t="s">
        <v>164</v>
      </c>
      <c r="F4" s="99" t="s">
        <v>165</v>
      </c>
      <c r="G4" s="99" t="s">
        <v>166</v>
      </c>
      <c r="H4" s="99" t="s">
        <v>167</v>
      </c>
      <c r="I4" s="99" t="s">
        <v>168</v>
      </c>
      <c r="J4" s="99" t="s">
        <v>169</v>
      </c>
      <c r="K4" s="99" t="s">
        <v>170</v>
      </c>
      <c r="N4" s="100" t="s">
        <v>171</v>
      </c>
      <c r="O4" s="100" t="s">
        <v>172</v>
      </c>
      <c r="P4" s="100" t="s">
        <v>173</v>
      </c>
      <c r="Q4" s="100" t="s">
        <v>174</v>
      </c>
      <c r="R4" s="100" t="s">
        <v>175</v>
      </c>
      <c r="S4" s="100" t="s">
        <v>176</v>
      </c>
      <c r="T4" s="100" t="s">
        <v>177</v>
      </c>
      <c r="U4" s="100" t="s">
        <v>178</v>
      </c>
      <c r="X4" s="100" t="s">
        <v>171</v>
      </c>
      <c r="Y4" s="100" t="s">
        <v>179</v>
      </c>
    </row>
    <row r="5" spans="1:25" ht="23.25" customHeight="1">
      <c r="A5" s="63"/>
      <c r="B5" s="63"/>
      <c r="C5" s="34" t="str">
        <f>'2018 PM (MAI)'!K9</f>
        <v>18/06/2018 to 31/12/2018</v>
      </c>
      <c r="D5" s="96">
        <f>Baseline!M4</f>
        <v>0</v>
      </c>
      <c r="E5" s="96">
        <f>'2018 PM (MAI)'!R9+'2018 GA (MAI)'!O9+'2018 MH (MAI)'!Q9+SOC!G8</f>
        <v>307.58181838641713</v>
      </c>
      <c r="F5" s="96">
        <f>E5</f>
        <v>307.58181838641713</v>
      </c>
      <c r="G5" s="96">
        <f>Leakage!M4</f>
        <v>0</v>
      </c>
      <c r="H5" s="96">
        <f>E5-D5-G5</f>
        <v>307.58181838641713</v>
      </c>
      <c r="I5" s="96">
        <f>H5</f>
        <v>307.58181838641713</v>
      </c>
      <c r="J5" s="96">
        <f>I5*19%</f>
        <v>58.440545493419258</v>
      </c>
      <c r="K5" s="96">
        <f>I5-J5</f>
        <v>249.14127289299788</v>
      </c>
      <c r="L5" s="103"/>
      <c r="N5" s="34" t="str">
        <f>C5</f>
        <v>18/06/2018 to 31/12/2018</v>
      </c>
      <c r="O5" s="34">
        <f>-Baseline!N4</f>
        <v>0</v>
      </c>
      <c r="P5" s="34">
        <v>0</v>
      </c>
      <c r="Q5" s="34">
        <f>Leakage!N4</f>
        <v>0</v>
      </c>
      <c r="R5" s="34">
        <f>J5</f>
        <v>58.440545493419258</v>
      </c>
      <c r="S5" s="34">
        <v>0</v>
      </c>
      <c r="T5" s="34">
        <f>I5</f>
        <v>307.58181838641713</v>
      </c>
      <c r="U5" s="34">
        <f>T5-R5</f>
        <v>249.14127289299788</v>
      </c>
      <c r="X5" s="34" t="str">
        <f>N5</f>
        <v>18/06/2018 to 31/12/2018</v>
      </c>
      <c r="Y5" s="96">
        <f>F5-Baseline!N4-Leakage!N4</f>
        <v>307.58181838641713</v>
      </c>
    </row>
    <row r="6" spans="1:25">
      <c r="A6" s="63"/>
      <c r="B6" s="63"/>
      <c r="C6" s="34" t="str">
        <f>'2019 PM (MAI)'!L9</f>
        <v>01/01/2019 to 31/12/2019</v>
      </c>
      <c r="D6" s="96">
        <f>Baseline!M5</f>
        <v>0</v>
      </c>
      <c r="E6" s="96">
        <f>'2018 PM (MAI)'!R10+'2018 GA (MAI)'!O10+'2018 MH (MAI)'!Q10+SOC!G9+'2019 PM (MAI)'!S9+'2019 MH (MAI)'!Q9+'2019 CA (MAI)'!Q9</f>
        <v>1351.6216970978508</v>
      </c>
      <c r="F6" s="96">
        <f>E6-E5</f>
        <v>1044.0398787114336</v>
      </c>
      <c r="G6" s="96">
        <f>Leakage!M5</f>
        <v>0</v>
      </c>
      <c r="H6" s="96">
        <f t="shared" ref="H6:H39" si="0">E6-D6-G6</f>
        <v>1351.6216970978508</v>
      </c>
      <c r="I6" s="96">
        <f>H6-H5</f>
        <v>1044.0398787114336</v>
      </c>
      <c r="J6" s="96">
        <f t="shared" ref="J6:J39" si="1">I6*19%</f>
        <v>198.36757695517238</v>
      </c>
      <c r="K6" s="96">
        <f t="shared" ref="K6:K39" si="2">I6-J6</f>
        <v>845.67230175626128</v>
      </c>
      <c r="L6" s="103"/>
      <c r="N6" s="34" t="str">
        <f t="shared" ref="N6:N34" si="3">C6</f>
        <v>01/01/2019 to 31/12/2019</v>
      </c>
      <c r="O6" s="34">
        <f>-Baseline!N5</f>
        <v>0</v>
      </c>
      <c r="P6" s="34">
        <v>0</v>
      </c>
      <c r="Q6" s="34">
        <f>Leakage!N5</f>
        <v>0</v>
      </c>
      <c r="R6" s="34">
        <f t="shared" ref="R6:R33" si="4">J6</f>
        <v>198.36757695517238</v>
      </c>
      <c r="S6" s="34">
        <v>0</v>
      </c>
      <c r="T6" s="34">
        <f t="shared" ref="T6:T15" si="5">I6</f>
        <v>1044.0398787114336</v>
      </c>
      <c r="U6" s="34">
        <f t="shared" ref="U6:U34" si="6">T6-R6</f>
        <v>845.67230175626128</v>
      </c>
      <c r="X6" s="34" t="str">
        <f t="shared" ref="X6:X35" si="7">N6</f>
        <v>01/01/2019 to 31/12/2019</v>
      </c>
      <c r="Y6" s="96">
        <f>F6-Baseline!N5-Leakage!N5</f>
        <v>1044.0398787114336</v>
      </c>
    </row>
    <row r="7" spans="1:25">
      <c r="A7" s="63"/>
      <c r="B7" s="63"/>
      <c r="C7" s="34" t="str">
        <f>'2019 PM (MAI)'!L10</f>
        <v>01/01/2020 to 31/12/2020</v>
      </c>
      <c r="D7" s="96">
        <f>Baseline!M6</f>
        <v>0</v>
      </c>
      <c r="E7" s="96">
        <f>'2018 PM (MAI)'!R11+'2018 GA (MAI)'!O11+'2018 MH (MAI)'!Q11+SOC!G10+'2019 PM (MAI)'!S10+'2019 MH (MAI)'!Q10+'2019 CA (MAI)'!Q10+'2020 PM (MAI)'!R9</f>
        <v>7180.4540504533679</v>
      </c>
      <c r="F7" s="96">
        <f t="shared" ref="F7:F39" si="8">E7-E6</f>
        <v>5828.8323533555176</v>
      </c>
      <c r="G7" s="96">
        <f>Leakage!M6</f>
        <v>0</v>
      </c>
      <c r="H7" s="96">
        <f t="shared" si="0"/>
        <v>7180.4540504533679</v>
      </c>
      <c r="I7" s="96">
        <f t="shared" ref="I7:I14" si="9">H7-H6</f>
        <v>5828.8323533555176</v>
      </c>
      <c r="J7" s="96">
        <f t="shared" si="1"/>
        <v>1107.4781471375484</v>
      </c>
      <c r="K7" s="96">
        <f t="shared" si="2"/>
        <v>4721.3542062179695</v>
      </c>
      <c r="L7" s="103"/>
      <c r="N7" s="34" t="str">
        <f t="shared" si="3"/>
        <v>01/01/2020 to 31/12/2020</v>
      </c>
      <c r="O7" s="34">
        <f>-Baseline!N6</f>
        <v>0</v>
      </c>
      <c r="P7" s="34">
        <v>0</v>
      </c>
      <c r="Q7" s="34">
        <f>Leakage!N6</f>
        <v>0</v>
      </c>
      <c r="R7" s="34">
        <f t="shared" si="4"/>
        <v>1107.4781471375484</v>
      </c>
      <c r="S7" s="34">
        <v>0</v>
      </c>
      <c r="T7" s="34">
        <f t="shared" si="5"/>
        <v>5828.8323533555176</v>
      </c>
      <c r="U7" s="34">
        <f t="shared" si="6"/>
        <v>4721.3542062179695</v>
      </c>
      <c r="X7" s="34" t="str">
        <f t="shared" si="7"/>
        <v>01/01/2020 to 31/12/2020</v>
      </c>
      <c r="Y7" s="96">
        <f>F7-Baseline!N6-Leakage!N6</f>
        <v>5828.8323533555176</v>
      </c>
    </row>
    <row r="8" spans="1:25">
      <c r="A8" s="63"/>
      <c r="B8" s="63"/>
      <c r="C8" s="34" t="str">
        <f>'2019 PM (MAI)'!L11</f>
        <v>01/01/2021 to 31/12/2021</v>
      </c>
      <c r="D8" s="96">
        <f>Baseline!M7</f>
        <v>0</v>
      </c>
      <c r="E8" s="96">
        <f>'2018 PM (MAI)'!R12+'2018 GA (MAI)'!O12+'2018 MH (MAI)'!Q12+SOC!G11+'2019 PM (MAI)'!S11+'2019 MH (MAI)'!Q11+'2019 CA (MAI)'!Q11+'2020 PM (MAI)'!R10+'2021 PM (MAI)'!R9</f>
        <v>19729.909179184251</v>
      </c>
      <c r="F8" s="96">
        <f t="shared" si="8"/>
        <v>12549.455128730882</v>
      </c>
      <c r="G8" s="96">
        <f>Leakage!M7</f>
        <v>0</v>
      </c>
      <c r="H8" s="96">
        <f t="shared" si="0"/>
        <v>19729.909179184251</v>
      </c>
      <c r="I8" s="96">
        <f t="shared" si="9"/>
        <v>12549.455128730882</v>
      </c>
      <c r="J8" s="96">
        <f t="shared" si="1"/>
        <v>2384.3964744588675</v>
      </c>
      <c r="K8" s="96">
        <f t="shared" si="2"/>
        <v>10165.058654272016</v>
      </c>
      <c r="L8" s="103"/>
      <c r="N8" s="34" t="str">
        <f t="shared" si="3"/>
        <v>01/01/2021 to 31/12/2021</v>
      </c>
      <c r="O8" s="34">
        <f>-Baseline!N7</f>
        <v>0</v>
      </c>
      <c r="P8" s="34">
        <v>0</v>
      </c>
      <c r="Q8" s="34">
        <f>Leakage!N7</f>
        <v>0</v>
      </c>
      <c r="R8" s="34">
        <f t="shared" si="4"/>
        <v>2384.3964744588675</v>
      </c>
      <c r="S8" s="34">
        <v>0</v>
      </c>
      <c r="T8" s="34">
        <f t="shared" si="5"/>
        <v>12549.455128730882</v>
      </c>
      <c r="U8" s="34">
        <f t="shared" si="6"/>
        <v>10165.058654272016</v>
      </c>
      <c r="X8" s="34" t="str">
        <f t="shared" si="7"/>
        <v>01/01/2021 to 31/12/2021</v>
      </c>
      <c r="Y8" s="96">
        <f>F8-Baseline!N7-Leakage!N7</f>
        <v>12549.455128730882</v>
      </c>
    </row>
    <row r="9" spans="1:25">
      <c r="A9" s="63"/>
      <c r="B9" s="63"/>
      <c r="C9" s="34" t="str">
        <f>'2019 PM (MAI)'!L12</f>
        <v>01/01/2022 to 31/12/2022</v>
      </c>
      <c r="D9" s="96">
        <f>Baseline!M8</f>
        <v>0</v>
      </c>
      <c r="E9" s="96">
        <f>'2018 PM (MAI)'!R13+'2018 GA (MAI)'!O13+'2018 MH (MAI)'!Q13+SOC!G12+'2019 PM (MAI)'!S12+'2019 MH (MAI)'!Q12+'2019 CA (MAI)'!Q12+'2020 PM (MAI)'!R11+'2021 PM (MAI)'!R10+'2022 PM (MAI)'!S9</f>
        <v>28942.686305639159</v>
      </c>
      <c r="F9" s="96">
        <f t="shared" si="8"/>
        <v>9212.7771264549083</v>
      </c>
      <c r="G9" s="96">
        <f>Leakage!M8</f>
        <v>0</v>
      </c>
      <c r="H9" s="96">
        <f t="shared" si="0"/>
        <v>28942.686305639159</v>
      </c>
      <c r="I9" s="96">
        <f t="shared" si="9"/>
        <v>9212.7771264549083</v>
      </c>
      <c r="J9" s="96">
        <f t="shared" si="1"/>
        <v>1750.4276540264325</v>
      </c>
      <c r="K9" s="96">
        <f t="shared" si="2"/>
        <v>7462.3494724284756</v>
      </c>
      <c r="L9" s="103"/>
      <c r="N9" s="34" t="str">
        <f t="shared" si="3"/>
        <v>01/01/2022 to 31/12/2022</v>
      </c>
      <c r="O9" s="34">
        <f>-Baseline!N8</f>
        <v>0</v>
      </c>
      <c r="P9" s="34">
        <v>0</v>
      </c>
      <c r="Q9" s="34">
        <f>Leakage!N8</f>
        <v>0</v>
      </c>
      <c r="R9" s="34">
        <f t="shared" si="4"/>
        <v>1750.4276540264325</v>
      </c>
      <c r="S9" s="34">
        <v>0</v>
      </c>
      <c r="T9" s="34">
        <f t="shared" si="5"/>
        <v>9212.7771264549083</v>
      </c>
      <c r="U9" s="34">
        <f t="shared" si="6"/>
        <v>7462.3494724284756</v>
      </c>
      <c r="X9" s="34" t="str">
        <f t="shared" si="7"/>
        <v>01/01/2022 to 31/12/2022</v>
      </c>
      <c r="Y9" s="96">
        <f>F9-Baseline!N8-Leakage!N8</f>
        <v>9212.7771264549083</v>
      </c>
    </row>
    <row r="10" spans="1:25">
      <c r="A10" s="63"/>
      <c r="B10" s="63"/>
      <c r="C10" s="34" t="str">
        <f>'2019 PM (MAI)'!L13</f>
        <v>01/01/2023 to 31/12/2023</v>
      </c>
      <c r="D10" s="96">
        <f>Baseline!M9</f>
        <v>0</v>
      </c>
      <c r="E10" s="96">
        <f>'2018 PM (MAI)'!R14+'2018 GA (MAI)'!O14+'2018 MH (MAI)'!Q14+SOC!G13+'2019 PM (MAI)'!S13+'2019 MH (MAI)'!Q13+'2019 CA (MAI)'!Q13+'2020 PM (MAI)'!R12+'2021 PM (MAI)'!R11+'2022 PM (MAI)'!S10</f>
        <v>42203.393281996825</v>
      </c>
      <c r="F10" s="96">
        <f t="shared" si="8"/>
        <v>13260.706976357666</v>
      </c>
      <c r="G10" s="96">
        <f>Leakage!M9</f>
        <v>0</v>
      </c>
      <c r="H10" s="96">
        <f t="shared" si="0"/>
        <v>42203.393281996825</v>
      </c>
      <c r="I10" s="96">
        <f t="shared" si="9"/>
        <v>13260.706976357666</v>
      </c>
      <c r="J10" s="96">
        <f t="shared" si="1"/>
        <v>2519.5343255079565</v>
      </c>
      <c r="K10" s="96">
        <f t="shared" si="2"/>
        <v>10741.172650849709</v>
      </c>
      <c r="L10" s="103"/>
      <c r="N10" s="34" t="str">
        <f t="shared" si="3"/>
        <v>01/01/2023 to 31/12/2023</v>
      </c>
      <c r="O10" s="34">
        <f>-Baseline!N9</f>
        <v>0</v>
      </c>
      <c r="P10" s="34">
        <v>0</v>
      </c>
      <c r="Q10" s="34">
        <f>Leakage!N9</f>
        <v>0</v>
      </c>
      <c r="R10" s="34">
        <f t="shared" si="4"/>
        <v>2519.5343255079565</v>
      </c>
      <c r="S10" s="34">
        <v>0</v>
      </c>
      <c r="T10" s="34">
        <f t="shared" si="5"/>
        <v>13260.706976357666</v>
      </c>
      <c r="U10" s="34">
        <f t="shared" si="6"/>
        <v>10741.172650849709</v>
      </c>
      <c r="X10" s="34" t="str">
        <f t="shared" si="7"/>
        <v>01/01/2023 to 31/12/2023</v>
      </c>
      <c r="Y10" s="96">
        <f>F10-Baseline!N9-Leakage!N9</f>
        <v>13260.706976357666</v>
      </c>
    </row>
    <row r="11" spans="1:25" s="46" customFormat="1">
      <c r="A11" s="45"/>
      <c r="B11" s="45"/>
      <c r="C11" s="34" t="str">
        <f>'2019 PM (MAI)'!L14</f>
        <v>01/01/2024 to 31/12/2024</v>
      </c>
      <c r="D11" s="96">
        <f>Baseline!M10</f>
        <v>0</v>
      </c>
      <c r="E11" s="96">
        <f>'2018 PM (MAI)'!R15+'2018 GA (MAI)'!O15+'2018 MH (MAI)'!Q15+SOC!G14+'2019 PM (MAI)'!S14+'2019 MH (MAI)'!Q14+'2019 CA (MAI)'!Q14+'2020 PM (MAI)'!R13+'2021 PM (MAI)'!R12+'2022 PM (MAI)'!S11</f>
        <v>70617.376276728799</v>
      </c>
      <c r="F11" s="101">
        <f t="shared" si="8"/>
        <v>28413.982994731974</v>
      </c>
      <c r="G11" s="96">
        <f>Leakage!M10</f>
        <v>0</v>
      </c>
      <c r="H11" s="96">
        <f t="shared" si="0"/>
        <v>70617.376276728799</v>
      </c>
      <c r="I11" s="96">
        <f t="shared" si="9"/>
        <v>28413.982994731974</v>
      </c>
      <c r="J11" s="96">
        <f t="shared" si="1"/>
        <v>5398.6567689990752</v>
      </c>
      <c r="K11" s="101">
        <f t="shared" si="2"/>
        <v>23015.326225732897</v>
      </c>
      <c r="L11" s="103"/>
      <c r="N11" s="34" t="str">
        <f t="shared" si="3"/>
        <v>01/01/2024 to 31/12/2024</v>
      </c>
      <c r="O11" s="34">
        <f>-Baseline!N10</f>
        <v>0</v>
      </c>
      <c r="P11" s="34">
        <v>0</v>
      </c>
      <c r="Q11" s="34">
        <f>Leakage!N10</f>
        <v>0</v>
      </c>
      <c r="R11" s="34">
        <f t="shared" si="4"/>
        <v>5398.6567689990752</v>
      </c>
      <c r="S11" s="34">
        <v>0</v>
      </c>
      <c r="T11" s="34">
        <f t="shared" si="5"/>
        <v>28413.982994731974</v>
      </c>
      <c r="U11" s="34">
        <f t="shared" si="6"/>
        <v>23015.326225732897</v>
      </c>
      <c r="X11" s="34" t="str">
        <f t="shared" si="7"/>
        <v>01/01/2024 to 31/12/2024</v>
      </c>
      <c r="Y11" s="96">
        <f>F11-Baseline!N10-Leakage!N10</f>
        <v>28413.982994731974</v>
      </c>
    </row>
    <row r="12" spans="1:25">
      <c r="A12" s="63"/>
      <c r="B12" s="63"/>
      <c r="C12" s="34" t="str">
        <f>'2019 PM (MAI)'!L15</f>
        <v>01/01/2025 to 31/12/2025</v>
      </c>
      <c r="D12" s="96">
        <f>Baseline!M11</f>
        <v>0</v>
      </c>
      <c r="E12" s="96">
        <f>'2018 PM (MAI)'!R16+'2018 GA (MAI)'!O16+'2018 MH (MAI)'!Q16+SOC!G15+'2019 PM (MAI)'!S15+'2019 MH (MAI)'!Q15+'2019 CA (MAI)'!Q15+'2020 PM (MAI)'!R14+'2021 PM (MAI)'!R13+'2022 PM (MAI)'!S12</f>
        <v>89130.550738619175</v>
      </c>
      <c r="F12" s="96">
        <f t="shared" si="8"/>
        <v>18513.174461890376</v>
      </c>
      <c r="G12" s="96">
        <f>Leakage!M11</f>
        <v>0</v>
      </c>
      <c r="H12" s="96">
        <f t="shared" si="0"/>
        <v>89130.550738619175</v>
      </c>
      <c r="I12" s="96">
        <f t="shared" si="9"/>
        <v>18513.174461890376</v>
      </c>
      <c r="J12" s="96">
        <f t="shared" si="1"/>
        <v>3517.5031477591715</v>
      </c>
      <c r="K12" s="96">
        <f t="shared" si="2"/>
        <v>14995.671314131205</v>
      </c>
      <c r="L12" s="103"/>
      <c r="N12" s="34" t="str">
        <f t="shared" si="3"/>
        <v>01/01/2025 to 31/12/2025</v>
      </c>
      <c r="O12" s="34">
        <f>-Baseline!N11</f>
        <v>0</v>
      </c>
      <c r="P12" s="34">
        <v>0</v>
      </c>
      <c r="Q12" s="34">
        <f>Leakage!N11</f>
        <v>0</v>
      </c>
      <c r="R12" s="34">
        <f t="shared" si="4"/>
        <v>3517.5031477591715</v>
      </c>
      <c r="S12" s="34">
        <v>0</v>
      </c>
      <c r="T12" s="34">
        <f t="shared" si="5"/>
        <v>18513.174461890376</v>
      </c>
      <c r="U12" s="34">
        <f t="shared" si="6"/>
        <v>14995.671314131205</v>
      </c>
      <c r="X12" s="34" t="str">
        <f t="shared" si="7"/>
        <v>01/01/2025 to 31/12/2025</v>
      </c>
      <c r="Y12" s="96">
        <f>F12-Baseline!N11-Leakage!N11</f>
        <v>18513.174461890376</v>
      </c>
    </row>
    <row r="13" spans="1:25">
      <c r="A13" s="63"/>
      <c r="B13" s="63"/>
      <c r="C13" s="34" t="str">
        <f>'2019 PM (MAI)'!L16</f>
        <v>01/01/2026 to 31/12/2026</v>
      </c>
      <c r="D13" s="96">
        <f>Baseline!M12</f>
        <v>0</v>
      </c>
      <c r="E13" s="96">
        <f>'2018 PM (MAI)'!R17+'2018 GA (MAI)'!O17+'2018 MH (MAI)'!Q17+SOC!G16+'2019 PM (MAI)'!S16+'2019 MH (MAI)'!Q16+'2019 CA (MAI)'!Q16+'2020 PM (MAI)'!R15+'2021 PM (MAI)'!R14+'2022 PM (MAI)'!S13</f>
        <v>114185.76833058524</v>
      </c>
      <c r="F13" s="96">
        <f t="shared" si="8"/>
        <v>25055.217591966066</v>
      </c>
      <c r="G13" s="96">
        <f>Leakage!M12</f>
        <v>0</v>
      </c>
      <c r="H13" s="96">
        <f t="shared" si="0"/>
        <v>114185.76833058524</v>
      </c>
      <c r="I13" s="96">
        <f t="shared" si="9"/>
        <v>25055.217591966066</v>
      </c>
      <c r="J13" s="96">
        <f t="shared" si="1"/>
        <v>4760.4913424735523</v>
      </c>
      <c r="K13" s="96">
        <f t="shared" si="2"/>
        <v>20294.726249492513</v>
      </c>
      <c r="N13" s="34" t="str">
        <f t="shared" si="3"/>
        <v>01/01/2026 to 31/12/2026</v>
      </c>
      <c r="O13" s="34">
        <f>-Baseline!N12</f>
        <v>0</v>
      </c>
      <c r="P13" s="34">
        <v>0</v>
      </c>
      <c r="Q13" s="34">
        <f>Leakage!N12</f>
        <v>0</v>
      </c>
      <c r="R13" s="34">
        <f t="shared" si="4"/>
        <v>4760.4913424735523</v>
      </c>
      <c r="S13" s="34">
        <v>0</v>
      </c>
      <c r="T13" s="34">
        <f t="shared" si="5"/>
        <v>25055.217591966066</v>
      </c>
      <c r="U13" s="34">
        <f t="shared" si="6"/>
        <v>20294.726249492513</v>
      </c>
      <c r="X13" s="34" t="str">
        <f t="shared" si="7"/>
        <v>01/01/2026 to 31/12/2026</v>
      </c>
      <c r="Y13" s="96">
        <f>F13-Baseline!N12-Leakage!N12</f>
        <v>25055.217591966066</v>
      </c>
    </row>
    <row r="14" spans="1:25">
      <c r="A14" s="63"/>
      <c r="B14" s="63"/>
      <c r="C14" s="34" t="str">
        <f>'2019 PM (MAI)'!L17</f>
        <v>01/01/2027 to 31/12/2027</v>
      </c>
      <c r="D14" s="96">
        <f>Baseline!M13</f>
        <v>0</v>
      </c>
      <c r="E14" s="96">
        <f>'2018 PM (MAI)'!R18+'2018 GA (MAI)'!O18+'2018 MH (MAI)'!Q18+SOC!G17+'2019 PM (MAI)'!S17+'2019 MH (MAI)'!Q17+'2019 CA (MAI)'!Q17+'2020 PM (MAI)'!R16+'2021 PM (MAI)'!R15+'2022 PM (MAI)'!S14</f>
        <v>137622.11579598434</v>
      </c>
      <c r="F14" s="96">
        <f t="shared" si="8"/>
        <v>23436.3474653991</v>
      </c>
      <c r="G14" s="96">
        <f>Leakage!M13</f>
        <v>0</v>
      </c>
      <c r="H14" s="96">
        <f t="shared" si="0"/>
        <v>137622.11579598434</v>
      </c>
      <c r="I14" s="96">
        <f t="shared" si="9"/>
        <v>23436.3474653991</v>
      </c>
      <c r="J14" s="96">
        <f t="shared" si="1"/>
        <v>4452.9060184258287</v>
      </c>
      <c r="K14" s="96">
        <f t="shared" si="2"/>
        <v>18983.441446973273</v>
      </c>
      <c r="N14" s="34" t="str">
        <f t="shared" si="3"/>
        <v>01/01/2027 to 31/12/2027</v>
      </c>
      <c r="O14" s="34">
        <f>-Baseline!N13</f>
        <v>0</v>
      </c>
      <c r="P14" s="34">
        <v>0</v>
      </c>
      <c r="Q14" s="34">
        <f>Leakage!N13</f>
        <v>0</v>
      </c>
      <c r="R14" s="34">
        <f t="shared" si="4"/>
        <v>4452.9060184258287</v>
      </c>
      <c r="S14" s="34">
        <v>0</v>
      </c>
      <c r="T14" s="34">
        <f t="shared" si="5"/>
        <v>23436.3474653991</v>
      </c>
      <c r="U14" s="34">
        <f t="shared" si="6"/>
        <v>18983.441446973273</v>
      </c>
      <c r="X14" s="34" t="str">
        <f t="shared" si="7"/>
        <v>01/01/2027 to 31/12/2027</v>
      </c>
      <c r="Y14" s="96">
        <f>F14-Baseline!N13-Leakage!N13</f>
        <v>23436.3474653991</v>
      </c>
    </row>
    <row r="15" spans="1:25">
      <c r="A15" s="63"/>
      <c r="B15" s="63"/>
      <c r="C15" s="34" t="str">
        <f>'2019 PM (MAI)'!L18</f>
        <v>01/01/2028 to 31/12/2028</v>
      </c>
      <c r="D15" s="96">
        <f>Baseline!M14</f>
        <v>0</v>
      </c>
      <c r="E15" s="96">
        <f>'2018 PM (MAI)'!R19+'2018 GA (MAI)'!O19+'2018 MH (MAI)'!Q19+SOC!G18+'2019 PM (MAI)'!S18+'2019 MH (MAI)'!Q18+'2019 CA (MAI)'!Q18+'2020 PM (MAI)'!R17+'2021 PM (MAI)'!R16+'2022 PM (MAI)'!S15</f>
        <v>158124.33467213341</v>
      </c>
      <c r="F15" s="96">
        <f t="shared" si="8"/>
        <v>20502.218876149069</v>
      </c>
      <c r="G15" s="96">
        <f>Leakage!M14</f>
        <v>0</v>
      </c>
      <c r="H15" s="96">
        <f t="shared" si="0"/>
        <v>158124.33467213341</v>
      </c>
      <c r="I15" s="96">
        <f>H41-SUM(I5:I14)</f>
        <v>2331.1426207685145</v>
      </c>
      <c r="J15" s="96">
        <f t="shared" si="1"/>
        <v>442.91709794601775</v>
      </c>
      <c r="K15" s="96">
        <f>I15-J15</f>
        <v>1888.2255228224967</v>
      </c>
      <c r="N15" s="34" t="str">
        <f t="shared" si="3"/>
        <v>01/01/2028 to 31/12/2028</v>
      </c>
      <c r="O15" s="34">
        <f>-Baseline!N14</f>
        <v>0</v>
      </c>
      <c r="P15" s="34">
        <v>0</v>
      </c>
      <c r="Q15" s="34">
        <f>Leakage!N14</f>
        <v>0</v>
      </c>
      <c r="R15" s="34">
        <f t="shared" si="4"/>
        <v>442.91709794601775</v>
      </c>
      <c r="S15" s="34">
        <v>0</v>
      </c>
      <c r="T15" s="34">
        <f t="shared" si="5"/>
        <v>2331.1426207685145</v>
      </c>
      <c r="U15" s="34">
        <f t="shared" si="6"/>
        <v>1888.2255228224967</v>
      </c>
      <c r="X15" s="34" t="str">
        <f t="shared" si="7"/>
        <v>01/01/2028 to 31/12/2028</v>
      </c>
      <c r="Y15" s="96">
        <f>F15-Baseline!N14-Leakage!N14</f>
        <v>20502.218876149069</v>
      </c>
    </row>
    <row r="16" spans="1:25">
      <c r="A16" s="63"/>
      <c r="B16" s="63"/>
      <c r="C16" s="34" t="str">
        <f>'2019 PM (MAI)'!L19</f>
        <v>01/01/2029 to 31/12/2029</v>
      </c>
      <c r="D16" s="96">
        <f>Baseline!M15</f>
        <v>0</v>
      </c>
      <c r="E16" s="96">
        <f>'2018 PM (MAI)'!R20+'2018 GA (MAI)'!O20+'2018 MH (MAI)'!Q20+SOC!G19+'2019 PM (MAI)'!S19+'2019 MH (MAI)'!Q19+'2019 CA (MAI)'!Q19+'2020 PM (MAI)'!R18+'2021 PM (MAI)'!R17+'2022 PM (MAI)'!S16</f>
        <v>182315.10163036411</v>
      </c>
      <c r="F16" s="96">
        <f t="shared" si="8"/>
        <v>24190.766958230699</v>
      </c>
      <c r="G16" s="96">
        <f>Leakage!M15</f>
        <v>0</v>
      </c>
      <c r="H16" s="96">
        <f t="shared" si="0"/>
        <v>182315.10163036411</v>
      </c>
      <c r="I16" s="96">
        <v>0</v>
      </c>
      <c r="J16" s="96">
        <f t="shared" si="1"/>
        <v>0</v>
      </c>
      <c r="K16" s="96">
        <f t="shared" si="2"/>
        <v>0</v>
      </c>
      <c r="N16" s="34" t="str">
        <f t="shared" si="3"/>
        <v>01/01/2029 to 31/12/2029</v>
      </c>
      <c r="O16" s="34">
        <f>-Baseline!N15</f>
        <v>0</v>
      </c>
      <c r="P16" s="34">
        <v>0</v>
      </c>
      <c r="Q16" s="34">
        <f>Leakage!N15</f>
        <v>0</v>
      </c>
      <c r="R16" s="34">
        <f t="shared" si="4"/>
        <v>0</v>
      </c>
      <c r="S16" s="34">
        <v>0</v>
      </c>
      <c r="T16" s="34">
        <f t="shared" ref="T16:T34" si="10">K16</f>
        <v>0</v>
      </c>
      <c r="U16" s="34">
        <f t="shared" si="6"/>
        <v>0</v>
      </c>
      <c r="X16" s="34" t="str">
        <f t="shared" si="7"/>
        <v>01/01/2029 to 31/12/2029</v>
      </c>
      <c r="Y16" s="96">
        <f>F16-Baseline!N15-Leakage!N15</f>
        <v>24190.766958230699</v>
      </c>
    </row>
    <row r="17" spans="1:25">
      <c r="A17" s="63"/>
      <c r="B17" s="63"/>
      <c r="C17" s="34" t="str">
        <f>'2019 PM (MAI)'!L20</f>
        <v>01/01/2030 to 31/12/2030</v>
      </c>
      <c r="D17" s="96">
        <f>Baseline!M16</f>
        <v>0</v>
      </c>
      <c r="E17" s="96">
        <f>'2018 PM (MAI)'!R21+'2018 GA (MAI)'!O21+'2018 MH (MAI)'!Q21+SOC!G20+'2019 PM (MAI)'!S20+'2019 MH (MAI)'!Q20+'2019 CA (MAI)'!Q20+'2020 PM (MAI)'!R19+'2021 PM (MAI)'!R18+'2022 PM (MAI)'!S17</f>
        <v>204508.41749985865</v>
      </c>
      <c r="F17" s="96">
        <f t="shared" si="8"/>
        <v>22193.315869494545</v>
      </c>
      <c r="G17" s="96">
        <f>Leakage!M16</f>
        <v>0</v>
      </c>
      <c r="H17" s="96">
        <f t="shared" si="0"/>
        <v>204508.41749985865</v>
      </c>
      <c r="I17" s="96">
        <v>0</v>
      </c>
      <c r="J17" s="96">
        <f t="shared" si="1"/>
        <v>0</v>
      </c>
      <c r="K17" s="96">
        <f t="shared" si="2"/>
        <v>0</v>
      </c>
      <c r="N17" s="34" t="str">
        <f t="shared" si="3"/>
        <v>01/01/2030 to 31/12/2030</v>
      </c>
      <c r="O17" s="34">
        <f>-Baseline!N16</f>
        <v>0</v>
      </c>
      <c r="P17" s="34">
        <v>0</v>
      </c>
      <c r="Q17" s="34">
        <f>Leakage!N16</f>
        <v>0</v>
      </c>
      <c r="R17" s="34">
        <f t="shared" si="4"/>
        <v>0</v>
      </c>
      <c r="S17" s="34">
        <v>0</v>
      </c>
      <c r="T17" s="34">
        <f t="shared" si="10"/>
        <v>0</v>
      </c>
      <c r="U17" s="34">
        <f t="shared" si="6"/>
        <v>0</v>
      </c>
      <c r="X17" s="34" t="str">
        <f t="shared" si="7"/>
        <v>01/01/2030 to 31/12/2030</v>
      </c>
      <c r="Y17" s="96">
        <f>F17-Baseline!N16-Leakage!N16</f>
        <v>22193.315869494545</v>
      </c>
    </row>
    <row r="18" spans="1:25">
      <c r="A18" s="63"/>
      <c r="B18" s="63"/>
      <c r="C18" s="34" t="str">
        <f>'2019 PM (MAI)'!L21</f>
        <v>01/01/2031 to 31/12/2031</v>
      </c>
      <c r="D18" s="96">
        <f>Baseline!M17</f>
        <v>0</v>
      </c>
      <c r="E18" s="96">
        <f>'2018 PM (MAI)'!R22+'2018 GA (MAI)'!O22+'2018 MH (MAI)'!Q22+SOC!G21+'2019 PM (MAI)'!S21+'2019 MH (MAI)'!Q21+'2019 CA (MAI)'!Q21+'2020 PM (MAI)'!R20+'2021 PM (MAI)'!R19+'2022 PM (MAI)'!S18</f>
        <v>226801.28081747325</v>
      </c>
      <c r="F18" s="96">
        <f t="shared" si="8"/>
        <v>22292.863317614596</v>
      </c>
      <c r="G18" s="96">
        <f>Leakage!M17</f>
        <v>0</v>
      </c>
      <c r="H18" s="96">
        <f t="shared" si="0"/>
        <v>226801.28081747325</v>
      </c>
      <c r="I18" s="96">
        <v>0</v>
      </c>
      <c r="J18" s="96">
        <f t="shared" si="1"/>
        <v>0</v>
      </c>
      <c r="K18" s="96">
        <f t="shared" si="2"/>
        <v>0</v>
      </c>
      <c r="N18" s="34" t="str">
        <f t="shared" si="3"/>
        <v>01/01/2031 to 31/12/2031</v>
      </c>
      <c r="O18" s="34">
        <f>-Baseline!N17</f>
        <v>0</v>
      </c>
      <c r="P18" s="34">
        <v>0</v>
      </c>
      <c r="Q18" s="34">
        <f>Leakage!N17</f>
        <v>0</v>
      </c>
      <c r="R18" s="34">
        <f t="shared" si="4"/>
        <v>0</v>
      </c>
      <c r="S18" s="34">
        <v>0</v>
      </c>
      <c r="T18" s="34">
        <f t="shared" si="10"/>
        <v>0</v>
      </c>
      <c r="U18" s="34">
        <f t="shared" si="6"/>
        <v>0</v>
      </c>
      <c r="X18" s="34" t="str">
        <f t="shared" si="7"/>
        <v>01/01/2031 to 31/12/2031</v>
      </c>
      <c r="Y18" s="96">
        <f>F18-Baseline!N17-Leakage!N17</f>
        <v>22292.863317614596</v>
      </c>
    </row>
    <row r="19" spans="1:25">
      <c r="A19" s="63"/>
      <c r="B19" s="63"/>
      <c r="C19" s="34" t="str">
        <f>'2019 PM (MAI)'!L22</f>
        <v>01/01/2032 to 31/12/2032</v>
      </c>
      <c r="D19" s="96">
        <f>Baseline!M18</f>
        <v>0</v>
      </c>
      <c r="E19" s="96">
        <f>'2018 PM (MAI)'!R23+'2018 GA (MAI)'!O23+'2018 MH (MAI)'!Q23+SOC!G22+'2019 PM (MAI)'!S22+'2019 MH (MAI)'!Q22+'2019 CA (MAI)'!Q22+'2020 PM (MAI)'!R21+'2021 PM (MAI)'!R20+'2022 PM (MAI)'!S19</f>
        <v>250093.66333137048</v>
      </c>
      <c r="F19" s="96">
        <f t="shared" si="8"/>
        <v>23292.382513897232</v>
      </c>
      <c r="G19" s="96">
        <f>Leakage!M18</f>
        <v>0</v>
      </c>
      <c r="H19" s="96">
        <f t="shared" si="0"/>
        <v>250093.66333137048</v>
      </c>
      <c r="I19" s="96">
        <v>0</v>
      </c>
      <c r="J19" s="96">
        <f t="shared" si="1"/>
        <v>0</v>
      </c>
      <c r="K19" s="96">
        <f t="shared" si="2"/>
        <v>0</v>
      </c>
      <c r="N19" s="34" t="str">
        <f t="shared" si="3"/>
        <v>01/01/2032 to 31/12/2032</v>
      </c>
      <c r="O19" s="34">
        <f>-Baseline!N18</f>
        <v>0</v>
      </c>
      <c r="P19" s="34">
        <v>0</v>
      </c>
      <c r="Q19" s="34">
        <f>Leakage!N18</f>
        <v>0</v>
      </c>
      <c r="R19" s="34">
        <f t="shared" si="4"/>
        <v>0</v>
      </c>
      <c r="S19" s="34">
        <v>0</v>
      </c>
      <c r="T19" s="34">
        <f t="shared" si="10"/>
        <v>0</v>
      </c>
      <c r="U19" s="34">
        <f t="shared" si="6"/>
        <v>0</v>
      </c>
      <c r="X19" s="34" t="str">
        <f t="shared" si="7"/>
        <v>01/01/2032 to 31/12/2032</v>
      </c>
      <c r="Y19" s="96">
        <f>F19-Baseline!N18-Leakage!N18</f>
        <v>23292.382513897232</v>
      </c>
    </row>
    <row r="20" spans="1:25">
      <c r="A20" s="63"/>
      <c r="B20" s="63"/>
      <c r="C20" s="34" t="str">
        <f>'2019 PM (MAI)'!L23</f>
        <v>01/01/2033 to 31/12/2033</v>
      </c>
      <c r="D20" s="96">
        <f>Baseline!M19</f>
        <v>0</v>
      </c>
      <c r="E20" s="96">
        <f>'2018 PM (MAI)'!R24+'2018 GA (MAI)'!O24+'2018 MH (MAI)'!Q24+SOC!G23+'2019 PM (MAI)'!S23+'2019 MH (MAI)'!Q23+'2019 CA (MAI)'!Q23+'2020 PM (MAI)'!R22+'2021 PM (MAI)'!R21+'2022 PM (MAI)'!S20</f>
        <v>268135.07215523737</v>
      </c>
      <c r="F20" s="96">
        <f t="shared" si="8"/>
        <v>18041.408823866892</v>
      </c>
      <c r="G20" s="96">
        <f>Leakage!M19</f>
        <v>0</v>
      </c>
      <c r="H20" s="96">
        <f t="shared" si="0"/>
        <v>268135.07215523737</v>
      </c>
      <c r="I20" s="96">
        <v>0</v>
      </c>
      <c r="J20" s="96">
        <f t="shared" si="1"/>
        <v>0</v>
      </c>
      <c r="K20" s="96">
        <f t="shared" si="2"/>
        <v>0</v>
      </c>
      <c r="N20" s="34" t="str">
        <f t="shared" si="3"/>
        <v>01/01/2033 to 31/12/2033</v>
      </c>
      <c r="O20" s="34">
        <f>-Baseline!N19</f>
        <v>0</v>
      </c>
      <c r="P20" s="34">
        <v>0</v>
      </c>
      <c r="Q20" s="34">
        <f>Leakage!N19</f>
        <v>0</v>
      </c>
      <c r="R20" s="34">
        <f t="shared" si="4"/>
        <v>0</v>
      </c>
      <c r="S20" s="34">
        <v>0</v>
      </c>
      <c r="T20" s="34">
        <f t="shared" si="10"/>
        <v>0</v>
      </c>
      <c r="U20" s="34">
        <f t="shared" si="6"/>
        <v>0</v>
      </c>
      <c r="X20" s="34" t="str">
        <f t="shared" si="7"/>
        <v>01/01/2033 to 31/12/2033</v>
      </c>
      <c r="Y20" s="96">
        <f>F20-Baseline!N19-Leakage!N19</f>
        <v>18041.408823866892</v>
      </c>
    </row>
    <row r="21" spans="1:25">
      <c r="A21" s="63"/>
      <c r="B21" s="63"/>
      <c r="C21" s="34" t="str">
        <f>'2019 PM (MAI)'!L24</f>
        <v>01/01/2034 to 31/12/2034</v>
      </c>
      <c r="D21" s="96">
        <f>Baseline!M20</f>
        <v>0</v>
      </c>
      <c r="E21" s="96">
        <f>'2018 PM (MAI)'!R25+'2018 GA (MAI)'!O25+'2018 MH (MAI)'!Q25+SOC!G24+'2019 PM (MAI)'!S24+'2019 MH (MAI)'!Q24+'2019 CA (MAI)'!Q24+'2020 PM (MAI)'!R23+'2021 PM (MAI)'!R22+'2022 PM (MAI)'!S21</f>
        <v>98551.423302146912</v>
      </c>
      <c r="F21" s="96">
        <f t="shared" si="8"/>
        <v>-169583.64885309048</v>
      </c>
      <c r="G21" s="96">
        <f>Leakage!M20</f>
        <v>0</v>
      </c>
      <c r="H21" s="96">
        <f t="shared" si="0"/>
        <v>98551.423302146912</v>
      </c>
      <c r="I21" s="96">
        <v>0</v>
      </c>
      <c r="J21" s="96">
        <f t="shared" si="1"/>
        <v>0</v>
      </c>
      <c r="K21" s="96">
        <f t="shared" si="2"/>
        <v>0</v>
      </c>
      <c r="N21" s="34" t="str">
        <f t="shared" si="3"/>
        <v>01/01/2034 to 31/12/2034</v>
      </c>
      <c r="O21" s="34">
        <f>-Baseline!N20</f>
        <v>0</v>
      </c>
      <c r="P21" s="34">
        <v>0</v>
      </c>
      <c r="Q21" s="34">
        <f>Leakage!N20</f>
        <v>0</v>
      </c>
      <c r="R21" s="34">
        <f t="shared" si="4"/>
        <v>0</v>
      </c>
      <c r="S21" s="34">
        <v>0</v>
      </c>
      <c r="T21" s="34">
        <f t="shared" si="10"/>
        <v>0</v>
      </c>
      <c r="U21" s="34">
        <f t="shared" si="6"/>
        <v>0</v>
      </c>
      <c r="X21" s="34" t="str">
        <f t="shared" si="7"/>
        <v>01/01/2034 to 31/12/2034</v>
      </c>
      <c r="Y21" s="96">
        <f>F21-Baseline!N20-Leakage!N20</f>
        <v>-169583.64885309048</v>
      </c>
    </row>
    <row r="22" spans="1:25">
      <c r="A22" s="63"/>
      <c r="B22" s="63"/>
      <c r="C22" s="34" t="str">
        <f>'2019 PM (MAI)'!L25</f>
        <v>01/01/2035 to 31/12/2035</v>
      </c>
      <c r="D22" s="96">
        <f>Baseline!M21</f>
        <v>0</v>
      </c>
      <c r="E22" s="96">
        <f>'2018 PM (MAI)'!R26+'2018 GA (MAI)'!O26+'2018 MH (MAI)'!Q26+SOC!G25+'2019 PM (MAI)'!S25+'2019 MH (MAI)'!Q25+'2019 CA (MAI)'!Q25+'2020 PM (MAI)'!R24+'2021 PM (MAI)'!R23+'2022 PM (MAI)'!S22</f>
        <v>47201.342014496666</v>
      </c>
      <c r="F22" s="96">
        <f t="shared" si="8"/>
        <v>-51350.081287650246</v>
      </c>
      <c r="G22" s="96">
        <f>Leakage!M21</f>
        <v>0</v>
      </c>
      <c r="H22" s="96">
        <f t="shared" si="0"/>
        <v>47201.342014496666</v>
      </c>
      <c r="I22" s="96">
        <v>0</v>
      </c>
      <c r="J22" s="96">
        <f t="shared" si="1"/>
        <v>0</v>
      </c>
      <c r="K22" s="96">
        <f t="shared" si="2"/>
        <v>0</v>
      </c>
      <c r="N22" s="34" t="str">
        <f t="shared" si="3"/>
        <v>01/01/2035 to 31/12/2035</v>
      </c>
      <c r="O22" s="34">
        <f>-Baseline!N21</f>
        <v>0</v>
      </c>
      <c r="P22" s="34">
        <v>0</v>
      </c>
      <c r="Q22" s="34">
        <f>Leakage!N21</f>
        <v>0</v>
      </c>
      <c r="R22" s="34">
        <f t="shared" si="4"/>
        <v>0</v>
      </c>
      <c r="S22" s="34">
        <v>0</v>
      </c>
      <c r="T22" s="34">
        <f t="shared" si="10"/>
        <v>0</v>
      </c>
      <c r="U22" s="34">
        <f t="shared" si="6"/>
        <v>0</v>
      </c>
      <c r="X22" s="34" t="str">
        <f t="shared" si="7"/>
        <v>01/01/2035 to 31/12/2035</v>
      </c>
      <c r="Y22" s="96">
        <f>F22-Baseline!N21-Leakage!N21</f>
        <v>-51350.081287650246</v>
      </c>
    </row>
    <row r="23" spans="1:25">
      <c r="A23" s="63"/>
      <c r="B23" s="63"/>
      <c r="C23" s="34" t="str">
        <f>'2019 PM (MAI)'!L26</f>
        <v>01/01/2036 to 31/12/2036</v>
      </c>
      <c r="D23" s="96">
        <f>Baseline!M22</f>
        <v>0</v>
      </c>
      <c r="E23" s="96">
        <f>'2018 PM (MAI)'!R27+'2018 GA (MAI)'!O27+'2018 MH (MAI)'!Q27+SOC!G26+'2019 PM (MAI)'!S26+'2019 MH (MAI)'!Q26+'2019 CA (MAI)'!Q26+'2020 PM (MAI)'!R25+'2021 PM (MAI)'!R24+'2022 PM (MAI)'!S23</f>
        <v>53168.229810966295</v>
      </c>
      <c r="F23" s="96">
        <f t="shared" si="8"/>
        <v>5966.8877964696294</v>
      </c>
      <c r="G23" s="96">
        <f>Leakage!M22</f>
        <v>0</v>
      </c>
      <c r="H23" s="96">
        <f t="shared" si="0"/>
        <v>53168.229810966295</v>
      </c>
      <c r="I23" s="96">
        <v>0</v>
      </c>
      <c r="J23" s="96">
        <f t="shared" si="1"/>
        <v>0</v>
      </c>
      <c r="K23" s="96">
        <f t="shared" si="2"/>
        <v>0</v>
      </c>
      <c r="N23" s="34" t="str">
        <f t="shared" si="3"/>
        <v>01/01/2036 to 31/12/2036</v>
      </c>
      <c r="O23" s="34">
        <f>-Baseline!N22</f>
        <v>0</v>
      </c>
      <c r="P23" s="34">
        <v>0</v>
      </c>
      <c r="Q23" s="34">
        <f>Leakage!N22</f>
        <v>0</v>
      </c>
      <c r="R23" s="34">
        <f t="shared" si="4"/>
        <v>0</v>
      </c>
      <c r="S23" s="34">
        <v>0</v>
      </c>
      <c r="T23" s="34">
        <f t="shared" si="10"/>
        <v>0</v>
      </c>
      <c r="U23" s="34">
        <f t="shared" si="6"/>
        <v>0</v>
      </c>
      <c r="X23" s="34" t="str">
        <f t="shared" si="7"/>
        <v>01/01/2036 to 31/12/2036</v>
      </c>
      <c r="Y23" s="96">
        <f>F23-Baseline!N22-Leakage!N22</f>
        <v>5966.8877964696294</v>
      </c>
    </row>
    <row r="24" spans="1:25">
      <c r="A24" s="63"/>
      <c r="B24" s="63"/>
      <c r="C24" s="34" t="str">
        <f>'2019 PM (MAI)'!L27</f>
        <v>01/01/2037 to 31/12/2037</v>
      </c>
      <c r="D24" s="96">
        <f>Baseline!M23</f>
        <v>0</v>
      </c>
      <c r="E24" s="96">
        <f>'2018 PM (MAI)'!R28+'2018 GA (MAI)'!O28+'2018 MH (MAI)'!Q28+SOC!G27+'2019 PM (MAI)'!S27+'2019 MH (MAI)'!Q27+'2019 CA (MAI)'!Q27+'2020 PM (MAI)'!R26+'2021 PM (MAI)'!R25+'2022 PM (MAI)'!S24</f>
        <v>51053.175641657283</v>
      </c>
      <c r="F24" s="96">
        <f t="shared" si="8"/>
        <v>-2115.0541693090127</v>
      </c>
      <c r="G24" s="96">
        <f>Leakage!M23</f>
        <v>0</v>
      </c>
      <c r="H24" s="96">
        <f t="shared" si="0"/>
        <v>51053.175641657283</v>
      </c>
      <c r="I24" s="96">
        <v>0</v>
      </c>
      <c r="J24" s="96">
        <f t="shared" si="1"/>
        <v>0</v>
      </c>
      <c r="K24" s="96">
        <f t="shared" si="2"/>
        <v>0</v>
      </c>
      <c r="N24" s="34" t="str">
        <f t="shared" si="3"/>
        <v>01/01/2037 to 31/12/2037</v>
      </c>
      <c r="O24" s="34">
        <f>-Baseline!N23</f>
        <v>0</v>
      </c>
      <c r="P24" s="34">
        <v>0</v>
      </c>
      <c r="Q24" s="34">
        <f>Leakage!N23</f>
        <v>0</v>
      </c>
      <c r="R24" s="34">
        <f t="shared" si="4"/>
        <v>0</v>
      </c>
      <c r="S24" s="34">
        <v>0</v>
      </c>
      <c r="T24" s="34">
        <f t="shared" si="10"/>
        <v>0</v>
      </c>
      <c r="U24" s="34">
        <f t="shared" si="6"/>
        <v>0</v>
      </c>
      <c r="X24" s="34" t="str">
        <f t="shared" si="7"/>
        <v>01/01/2037 to 31/12/2037</v>
      </c>
      <c r="Y24" s="96">
        <f>F24-Baseline!N23-Leakage!N23</f>
        <v>-2115.0541693090127</v>
      </c>
    </row>
    <row r="25" spans="1:25">
      <c r="A25" s="63"/>
      <c r="B25" s="63"/>
      <c r="C25" s="34" t="str">
        <f>'2019 PM (MAI)'!L28</f>
        <v>01/01/2038 to 31/12/2038</v>
      </c>
      <c r="D25" s="96">
        <f>Baseline!M24</f>
        <v>0</v>
      </c>
      <c r="E25" s="96">
        <f>'2018 PM (MAI)'!R29+'2018 GA (MAI)'!O29+'2018 MH (MAI)'!Q29+SOC!G28+'2019 PM (MAI)'!S28+'2019 MH (MAI)'!Q28+'2019 CA (MAI)'!Q28+'2020 PM (MAI)'!R27+'2021 PM (MAI)'!R26+'2022 PM (MAI)'!S25</f>
        <v>64313.882618014963</v>
      </c>
      <c r="F25" s="96">
        <f t="shared" si="8"/>
        <v>13260.70697635768</v>
      </c>
      <c r="G25" s="96">
        <f>Leakage!M24</f>
        <v>0</v>
      </c>
      <c r="H25" s="96">
        <f t="shared" si="0"/>
        <v>64313.882618014963</v>
      </c>
      <c r="I25" s="96">
        <v>0</v>
      </c>
      <c r="J25" s="96">
        <f t="shared" si="1"/>
        <v>0</v>
      </c>
      <c r="K25" s="96">
        <f t="shared" si="2"/>
        <v>0</v>
      </c>
      <c r="N25" s="34" t="str">
        <f t="shared" si="3"/>
        <v>01/01/2038 to 31/12/2038</v>
      </c>
      <c r="O25" s="34">
        <f>-Baseline!N24</f>
        <v>0</v>
      </c>
      <c r="P25" s="34">
        <v>0</v>
      </c>
      <c r="Q25" s="34">
        <f>Leakage!N24</f>
        <v>0</v>
      </c>
      <c r="R25" s="34">
        <f t="shared" si="4"/>
        <v>0</v>
      </c>
      <c r="S25" s="34">
        <v>0</v>
      </c>
      <c r="T25" s="34">
        <f t="shared" si="10"/>
        <v>0</v>
      </c>
      <c r="U25" s="34">
        <f t="shared" si="6"/>
        <v>0</v>
      </c>
      <c r="X25" s="34" t="str">
        <f t="shared" si="7"/>
        <v>01/01/2038 to 31/12/2038</v>
      </c>
      <c r="Y25" s="96">
        <f>F25-Baseline!N24-Leakage!N24</f>
        <v>13260.70697635768</v>
      </c>
    </row>
    <row r="26" spans="1:25">
      <c r="A26" s="63"/>
      <c r="B26" s="63"/>
      <c r="C26" s="34" t="str">
        <f>'2019 PM (MAI)'!L29</f>
        <v>01/01/2039 to 31/12/2039</v>
      </c>
      <c r="D26" s="96">
        <f>Baseline!M25</f>
        <v>0</v>
      </c>
      <c r="E26" s="96">
        <f>'2018 PM (MAI)'!R30+'2018 GA (MAI)'!O30+'2018 MH (MAI)'!Q30+SOC!G29+'2019 PM (MAI)'!S29+'2019 MH (MAI)'!Q29+'2019 CA (MAI)'!Q29+'2020 PM (MAI)'!R28+'2021 PM (MAI)'!R27+'2022 PM (MAI)'!S26</f>
        <v>92156.64223574358</v>
      </c>
      <c r="F26" s="96">
        <f t="shared" si="8"/>
        <v>27842.759617728618</v>
      </c>
      <c r="G26" s="96">
        <f>Leakage!M25</f>
        <v>0</v>
      </c>
      <c r="H26" s="96">
        <f t="shared" si="0"/>
        <v>92156.64223574358</v>
      </c>
      <c r="I26" s="96">
        <v>0</v>
      </c>
      <c r="J26" s="96">
        <f t="shared" si="1"/>
        <v>0</v>
      </c>
      <c r="K26" s="96">
        <f t="shared" si="2"/>
        <v>0</v>
      </c>
      <c r="N26" s="34" t="str">
        <f t="shared" si="3"/>
        <v>01/01/2039 to 31/12/2039</v>
      </c>
      <c r="O26" s="34">
        <f>-Baseline!N25</f>
        <v>0</v>
      </c>
      <c r="P26" s="34">
        <v>0</v>
      </c>
      <c r="Q26" s="34">
        <f>Leakage!N25</f>
        <v>0</v>
      </c>
      <c r="R26" s="34">
        <f t="shared" si="4"/>
        <v>0</v>
      </c>
      <c r="S26" s="34">
        <v>0</v>
      </c>
      <c r="T26" s="34">
        <f t="shared" si="10"/>
        <v>0</v>
      </c>
      <c r="U26" s="34">
        <f t="shared" si="6"/>
        <v>0</v>
      </c>
      <c r="X26" s="34" t="str">
        <f t="shared" si="7"/>
        <v>01/01/2039 to 31/12/2039</v>
      </c>
      <c r="Y26" s="96">
        <f>F26-Baseline!N25-Leakage!N25</f>
        <v>27842.759617728618</v>
      </c>
    </row>
    <row r="27" spans="1:25">
      <c r="A27" s="63"/>
      <c r="B27" s="63"/>
      <c r="C27" s="34" t="str">
        <f>'2019 PM (MAI)'!L30</f>
        <v>01/01/2040 to 31/12/2040</v>
      </c>
      <c r="D27" s="96">
        <f>Baseline!M26</f>
        <v>0</v>
      </c>
      <c r="E27" s="96">
        <f>'2018 PM (MAI)'!R31+'2018 GA (MAI)'!O31+'2018 MH (MAI)'!Q31+SOC!G30+'2019 PM (MAI)'!S30+'2019 MH (MAI)'!Q30+'2019 CA (MAI)'!Q30+'2020 PM (MAI)'!R29+'2021 PM (MAI)'!R28+'2022 PM (MAI)'!S27</f>
        <v>109625.77681892253</v>
      </c>
      <c r="F27" s="96">
        <f t="shared" si="8"/>
        <v>17469.134583178951</v>
      </c>
      <c r="G27" s="96">
        <f>Leakage!M26</f>
        <v>0</v>
      </c>
      <c r="H27" s="96">
        <f t="shared" si="0"/>
        <v>109625.77681892253</v>
      </c>
      <c r="I27" s="96">
        <v>0</v>
      </c>
      <c r="J27" s="96">
        <f t="shared" si="1"/>
        <v>0</v>
      </c>
      <c r="K27" s="96">
        <f t="shared" si="2"/>
        <v>0</v>
      </c>
      <c r="N27" s="34" t="str">
        <f t="shared" si="3"/>
        <v>01/01/2040 to 31/12/2040</v>
      </c>
      <c r="O27" s="34">
        <f>-Baseline!N26</f>
        <v>0</v>
      </c>
      <c r="P27" s="34">
        <v>0</v>
      </c>
      <c r="Q27" s="34">
        <f>Leakage!N26</f>
        <v>0</v>
      </c>
      <c r="R27" s="34">
        <f t="shared" si="4"/>
        <v>0</v>
      </c>
      <c r="S27" s="34">
        <v>0</v>
      </c>
      <c r="T27" s="34">
        <f t="shared" si="10"/>
        <v>0</v>
      </c>
      <c r="U27" s="34">
        <f t="shared" si="6"/>
        <v>0</v>
      </c>
      <c r="X27" s="34" t="str">
        <f t="shared" si="7"/>
        <v>01/01/2040 to 31/12/2040</v>
      </c>
      <c r="Y27" s="96">
        <f>F27-Baseline!N26-Leakage!N26</f>
        <v>17469.134583178951</v>
      </c>
    </row>
    <row r="28" spans="1:25">
      <c r="A28" s="63"/>
      <c r="B28" s="63"/>
      <c r="C28" s="34" t="str">
        <f>'2019 PM (MAI)'!L31</f>
        <v>01/01/2041 to 31/12/2041</v>
      </c>
      <c r="D28" s="96">
        <f>Baseline!M27</f>
        <v>0</v>
      </c>
      <c r="E28" s="96">
        <f>'2018 PM (MAI)'!R32+'2018 GA (MAI)'!O32+'2018 MH (MAI)'!Q32+SOC!G31+'2019 PM (MAI)'!S31+'2019 MH (MAI)'!Q31+'2019 CA (MAI)'!Q31+'2020 PM (MAI)'!R30+'2021 PM (MAI)'!R29+'2022 PM (MAI)'!S28</f>
        <v>133311.42382676774</v>
      </c>
      <c r="F28" s="96">
        <f t="shared" si="8"/>
        <v>23685.647007845211</v>
      </c>
      <c r="G28" s="96">
        <f>Leakage!M27</f>
        <v>0</v>
      </c>
      <c r="H28" s="96">
        <f t="shared" si="0"/>
        <v>133311.42382676774</v>
      </c>
      <c r="I28" s="96">
        <v>0</v>
      </c>
      <c r="J28" s="96">
        <f t="shared" si="1"/>
        <v>0</v>
      </c>
      <c r="K28" s="96">
        <f t="shared" si="2"/>
        <v>0</v>
      </c>
      <c r="N28" s="34" t="str">
        <f t="shared" si="3"/>
        <v>01/01/2041 to 31/12/2041</v>
      </c>
      <c r="O28" s="34">
        <f>-Baseline!N27</f>
        <v>0</v>
      </c>
      <c r="P28" s="34">
        <v>0</v>
      </c>
      <c r="Q28" s="34">
        <f>Leakage!N27</f>
        <v>0</v>
      </c>
      <c r="R28" s="34">
        <f t="shared" si="4"/>
        <v>0</v>
      </c>
      <c r="S28" s="34">
        <v>0</v>
      </c>
      <c r="T28" s="34">
        <f t="shared" si="10"/>
        <v>0</v>
      </c>
      <c r="U28" s="34">
        <f t="shared" si="6"/>
        <v>0</v>
      </c>
      <c r="X28" s="34" t="str">
        <f t="shared" si="7"/>
        <v>01/01/2041 to 31/12/2041</v>
      </c>
      <c r="Y28" s="96">
        <f>F28-Baseline!N27-Leakage!N27</f>
        <v>23685.647007845211</v>
      </c>
    </row>
    <row r="29" spans="1:25">
      <c r="A29" s="63"/>
      <c r="B29" s="63"/>
      <c r="C29" s="34" t="str">
        <f>'2019 PM (MAI)'!L32</f>
        <v>01/01/2042 to 31/12/2042</v>
      </c>
      <c r="D29" s="96">
        <f>Baseline!M28</f>
        <v>0</v>
      </c>
      <c r="E29" s="96">
        <f>'2018 PM (MAI)'!R33+'2018 GA (MAI)'!O33+'2018 MH (MAI)'!Q33+SOC!G32+'2019 PM (MAI)'!S32+'2019 MH (MAI)'!Q32+'2019 CA (MAI)'!Q32+'2020 PM (MAI)'!R31+'2021 PM (MAI)'!R30+'2022 PM (MAI)'!S29</f>
        <v>155336.37082820534</v>
      </c>
      <c r="F29" s="96">
        <f t="shared" si="8"/>
        <v>22024.947001437598</v>
      </c>
      <c r="G29" s="96">
        <f>Leakage!M28</f>
        <v>0</v>
      </c>
      <c r="H29" s="96">
        <f t="shared" si="0"/>
        <v>155336.37082820534</v>
      </c>
      <c r="I29" s="96">
        <v>0</v>
      </c>
      <c r="J29" s="96">
        <f t="shared" si="1"/>
        <v>0</v>
      </c>
      <c r="K29" s="96">
        <f t="shared" si="2"/>
        <v>0</v>
      </c>
      <c r="N29" s="34" t="str">
        <f t="shared" si="3"/>
        <v>01/01/2042 to 31/12/2042</v>
      </c>
      <c r="O29" s="34">
        <f>-Baseline!N28</f>
        <v>0</v>
      </c>
      <c r="P29" s="34">
        <v>0</v>
      </c>
      <c r="Q29" s="34">
        <f>Leakage!N28</f>
        <v>0</v>
      </c>
      <c r="R29" s="34">
        <f t="shared" si="4"/>
        <v>0</v>
      </c>
      <c r="S29" s="34">
        <v>0</v>
      </c>
      <c r="T29" s="34">
        <f t="shared" si="10"/>
        <v>0</v>
      </c>
      <c r="U29" s="34">
        <f t="shared" si="6"/>
        <v>0</v>
      </c>
      <c r="X29" s="34" t="str">
        <f t="shared" si="7"/>
        <v>01/01/2042 to 31/12/2042</v>
      </c>
      <c r="Y29" s="96">
        <f>F29-Baseline!N28-Leakage!N28</f>
        <v>22024.947001437598</v>
      </c>
    </row>
    <row r="30" spans="1:25">
      <c r="A30" s="63"/>
      <c r="B30" s="63"/>
      <c r="C30" s="34" t="str">
        <f>'2019 PM (MAI)'!L33</f>
        <v>01/01/2043 to 31/12/2043</v>
      </c>
      <c r="D30" s="96">
        <f>Baseline!M29</f>
        <v>0</v>
      </c>
      <c r="E30" s="96">
        <f>'2018 PM (MAI)'!R34+'2018 GA (MAI)'!O34+'2018 MH (MAI)'!Q34+SOC!G33+'2019 PM (MAI)'!S33+'2019 MH (MAI)'!Q33+'2019 CA (MAI)'!Q33+'2020 PM (MAI)'!R32+'2021 PM (MAI)'!R31+'2022 PM (MAI)'!S30</f>
        <v>174364.55708195321</v>
      </c>
      <c r="F30" s="96">
        <f t="shared" si="8"/>
        <v>19028.186253747874</v>
      </c>
      <c r="G30" s="96">
        <f>Leakage!M29</f>
        <v>0</v>
      </c>
      <c r="H30" s="96">
        <f t="shared" si="0"/>
        <v>174364.55708195321</v>
      </c>
      <c r="I30" s="96">
        <v>0</v>
      </c>
      <c r="J30" s="96">
        <f t="shared" si="1"/>
        <v>0</v>
      </c>
      <c r="K30" s="96">
        <f t="shared" si="2"/>
        <v>0</v>
      </c>
      <c r="N30" s="34" t="str">
        <f t="shared" si="3"/>
        <v>01/01/2043 to 31/12/2043</v>
      </c>
      <c r="O30" s="34">
        <f>-Baseline!N29</f>
        <v>0</v>
      </c>
      <c r="P30" s="34">
        <v>0</v>
      </c>
      <c r="Q30" s="34">
        <f>Leakage!N29</f>
        <v>0</v>
      </c>
      <c r="R30" s="34">
        <f t="shared" si="4"/>
        <v>0</v>
      </c>
      <c r="S30" s="34">
        <v>0</v>
      </c>
      <c r="T30" s="34">
        <f t="shared" si="10"/>
        <v>0</v>
      </c>
      <c r="U30" s="34">
        <f t="shared" si="6"/>
        <v>0</v>
      </c>
      <c r="X30" s="34" t="str">
        <f t="shared" si="7"/>
        <v>01/01/2043 to 31/12/2043</v>
      </c>
      <c r="Y30" s="96">
        <f>F30-Baseline!N29-Leakage!N29</f>
        <v>19028.186253747874</v>
      </c>
    </row>
    <row r="31" spans="1:25">
      <c r="A31" s="63"/>
      <c r="B31" s="63"/>
      <c r="C31" s="34" t="str">
        <f>'2019 PM (MAI)'!L34</f>
        <v>01/01/2044 to 31/12/2044</v>
      </c>
      <c r="D31" s="96">
        <f>Baseline!M30</f>
        <v>0</v>
      </c>
      <c r="E31" s="96">
        <f>'2018 PM (MAI)'!R35+'2018 GA (MAI)'!O35+'2018 MH (MAI)'!Q35+SOC!G34+'2019 PM (MAI)'!S34+'2019 MH (MAI)'!Q34+'2019 CA (MAI)'!Q34+'2020 PM (MAI)'!R33+'2021 PM (MAI)'!R32+'2022 PM (MAI)'!S31</f>
        <v>197081.29141778269</v>
      </c>
      <c r="F31" s="96">
        <f t="shared" si="8"/>
        <v>22716.734335829475</v>
      </c>
      <c r="G31" s="96">
        <f>Leakage!M30</f>
        <v>0</v>
      </c>
      <c r="H31" s="96">
        <f t="shared" si="0"/>
        <v>197081.29141778269</v>
      </c>
      <c r="I31" s="96">
        <v>0</v>
      </c>
      <c r="J31" s="96">
        <f t="shared" si="1"/>
        <v>0</v>
      </c>
      <c r="K31" s="96">
        <f t="shared" si="2"/>
        <v>0</v>
      </c>
      <c r="N31" s="34" t="str">
        <f t="shared" si="3"/>
        <v>01/01/2044 to 31/12/2044</v>
      </c>
      <c r="O31" s="34">
        <f>-Baseline!N30</f>
        <v>0</v>
      </c>
      <c r="P31" s="34">
        <v>0</v>
      </c>
      <c r="Q31" s="34">
        <f>Leakage!N30</f>
        <v>0</v>
      </c>
      <c r="R31" s="34">
        <f t="shared" si="4"/>
        <v>0</v>
      </c>
      <c r="S31" s="34">
        <v>0</v>
      </c>
      <c r="T31" s="34">
        <f t="shared" si="10"/>
        <v>0</v>
      </c>
      <c r="U31" s="34">
        <f t="shared" si="6"/>
        <v>0</v>
      </c>
      <c r="X31" s="34" t="str">
        <f t="shared" si="7"/>
        <v>01/01/2044 to 31/12/2044</v>
      </c>
      <c r="Y31" s="96">
        <f>F31-Baseline!N30-Leakage!N30</f>
        <v>22716.734335829475</v>
      </c>
    </row>
    <row r="32" spans="1:25">
      <c r="A32" s="63"/>
      <c r="B32" s="63"/>
      <c r="C32" s="34" t="str">
        <f>'2019 PM (MAI)'!L35</f>
        <v>01/01/2045 to 31/12/2045</v>
      </c>
      <c r="D32" s="96">
        <f>Baseline!M31</f>
        <v>0</v>
      </c>
      <c r="E32" s="96">
        <f>'2018 PM (MAI)'!R36+'2018 GA (MAI)'!O36+'2018 MH (MAI)'!Q36+SOC!G35+'2019 PM (MAI)'!S35+'2019 MH (MAI)'!Q35+'2019 CA (MAI)'!Q35+'2020 PM (MAI)'!R34+'2021 PM (MAI)'!R33+'2022 PM (MAI)'!S32</f>
        <v>217800.57466487604</v>
      </c>
      <c r="F32" s="96">
        <f t="shared" si="8"/>
        <v>20719.28324709335</v>
      </c>
      <c r="G32" s="96">
        <f>Leakage!M31</f>
        <v>0</v>
      </c>
      <c r="H32" s="96">
        <f t="shared" si="0"/>
        <v>217800.57466487604</v>
      </c>
      <c r="I32" s="96">
        <v>0</v>
      </c>
      <c r="J32" s="96">
        <f t="shared" si="1"/>
        <v>0</v>
      </c>
      <c r="K32" s="96">
        <f t="shared" si="2"/>
        <v>0</v>
      </c>
      <c r="N32" s="34" t="str">
        <f t="shared" si="3"/>
        <v>01/01/2045 to 31/12/2045</v>
      </c>
      <c r="O32" s="34">
        <f>-Baseline!N31</f>
        <v>0</v>
      </c>
      <c r="P32" s="34">
        <v>0</v>
      </c>
      <c r="Q32" s="34">
        <f>Leakage!N31</f>
        <v>0</v>
      </c>
      <c r="R32" s="34">
        <f t="shared" si="4"/>
        <v>0</v>
      </c>
      <c r="S32" s="34">
        <v>0</v>
      </c>
      <c r="T32" s="34">
        <f t="shared" si="10"/>
        <v>0</v>
      </c>
      <c r="U32" s="34">
        <f t="shared" si="6"/>
        <v>0</v>
      </c>
      <c r="X32" s="34" t="str">
        <f t="shared" si="7"/>
        <v>01/01/2045 to 31/12/2045</v>
      </c>
      <c r="Y32" s="96">
        <f>F32-Baseline!N31-Leakage!N31</f>
        <v>20719.28324709335</v>
      </c>
    </row>
    <row r="33" spans="1:25">
      <c r="A33" s="63"/>
      <c r="B33" s="63"/>
      <c r="C33" s="34" t="str">
        <f>'2019 PM (MAI)'!L36</f>
        <v>01/01/2046 to 31/12/2046</v>
      </c>
      <c r="D33" s="96">
        <f>Baseline!M32</f>
        <v>0</v>
      </c>
      <c r="E33" s="96">
        <f>'2018 PM (MAI)'!R37+'2018 GA (MAI)'!O37+'2018 MH (MAI)'!Q37+SOC!G36+'2019 PM (MAI)'!S36+'2019 MH (MAI)'!Q36+'2019 CA (MAI)'!Q36+'2020 PM (MAI)'!R35+'2021 PM (MAI)'!R34+'2022 PM (MAI)'!S33</f>
        <v>238619.40536008944</v>
      </c>
      <c r="F33" s="96">
        <f t="shared" si="8"/>
        <v>20818.830695213401</v>
      </c>
      <c r="G33" s="96">
        <f>Leakage!M32</f>
        <v>0</v>
      </c>
      <c r="H33" s="96">
        <f t="shared" si="0"/>
        <v>238619.40536008944</v>
      </c>
      <c r="I33" s="96">
        <v>0</v>
      </c>
      <c r="J33" s="96">
        <f t="shared" si="1"/>
        <v>0</v>
      </c>
      <c r="K33" s="96">
        <f t="shared" si="2"/>
        <v>0</v>
      </c>
      <c r="N33" s="34" t="str">
        <f t="shared" si="3"/>
        <v>01/01/2046 to 31/12/2046</v>
      </c>
      <c r="O33" s="34">
        <f>-Baseline!N32</f>
        <v>0</v>
      </c>
      <c r="P33" s="34">
        <v>0</v>
      </c>
      <c r="Q33" s="34">
        <f>Leakage!N32</f>
        <v>0</v>
      </c>
      <c r="R33" s="34">
        <f t="shared" si="4"/>
        <v>0</v>
      </c>
      <c r="S33" s="34">
        <v>0</v>
      </c>
      <c r="T33" s="34">
        <f t="shared" si="10"/>
        <v>0</v>
      </c>
      <c r="U33" s="34">
        <f t="shared" si="6"/>
        <v>0</v>
      </c>
      <c r="X33" s="34" t="str">
        <f t="shared" si="7"/>
        <v>01/01/2046 to 31/12/2046</v>
      </c>
      <c r="Y33" s="96">
        <f>F33-Baseline!N32-Leakage!N32</f>
        <v>20818.830695213401</v>
      </c>
    </row>
    <row r="34" spans="1:25">
      <c r="A34" s="63"/>
      <c r="B34" s="63"/>
      <c r="C34" s="34" t="str">
        <f>'2019 PM (MAI)'!L37</f>
        <v>01/01/2047 to 31/12/2047</v>
      </c>
      <c r="D34" s="96">
        <f>Baseline!M33</f>
        <v>0</v>
      </c>
      <c r="E34" s="96">
        <f>'2018 PM (MAI)'!R38+'2018 GA (MAI)'!O38+'2018 MH (MAI)'!Q38+SOC!G37+'2019 PM (MAI)'!S37+'2019 MH (MAI)'!Q37+'2019 CA (MAI)'!Q37+'2020 PM (MAI)'!R36+'2021 PM (MAI)'!R35+'2022 PM (MAI)'!S34</f>
        <v>260437.75525158545</v>
      </c>
      <c r="F34" s="96">
        <f t="shared" si="8"/>
        <v>21818.349891496007</v>
      </c>
      <c r="G34" s="96">
        <f>Leakage!M33</f>
        <v>0</v>
      </c>
      <c r="H34" s="96">
        <f t="shared" si="0"/>
        <v>260437.75525158545</v>
      </c>
      <c r="I34" s="96">
        <v>0</v>
      </c>
      <c r="J34" s="96">
        <f t="shared" si="1"/>
        <v>0</v>
      </c>
      <c r="K34" s="96">
        <f t="shared" si="2"/>
        <v>0</v>
      </c>
      <c r="N34" s="34" t="str">
        <f t="shared" si="3"/>
        <v>01/01/2047 to 31/12/2047</v>
      </c>
      <c r="O34" s="34">
        <f>-Baseline!N33</f>
        <v>0</v>
      </c>
      <c r="P34" s="34">
        <v>0</v>
      </c>
      <c r="Q34" s="34">
        <f>Leakage!N33</f>
        <v>0</v>
      </c>
      <c r="R34" s="34">
        <f>J34</f>
        <v>0</v>
      </c>
      <c r="S34" s="34">
        <v>0</v>
      </c>
      <c r="T34" s="34">
        <f t="shared" si="10"/>
        <v>0</v>
      </c>
      <c r="U34" s="34">
        <f t="shared" si="6"/>
        <v>0</v>
      </c>
      <c r="X34" s="34" t="str">
        <f t="shared" si="7"/>
        <v>01/01/2047 to 31/12/2047</v>
      </c>
      <c r="Y34" s="96">
        <f>F34-Baseline!N33-Leakage!N33</f>
        <v>21818.349891496007</v>
      </c>
    </row>
    <row r="35" spans="1:25">
      <c r="A35" s="63"/>
      <c r="B35" s="63"/>
      <c r="C35" s="34" t="str">
        <f>'2019 PM (MAI)'!L38</f>
        <v>01/01/2048 to 31/12/2048</v>
      </c>
      <c r="D35" s="96">
        <f>Baseline!M34</f>
        <v>0</v>
      </c>
      <c r="E35" s="96">
        <f>'2018 PM (MAI)'!R39+'2018 GA (MAI)'!O39+'2018 MH (MAI)'!Q39+SOC!G38+'2019 PM (MAI)'!S38+'2019 MH (MAI)'!Q38+'2019 CA (MAI)'!Q38+'2020 PM (MAI)'!R37+'2021 PM (MAI)'!R36+'2022 PM (MAI)'!S35</f>
        <v>277005.13145305112</v>
      </c>
      <c r="F35" s="96">
        <f t="shared" si="8"/>
        <v>16567.376201465668</v>
      </c>
      <c r="G35" s="96">
        <f>Leakage!M34</f>
        <v>0</v>
      </c>
      <c r="H35" s="96">
        <f t="shared" si="0"/>
        <v>277005.13145305112</v>
      </c>
      <c r="I35" s="96">
        <v>0</v>
      </c>
      <c r="J35" s="96">
        <f t="shared" si="1"/>
        <v>0</v>
      </c>
      <c r="K35" s="96">
        <f t="shared" si="2"/>
        <v>0</v>
      </c>
      <c r="N35" s="34" t="s">
        <v>180</v>
      </c>
      <c r="O35" s="34">
        <f>(-Baseline!N34)*168/365</f>
        <v>0</v>
      </c>
      <c r="P35" s="34">
        <f>0*168/365</f>
        <v>0</v>
      </c>
      <c r="Q35" s="34">
        <f>(Leakage!N34)*168/365</f>
        <v>0</v>
      </c>
      <c r="R35" s="34">
        <f>(J35)*168/365</f>
        <v>0</v>
      </c>
      <c r="S35" s="34">
        <f>0*168/365</f>
        <v>0</v>
      </c>
      <c r="T35" s="34">
        <f>K35*168/365</f>
        <v>0</v>
      </c>
      <c r="U35" s="34">
        <f>T35-R35</f>
        <v>0</v>
      </c>
      <c r="X35" s="34" t="str">
        <f t="shared" si="7"/>
        <v>01/01/2048 to 17/06/2048</v>
      </c>
      <c r="Y35" s="96">
        <f>(F35-Baseline!N34-Leakage!N34)*168/365</f>
        <v>7625.5320598526905</v>
      </c>
    </row>
    <row r="36" spans="1:25">
      <c r="C36" s="34" t="str">
        <f>'2019 PM (MAI)'!L39</f>
        <v>01/01/2049 to 31/12/2049</v>
      </c>
      <c r="D36" s="96">
        <f>Baseline!M35</f>
        <v>0</v>
      </c>
      <c r="E36" s="96">
        <f>'2018 PM (MAI)'!R40+'2018 GA (MAI)'!O40+'2018 MH (MAI)'!Q40+SOC!G39+'2019 PM (MAI)'!S39+'2019 MH (MAI)'!Q39+'2019 CA (MAI)'!Q39+'2020 PM (MAI)'!R38+'2021 PM (MAI)'!R37+'2022 PM (MAI)'!S36</f>
        <v>105947.44997755946</v>
      </c>
      <c r="F36" s="96">
        <f>E36-E35</f>
        <v>-171057.68147549167</v>
      </c>
      <c r="G36" s="96">
        <f>Leakage!M35</f>
        <v>0</v>
      </c>
      <c r="H36" s="96">
        <f t="shared" si="0"/>
        <v>105947.44997755946</v>
      </c>
      <c r="I36" s="96">
        <v>0</v>
      </c>
      <c r="J36" s="96">
        <f t="shared" si="1"/>
        <v>0</v>
      </c>
      <c r="K36" s="96">
        <f t="shared" si="2"/>
        <v>0</v>
      </c>
      <c r="N36" s="75" t="s">
        <v>181</v>
      </c>
      <c r="O36" s="75">
        <f t="shared" ref="O36:U36" si="11">SUM(O5:O35)</f>
        <v>0</v>
      </c>
      <c r="P36" s="75">
        <f t="shared" si="11"/>
        <v>0</v>
      </c>
      <c r="Q36" s="75">
        <f t="shared" si="11"/>
        <v>0</v>
      </c>
      <c r="R36" s="75">
        <f t="shared" si="11"/>
        <v>26591.119099183044</v>
      </c>
      <c r="S36" s="75">
        <f t="shared" si="11"/>
        <v>0</v>
      </c>
      <c r="T36" s="75">
        <f t="shared" si="11"/>
        <v>139953.25841675285</v>
      </c>
      <c r="U36" s="75">
        <f t="shared" si="11"/>
        <v>113362.1393175698</v>
      </c>
      <c r="X36" s="75" t="s">
        <v>181</v>
      </c>
      <c r="Y36" s="71">
        <f>SUM(Y5:Y35)</f>
        <v>268063.28731143812</v>
      </c>
    </row>
    <row r="37" spans="1:25">
      <c r="C37" s="34" t="str">
        <f>'2019 PM (MAI)'!L40</f>
        <v>01/01/2050 to 31/12/2050</v>
      </c>
      <c r="D37" s="96">
        <f>Baseline!M36</f>
        <v>0</v>
      </c>
      <c r="E37" s="96">
        <f>'2018 PM (MAI)'!R41+'2018 GA (MAI)'!O41+'2018 MH (MAI)'!Q41+SOC!G40+'2019 PM (MAI)'!S40+'2019 MH (MAI)'!Q40+'2019 CA (MAI)'!Q40+'2020 PM (MAI)'!R39+'2021 PM (MAI)'!R38+'2022 PM (MAI)'!S37</f>
        <v>48664.074298273321</v>
      </c>
      <c r="F37" s="96">
        <f t="shared" si="8"/>
        <v>-57283.375679286139</v>
      </c>
      <c r="G37" s="96">
        <v>0</v>
      </c>
      <c r="H37" s="96">
        <f t="shared" si="0"/>
        <v>48664.074298273321</v>
      </c>
      <c r="I37" s="96">
        <v>0</v>
      </c>
      <c r="J37" s="96">
        <f t="shared" si="1"/>
        <v>0</v>
      </c>
      <c r="K37" s="96">
        <f t="shared" si="2"/>
        <v>0</v>
      </c>
      <c r="N37" s="75" t="s">
        <v>182</v>
      </c>
      <c r="O37" s="75">
        <f t="shared" ref="O37:U37" si="12">O36/30</f>
        <v>0</v>
      </c>
      <c r="P37" s="75">
        <f t="shared" si="12"/>
        <v>0</v>
      </c>
      <c r="Q37" s="75">
        <f t="shared" si="12"/>
        <v>0</v>
      </c>
      <c r="R37" s="75">
        <f t="shared" si="12"/>
        <v>886.37063663943479</v>
      </c>
      <c r="S37" s="75">
        <f t="shared" si="12"/>
        <v>0</v>
      </c>
      <c r="T37" s="75">
        <f t="shared" si="12"/>
        <v>4665.1086138917617</v>
      </c>
      <c r="U37" s="75">
        <f t="shared" si="12"/>
        <v>3778.7379772523268</v>
      </c>
      <c r="X37" s="75" t="s">
        <v>182</v>
      </c>
      <c r="Y37" s="71">
        <f>Y36/30</f>
        <v>8935.4429103812708</v>
      </c>
    </row>
    <row r="38" spans="1:25">
      <c r="C38" s="34" t="str">
        <f>'2019 PM (MAI)'!L41</f>
        <v>01/01/2051 to 31/12/2051</v>
      </c>
      <c r="D38" s="96">
        <f>Baseline!M37</f>
        <v>0</v>
      </c>
      <c r="E38" s="96">
        <f>'2018 PM (MAI)'!R42+'2018 GA (MAI)'!O42+'2018 MH (MAI)'!Q42+SOC!G41+'2019 PM (MAI)'!S41+'2019 MH (MAI)'!Q41+'2019 CA (MAI)'!Q41+'2020 PM (MAI)'!R40+'2021 PM (MAI)'!R39+'2022 PM (MAI)'!S38</f>
        <v>42018.874807572371</v>
      </c>
      <c r="F38" s="96">
        <f t="shared" si="8"/>
        <v>-6645.1994907009503</v>
      </c>
      <c r="G38" s="96">
        <f>Leakage!M36</f>
        <v>0</v>
      </c>
      <c r="H38" s="96">
        <f t="shared" si="0"/>
        <v>42018.874807572371</v>
      </c>
      <c r="I38" s="96">
        <v>0</v>
      </c>
      <c r="J38" s="96">
        <f t="shared" si="1"/>
        <v>0</v>
      </c>
      <c r="K38" s="96">
        <f t="shared" si="2"/>
        <v>0</v>
      </c>
    </row>
    <row r="39" spans="1:25">
      <c r="C39" s="34" t="str">
        <f>'2019 PM (MAI)'!L42</f>
        <v>01/01/2052 to 17/06/2052</v>
      </c>
      <c r="D39" s="96">
        <f>Baseline!M38</f>
        <v>0</v>
      </c>
      <c r="E39" s="96">
        <f>'2018 PM (MAI)'!R43+'2018 GA (MAI)'!O43+'2018 MH (MAI)'!Q43+SOC!G42+'2019 PM (MAI)'!S42+'2019 MH (MAI)'!Q42+'2019 CA (MAI)'!Q42+'2020 PM (MAI)'!R41+'2021 PM (MAI)'!R40+'2022 PM (MAI)'!S39</f>
        <v>30691.04351180845</v>
      </c>
      <c r="F39" s="96">
        <f t="shared" si="8"/>
        <v>-11327.831295763921</v>
      </c>
      <c r="G39" s="96">
        <f>Leakage!M37</f>
        <v>0</v>
      </c>
      <c r="H39" s="96">
        <f t="shared" si="0"/>
        <v>30691.04351180845</v>
      </c>
      <c r="I39" s="96">
        <v>0</v>
      </c>
      <c r="J39" s="96">
        <f t="shared" si="1"/>
        <v>0</v>
      </c>
      <c r="K39" s="96">
        <f t="shared" si="2"/>
        <v>0</v>
      </c>
    </row>
    <row r="40" spans="1:25">
      <c r="G40" s="102" t="s">
        <v>97</v>
      </c>
      <c r="H40" s="71">
        <f>SUM(H5:H39)</f>
        <v>4198597.7525025858</v>
      </c>
    </row>
    <row r="41" spans="1:25">
      <c r="G41" s="102" t="s">
        <v>98</v>
      </c>
      <c r="H41" s="71">
        <f>H40/30</f>
        <v>139953.25841675285</v>
      </c>
    </row>
  </sheetData>
  <mergeCells count="2">
    <mergeCell ref="N3:U3"/>
    <mergeCell ref="C3:K3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6B75D-B25B-4659-B49B-E53F72091461}">
  <sheetPr codeName="Sheet2">
    <tabColor theme="3" tint="-0.499984740745262"/>
  </sheetPr>
  <dimension ref="A1:X698"/>
  <sheetViews>
    <sheetView tabSelected="1" topLeftCell="A3" zoomScaleNormal="100" workbookViewId="0">
      <selection activeCell="H22" sqref="H22"/>
    </sheetView>
  </sheetViews>
  <sheetFormatPr defaultRowHeight="15"/>
  <cols>
    <col min="2" max="2" width="26.42578125" customWidth="1"/>
    <col min="3" max="3" width="14.7109375" customWidth="1"/>
    <col min="4" max="4" width="20.7109375" customWidth="1"/>
    <col min="5" max="5" width="7.85546875" customWidth="1"/>
    <col min="6" max="6" width="14.140625" customWidth="1"/>
    <col min="7" max="7" width="7.5703125" customWidth="1"/>
    <col min="8" max="8" width="14" customWidth="1"/>
    <col min="9" max="9" width="11.28515625" bestFit="1" customWidth="1"/>
    <col min="10" max="10" width="24.42578125" bestFit="1" customWidth="1"/>
    <col min="11" max="11" width="25.5703125" bestFit="1" customWidth="1"/>
    <col min="12" max="12" width="15.140625" style="36" bestFit="1" customWidth="1"/>
    <col min="13" max="13" width="15.140625" customWidth="1"/>
    <col min="14" max="14" width="17.42578125" customWidth="1"/>
    <col min="15" max="15" width="16" customWidth="1"/>
    <col min="16" max="16" width="15.5703125" bestFit="1" customWidth="1"/>
    <col min="17" max="17" width="14.28515625" customWidth="1"/>
    <col min="18" max="18" width="19.28515625" customWidth="1"/>
    <col min="19" max="19" width="18.85546875" customWidth="1"/>
    <col min="20" max="20" width="23" customWidth="1"/>
    <col min="21" max="21" width="19.7109375" customWidth="1"/>
    <col min="22" max="22" width="27.85546875" customWidth="1"/>
    <col min="23" max="23" width="16.7109375" customWidth="1"/>
    <col min="24" max="24" width="15.85546875" customWidth="1"/>
  </cols>
  <sheetData>
    <row r="1" spans="1:24" ht="30.75">
      <c r="L1"/>
      <c r="N1" s="81" t="s">
        <v>31</v>
      </c>
      <c r="O1" s="82" t="s">
        <v>32</v>
      </c>
      <c r="P1" s="82" t="s">
        <v>33</v>
      </c>
    </row>
    <row r="2" spans="1:24">
      <c r="L2"/>
      <c r="N2" s="16">
        <v>0.47</v>
      </c>
      <c r="O2" s="17">
        <v>0.04</v>
      </c>
      <c r="P2" s="17">
        <v>0.02</v>
      </c>
    </row>
    <row r="3" spans="1:24">
      <c r="I3" s="40"/>
      <c r="J3" s="40"/>
      <c r="L3"/>
    </row>
    <row r="4" spans="1:24">
      <c r="L4"/>
    </row>
    <row r="5" spans="1:24" s="28" customFormat="1">
      <c r="A5" s="116" t="s">
        <v>34</v>
      </c>
      <c r="B5" s="116"/>
      <c r="C5" s="116"/>
      <c r="D5" s="116"/>
      <c r="E5" s="116"/>
      <c r="F5" s="116"/>
      <c r="G5" s="116"/>
      <c r="H5" s="116"/>
      <c r="K5" s="76"/>
      <c r="L5" s="76"/>
    </row>
    <row r="6" spans="1:24" s="28" customFormat="1" ht="38.25" customHeight="1">
      <c r="A6" s="79" t="s">
        <v>35</v>
      </c>
      <c r="B6" s="79" t="s">
        <v>36</v>
      </c>
      <c r="C6" s="79" t="s">
        <v>37</v>
      </c>
      <c r="D6" s="79" t="s">
        <v>38</v>
      </c>
      <c r="E6" s="79" t="s">
        <v>39</v>
      </c>
      <c r="F6" s="79" t="s">
        <v>37</v>
      </c>
      <c r="G6" s="79" t="s">
        <v>39</v>
      </c>
      <c r="H6" s="79" t="s">
        <v>37</v>
      </c>
      <c r="J6" s="119" t="s">
        <v>40</v>
      </c>
      <c r="K6" s="120"/>
      <c r="L6" s="120"/>
      <c r="M6" s="121"/>
      <c r="N6" s="122" t="s">
        <v>41</v>
      </c>
      <c r="O6" s="122" t="s">
        <v>42</v>
      </c>
      <c r="P6" s="122" t="s">
        <v>43</v>
      </c>
      <c r="Q6" s="117" t="s">
        <v>44</v>
      </c>
      <c r="R6" s="122" t="s">
        <v>45</v>
      </c>
      <c r="S6" s="122" t="s">
        <v>46</v>
      </c>
      <c r="T6" s="122" t="s">
        <v>47</v>
      </c>
      <c r="U6" s="117" t="s">
        <v>48</v>
      </c>
      <c r="V6" s="122" t="s">
        <v>49</v>
      </c>
      <c r="W6" s="117" t="s">
        <v>50</v>
      </c>
    </row>
    <row r="7" spans="1:24">
      <c r="A7" s="51"/>
      <c r="B7" s="52">
        <v>0</v>
      </c>
      <c r="C7" s="52">
        <v>0</v>
      </c>
      <c r="D7" s="124"/>
      <c r="E7" s="37">
        <v>0.53846153846153799</v>
      </c>
      <c r="F7" s="53">
        <v>0</v>
      </c>
      <c r="G7" s="53">
        <v>0</v>
      </c>
      <c r="H7" s="53">
        <v>0</v>
      </c>
      <c r="J7" s="117" t="s">
        <v>51</v>
      </c>
      <c r="K7" s="117" t="s">
        <v>52</v>
      </c>
      <c r="L7" s="122" t="s">
        <v>53</v>
      </c>
      <c r="M7" s="117" t="s">
        <v>54</v>
      </c>
      <c r="N7" s="122"/>
      <c r="O7" s="122"/>
      <c r="P7" s="122"/>
      <c r="Q7" s="123"/>
      <c r="R7" s="122"/>
      <c r="S7" s="122"/>
      <c r="T7" s="122"/>
      <c r="U7" s="123"/>
      <c r="V7" s="122" t="s">
        <v>55</v>
      </c>
      <c r="W7" s="123"/>
    </row>
    <row r="8" spans="1:24">
      <c r="A8" s="51" t="s">
        <v>56</v>
      </c>
      <c r="B8" s="37">
        <v>2.2082191780821914</v>
      </c>
      <c r="C8" s="54">
        <v>9.8368636984050504</v>
      </c>
      <c r="D8" s="125"/>
      <c r="E8" s="37">
        <f>1+E7</f>
        <v>1.5384615384615379</v>
      </c>
      <c r="F8" s="54">
        <v>0</v>
      </c>
      <c r="G8" s="37">
        <v>1</v>
      </c>
      <c r="H8" s="37">
        <v>0</v>
      </c>
      <c r="J8" s="118"/>
      <c r="K8" s="118"/>
      <c r="L8" s="122"/>
      <c r="M8" s="118"/>
      <c r="N8" s="122"/>
      <c r="O8" s="122"/>
      <c r="P8" s="122"/>
      <c r="Q8" s="118"/>
      <c r="R8" s="122"/>
      <c r="S8" s="122"/>
      <c r="T8" s="122"/>
      <c r="U8" s="118"/>
      <c r="V8" s="122"/>
      <c r="W8" s="118"/>
    </row>
    <row r="9" spans="1:24" ht="15" customHeight="1">
      <c r="A9" s="51" t="s">
        <v>57</v>
      </c>
      <c r="B9" s="37">
        <f>B8+1</f>
        <v>3.2082191780821914</v>
      </c>
      <c r="C9" s="37">
        <v>24.637416774964301</v>
      </c>
      <c r="D9" s="125"/>
      <c r="E9" s="37">
        <f t="shared" ref="E9" si="0">1+E8</f>
        <v>2.5384615384615379</v>
      </c>
      <c r="F9" s="37">
        <f>TREND(C7:C8,B7:B8,E9,TRUE)</f>
        <v>11.307980840550567</v>
      </c>
      <c r="G9" s="37">
        <v>2</v>
      </c>
      <c r="H9" s="37">
        <v>0</v>
      </c>
      <c r="J9" s="37">
        <v>0.53846153846153799</v>
      </c>
      <c r="K9" s="39" t="s">
        <v>58</v>
      </c>
      <c r="L9" s="37">
        <f>F7</f>
        <v>0</v>
      </c>
      <c r="M9" s="127" t="s">
        <v>59</v>
      </c>
      <c r="N9" s="37"/>
      <c r="O9" s="37"/>
      <c r="P9" s="37"/>
      <c r="Q9" s="37"/>
      <c r="R9" s="37"/>
      <c r="S9" s="37">
        <f>R9</f>
        <v>0</v>
      </c>
      <c r="T9" s="37">
        <f>Baseline!D4</f>
        <v>0</v>
      </c>
      <c r="U9" s="37">
        <f>Leakage!D4</f>
        <v>0</v>
      </c>
      <c r="V9" s="37">
        <f>R9-T9-U9</f>
        <v>0</v>
      </c>
      <c r="W9" s="37">
        <f>V9</f>
        <v>0</v>
      </c>
      <c r="X9" s="57"/>
    </row>
    <row r="10" spans="1:24">
      <c r="A10" s="51" t="s">
        <v>60</v>
      </c>
      <c r="B10" s="37">
        <f t="shared" ref="B10:B11" si="1">B9+1</f>
        <v>4.2082191780821914</v>
      </c>
      <c r="C10" s="37">
        <v>26.234077947684799</v>
      </c>
      <c r="D10" s="125"/>
      <c r="E10" s="37">
        <f>1+E9</f>
        <v>3.5384615384615379</v>
      </c>
      <c r="F10" s="37">
        <f>TREND(C9:C10,B9:B10,E10,TRUE)</f>
        <v>25.164701929369578</v>
      </c>
      <c r="G10" s="37">
        <v>3</v>
      </c>
      <c r="H10" s="37">
        <f>TREND(C8:C9,B8:B9,G10,TRUE)</f>
        <v>21.555657778201279</v>
      </c>
      <c r="J10" s="3">
        <v>1.5384615384615379</v>
      </c>
      <c r="K10" s="1" t="s">
        <v>61</v>
      </c>
      <c r="L10" s="37">
        <f>F8</f>
        <v>0</v>
      </c>
      <c r="M10" s="128"/>
      <c r="N10" s="37"/>
      <c r="O10" s="37"/>
      <c r="P10" s="37"/>
      <c r="Q10" s="37"/>
      <c r="R10" s="37"/>
      <c r="S10" s="37">
        <f>R10-R9</f>
        <v>0</v>
      </c>
      <c r="T10" s="37">
        <f>Baseline!D5</f>
        <v>0</v>
      </c>
      <c r="U10" s="37">
        <f>Leakage!D5</f>
        <v>0</v>
      </c>
      <c r="V10" s="37">
        <f t="shared" ref="V10:V43" si="2">R10-T10-U10</f>
        <v>0</v>
      </c>
      <c r="W10" s="37">
        <f>V10-V9</f>
        <v>0</v>
      </c>
      <c r="X10" s="57"/>
    </row>
    <row r="11" spans="1:24">
      <c r="A11" s="51" t="s">
        <v>62</v>
      </c>
      <c r="B11" s="37">
        <f t="shared" si="1"/>
        <v>5.2082191780821914</v>
      </c>
      <c r="C11" s="37">
        <v>38.666798304946994</v>
      </c>
      <c r="D11" s="125"/>
      <c r="E11" s="37">
        <f t="shared" ref="E11:E21" si="3">1+E10</f>
        <v>4.5384615384615383</v>
      </c>
      <c r="F11" s="37">
        <f>TREND(C10:C11,B10:B11,E11,TRUE)</f>
        <v>30.33988886440342</v>
      </c>
      <c r="G11" s="37">
        <v>4</v>
      </c>
      <c r="H11" s="37">
        <f>TREND(C9:C10,B9:B10,G11,TRUE)</f>
        <v>25.901622470625192</v>
      </c>
      <c r="J11" s="3">
        <v>2.5384615384615379</v>
      </c>
      <c r="K11" s="1" t="s">
        <v>63</v>
      </c>
      <c r="L11" s="37">
        <f t="shared" ref="L11:L24" si="4">F9</f>
        <v>11.307980840550567</v>
      </c>
      <c r="M11" s="128"/>
      <c r="N11" s="37">
        <f>L11*SUM(Overview!$B$30)</f>
        <v>1919.2837882845411</v>
      </c>
      <c r="O11" s="37">
        <f t="shared" ref="O11:O42" si="5">N11*$N$2*3.67</f>
        <v>3310.5726064120045</v>
      </c>
      <c r="P11" s="37">
        <f t="shared" ref="P11:P42" si="6">O11*$O$2</f>
        <v>132.42290425648019</v>
      </c>
      <c r="Q11" s="37">
        <f t="shared" ref="Q11:Q43" si="7">O11*$P$2</f>
        <v>66.211452128240097</v>
      </c>
      <c r="R11" s="37">
        <f t="shared" ref="R11:R43" si="8">SUM(O11:Q11)</f>
        <v>3509.2069627967248</v>
      </c>
      <c r="S11" s="37">
        <f t="shared" ref="S11:S43" si="9">R11-R10</f>
        <v>3509.2069627967248</v>
      </c>
      <c r="T11" s="37">
        <f>Baseline!D6</f>
        <v>0</v>
      </c>
      <c r="U11" s="37">
        <f>Leakage!D6</f>
        <v>0</v>
      </c>
      <c r="V11" s="37">
        <f t="shared" si="2"/>
        <v>3509.2069627967248</v>
      </c>
      <c r="W11" s="37">
        <f t="shared" ref="W11:W17" si="10">V11-V10</f>
        <v>3509.2069627967248</v>
      </c>
      <c r="X11" s="57"/>
    </row>
    <row r="12" spans="1:24">
      <c r="A12" s="51" t="s">
        <v>64</v>
      </c>
      <c r="B12" s="37">
        <v>5.7479452054794518</v>
      </c>
      <c r="C12" s="37">
        <v>61.938115801516687</v>
      </c>
      <c r="D12" s="126"/>
      <c r="E12" s="37">
        <f t="shared" si="3"/>
        <v>5.5384615384615383</v>
      </c>
      <c r="F12" s="37">
        <f>TREND(C11:C12,B11:B12,E12,TRUE)</f>
        <v>52.905827792305359</v>
      </c>
      <c r="G12" s="37">
        <v>5</v>
      </c>
      <c r="H12" s="37">
        <f>TREND(C10:C11,B10:B11,G12,TRUE)</f>
        <v>36.078067490832133</v>
      </c>
      <c r="J12" s="3">
        <v>3.5384615384615379</v>
      </c>
      <c r="K12" s="1" t="s">
        <v>65</v>
      </c>
      <c r="L12" s="37">
        <f t="shared" si="4"/>
        <v>25.164701929369578</v>
      </c>
      <c r="M12" s="128"/>
      <c r="N12" s="37">
        <f>L12*SUM(Overview!$B$30)</f>
        <v>4271.1607961744812</v>
      </c>
      <c r="O12" s="37">
        <f t="shared" si="5"/>
        <v>7367.3252573213622</v>
      </c>
      <c r="P12" s="37">
        <f t="shared" si="6"/>
        <v>294.69301029285447</v>
      </c>
      <c r="Q12" s="37">
        <f t="shared" si="7"/>
        <v>147.34650514642723</v>
      </c>
      <c r="R12" s="37">
        <f t="shared" si="8"/>
        <v>7809.364772760644</v>
      </c>
      <c r="S12" s="37">
        <f t="shared" si="9"/>
        <v>4300.1578099639191</v>
      </c>
      <c r="T12" s="37">
        <f>Baseline!D7</f>
        <v>0</v>
      </c>
      <c r="U12" s="37">
        <f>Leakage!D7</f>
        <v>0</v>
      </c>
      <c r="V12" s="37">
        <f t="shared" si="2"/>
        <v>7809.364772760644</v>
      </c>
      <c r="W12" s="37">
        <f t="shared" si="10"/>
        <v>4300.1578099639191</v>
      </c>
      <c r="X12" s="57"/>
    </row>
    <row r="13" spans="1:24">
      <c r="A13" s="51"/>
      <c r="B13" s="51"/>
      <c r="C13" s="51"/>
      <c r="D13" s="51"/>
      <c r="E13" s="37">
        <f t="shared" si="3"/>
        <v>6.5384615384615383</v>
      </c>
      <c r="F13" s="37">
        <f>TREND(C11:C12,B11:B12,$E$13,TRUE)</f>
        <v>96.022735844325354</v>
      </c>
      <c r="G13" s="37">
        <v>6</v>
      </c>
      <c r="H13" s="37">
        <f>TREND(C11:C12,B11:B12,G13:$G$13,TRUE)</f>
        <v>72.805939200929942</v>
      </c>
      <c r="J13" s="3">
        <v>4.5384615384615383</v>
      </c>
      <c r="K13" s="1" t="s">
        <v>66</v>
      </c>
      <c r="L13" s="37">
        <f t="shared" si="4"/>
        <v>30.33988886440342</v>
      </c>
      <c r="M13" s="128"/>
      <c r="N13" s="37">
        <f>L13*SUM(Overview!$B$30)</f>
        <v>5149.5362131307784</v>
      </c>
      <c r="O13" s="37">
        <f t="shared" si="5"/>
        <v>8882.435014029279</v>
      </c>
      <c r="P13" s="37">
        <f t="shared" si="6"/>
        <v>355.29740056117117</v>
      </c>
      <c r="Q13" s="37">
        <f t="shared" si="7"/>
        <v>177.64870028058559</v>
      </c>
      <c r="R13" s="37">
        <f t="shared" si="8"/>
        <v>9415.3811148710356</v>
      </c>
      <c r="S13" s="37">
        <f t="shared" si="9"/>
        <v>1606.0163421103916</v>
      </c>
      <c r="T13" s="37">
        <f>Baseline!D8</f>
        <v>0</v>
      </c>
      <c r="U13" s="37">
        <f>Leakage!D8</f>
        <v>0</v>
      </c>
      <c r="V13" s="37">
        <f t="shared" si="2"/>
        <v>9415.3811148710356</v>
      </c>
      <c r="W13" s="37">
        <f t="shared" si="10"/>
        <v>1606.0163421103916</v>
      </c>
      <c r="X13" s="57"/>
    </row>
    <row r="14" spans="1:24">
      <c r="A14" s="51"/>
      <c r="B14" s="51"/>
      <c r="C14" s="51"/>
      <c r="D14" s="51"/>
      <c r="E14" s="37">
        <f t="shared" si="3"/>
        <v>7.5384615384615383</v>
      </c>
      <c r="F14" s="37">
        <f>TREND(F9:F13,E9:E13,E14:$E$22,TRUE)</f>
        <v>102.29941781533644</v>
      </c>
      <c r="G14" s="37">
        <v>7</v>
      </c>
      <c r="H14" s="37">
        <f>TREND(F10:F13,E10:E13,G14:$G$22,TRUE)</f>
        <v>97.231911970336427</v>
      </c>
      <c r="J14" s="3">
        <v>5.5384615384615383</v>
      </c>
      <c r="K14" s="1" t="s">
        <v>67</v>
      </c>
      <c r="L14" s="37">
        <f t="shared" si="4"/>
        <v>52.905827792305359</v>
      </c>
      <c r="M14" s="128"/>
      <c r="N14" s="37">
        <f>L14*SUM(Overview!$B$30)</f>
        <v>8979.6135153870237</v>
      </c>
      <c r="O14" s="37">
        <f t="shared" si="5"/>
        <v>15488.935352691076</v>
      </c>
      <c r="P14" s="37">
        <f t="shared" si="6"/>
        <v>619.55741410764301</v>
      </c>
      <c r="Q14" s="37">
        <f t="shared" si="7"/>
        <v>309.77870705382151</v>
      </c>
      <c r="R14" s="37">
        <f t="shared" si="8"/>
        <v>16418.271473852539</v>
      </c>
      <c r="S14" s="37">
        <f t="shared" si="9"/>
        <v>7002.8903589815036</v>
      </c>
      <c r="T14" s="37">
        <f>Baseline!D9</f>
        <v>0</v>
      </c>
      <c r="U14" s="37">
        <f>Leakage!D9</f>
        <v>0</v>
      </c>
      <c r="V14" s="37">
        <f t="shared" si="2"/>
        <v>16418.271473852539</v>
      </c>
      <c r="W14" s="37">
        <f t="shared" si="10"/>
        <v>7002.8903589815036</v>
      </c>
      <c r="X14" s="57"/>
    </row>
    <row r="15" spans="1:24">
      <c r="A15" s="51"/>
      <c r="B15" s="51"/>
      <c r="C15" s="51"/>
      <c r="D15" s="51"/>
      <c r="E15" s="37">
        <f t="shared" si="3"/>
        <v>8.5384615384615383</v>
      </c>
      <c r="F15" s="37">
        <f>TREND(F11:F14,E11:E14,E15:$E$22,TRUE)</f>
        <v>135.14084130529739</v>
      </c>
      <c r="G15" s="37">
        <v>8</v>
      </c>
      <c r="H15" s="37">
        <f>TREND(F11:F14,E11:E14,G15:$G$22,TRUE)</f>
        <v>121.19493004119175</v>
      </c>
      <c r="J15" s="3">
        <v>6.5384615384615383</v>
      </c>
      <c r="K15" s="3" t="s">
        <v>68</v>
      </c>
      <c r="L15" s="37">
        <f t="shared" si="4"/>
        <v>96.022735844325354</v>
      </c>
      <c r="M15" s="129"/>
      <c r="N15" s="37">
        <f>L15*SUM(Overview!$B$30)</f>
        <v>16297.770823227673</v>
      </c>
      <c r="O15" s="37">
        <f t="shared" si="5"/>
        <v>28112.02489298541</v>
      </c>
      <c r="P15" s="37">
        <f t="shared" si="6"/>
        <v>1124.4809957194163</v>
      </c>
      <c r="Q15" s="37">
        <f t="shared" si="7"/>
        <v>562.24049785970817</v>
      </c>
      <c r="R15" s="37">
        <f t="shared" si="8"/>
        <v>29798.746386564533</v>
      </c>
      <c r="S15" s="37">
        <f t="shared" si="9"/>
        <v>13380.474912711994</v>
      </c>
      <c r="T15" s="37">
        <f>Baseline!D10</f>
        <v>0</v>
      </c>
      <c r="U15" s="37">
        <f>Leakage!D10</f>
        <v>0</v>
      </c>
      <c r="V15" s="37">
        <f t="shared" si="2"/>
        <v>29798.746386564533</v>
      </c>
      <c r="W15" s="37">
        <f t="shared" si="10"/>
        <v>13380.474912711994</v>
      </c>
      <c r="X15" s="57"/>
    </row>
    <row r="16" spans="1:24">
      <c r="A16" s="51"/>
      <c r="B16" s="51"/>
      <c r="C16" s="51"/>
      <c r="D16" s="51"/>
      <c r="E16" s="37">
        <f t="shared" si="3"/>
        <v>9.5384615384615383</v>
      </c>
      <c r="F16" s="37">
        <f>TREND(F12:F15,E12:E15,E16:$E$22,TRUE)</f>
        <v>159.8376363168129</v>
      </c>
      <c r="G16" s="37">
        <v>9</v>
      </c>
      <c r="H16" s="37">
        <f>TREND(F12:F15,E12:E15,G16:$G$22,TRUE)</f>
        <v>146.21554356627516</v>
      </c>
      <c r="J16" s="3">
        <v>7.5384615384615383</v>
      </c>
      <c r="K16" s="3" t="s">
        <v>69</v>
      </c>
      <c r="L16" s="37">
        <f t="shared" si="4"/>
        <v>102.29941781533644</v>
      </c>
      <c r="M16" s="80"/>
      <c r="N16" s="37">
        <f>L16*SUM(Overview!$B$30)</f>
        <v>17363.101063970538</v>
      </c>
      <c r="O16" s="37">
        <f t="shared" si="5"/>
        <v>29949.613025242779</v>
      </c>
      <c r="P16" s="37">
        <f t="shared" si="6"/>
        <v>1197.9845210097112</v>
      </c>
      <c r="Q16" s="37">
        <f t="shared" si="7"/>
        <v>598.99226050485561</v>
      </c>
      <c r="R16" s="37">
        <f t="shared" si="8"/>
        <v>31746.589806757347</v>
      </c>
      <c r="S16" s="37">
        <f t="shared" si="9"/>
        <v>1947.8434201928139</v>
      </c>
      <c r="T16" s="37">
        <f>Baseline!D11</f>
        <v>0</v>
      </c>
      <c r="U16" s="37">
        <f>Leakage!D11</f>
        <v>0</v>
      </c>
      <c r="V16" s="37">
        <f t="shared" si="2"/>
        <v>31746.589806757347</v>
      </c>
      <c r="W16" s="37">
        <f t="shared" si="10"/>
        <v>1947.8434201928139</v>
      </c>
      <c r="X16" s="57"/>
    </row>
    <row r="17" spans="1:24">
      <c r="A17" s="51"/>
      <c r="B17" s="51"/>
      <c r="C17" s="51"/>
      <c r="D17" s="51"/>
      <c r="E17" s="37">
        <f t="shared" si="3"/>
        <v>10.538461538461538</v>
      </c>
      <c r="F17" s="37">
        <f>TREND(F13:F16,E13:E16,E17:$E$22,TRUE)</f>
        <v>179.39668904729893</v>
      </c>
      <c r="G17" s="37">
        <v>10</v>
      </c>
      <c r="H17" s="37">
        <f>TREND(F13:F16,E13:E16,G17:$G$22,TRUE)</f>
        <v>167.31974385997611</v>
      </c>
      <c r="J17" s="3">
        <v>8.5384615384615383</v>
      </c>
      <c r="K17" s="3" t="s">
        <v>70</v>
      </c>
      <c r="L17" s="37">
        <f t="shared" si="4"/>
        <v>135.14084130529739</v>
      </c>
      <c r="M17" s="41"/>
      <c r="N17" s="37">
        <f>L17*SUM(Overview!$B$30)</f>
        <v>22937.218369018981</v>
      </c>
      <c r="O17" s="37">
        <f t="shared" si="5"/>
        <v>39564.407964720835</v>
      </c>
      <c r="P17" s="37">
        <f t="shared" si="6"/>
        <v>1582.5763185888334</v>
      </c>
      <c r="Q17" s="37">
        <f t="shared" si="7"/>
        <v>791.28815929441669</v>
      </c>
      <c r="R17" s="37">
        <f t="shared" si="8"/>
        <v>41938.272442604088</v>
      </c>
      <c r="S17" s="37">
        <f t="shared" si="9"/>
        <v>10191.682635846741</v>
      </c>
      <c r="T17" s="37">
        <f>Baseline!D12</f>
        <v>0</v>
      </c>
      <c r="U17" s="37">
        <f>Leakage!D12</f>
        <v>0</v>
      </c>
      <c r="V17" s="37">
        <f t="shared" si="2"/>
        <v>41938.272442604088</v>
      </c>
      <c r="W17" s="37">
        <f t="shared" si="10"/>
        <v>10191.682635846741</v>
      </c>
      <c r="X17" s="57"/>
    </row>
    <row r="18" spans="1:24">
      <c r="A18" s="51"/>
      <c r="B18" s="51"/>
      <c r="C18" s="51"/>
      <c r="D18" s="51"/>
      <c r="E18" s="37">
        <f t="shared" si="3"/>
        <v>11.538461538461538</v>
      </c>
      <c r="F18" s="37">
        <f>TREND(F14:F17,E14:E17,E18:$E$22,TRUE)</f>
        <v>208.16579829803715</v>
      </c>
      <c r="G18" s="37">
        <v>11</v>
      </c>
      <c r="H18" s="37">
        <f>TREND(F14:F17,E14:E17,G18:$G$22,TRUE)</f>
        <v>194.38179629071544</v>
      </c>
      <c r="J18" s="3">
        <v>9.5384615384615383</v>
      </c>
      <c r="K18" s="3" t="s">
        <v>71</v>
      </c>
      <c r="L18" s="37">
        <f t="shared" si="4"/>
        <v>159.8376363168129</v>
      </c>
      <c r="M18" s="58"/>
      <c r="N18" s="37">
        <f>L18*SUM(Overview!$B$30)</f>
        <v>27128.962143310735</v>
      </c>
      <c r="O18" s="37">
        <f t="shared" si="5"/>
        <v>46794.746800996683</v>
      </c>
      <c r="P18" s="37">
        <f t="shared" si="6"/>
        <v>1871.7898720398673</v>
      </c>
      <c r="Q18" s="37">
        <f t="shared" si="7"/>
        <v>935.89493601993365</v>
      </c>
      <c r="R18" s="37">
        <f t="shared" si="8"/>
        <v>49602.431609056483</v>
      </c>
      <c r="S18" s="37">
        <f t="shared" si="9"/>
        <v>7664.1591664523949</v>
      </c>
      <c r="T18" s="37">
        <f>Baseline!D13</f>
        <v>0</v>
      </c>
      <c r="U18" s="37">
        <f>Leakage!D13</f>
        <v>0</v>
      </c>
      <c r="V18" s="37">
        <f t="shared" si="2"/>
        <v>49602.431609056483</v>
      </c>
      <c r="W18" s="37">
        <f>V45-SUM(W9:W17)</f>
        <v>585.26333852249809</v>
      </c>
      <c r="X18" s="57"/>
    </row>
    <row r="19" spans="1:24">
      <c r="A19" s="51"/>
      <c r="B19" s="51"/>
      <c r="C19" s="51"/>
      <c r="D19" s="51"/>
      <c r="E19" s="37">
        <f t="shared" si="3"/>
        <v>12.538461538461538</v>
      </c>
      <c r="F19" s="37">
        <f>TREND(F15:F18,E15:E18,E19:$E$22,TRUE)</f>
        <v>230.29372216903795</v>
      </c>
      <c r="G19" s="37">
        <v>12</v>
      </c>
      <c r="H19" s="37">
        <f>TREND(F15:F18,E15:E18,G19:$G$22,TRUE)</f>
        <v>217.44420320010767</v>
      </c>
      <c r="J19" s="3">
        <v>10.538461538461538</v>
      </c>
      <c r="K19" s="3" t="s">
        <v>72</v>
      </c>
      <c r="L19" s="37">
        <f t="shared" si="4"/>
        <v>179.39668904729893</v>
      </c>
      <c r="M19" s="59"/>
      <c r="N19" s="37">
        <f>L19*SUM(Overview!$B$30)</f>
        <v>30448.685916206388</v>
      </c>
      <c r="O19" s="37">
        <f t="shared" si="5"/>
        <v>52520.938336864398</v>
      </c>
      <c r="P19" s="37">
        <f t="shared" si="6"/>
        <v>2100.837533474576</v>
      </c>
      <c r="Q19" s="37">
        <f t="shared" si="7"/>
        <v>1050.418766737288</v>
      </c>
      <c r="R19" s="37">
        <f t="shared" si="8"/>
        <v>55672.19463707626</v>
      </c>
      <c r="S19" s="37">
        <f t="shared" si="9"/>
        <v>6069.7630280197773</v>
      </c>
      <c r="T19" s="37">
        <f>Baseline!D14</f>
        <v>0</v>
      </c>
      <c r="U19" s="37">
        <f>Leakage!D14</f>
        <v>0</v>
      </c>
      <c r="V19" s="37">
        <f t="shared" si="2"/>
        <v>55672.19463707626</v>
      </c>
      <c r="W19" s="37">
        <v>0</v>
      </c>
      <c r="X19" s="57"/>
    </row>
    <row r="20" spans="1:24">
      <c r="A20" s="51"/>
      <c r="B20" s="51"/>
      <c r="C20" s="51"/>
      <c r="D20" s="51"/>
      <c r="E20" s="37">
        <f t="shared" si="3"/>
        <v>13.538461538461538</v>
      </c>
      <c r="F20" s="37">
        <f>TREND(F16:F19,E16:E19,E20:$E$22,TRUE)</f>
        <v>254.4578031596501</v>
      </c>
      <c r="G20" s="37">
        <v>13</v>
      </c>
      <c r="H20" s="37">
        <f>TREND(F16:F19,E16:E19,G20:$G$22,TRUE)</f>
        <v>241.52732956232785</v>
      </c>
      <c r="I20" s="40"/>
      <c r="J20" s="3">
        <v>11.538461538461538</v>
      </c>
      <c r="K20" s="3" t="s">
        <v>73</v>
      </c>
      <c r="L20" s="37">
        <f t="shared" si="4"/>
        <v>208.16579829803715</v>
      </c>
      <c r="M20" s="59"/>
      <c r="N20" s="37">
        <f>L20*SUM(Overview!$B$30)</f>
        <v>35331.616455876487</v>
      </c>
      <c r="O20" s="37">
        <f t="shared" si="5"/>
        <v>60943.50522474134</v>
      </c>
      <c r="P20" s="37">
        <f t="shared" si="6"/>
        <v>2437.7402089896536</v>
      </c>
      <c r="Q20" s="37">
        <f t="shared" si="7"/>
        <v>1218.8701044948268</v>
      </c>
      <c r="R20" s="37">
        <f t="shared" si="8"/>
        <v>64600.115538225822</v>
      </c>
      <c r="S20" s="37">
        <f t="shared" si="9"/>
        <v>8927.9209011495623</v>
      </c>
      <c r="T20" s="37">
        <f>Baseline!D15</f>
        <v>0</v>
      </c>
      <c r="U20" s="37">
        <f>Leakage!D15</f>
        <v>0</v>
      </c>
      <c r="V20" s="37">
        <f t="shared" si="2"/>
        <v>64600.115538225822</v>
      </c>
      <c r="W20" s="37">
        <v>0</v>
      </c>
      <c r="X20" s="57"/>
    </row>
    <row r="21" spans="1:24">
      <c r="A21" s="51"/>
      <c r="B21" s="51"/>
      <c r="C21" s="51"/>
      <c r="D21" s="51"/>
      <c r="E21" s="37">
        <f t="shared" si="3"/>
        <v>14.538461538461538</v>
      </c>
      <c r="F21" s="37">
        <f>TREND(F17:F20,E17:E20,E21:$E$22,TRUE)</f>
        <v>279.9063197205196</v>
      </c>
      <c r="G21" s="37">
        <v>14</v>
      </c>
      <c r="H21" s="37">
        <f>TREND(F17:F20,E17:E20,G21:$G$22,TRUE)</f>
        <v>266.58955923239364</v>
      </c>
      <c r="J21" s="3">
        <v>12.538461538461538</v>
      </c>
      <c r="K21" s="3" t="s">
        <v>74</v>
      </c>
      <c r="L21" s="37">
        <f t="shared" si="4"/>
        <v>230.29372216903795</v>
      </c>
      <c r="M21" s="59"/>
      <c r="N21" s="37">
        <f>L21*SUM(Overview!$B$30)</f>
        <v>39087.350229470198</v>
      </c>
      <c r="O21" s="37">
        <f t="shared" si="5"/>
        <v>67421.770410813129</v>
      </c>
      <c r="P21" s="37">
        <f t="shared" si="6"/>
        <v>2696.8708164325253</v>
      </c>
      <c r="Q21" s="37">
        <f t="shared" si="7"/>
        <v>1348.4354082162627</v>
      </c>
      <c r="R21" s="37">
        <f t="shared" si="8"/>
        <v>71467.076635461912</v>
      </c>
      <c r="S21" s="37">
        <f t="shared" si="9"/>
        <v>6866.9610972360897</v>
      </c>
      <c r="T21" s="37">
        <f>Baseline!D16</f>
        <v>0</v>
      </c>
      <c r="U21" s="37">
        <f>Leakage!D16</f>
        <v>0</v>
      </c>
      <c r="V21" s="37">
        <f t="shared" si="2"/>
        <v>71467.076635461912</v>
      </c>
      <c r="W21" s="37">
        <v>0</v>
      </c>
      <c r="X21" s="57"/>
    </row>
    <row r="22" spans="1:24">
      <c r="A22" s="51"/>
      <c r="B22" s="51"/>
      <c r="C22" s="51"/>
      <c r="D22" s="51"/>
      <c r="E22" s="37">
        <v>15</v>
      </c>
      <c r="F22" s="37">
        <f>TREND(F18:F21,E18:E21,E22:$E$22,TRUE)</f>
        <v>290.16232586819984</v>
      </c>
      <c r="G22" s="37">
        <v>15</v>
      </c>
      <c r="H22" s="37">
        <f>TREND(F18:F21,E18:E21,G22:$G$22,TRUE)</f>
        <v>290.16232586819984</v>
      </c>
      <c r="J22" s="3">
        <v>13.538461538461538</v>
      </c>
      <c r="K22" s="3" t="s">
        <v>75</v>
      </c>
      <c r="L22" s="37">
        <f t="shared" si="4"/>
        <v>254.4578031596501</v>
      </c>
      <c r="M22" s="59"/>
      <c r="N22" s="37">
        <f>L22*SUM(Overview!$B$30)</f>
        <v>43188.677385753072</v>
      </c>
      <c r="O22" s="37">
        <f t="shared" si="5"/>
        <v>74496.14962268548</v>
      </c>
      <c r="P22" s="37">
        <f t="shared" si="6"/>
        <v>2979.8459849074193</v>
      </c>
      <c r="Q22" s="37">
        <f t="shared" si="7"/>
        <v>1489.9229924537096</v>
      </c>
      <c r="R22" s="37">
        <f t="shared" si="8"/>
        <v>78965.9186000466</v>
      </c>
      <c r="S22" s="37">
        <f t="shared" si="9"/>
        <v>7498.841964584688</v>
      </c>
      <c r="T22" s="37">
        <f>Baseline!D17</f>
        <v>0</v>
      </c>
      <c r="U22" s="37">
        <f>Leakage!D17</f>
        <v>0</v>
      </c>
      <c r="V22" s="37">
        <f t="shared" si="2"/>
        <v>78965.9186000466</v>
      </c>
      <c r="W22" s="37">
        <v>0</v>
      </c>
      <c r="X22" s="57"/>
    </row>
    <row r="23" spans="1:24">
      <c r="J23" s="3">
        <v>14.538461538461538</v>
      </c>
      <c r="K23" s="3" t="s">
        <v>76</v>
      </c>
      <c r="L23" s="37">
        <f t="shared" si="4"/>
        <v>279.9063197205196</v>
      </c>
      <c r="M23" s="59"/>
      <c r="N23" s="37">
        <f>L23*SUM(Overview!$B$30)</f>
        <v>47508.009542384978</v>
      </c>
      <c r="O23" s="37">
        <f t="shared" si="5"/>
        <v>81946.565659659842</v>
      </c>
      <c r="P23" s="37">
        <f t="shared" si="6"/>
        <v>3277.8626263863939</v>
      </c>
      <c r="Q23" s="37">
        <f t="shared" si="7"/>
        <v>1638.931313193197</v>
      </c>
      <c r="R23" s="37">
        <f t="shared" si="8"/>
        <v>86863.35959923944</v>
      </c>
      <c r="S23" s="37">
        <f t="shared" si="9"/>
        <v>7897.4409991928405</v>
      </c>
      <c r="T23" s="37">
        <f>Baseline!D18</f>
        <v>0</v>
      </c>
      <c r="U23" s="37">
        <f>Leakage!D18</f>
        <v>0</v>
      </c>
      <c r="V23" s="37">
        <f t="shared" si="2"/>
        <v>86863.35959923944</v>
      </c>
      <c r="W23" s="37">
        <v>0</v>
      </c>
      <c r="X23" s="57"/>
    </row>
    <row r="24" spans="1:24">
      <c r="J24" s="3">
        <v>15.538461538461538</v>
      </c>
      <c r="K24" s="3" t="s">
        <v>77</v>
      </c>
      <c r="L24" s="37">
        <f t="shared" si="4"/>
        <v>290.16232586819984</v>
      </c>
      <c r="M24" s="59"/>
      <c r="N24" s="37">
        <f>L24*SUM(Overview!$B$30)</f>
        <v>49248.743508010521</v>
      </c>
      <c r="O24" s="37">
        <f t="shared" si="5"/>
        <v>84949.157676967341</v>
      </c>
      <c r="P24" s="37">
        <f t="shared" si="6"/>
        <v>3397.9663070786937</v>
      </c>
      <c r="Q24" s="37">
        <f t="shared" si="7"/>
        <v>1698.9831535393469</v>
      </c>
      <c r="R24" s="37">
        <f t="shared" si="8"/>
        <v>90046.107137585379</v>
      </c>
      <c r="S24" s="37">
        <f t="shared" si="9"/>
        <v>3182.7475383459387</v>
      </c>
      <c r="T24" s="37">
        <f>Baseline!D19</f>
        <v>0</v>
      </c>
      <c r="U24" s="37">
        <f>Leakage!D19</f>
        <v>0</v>
      </c>
      <c r="V24" s="37">
        <f t="shared" si="2"/>
        <v>90046.107137585379</v>
      </c>
      <c r="W24" s="37">
        <v>0</v>
      </c>
      <c r="X24" s="57"/>
    </row>
    <row r="25" spans="1:24">
      <c r="J25" s="3">
        <v>16.53846153846154</v>
      </c>
      <c r="K25" s="3" t="s">
        <v>78</v>
      </c>
      <c r="L25" s="37">
        <f>L10</f>
        <v>0</v>
      </c>
      <c r="M25" s="59"/>
      <c r="N25" s="37">
        <f>L25*SUM(Overview!$B$30)</f>
        <v>0</v>
      </c>
      <c r="O25" s="37">
        <f t="shared" si="5"/>
        <v>0</v>
      </c>
      <c r="P25" s="37">
        <f t="shared" si="6"/>
        <v>0</v>
      </c>
      <c r="Q25" s="37">
        <f t="shared" si="7"/>
        <v>0</v>
      </c>
      <c r="R25" s="37">
        <f t="shared" si="8"/>
        <v>0</v>
      </c>
      <c r="S25" s="37">
        <f t="shared" si="9"/>
        <v>-90046.107137585379</v>
      </c>
      <c r="T25" s="37">
        <f>Baseline!D20</f>
        <v>0</v>
      </c>
      <c r="U25" s="37">
        <f>Leakage!D20</f>
        <v>0</v>
      </c>
      <c r="V25" s="37">
        <f t="shared" si="2"/>
        <v>0</v>
      </c>
      <c r="W25" s="37">
        <v>0</v>
      </c>
      <c r="X25" s="57"/>
    </row>
    <row r="26" spans="1:24">
      <c r="J26" s="3">
        <v>17.53846153846154</v>
      </c>
      <c r="K26" s="3" t="s">
        <v>79</v>
      </c>
      <c r="L26" s="37">
        <f t="shared" ref="L26:L39" si="11">L11</f>
        <v>11.307980840550567</v>
      </c>
      <c r="M26" s="59"/>
      <c r="N26" s="37">
        <f>L26*SUM(Overview!$B$30)</f>
        <v>1919.2837882845411</v>
      </c>
      <c r="O26" s="37">
        <f t="shared" si="5"/>
        <v>3310.5726064120045</v>
      </c>
      <c r="P26" s="37">
        <f t="shared" si="6"/>
        <v>132.42290425648019</v>
      </c>
      <c r="Q26" s="37">
        <f t="shared" si="7"/>
        <v>66.211452128240097</v>
      </c>
      <c r="R26" s="37">
        <f t="shared" si="8"/>
        <v>3509.2069627967248</v>
      </c>
      <c r="S26" s="37">
        <f t="shared" si="9"/>
        <v>3509.2069627967248</v>
      </c>
      <c r="T26" s="37">
        <f>Baseline!D21</f>
        <v>0</v>
      </c>
      <c r="U26" s="37">
        <f>Leakage!D21</f>
        <v>0</v>
      </c>
      <c r="V26" s="37">
        <f t="shared" si="2"/>
        <v>3509.2069627967248</v>
      </c>
      <c r="W26" s="37">
        <v>0</v>
      </c>
      <c r="X26" s="57"/>
    </row>
    <row r="27" spans="1:24">
      <c r="J27" s="3">
        <v>18.53846153846154</v>
      </c>
      <c r="K27" s="3" t="s">
        <v>80</v>
      </c>
      <c r="L27" s="37">
        <f t="shared" si="11"/>
        <v>25.164701929369578</v>
      </c>
      <c r="M27" s="59"/>
      <c r="N27" s="37">
        <f>L27*SUM(Overview!$B$30)</f>
        <v>4271.1607961744812</v>
      </c>
      <c r="O27" s="37">
        <f t="shared" si="5"/>
        <v>7367.3252573213622</v>
      </c>
      <c r="P27" s="37">
        <f t="shared" si="6"/>
        <v>294.69301029285447</v>
      </c>
      <c r="Q27" s="37">
        <f t="shared" si="7"/>
        <v>147.34650514642723</v>
      </c>
      <c r="R27" s="37">
        <f t="shared" si="8"/>
        <v>7809.364772760644</v>
      </c>
      <c r="S27" s="37">
        <f t="shared" si="9"/>
        <v>4300.1578099639191</v>
      </c>
      <c r="T27" s="37">
        <f>Baseline!D22</f>
        <v>0</v>
      </c>
      <c r="U27" s="37">
        <f>Leakage!D22</f>
        <v>0</v>
      </c>
      <c r="V27" s="37">
        <f t="shared" si="2"/>
        <v>7809.364772760644</v>
      </c>
      <c r="W27" s="37">
        <v>0</v>
      </c>
      <c r="X27" s="57"/>
    </row>
    <row r="28" spans="1:24">
      <c r="J28" s="3">
        <v>19.53846153846154</v>
      </c>
      <c r="K28" s="3" t="s">
        <v>81</v>
      </c>
      <c r="L28" s="37">
        <f t="shared" si="11"/>
        <v>30.33988886440342</v>
      </c>
      <c r="M28" s="59"/>
      <c r="N28" s="37">
        <f>L28*SUM(Overview!$B$30)</f>
        <v>5149.5362131307784</v>
      </c>
      <c r="O28" s="37">
        <f t="shared" si="5"/>
        <v>8882.435014029279</v>
      </c>
      <c r="P28" s="37">
        <f t="shared" si="6"/>
        <v>355.29740056117117</v>
      </c>
      <c r="Q28" s="37">
        <f t="shared" si="7"/>
        <v>177.64870028058559</v>
      </c>
      <c r="R28" s="37">
        <f t="shared" si="8"/>
        <v>9415.3811148710356</v>
      </c>
      <c r="S28" s="37">
        <f t="shared" si="9"/>
        <v>1606.0163421103916</v>
      </c>
      <c r="T28" s="37">
        <f>Baseline!D23</f>
        <v>0</v>
      </c>
      <c r="U28" s="37">
        <f>Leakage!D23</f>
        <v>0</v>
      </c>
      <c r="V28" s="37">
        <f t="shared" si="2"/>
        <v>9415.3811148710356</v>
      </c>
      <c r="W28" s="37">
        <v>0</v>
      </c>
      <c r="X28" s="57"/>
    </row>
    <row r="29" spans="1:24">
      <c r="J29" s="3">
        <v>20.53846153846154</v>
      </c>
      <c r="K29" s="3" t="s">
        <v>82</v>
      </c>
      <c r="L29" s="37">
        <f t="shared" si="11"/>
        <v>52.905827792305359</v>
      </c>
      <c r="M29" s="59"/>
      <c r="N29" s="37">
        <f>L29*SUM(Overview!$B$30)</f>
        <v>8979.6135153870237</v>
      </c>
      <c r="O29" s="37">
        <f t="shared" si="5"/>
        <v>15488.935352691076</v>
      </c>
      <c r="P29" s="37">
        <f t="shared" si="6"/>
        <v>619.55741410764301</v>
      </c>
      <c r="Q29" s="37">
        <f t="shared" si="7"/>
        <v>309.77870705382151</v>
      </c>
      <c r="R29" s="37">
        <f t="shared" si="8"/>
        <v>16418.271473852539</v>
      </c>
      <c r="S29" s="37">
        <f t="shared" si="9"/>
        <v>7002.8903589815036</v>
      </c>
      <c r="T29" s="37">
        <f>Baseline!D24</f>
        <v>0</v>
      </c>
      <c r="U29" s="37">
        <f>Leakage!D24</f>
        <v>0</v>
      </c>
      <c r="V29" s="37">
        <f t="shared" si="2"/>
        <v>16418.271473852539</v>
      </c>
      <c r="W29" s="37">
        <v>0</v>
      </c>
      <c r="X29" s="57"/>
    </row>
    <row r="30" spans="1:24">
      <c r="J30" s="3">
        <v>21.53846153846154</v>
      </c>
      <c r="K30" s="3" t="s">
        <v>83</v>
      </c>
      <c r="L30" s="37">
        <f t="shared" si="11"/>
        <v>96.022735844325354</v>
      </c>
      <c r="M30" s="59"/>
      <c r="N30" s="37">
        <f>L30*SUM(Overview!$B$30)</f>
        <v>16297.770823227673</v>
      </c>
      <c r="O30" s="37">
        <f t="shared" si="5"/>
        <v>28112.02489298541</v>
      </c>
      <c r="P30" s="37">
        <f t="shared" si="6"/>
        <v>1124.4809957194163</v>
      </c>
      <c r="Q30" s="37">
        <f t="shared" si="7"/>
        <v>562.24049785970817</v>
      </c>
      <c r="R30" s="37">
        <f t="shared" si="8"/>
        <v>29798.746386564533</v>
      </c>
      <c r="S30" s="37">
        <f t="shared" si="9"/>
        <v>13380.474912711994</v>
      </c>
      <c r="T30" s="37">
        <f>Baseline!D25</f>
        <v>0</v>
      </c>
      <c r="U30" s="37">
        <f>Leakage!D25</f>
        <v>0</v>
      </c>
      <c r="V30" s="37">
        <f t="shared" si="2"/>
        <v>29798.746386564533</v>
      </c>
      <c r="W30" s="37">
        <v>0</v>
      </c>
      <c r="X30" s="57"/>
    </row>
    <row r="31" spans="1:24">
      <c r="J31" s="3">
        <v>22.53846153846154</v>
      </c>
      <c r="K31" s="3" t="s">
        <v>84</v>
      </c>
      <c r="L31" s="37">
        <f t="shared" si="11"/>
        <v>102.29941781533644</v>
      </c>
      <c r="M31" s="59"/>
      <c r="N31" s="37">
        <f>L31*SUM(Overview!$B$30)</f>
        <v>17363.101063970538</v>
      </c>
      <c r="O31" s="37">
        <f t="shared" si="5"/>
        <v>29949.613025242779</v>
      </c>
      <c r="P31" s="37">
        <f t="shared" si="6"/>
        <v>1197.9845210097112</v>
      </c>
      <c r="Q31" s="37">
        <f t="shared" si="7"/>
        <v>598.99226050485561</v>
      </c>
      <c r="R31" s="37">
        <f t="shared" si="8"/>
        <v>31746.589806757347</v>
      </c>
      <c r="S31" s="37">
        <f t="shared" si="9"/>
        <v>1947.8434201928139</v>
      </c>
      <c r="T31" s="37">
        <f>Baseline!D26</f>
        <v>0</v>
      </c>
      <c r="U31" s="37">
        <f>Leakage!D26</f>
        <v>0</v>
      </c>
      <c r="V31" s="37">
        <f t="shared" si="2"/>
        <v>31746.589806757347</v>
      </c>
      <c r="W31" s="37">
        <v>0</v>
      </c>
      <c r="X31" s="57"/>
    </row>
    <row r="32" spans="1:24">
      <c r="J32" s="3">
        <v>23.53846153846154</v>
      </c>
      <c r="K32" s="3" t="s">
        <v>85</v>
      </c>
      <c r="L32" s="37">
        <f t="shared" si="11"/>
        <v>135.14084130529739</v>
      </c>
      <c r="M32" s="59"/>
      <c r="N32" s="37">
        <f>L32*SUM(Overview!$B$30)</f>
        <v>22937.218369018981</v>
      </c>
      <c r="O32" s="37">
        <f t="shared" si="5"/>
        <v>39564.407964720835</v>
      </c>
      <c r="P32" s="37">
        <f t="shared" si="6"/>
        <v>1582.5763185888334</v>
      </c>
      <c r="Q32" s="37">
        <f t="shared" si="7"/>
        <v>791.28815929441669</v>
      </c>
      <c r="R32" s="37">
        <f t="shared" si="8"/>
        <v>41938.272442604088</v>
      </c>
      <c r="S32" s="37">
        <f t="shared" si="9"/>
        <v>10191.682635846741</v>
      </c>
      <c r="T32" s="37">
        <f>Baseline!D27</f>
        <v>0</v>
      </c>
      <c r="U32" s="37">
        <f>Leakage!D27</f>
        <v>0</v>
      </c>
      <c r="V32" s="37">
        <f t="shared" si="2"/>
        <v>41938.272442604088</v>
      </c>
      <c r="W32" s="37">
        <v>0</v>
      </c>
      <c r="X32" s="57"/>
    </row>
    <row r="33" spans="10:24">
      <c r="J33" s="3">
        <v>24.53846153846154</v>
      </c>
      <c r="K33" s="3" t="s">
        <v>86</v>
      </c>
      <c r="L33" s="37">
        <f t="shared" si="11"/>
        <v>159.8376363168129</v>
      </c>
      <c r="M33" s="59"/>
      <c r="N33" s="37">
        <f>L33*SUM(Overview!$B$30)</f>
        <v>27128.962143310735</v>
      </c>
      <c r="O33" s="37">
        <f t="shared" si="5"/>
        <v>46794.746800996683</v>
      </c>
      <c r="P33" s="37">
        <f t="shared" si="6"/>
        <v>1871.7898720398673</v>
      </c>
      <c r="Q33" s="37">
        <f t="shared" si="7"/>
        <v>935.89493601993365</v>
      </c>
      <c r="R33" s="37">
        <f t="shared" si="8"/>
        <v>49602.431609056483</v>
      </c>
      <c r="S33" s="37">
        <f t="shared" si="9"/>
        <v>7664.1591664523949</v>
      </c>
      <c r="T33" s="37">
        <f>Baseline!D28</f>
        <v>0</v>
      </c>
      <c r="U33" s="37">
        <f>Leakage!D28</f>
        <v>0</v>
      </c>
      <c r="V33" s="37">
        <f t="shared" si="2"/>
        <v>49602.431609056483</v>
      </c>
      <c r="W33" s="37">
        <v>0</v>
      </c>
      <c r="X33" s="57"/>
    </row>
    <row r="34" spans="10:24">
      <c r="J34" s="3">
        <v>25.53846153846154</v>
      </c>
      <c r="K34" s="3" t="s">
        <v>87</v>
      </c>
      <c r="L34" s="37">
        <f t="shared" si="11"/>
        <v>179.39668904729893</v>
      </c>
      <c r="M34" s="59"/>
      <c r="N34" s="37">
        <f>L34*SUM(Overview!$B$30)</f>
        <v>30448.685916206388</v>
      </c>
      <c r="O34" s="37">
        <f t="shared" si="5"/>
        <v>52520.938336864398</v>
      </c>
      <c r="P34" s="37">
        <f t="shared" si="6"/>
        <v>2100.837533474576</v>
      </c>
      <c r="Q34" s="37">
        <f t="shared" si="7"/>
        <v>1050.418766737288</v>
      </c>
      <c r="R34" s="37">
        <f t="shared" si="8"/>
        <v>55672.19463707626</v>
      </c>
      <c r="S34" s="37">
        <f t="shared" si="9"/>
        <v>6069.7630280197773</v>
      </c>
      <c r="T34" s="37">
        <f>Baseline!D29</f>
        <v>0</v>
      </c>
      <c r="U34" s="37">
        <f>Leakage!D29</f>
        <v>0</v>
      </c>
      <c r="V34" s="37">
        <f t="shared" si="2"/>
        <v>55672.19463707626</v>
      </c>
      <c r="W34" s="37">
        <v>0</v>
      </c>
      <c r="X34" s="57"/>
    </row>
    <row r="35" spans="10:24">
      <c r="J35" s="3">
        <v>26.53846153846154</v>
      </c>
      <c r="K35" s="3" t="s">
        <v>88</v>
      </c>
      <c r="L35" s="37">
        <f t="shared" si="11"/>
        <v>208.16579829803715</v>
      </c>
      <c r="M35" s="59"/>
      <c r="N35" s="37">
        <f>L35*SUM(Overview!$B$30)</f>
        <v>35331.616455876487</v>
      </c>
      <c r="O35" s="37">
        <f t="shared" si="5"/>
        <v>60943.50522474134</v>
      </c>
      <c r="P35" s="37">
        <f t="shared" si="6"/>
        <v>2437.7402089896536</v>
      </c>
      <c r="Q35" s="37">
        <f t="shared" si="7"/>
        <v>1218.8701044948268</v>
      </c>
      <c r="R35" s="37">
        <f t="shared" si="8"/>
        <v>64600.115538225822</v>
      </c>
      <c r="S35" s="37">
        <f t="shared" si="9"/>
        <v>8927.9209011495623</v>
      </c>
      <c r="T35" s="37">
        <f>Baseline!D30</f>
        <v>0</v>
      </c>
      <c r="U35" s="37">
        <f>Leakage!D30</f>
        <v>0</v>
      </c>
      <c r="V35" s="37">
        <f t="shared" si="2"/>
        <v>64600.115538225822</v>
      </c>
      <c r="W35" s="37">
        <v>0</v>
      </c>
      <c r="X35" s="57"/>
    </row>
    <row r="36" spans="10:24">
      <c r="J36" s="3">
        <v>27.53846153846154</v>
      </c>
      <c r="K36" s="3" t="s">
        <v>89</v>
      </c>
      <c r="L36" s="37">
        <f t="shared" si="11"/>
        <v>230.29372216903795</v>
      </c>
      <c r="M36" s="59"/>
      <c r="N36" s="37">
        <f>L36*SUM(Overview!$B$30)</f>
        <v>39087.350229470198</v>
      </c>
      <c r="O36" s="37">
        <f t="shared" si="5"/>
        <v>67421.770410813129</v>
      </c>
      <c r="P36" s="37">
        <f t="shared" si="6"/>
        <v>2696.8708164325253</v>
      </c>
      <c r="Q36" s="37">
        <f t="shared" si="7"/>
        <v>1348.4354082162627</v>
      </c>
      <c r="R36" s="37">
        <f t="shared" si="8"/>
        <v>71467.076635461912</v>
      </c>
      <c r="S36" s="37">
        <f t="shared" si="9"/>
        <v>6866.9610972360897</v>
      </c>
      <c r="T36" s="37">
        <f>Baseline!D31</f>
        <v>0</v>
      </c>
      <c r="U36" s="37">
        <f>Leakage!D31</f>
        <v>0</v>
      </c>
      <c r="V36" s="37">
        <f t="shared" si="2"/>
        <v>71467.076635461912</v>
      </c>
      <c r="W36" s="37">
        <v>0</v>
      </c>
      <c r="X36" s="57"/>
    </row>
    <row r="37" spans="10:24">
      <c r="J37" s="3">
        <v>28.53846153846154</v>
      </c>
      <c r="K37" s="3" t="s">
        <v>90</v>
      </c>
      <c r="L37" s="37">
        <f t="shared" si="11"/>
        <v>254.4578031596501</v>
      </c>
      <c r="M37" s="59"/>
      <c r="N37" s="37">
        <f>L37*SUM(Overview!$B$30)</f>
        <v>43188.677385753072</v>
      </c>
      <c r="O37" s="37">
        <f t="shared" si="5"/>
        <v>74496.14962268548</v>
      </c>
      <c r="P37" s="37">
        <f t="shared" si="6"/>
        <v>2979.8459849074193</v>
      </c>
      <c r="Q37" s="37">
        <f t="shared" si="7"/>
        <v>1489.9229924537096</v>
      </c>
      <c r="R37" s="37">
        <f t="shared" si="8"/>
        <v>78965.9186000466</v>
      </c>
      <c r="S37" s="37">
        <f t="shared" si="9"/>
        <v>7498.841964584688</v>
      </c>
      <c r="T37" s="37">
        <f>Baseline!D32</f>
        <v>0</v>
      </c>
      <c r="U37" s="37">
        <f>Leakage!D32</f>
        <v>0</v>
      </c>
      <c r="V37" s="37">
        <f t="shared" si="2"/>
        <v>78965.9186000466</v>
      </c>
      <c r="W37" s="37">
        <v>0</v>
      </c>
      <c r="X37" s="57"/>
    </row>
    <row r="38" spans="10:24">
      <c r="J38" s="3">
        <v>29.53846153846154</v>
      </c>
      <c r="K38" s="3" t="s">
        <v>91</v>
      </c>
      <c r="L38" s="37">
        <f t="shared" si="11"/>
        <v>279.9063197205196</v>
      </c>
      <c r="M38" s="59"/>
      <c r="N38" s="37">
        <f>L38*SUM(Overview!$B$30)</f>
        <v>47508.009542384978</v>
      </c>
      <c r="O38" s="37">
        <f t="shared" si="5"/>
        <v>81946.565659659842</v>
      </c>
      <c r="P38" s="37">
        <f t="shared" si="6"/>
        <v>3277.8626263863939</v>
      </c>
      <c r="Q38" s="37">
        <f t="shared" si="7"/>
        <v>1638.931313193197</v>
      </c>
      <c r="R38" s="37">
        <f t="shared" si="8"/>
        <v>86863.35959923944</v>
      </c>
      <c r="S38" s="37">
        <f t="shared" si="9"/>
        <v>7897.4409991928405</v>
      </c>
      <c r="T38" s="37">
        <f>Baseline!D33</f>
        <v>0</v>
      </c>
      <c r="U38" s="37">
        <f>Leakage!D33</f>
        <v>0</v>
      </c>
      <c r="V38" s="37">
        <f t="shared" si="2"/>
        <v>86863.35959923944</v>
      </c>
      <c r="W38" s="37">
        <v>0</v>
      </c>
      <c r="X38" s="57"/>
    </row>
    <row r="39" spans="10:24">
      <c r="J39" s="3">
        <v>30.53846153846154</v>
      </c>
      <c r="K39" s="3" t="s">
        <v>92</v>
      </c>
      <c r="L39" s="37">
        <f t="shared" si="11"/>
        <v>290.16232586819984</v>
      </c>
      <c r="M39" s="59"/>
      <c r="N39" s="37">
        <f>L39*SUM(Overview!$B$30)</f>
        <v>49248.743508010521</v>
      </c>
      <c r="O39" s="37">
        <f t="shared" si="5"/>
        <v>84949.157676967341</v>
      </c>
      <c r="P39" s="37">
        <f t="shared" si="6"/>
        <v>3397.9663070786937</v>
      </c>
      <c r="Q39" s="37">
        <f t="shared" si="7"/>
        <v>1698.9831535393469</v>
      </c>
      <c r="R39" s="37">
        <f t="shared" si="8"/>
        <v>90046.107137585379</v>
      </c>
      <c r="S39" s="37">
        <f t="shared" si="9"/>
        <v>3182.7475383459387</v>
      </c>
      <c r="T39" s="37">
        <f>Baseline!D34</f>
        <v>0</v>
      </c>
      <c r="U39" s="37">
        <f>Leakage!D34</f>
        <v>0</v>
      </c>
      <c r="V39" s="37">
        <f t="shared" si="2"/>
        <v>90046.107137585379</v>
      </c>
      <c r="W39" s="37">
        <v>0</v>
      </c>
      <c r="X39" s="57"/>
    </row>
    <row r="40" spans="10:24">
      <c r="J40" s="3">
        <v>31.53846153846154</v>
      </c>
      <c r="K40" s="3" t="s">
        <v>93</v>
      </c>
      <c r="L40" s="37">
        <v>0</v>
      </c>
      <c r="M40" s="59"/>
      <c r="N40" s="37">
        <f>L40*SUM(Overview!$B$30)</f>
        <v>0</v>
      </c>
      <c r="O40" s="37">
        <f t="shared" si="5"/>
        <v>0</v>
      </c>
      <c r="P40" s="37">
        <f t="shared" si="6"/>
        <v>0</v>
      </c>
      <c r="Q40" s="37">
        <f t="shared" si="7"/>
        <v>0</v>
      </c>
      <c r="R40" s="37">
        <f t="shared" si="8"/>
        <v>0</v>
      </c>
      <c r="S40" s="37">
        <f t="shared" si="9"/>
        <v>-90046.107137585379</v>
      </c>
      <c r="T40" s="37">
        <f>Baseline!D35</f>
        <v>0</v>
      </c>
      <c r="U40" s="37">
        <f>Leakage!D35</f>
        <v>0</v>
      </c>
      <c r="V40" s="37">
        <f t="shared" si="2"/>
        <v>0</v>
      </c>
      <c r="W40" s="37">
        <v>0</v>
      </c>
      <c r="X40" s="57"/>
    </row>
    <row r="41" spans="10:24">
      <c r="J41" s="3">
        <v>32.53846153846154</v>
      </c>
      <c r="K41" s="3" t="s">
        <v>94</v>
      </c>
      <c r="L41" s="37">
        <v>0</v>
      </c>
      <c r="M41" s="59"/>
      <c r="N41" s="37">
        <f>L41*SUM(Overview!$B$30)</f>
        <v>0</v>
      </c>
      <c r="O41" s="37">
        <f t="shared" si="5"/>
        <v>0</v>
      </c>
      <c r="P41" s="37">
        <f t="shared" si="6"/>
        <v>0</v>
      </c>
      <c r="Q41" s="37">
        <f t="shared" si="7"/>
        <v>0</v>
      </c>
      <c r="R41" s="37">
        <f t="shared" si="8"/>
        <v>0</v>
      </c>
      <c r="S41" s="37">
        <f t="shared" si="9"/>
        <v>0</v>
      </c>
      <c r="T41" s="37">
        <f>Baseline!D36*(J41-J40)</f>
        <v>0</v>
      </c>
      <c r="U41" s="37">
        <f>Leakage!D36*(J41-J40)</f>
        <v>0</v>
      </c>
      <c r="V41" s="37">
        <f t="shared" si="2"/>
        <v>0</v>
      </c>
      <c r="W41" s="37">
        <v>0</v>
      </c>
      <c r="X41" s="57"/>
    </row>
    <row r="42" spans="10:24" ht="15.75" customHeight="1">
      <c r="J42" s="3">
        <v>33.53846153846154</v>
      </c>
      <c r="K42" s="3" t="s">
        <v>95</v>
      </c>
      <c r="L42" s="37">
        <v>0</v>
      </c>
      <c r="M42" s="37"/>
      <c r="N42" s="37">
        <f>L42*SUM(Overview!$B$30)</f>
        <v>0</v>
      </c>
      <c r="O42" s="37">
        <f t="shared" si="5"/>
        <v>0</v>
      </c>
      <c r="P42" s="37">
        <f t="shared" si="6"/>
        <v>0</v>
      </c>
      <c r="Q42" s="37">
        <f t="shared" si="7"/>
        <v>0</v>
      </c>
      <c r="R42" s="37">
        <f t="shared" si="8"/>
        <v>0</v>
      </c>
      <c r="S42" s="37">
        <f t="shared" si="9"/>
        <v>0</v>
      </c>
      <c r="T42" s="37">
        <f>Baseline!D36*J42</f>
        <v>0</v>
      </c>
      <c r="U42" s="37">
        <f>Leakage!D36*J42</f>
        <v>0</v>
      </c>
      <c r="V42" s="37">
        <f t="shared" si="2"/>
        <v>0</v>
      </c>
      <c r="W42" s="37">
        <v>0</v>
      </c>
    </row>
    <row r="43" spans="10:24">
      <c r="J43" s="3">
        <v>34</v>
      </c>
      <c r="K43" s="3" t="s">
        <v>96</v>
      </c>
      <c r="L43" s="37">
        <v>0</v>
      </c>
      <c r="M43" s="37"/>
      <c r="N43" s="37">
        <f>L43*SUM(Overview!$B$30)</f>
        <v>0</v>
      </c>
      <c r="O43" s="37">
        <f>N43*$N$2*3.67</f>
        <v>0</v>
      </c>
      <c r="P43" s="37">
        <f>O43*$O$2</f>
        <v>0</v>
      </c>
      <c r="Q43" s="37">
        <f t="shared" si="7"/>
        <v>0</v>
      </c>
      <c r="R43" s="37">
        <f t="shared" si="8"/>
        <v>0</v>
      </c>
      <c r="S43" s="37">
        <f t="shared" si="9"/>
        <v>0</v>
      </c>
      <c r="T43" s="37">
        <f>Baseline!D37</f>
        <v>0</v>
      </c>
      <c r="U43" s="37">
        <f>Leakage!D37</f>
        <v>0</v>
      </c>
      <c r="V43" s="37">
        <f t="shared" si="2"/>
        <v>0</v>
      </c>
      <c r="W43" s="37">
        <v>0</v>
      </c>
    </row>
    <row r="44" spans="10:24">
      <c r="L44"/>
      <c r="U44" s="65" t="s">
        <v>97</v>
      </c>
      <c r="V44" s="94">
        <f>SUM(V9:V40)</f>
        <v>1275706.0734337976</v>
      </c>
    </row>
    <row r="45" spans="10:24">
      <c r="L45"/>
      <c r="U45" s="65" t="s">
        <v>98</v>
      </c>
      <c r="V45" s="94">
        <f>V44/30</f>
        <v>42523.535781126586</v>
      </c>
    </row>
    <row r="46" spans="10:24">
      <c r="L46"/>
    </row>
    <row r="47" spans="10:24">
      <c r="L47"/>
    </row>
    <row r="48" spans="10:24">
      <c r="L48"/>
    </row>
    <row r="49" spans="12:12">
      <c r="L49"/>
    </row>
    <row r="50" spans="12:12">
      <c r="L50"/>
    </row>
    <row r="51" spans="12:12">
      <c r="L51"/>
    </row>
    <row r="52" spans="12:12">
      <c r="L52"/>
    </row>
    <row r="53" spans="12:12">
      <c r="L53"/>
    </row>
    <row r="54" spans="12:12">
      <c r="L54"/>
    </row>
    <row r="55" spans="12:12">
      <c r="L55"/>
    </row>
    <row r="56" spans="12:12">
      <c r="L56"/>
    </row>
    <row r="57" spans="12:12">
      <c r="L57"/>
    </row>
    <row r="58" spans="12:12">
      <c r="L58"/>
    </row>
    <row r="59" spans="12:12">
      <c r="L59"/>
    </row>
    <row r="60" spans="12:12">
      <c r="L60"/>
    </row>
    <row r="61" spans="12:12">
      <c r="L61"/>
    </row>
    <row r="62" spans="12:12">
      <c r="L62"/>
    </row>
    <row r="63" spans="12:12">
      <c r="L63"/>
    </row>
    <row r="64" spans="12:12">
      <c r="L64"/>
    </row>
    <row r="65" spans="12:12">
      <c r="L65"/>
    </row>
    <row r="66" spans="12:12">
      <c r="L66"/>
    </row>
    <row r="67" spans="12:12">
      <c r="L67"/>
    </row>
    <row r="68" spans="12:12">
      <c r="L68"/>
    </row>
    <row r="69" spans="12:12">
      <c r="L69"/>
    </row>
    <row r="70" spans="12:12">
      <c r="L70"/>
    </row>
    <row r="71" spans="12:12">
      <c r="L71"/>
    </row>
    <row r="72" spans="12:12">
      <c r="L72"/>
    </row>
    <row r="73" spans="12:12">
      <c r="L73"/>
    </row>
    <row r="74" spans="12:12">
      <c r="L74"/>
    </row>
    <row r="75" spans="12:12">
      <c r="L75"/>
    </row>
    <row r="76" spans="12:12">
      <c r="L76"/>
    </row>
    <row r="77" spans="12:12">
      <c r="L77"/>
    </row>
    <row r="78" spans="12:12">
      <c r="L78"/>
    </row>
    <row r="79" spans="12:12">
      <c r="L79"/>
    </row>
    <row r="80" spans="12:12">
      <c r="L80"/>
    </row>
    <row r="81" spans="12:12">
      <c r="L81"/>
    </row>
    <row r="82" spans="12:12">
      <c r="L82"/>
    </row>
    <row r="83" spans="12:12">
      <c r="L83"/>
    </row>
    <row r="84" spans="12:12">
      <c r="L84"/>
    </row>
    <row r="85" spans="12:12">
      <c r="L85"/>
    </row>
    <row r="86" spans="12:12">
      <c r="L86"/>
    </row>
    <row r="87" spans="12:12">
      <c r="L87"/>
    </row>
    <row r="88" spans="12:12">
      <c r="L88"/>
    </row>
    <row r="89" spans="12:12">
      <c r="L89"/>
    </row>
    <row r="90" spans="12:12">
      <c r="L90"/>
    </row>
    <row r="91" spans="12:12">
      <c r="L91"/>
    </row>
    <row r="92" spans="12:12">
      <c r="L92"/>
    </row>
    <row r="93" spans="12:12">
      <c r="L93"/>
    </row>
    <row r="94" spans="12:12">
      <c r="L94"/>
    </row>
    <row r="95" spans="12:12">
      <c r="L95"/>
    </row>
    <row r="96" spans="12:12">
      <c r="L96"/>
    </row>
    <row r="97" spans="12:12">
      <c r="L97"/>
    </row>
    <row r="98" spans="12:12">
      <c r="L98"/>
    </row>
    <row r="99" spans="12:12">
      <c r="L99"/>
    </row>
    <row r="100" spans="12:12">
      <c r="L100"/>
    </row>
    <row r="101" spans="12:12">
      <c r="L101"/>
    </row>
    <row r="102" spans="12:12">
      <c r="L102"/>
    </row>
    <row r="103" spans="12:12">
      <c r="L103"/>
    </row>
    <row r="104" spans="12:12">
      <c r="L104"/>
    </row>
    <row r="105" spans="12:12">
      <c r="L105"/>
    </row>
    <row r="106" spans="12:12">
      <c r="L106"/>
    </row>
    <row r="107" spans="12:12">
      <c r="L107"/>
    </row>
    <row r="108" spans="12:12">
      <c r="L108"/>
    </row>
    <row r="109" spans="12:12">
      <c r="L109"/>
    </row>
    <row r="110" spans="12:12">
      <c r="L110"/>
    </row>
    <row r="111" spans="12:12">
      <c r="L111"/>
    </row>
    <row r="112" spans="12:12">
      <c r="L112"/>
    </row>
    <row r="113" spans="12:12">
      <c r="L113"/>
    </row>
    <row r="114" spans="12:12">
      <c r="L114"/>
    </row>
    <row r="115" spans="12:12">
      <c r="L115"/>
    </row>
    <row r="116" spans="12:12">
      <c r="L116"/>
    </row>
    <row r="117" spans="12:12">
      <c r="L117"/>
    </row>
    <row r="118" spans="12:12">
      <c r="L118"/>
    </row>
    <row r="119" spans="12:12">
      <c r="L119"/>
    </row>
    <row r="120" spans="12:12">
      <c r="L120"/>
    </row>
    <row r="121" spans="12:12">
      <c r="L121"/>
    </row>
    <row r="122" spans="12:12">
      <c r="L122"/>
    </row>
    <row r="123" spans="12:12">
      <c r="L123"/>
    </row>
    <row r="124" spans="12:12">
      <c r="L124"/>
    </row>
    <row r="125" spans="12:12">
      <c r="L125"/>
    </row>
    <row r="126" spans="12:12">
      <c r="L126"/>
    </row>
    <row r="127" spans="12:12">
      <c r="L127"/>
    </row>
    <row r="128" spans="12:12">
      <c r="L128"/>
    </row>
    <row r="129" spans="12:12">
      <c r="L129"/>
    </row>
    <row r="130" spans="12:12">
      <c r="L130"/>
    </row>
    <row r="131" spans="12:12">
      <c r="L131"/>
    </row>
    <row r="132" spans="12:12">
      <c r="L132"/>
    </row>
    <row r="133" spans="12:12">
      <c r="L133"/>
    </row>
    <row r="134" spans="12:12">
      <c r="L134"/>
    </row>
    <row r="135" spans="12:12">
      <c r="L135"/>
    </row>
    <row r="136" spans="12:12">
      <c r="L136"/>
    </row>
    <row r="137" spans="12:12">
      <c r="L137"/>
    </row>
    <row r="138" spans="12:12">
      <c r="L138"/>
    </row>
    <row r="139" spans="12:12">
      <c r="L139"/>
    </row>
    <row r="140" spans="12:12">
      <c r="L140"/>
    </row>
    <row r="141" spans="12:12">
      <c r="L141"/>
    </row>
    <row r="142" spans="12:12">
      <c r="L142"/>
    </row>
    <row r="143" spans="12:12">
      <c r="L143"/>
    </row>
    <row r="144" spans="12:12">
      <c r="L144"/>
    </row>
    <row r="145" spans="12:12">
      <c r="L145"/>
    </row>
    <row r="146" spans="12:12">
      <c r="L146"/>
    </row>
    <row r="147" spans="12:12">
      <c r="L147"/>
    </row>
    <row r="148" spans="12:12">
      <c r="L148"/>
    </row>
    <row r="149" spans="12:12">
      <c r="L149"/>
    </row>
    <row r="150" spans="12:12">
      <c r="L150"/>
    </row>
    <row r="151" spans="12:12">
      <c r="L151"/>
    </row>
    <row r="152" spans="12:12">
      <c r="L152"/>
    </row>
    <row r="153" spans="12:12">
      <c r="L153"/>
    </row>
    <row r="154" spans="12:12">
      <c r="L154"/>
    </row>
    <row r="155" spans="12:12">
      <c r="L155"/>
    </row>
    <row r="156" spans="12:12">
      <c r="L156"/>
    </row>
    <row r="157" spans="12:12">
      <c r="L157"/>
    </row>
    <row r="158" spans="12:12">
      <c r="L158"/>
    </row>
    <row r="159" spans="12:12">
      <c r="L159"/>
    </row>
    <row r="160" spans="12:12">
      <c r="L160"/>
    </row>
    <row r="161" spans="12:12">
      <c r="L161"/>
    </row>
    <row r="162" spans="12:12">
      <c r="L162"/>
    </row>
    <row r="163" spans="12:12">
      <c r="L163"/>
    </row>
    <row r="164" spans="12:12">
      <c r="L164"/>
    </row>
    <row r="165" spans="12:12">
      <c r="L165"/>
    </row>
    <row r="166" spans="12:12">
      <c r="L166"/>
    </row>
    <row r="167" spans="12:12">
      <c r="L167"/>
    </row>
    <row r="168" spans="12:12">
      <c r="L168"/>
    </row>
    <row r="169" spans="12:12">
      <c r="L169"/>
    </row>
    <row r="170" spans="12:12">
      <c r="L170"/>
    </row>
    <row r="171" spans="12:12">
      <c r="L171"/>
    </row>
    <row r="172" spans="12:12">
      <c r="L172"/>
    </row>
    <row r="173" spans="12:12">
      <c r="L173"/>
    </row>
    <row r="174" spans="12:12">
      <c r="L174"/>
    </row>
    <row r="175" spans="12:12">
      <c r="L175"/>
    </row>
    <row r="176" spans="12:12">
      <c r="L176"/>
    </row>
    <row r="177" spans="12:12">
      <c r="L177"/>
    </row>
    <row r="178" spans="12:12">
      <c r="L178"/>
    </row>
    <row r="179" spans="12:12">
      <c r="L179"/>
    </row>
    <row r="180" spans="12:12">
      <c r="L180"/>
    </row>
    <row r="181" spans="12:12">
      <c r="L181"/>
    </row>
    <row r="182" spans="12:12">
      <c r="L182"/>
    </row>
    <row r="183" spans="12:12">
      <c r="L183"/>
    </row>
    <row r="184" spans="12:12">
      <c r="L184"/>
    </row>
    <row r="185" spans="12:12">
      <c r="L185"/>
    </row>
    <row r="186" spans="12:12">
      <c r="L186"/>
    </row>
    <row r="187" spans="12:12">
      <c r="L187"/>
    </row>
    <row r="188" spans="12:12">
      <c r="L188"/>
    </row>
    <row r="189" spans="12:12">
      <c r="L189"/>
    </row>
    <row r="190" spans="12:12">
      <c r="L190"/>
    </row>
    <row r="191" spans="12:12">
      <c r="L191"/>
    </row>
    <row r="192" spans="12:12">
      <c r="L192"/>
    </row>
    <row r="193" spans="12:12">
      <c r="L193"/>
    </row>
    <row r="194" spans="12:12">
      <c r="L194"/>
    </row>
    <row r="195" spans="12:12">
      <c r="L195"/>
    </row>
    <row r="196" spans="12:12">
      <c r="L196"/>
    </row>
    <row r="197" spans="12:12">
      <c r="L197"/>
    </row>
    <row r="198" spans="12:12">
      <c r="L198"/>
    </row>
    <row r="199" spans="12:12">
      <c r="L199"/>
    </row>
    <row r="200" spans="12:12">
      <c r="L200"/>
    </row>
    <row r="201" spans="12:12">
      <c r="L201"/>
    </row>
    <row r="202" spans="12:12">
      <c r="L202"/>
    </row>
    <row r="203" spans="12:12">
      <c r="L203"/>
    </row>
    <row r="204" spans="12:12">
      <c r="L204"/>
    </row>
    <row r="205" spans="12:12">
      <c r="L205"/>
    </row>
    <row r="206" spans="12:12">
      <c r="L206"/>
    </row>
    <row r="207" spans="12:12">
      <c r="L207"/>
    </row>
    <row r="208" spans="12:12">
      <c r="L208"/>
    </row>
    <row r="209" spans="12:12">
      <c r="L209"/>
    </row>
    <row r="210" spans="12:12">
      <c r="L210"/>
    </row>
    <row r="211" spans="12:12">
      <c r="L211"/>
    </row>
    <row r="212" spans="12:12">
      <c r="L212"/>
    </row>
    <row r="213" spans="12:12">
      <c r="L213"/>
    </row>
    <row r="214" spans="12:12">
      <c r="L214"/>
    </row>
    <row r="215" spans="12:12">
      <c r="L215"/>
    </row>
    <row r="216" spans="12:12">
      <c r="L216"/>
    </row>
    <row r="217" spans="12:12">
      <c r="L217"/>
    </row>
    <row r="218" spans="12:12">
      <c r="L218"/>
    </row>
    <row r="219" spans="12:12">
      <c r="L219"/>
    </row>
    <row r="220" spans="12:12">
      <c r="L220"/>
    </row>
    <row r="221" spans="12:12">
      <c r="L221"/>
    </row>
    <row r="222" spans="12:12">
      <c r="L222"/>
    </row>
    <row r="223" spans="12:12">
      <c r="L223"/>
    </row>
    <row r="224" spans="12:12">
      <c r="L224"/>
    </row>
    <row r="225" spans="12:12">
      <c r="L225"/>
    </row>
    <row r="226" spans="12:12">
      <c r="L226"/>
    </row>
    <row r="227" spans="12:12">
      <c r="L227"/>
    </row>
    <row r="228" spans="12:12">
      <c r="L228"/>
    </row>
    <row r="229" spans="12:12">
      <c r="L229"/>
    </row>
    <row r="230" spans="12:12">
      <c r="L230"/>
    </row>
    <row r="231" spans="12:12">
      <c r="L231"/>
    </row>
    <row r="232" spans="12:12">
      <c r="L232"/>
    </row>
    <row r="233" spans="12:12">
      <c r="L233"/>
    </row>
    <row r="234" spans="12:12">
      <c r="L234"/>
    </row>
    <row r="235" spans="12:12">
      <c r="L235"/>
    </row>
    <row r="236" spans="12:12">
      <c r="L236"/>
    </row>
    <row r="237" spans="12:12">
      <c r="L237"/>
    </row>
    <row r="238" spans="12:12">
      <c r="L238"/>
    </row>
    <row r="239" spans="12:12">
      <c r="L239"/>
    </row>
    <row r="240" spans="12:12">
      <c r="L240"/>
    </row>
    <row r="241" spans="12:12">
      <c r="L241"/>
    </row>
    <row r="242" spans="12:12">
      <c r="L242"/>
    </row>
    <row r="243" spans="12:12">
      <c r="L243"/>
    </row>
    <row r="244" spans="12:12">
      <c r="L244"/>
    </row>
    <row r="245" spans="12:12">
      <c r="L245"/>
    </row>
    <row r="246" spans="12:12">
      <c r="L246"/>
    </row>
    <row r="247" spans="12:12">
      <c r="L247"/>
    </row>
    <row r="248" spans="12:12">
      <c r="L248"/>
    </row>
    <row r="249" spans="12:12">
      <c r="L249"/>
    </row>
    <row r="250" spans="12:12">
      <c r="L250"/>
    </row>
    <row r="251" spans="12:12">
      <c r="L251"/>
    </row>
    <row r="252" spans="12:12">
      <c r="L252"/>
    </row>
    <row r="253" spans="12:12">
      <c r="L253"/>
    </row>
    <row r="254" spans="12:12">
      <c r="L254"/>
    </row>
    <row r="255" spans="12:12">
      <c r="L255"/>
    </row>
    <row r="256" spans="12:12">
      <c r="L256"/>
    </row>
    <row r="257" spans="12:12">
      <c r="L257"/>
    </row>
    <row r="258" spans="12:12">
      <c r="L258"/>
    </row>
    <row r="259" spans="12:12">
      <c r="L259"/>
    </row>
    <row r="260" spans="12:12">
      <c r="L260"/>
    </row>
    <row r="261" spans="12:12">
      <c r="L261"/>
    </row>
    <row r="262" spans="12:12">
      <c r="L262"/>
    </row>
    <row r="263" spans="12:12">
      <c r="L263"/>
    </row>
    <row r="264" spans="12:12">
      <c r="L264"/>
    </row>
    <row r="265" spans="12:12">
      <c r="L265"/>
    </row>
    <row r="266" spans="12:12">
      <c r="L266"/>
    </row>
    <row r="267" spans="12:12">
      <c r="L267"/>
    </row>
    <row r="268" spans="12:12">
      <c r="L268"/>
    </row>
    <row r="269" spans="12:12">
      <c r="L269"/>
    </row>
    <row r="270" spans="12:12">
      <c r="L270"/>
    </row>
    <row r="271" spans="12:12">
      <c r="L271"/>
    </row>
    <row r="272" spans="12:12">
      <c r="L272"/>
    </row>
    <row r="273" spans="12:12">
      <c r="L273"/>
    </row>
    <row r="274" spans="12:12">
      <c r="L274"/>
    </row>
    <row r="275" spans="12:12">
      <c r="L275"/>
    </row>
    <row r="276" spans="12:12">
      <c r="L276"/>
    </row>
    <row r="277" spans="12:12">
      <c r="L277"/>
    </row>
    <row r="278" spans="12:12">
      <c r="L278"/>
    </row>
    <row r="279" spans="12:12">
      <c r="L279"/>
    </row>
    <row r="280" spans="12:12">
      <c r="L280"/>
    </row>
    <row r="281" spans="12:12">
      <c r="L281"/>
    </row>
    <row r="282" spans="12:12">
      <c r="L282"/>
    </row>
    <row r="283" spans="12:12">
      <c r="L283"/>
    </row>
    <row r="284" spans="12:12">
      <c r="L284"/>
    </row>
    <row r="285" spans="12:12">
      <c r="L285"/>
    </row>
    <row r="286" spans="12:12">
      <c r="L286"/>
    </row>
    <row r="287" spans="12:12">
      <c r="L287"/>
    </row>
    <row r="288" spans="12:12">
      <c r="L288"/>
    </row>
    <row r="289" spans="12:12">
      <c r="L289"/>
    </row>
    <row r="290" spans="12:12">
      <c r="L290"/>
    </row>
    <row r="291" spans="12:12">
      <c r="L291"/>
    </row>
    <row r="292" spans="12:12">
      <c r="L292"/>
    </row>
    <row r="293" spans="12:12">
      <c r="L293"/>
    </row>
    <row r="294" spans="12:12">
      <c r="L294"/>
    </row>
    <row r="295" spans="12:12">
      <c r="L295"/>
    </row>
    <row r="296" spans="12:12">
      <c r="L296"/>
    </row>
    <row r="297" spans="12:12">
      <c r="L297"/>
    </row>
    <row r="298" spans="12:12">
      <c r="L298"/>
    </row>
    <row r="299" spans="12:12">
      <c r="L299"/>
    </row>
    <row r="300" spans="12:12">
      <c r="L300"/>
    </row>
    <row r="301" spans="12:12">
      <c r="L301"/>
    </row>
    <row r="302" spans="12:12">
      <c r="L302"/>
    </row>
    <row r="303" spans="12:12">
      <c r="L303"/>
    </row>
    <row r="304" spans="12:12">
      <c r="L304"/>
    </row>
    <row r="305" spans="12:12">
      <c r="L305"/>
    </row>
    <row r="306" spans="12:12">
      <c r="L306"/>
    </row>
    <row r="307" spans="12:12">
      <c r="L307"/>
    </row>
    <row r="308" spans="12:12">
      <c r="L308"/>
    </row>
    <row r="309" spans="12:12">
      <c r="L309"/>
    </row>
    <row r="310" spans="12:12">
      <c r="L310"/>
    </row>
    <row r="311" spans="12:12">
      <c r="L311"/>
    </row>
    <row r="312" spans="12:12">
      <c r="L312"/>
    </row>
    <row r="313" spans="12:12">
      <c r="L313"/>
    </row>
    <row r="314" spans="12:12">
      <c r="L314"/>
    </row>
    <row r="315" spans="12:12">
      <c r="L315"/>
    </row>
    <row r="316" spans="12:12">
      <c r="L316"/>
    </row>
    <row r="317" spans="12:12">
      <c r="L317"/>
    </row>
    <row r="318" spans="12:12">
      <c r="L318"/>
    </row>
    <row r="319" spans="12:12">
      <c r="L319"/>
    </row>
    <row r="320" spans="12:12">
      <c r="L320"/>
    </row>
    <row r="321" spans="12:12">
      <c r="L321"/>
    </row>
    <row r="322" spans="12:12">
      <c r="L322"/>
    </row>
    <row r="323" spans="12:12">
      <c r="L323"/>
    </row>
    <row r="324" spans="12:12">
      <c r="L324"/>
    </row>
    <row r="325" spans="12:12">
      <c r="L325"/>
    </row>
    <row r="326" spans="12:12">
      <c r="L326"/>
    </row>
    <row r="327" spans="12:12">
      <c r="L327"/>
    </row>
    <row r="328" spans="12:12">
      <c r="L328"/>
    </row>
    <row r="329" spans="12:12">
      <c r="L329"/>
    </row>
    <row r="330" spans="12:12">
      <c r="L330"/>
    </row>
    <row r="331" spans="12:12">
      <c r="L331"/>
    </row>
    <row r="332" spans="12:12">
      <c r="L332"/>
    </row>
    <row r="333" spans="12:12">
      <c r="L333"/>
    </row>
    <row r="334" spans="12:12">
      <c r="L334"/>
    </row>
    <row r="335" spans="12:12">
      <c r="L335"/>
    </row>
    <row r="336" spans="12:12">
      <c r="L336"/>
    </row>
    <row r="337" spans="12:12">
      <c r="L337"/>
    </row>
    <row r="338" spans="12:12">
      <c r="L338"/>
    </row>
    <row r="339" spans="12:12">
      <c r="L339"/>
    </row>
    <row r="340" spans="12:12">
      <c r="L340"/>
    </row>
    <row r="341" spans="12:12">
      <c r="L341"/>
    </row>
    <row r="342" spans="12:12">
      <c r="L342"/>
    </row>
    <row r="343" spans="12:12">
      <c r="L343"/>
    </row>
    <row r="344" spans="12:12">
      <c r="L344"/>
    </row>
    <row r="345" spans="12:12">
      <c r="L345"/>
    </row>
    <row r="346" spans="12:12">
      <c r="L346"/>
    </row>
    <row r="347" spans="12:12">
      <c r="L347"/>
    </row>
    <row r="348" spans="12:12">
      <c r="L348"/>
    </row>
    <row r="349" spans="12:12">
      <c r="L349"/>
    </row>
    <row r="350" spans="12:12">
      <c r="L350"/>
    </row>
    <row r="351" spans="12:12">
      <c r="L351"/>
    </row>
    <row r="352" spans="12:12">
      <c r="L352"/>
    </row>
    <row r="353" spans="12:12">
      <c r="L353"/>
    </row>
    <row r="354" spans="12:12">
      <c r="L354"/>
    </row>
    <row r="355" spans="12:12">
      <c r="L355"/>
    </row>
    <row r="356" spans="12:12">
      <c r="L356"/>
    </row>
    <row r="357" spans="12:12">
      <c r="L357"/>
    </row>
    <row r="358" spans="12:12">
      <c r="L358"/>
    </row>
    <row r="359" spans="12:12">
      <c r="L359"/>
    </row>
    <row r="360" spans="12:12">
      <c r="L360"/>
    </row>
    <row r="361" spans="12:12">
      <c r="L361"/>
    </row>
    <row r="362" spans="12:12">
      <c r="L362"/>
    </row>
    <row r="363" spans="12:12">
      <c r="L363"/>
    </row>
    <row r="364" spans="12:12">
      <c r="L364"/>
    </row>
    <row r="365" spans="12:12">
      <c r="L365"/>
    </row>
    <row r="366" spans="12:12">
      <c r="L366"/>
    </row>
    <row r="367" spans="12:12">
      <c r="L367"/>
    </row>
    <row r="368" spans="12:12">
      <c r="L368"/>
    </row>
    <row r="369" spans="12:12">
      <c r="L369"/>
    </row>
    <row r="370" spans="12:12">
      <c r="L370"/>
    </row>
    <row r="371" spans="12:12">
      <c r="L371"/>
    </row>
    <row r="372" spans="12:12">
      <c r="L372"/>
    </row>
    <row r="373" spans="12:12">
      <c r="L373"/>
    </row>
    <row r="374" spans="12:12">
      <c r="L374"/>
    </row>
    <row r="375" spans="12:12">
      <c r="L375"/>
    </row>
    <row r="376" spans="12:12">
      <c r="L376"/>
    </row>
    <row r="377" spans="12:12">
      <c r="L377"/>
    </row>
    <row r="378" spans="12:12">
      <c r="L378"/>
    </row>
    <row r="379" spans="12:12">
      <c r="L379"/>
    </row>
    <row r="380" spans="12:12">
      <c r="L380"/>
    </row>
    <row r="381" spans="12:12">
      <c r="L381"/>
    </row>
    <row r="382" spans="12:12">
      <c r="L382"/>
    </row>
    <row r="383" spans="12:12">
      <c r="L383"/>
    </row>
    <row r="384" spans="12:12">
      <c r="L384"/>
    </row>
    <row r="385" spans="12:12">
      <c r="L385"/>
    </row>
    <row r="386" spans="12:12">
      <c r="L386"/>
    </row>
    <row r="387" spans="12:12">
      <c r="L387"/>
    </row>
    <row r="388" spans="12:12">
      <c r="L388"/>
    </row>
    <row r="389" spans="12:12">
      <c r="L389"/>
    </row>
    <row r="390" spans="12:12">
      <c r="L390"/>
    </row>
    <row r="391" spans="12:12">
      <c r="L391"/>
    </row>
    <row r="392" spans="12:12">
      <c r="L392"/>
    </row>
    <row r="393" spans="12:12">
      <c r="L393"/>
    </row>
    <row r="394" spans="12:12">
      <c r="L394"/>
    </row>
    <row r="395" spans="12:12">
      <c r="L395"/>
    </row>
    <row r="396" spans="12:12">
      <c r="L396"/>
    </row>
    <row r="397" spans="12:12">
      <c r="L397"/>
    </row>
    <row r="398" spans="12:12">
      <c r="L398"/>
    </row>
    <row r="399" spans="12:12">
      <c r="L399"/>
    </row>
    <row r="400" spans="12:12">
      <c r="L400"/>
    </row>
    <row r="401" spans="12:12">
      <c r="L401"/>
    </row>
    <row r="402" spans="12:12">
      <c r="L402"/>
    </row>
    <row r="403" spans="12:12">
      <c r="L403"/>
    </row>
    <row r="404" spans="12:12">
      <c r="L404"/>
    </row>
    <row r="405" spans="12:12">
      <c r="L405"/>
    </row>
    <row r="406" spans="12:12">
      <c r="L406"/>
    </row>
    <row r="407" spans="12:12">
      <c r="L407"/>
    </row>
    <row r="408" spans="12:12">
      <c r="L408"/>
    </row>
    <row r="409" spans="12:12">
      <c r="L409"/>
    </row>
    <row r="410" spans="12:12">
      <c r="L410"/>
    </row>
    <row r="411" spans="12:12">
      <c r="L411"/>
    </row>
    <row r="412" spans="12:12">
      <c r="L412"/>
    </row>
    <row r="413" spans="12:12">
      <c r="L413"/>
    </row>
    <row r="414" spans="12:12">
      <c r="L414"/>
    </row>
    <row r="415" spans="12:12">
      <c r="L415"/>
    </row>
    <row r="416" spans="12:12">
      <c r="L416"/>
    </row>
    <row r="417" spans="12:12">
      <c r="L417"/>
    </row>
    <row r="418" spans="12:12">
      <c r="L418"/>
    </row>
    <row r="419" spans="12:12">
      <c r="L419"/>
    </row>
    <row r="420" spans="12:12">
      <c r="L420"/>
    </row>
    <row r="421" spans="12:12">
      <c r="L421"/>
    </row>
    <row r="422" spans="12:12">
      <c r="L422"/>
    </row>
    <row r="423" spans="12:12">
      <c r="L423"/>
    </row>
    <row r="424" spans="12:12">
      <c r="L424"/>
    </row>
    <row r="425" spans="12:12">
      <c r="L425"/>
    </row>
    <row r="426" spans="12:12">
      <c r="L426"/>
    </row>
    <row r="427" spans="12:12">
      <c r="L427"/>
    </row>
    <row r="428" spans="12:12">
      <c r="L428"/>
    </row>
    <row r="429" spans="12:12">
      <c r="L429"/>
    </row>
    <row r="430" spans="12:12">
      <c r="L430"/>
    </row>
    <row r="431" spans="12:12">
      <c r="L431"/>
    </row>
    <row r="432" spans="12:12">
      <c r="L432"/>
    </row>
    <row r="433" spans="12:12">
      <c r="L433"/>
    </row>
    <row r="434" spans="12:12">
      <c r="L434"/>
    </row>
    <row r="435" spans="12:12">
      <c r="L435"/>
    </row>
    <row r="436" spans="12:12">
      <c r="L436"/>
    </row>
    <row r="437" spans="12:12">
      <c r="L437"/>
    </row>
    <row r="438" spans="12:12">
      <c r="L438"/>
    </row>
    <row r="439" spans="12:12">
      <c r="L439"/>
    </row>
    <row r="440" spans="12:12">
      <c r="L440"/>
    </row>
    <row r="441" spans="12:12">
      <c r="L441"/>
    </row>
    <row r="442" spans="12:12">
      <c r="L442"/>
    </row>
    <row r="443" spans="12:12">
      <c r="L443"/>
    </row>
    <row r="444" spans="12:12">
      <c r="L444"/>
    </row>
    <row r="445" spans="12:12">
      <c r="L445"/>
    </row>
    <row r="446" spans="12:12">
      <c r="L446"/>
    </row>
    <row r="447" spans="12:12">
      <c r="L447"/>
    </row>
    <row r="448" spans="12:12">
      <c r="L448"/>
    </row>
    <row r="449" spans="12:12">
      <c r="L449"/>
    </row>
    <row r="450" spans="12:12">
      <c r="L450"/>
    </row>
    <row r="451" spans="12:12">
      <c r="L451"/>
    </row>
    <row r="452" spans="12:12">
      <c r="L452"/>
    </row>
    <row r="453" spans="12:12">
      <c r="L453"/>
    </row>
    <row r="454" spans="12:12">
      <c r="L454"/>
    </row>
    <row r="455" spans="12:12">
      <c r="L455"/>
    </row>
    <row r="456" spans="12:12">
      <c r="L456"/>
    </row>
    <row r="457" spans="12:12">
      <c r="L457"/>
    </row>
    <row r="458" spans="12:12">
      <c r="L458"/>
    </row>
    <row r="459" spans="12:12">
      <c r="L459"/>
    </row>
    <row r="460" spans="12:12">
      <c r="L460"/>
    </row>
    <row r="461" spans="12:12">
      <c r="L461"/>
    </row>
    <row r="462" spans="12:12">
      <c r="L462"/>
    </row>
    <row r="463" spans="12:12">
      <c r="L463"/>
    </row>
    <row r="464" spans="12:12">
      <c r="L464"/>
    </row>
    <row r="465" spans="12:12">
      <c r="L465"/>
    </row>
    <row r="466" spans="12:12">
      <c r="L466"/>
    </row>
    <row r="467" spans="12:12">
      <c r="L467"/>
    </row>
    <row r="468" spans="12:12">
      <c r="L468"/>
    </row>
    <row r="469" spans="12:12">
      <c r="L469"/>
    </row>
    <row r="470" spans="12:12">
      <c r="L470"/>
    </row>
    <row r="471" spans="12:12">
      <c r="L471"/>
    </row>
    <row r="472" spans="12:12">
      <c r="L472"/>
    </row>
    <row r="473" spans="12:12">
      <c r="L473"/>
    </row>
    <row r="474" spans="12:12">
      <c r="L474"/>
    </row>
    <row r="475" spans="12:12">
      <c r="L475"/>
    </row>
    <row r="476" spans="12:12">
      <c r="L476"/>
    </row>
    <row r="477" spans="12:12">
      <c r="L477"/>
    </row>
    <row r="478" spans="12:12">
      <c r="L478"/>
    </row>
    <row r="479" spans="12:12">
      <c r="L479"/>
    </row>
    <row r="480" spans="12:12">
      <c r="L480"/>
    </row>
    <row r="481" spans="12:12">
      <c r="L481"/>
    </row>
    <row r="482" spans="12:12">
      <c r="L482"/>
    </row>
    <row r="483" spans="12:12">
      <c r="L483"/>
    </row>
    <row r="484" spans="12:12">
      <c r="L484"/>
    </row>
    <row r="485" spans="12:12">
      <c r="L485"/>
    </row>
    <row r="486" spans="12:12">
      <c r="L486"/>
    </row>
    <row r="487" spans="12:12">
      <c r="L487"/>
    </row>
    <row r="488" spans="12:12">
      <c r="L488"/>
    </row>
    <row r="489" spans="12:12">
      <c r="L489"/>
    </row>
    <row r="490" spans="12:12">
      <c r="L490"/>
    </row>
    <row r="491" spans="12:12">
      <c r="L491"/>
    </row>
    <row r="492" spans="12:12">
      <c r="L492"/>
    </row>
    <row r="493" spans="12:12">
      <c r="L493"/>
    </row>
    <row r="494" spans="12:12">
      <c r="L494"/>
    </row>
    <row r="495" spans="12:12">
      <c r="L495"/>
    </row>
    <row r="496" spans="12:12">
      <c r="L496"/>
    </row>
    <row r="497" spans="12:12">
      <c r="L497"/>
    </row>
    <row r="498" spans="12:12">
      <c r="L498"/>
    </row>
    <row r="499" spans="12:12">
      <c r="L499"/>
    </row>
    <row r="500" spans="12:12">
      <c r="L500"/>
    </row>
    <row r="501" spans="12:12">
      <c r="L501"/>
    </row>
    <row r="502" spans="12:12">
      <c r="L502"/>
    </row>
    <row r="503" spans="12:12">
      <c r="L503"/>
    </row>
    <row r="504" spans="12:12">
      <c r="L504"/>
    </row>
    <row r="505" spans="12:12">
      <c r="L505"/>
    </row>
    <row r="506" spans="12:12">
      <c r="L506"/>
    </row>
    <row r="507" spans="12:12">
      <c r="L507"/>
    </row>
    <row r="508" spans="12:12">
      <c r="L508"/>
    </row>
    <row r="509" spans="12:12">
      <c r="L509"/>
    </row>
    <row r="510" spans="12:12">
      <c r="L510"/>
    </row>
    <row r="511" spans="12:12">
      <c r="L511"/>
    </row>
    <row r="512" spans="12:12">
      <c r="L512"/>
    </row>
    <row r="513" spans="12:12">
      <c r="L513"/>
    </row>
    <row r="514" spans="12:12">
      <c r="L514"/>
    </row>
    <row r="515" spans="12:12">
      <c r="L515"/>
    </row>
    <row r="516" spans="12:12">
      <c r="L516"/>
    </row>
    <row r="517" spans="12:12">
      <c r="L517"/>
    </row>
    <row r="518" spans="12:12">
      <c r="L518"/>
    </row>
    <row r="519" spans="12:12">
      <c r="L519"/>
    </row>
    <row r="520" spans="12:12">
      <c r="L520"/>
    </row>
    <row r="521" spans="12:12">
      <c r="L521"/>
    </row>
    <row r="522" spans="12:12">
      <c r="L522"/>
    </row>
    <row r="523" spans="12:12">
      <c r="L523"/>
    </row>
    <row r="524" spans="12:12">
      <c r="L524"/>
    </row>
    <row r="525" spans="12:12">
      <c r="L525"/>
    </row>
    <row r="526" spans="12:12">
      <c r="L526"/>
    </row>
    <row r="527" spans="12:12">
      <c r="L527"/>
    </row>
    <row r="528" spans="12:12">
      <c r="L528"/>
    </row>
    <row r="529" spans="12:12">
      <c r="L529"/>
    </row>
    <row r="530" spans="12:12">
      <c r="L530"/>
    </row>
    <row r="531" spans="12:12">
      <c r="L531"/>
    </row>
    <row r="532" spans="12:12">
      <c r="L532"/>
    </row>
    <row r="533" spans="12:12">
      <c r="L533"/>
    </row>
    <row r="534" spans="12:12">
      <c r="L534"/>
    </row>
    <row r="535" spans="12:12">
      <c r="L535"/>
    </row>
    <row r="536" spans="12:12">
      <c r="L536"/>
    </row>
    <row r="537" spans="12:12">
      <c r="L537"/>
    </row>
    <row r="538" spans="12:12">
      <c r="L538"/>
    </row>
    <row r="539" spans="12:12">
      <c r="L539"/>
    </row>
    <row r="540" spans="12:12">
      <c r="L540"/>
    </row>
    <row r="541" spans="12:12">
      <c r="L541"/>
    </row>
    <row r="542" spans="12:12">
      <c r="L542"/>
    </row>
    <row r="543" spans="12:12">
      <c r="L543"/>
    </row>
    <row r="544" spans="12:12">
      <c r="L544"/>
    </row>
    <row r="545" spans="12:12">
      <c r="L545"/>
    </row>
    <row r="546" spans="12:12">
      <c r="L546"/>
    </row>
    <row r="547" spans="12:12">
      <c r="L547"/>
    </row>
    <row r="548" spans="12:12">
      <c r="L548"/>
    </row>
    <row r="549" spans="12:12">
      <c r="L549"/>
    </row>
    <row r="550" spans="12:12">
      <c r="L550"/>
    </row>
    <row r="551" spans="12:12">
      <c r="L551"/>
    </row>
    <row r="552" spans="12:12">
      <c r="L552"/>
    </row>
    <row r="553" spans="12:12">
      <c r="L553"/>
    </row>
    <row r="554" spans="12:12">
      <c r="L554"/>
    </row>
    <row r="555" spans="12:12">
      <c r="L555"/>
    </row>
    <row r="556" spans="12:12">
      <c r="L556"/>
    </row>
    <row r="557" spans="12:12">
      <c r="L557"/>
    </row>
    <row r="558" spans="12:12">
      <c r="L558"/>
    </row>
    <row r="559" spans="12:12">
      <c r="L559"/>
    </row>
    <row r="560" spans="12:12">
      <c r="L560"/>
    </row>
    <row r="561" spans="12:12">
      <c r="L561"/>
    </row>
    <row r="562" spans="12:12">
      <c r="L562"/>
    </row>
    <row r="563" spans="12:12">
      <c r="L563"/>
    </row>
    <row r="564" spans="12:12">
      <c r="L564"/>
    </row>
    <row r="565" spans="12:12">
      <c r="L565"/>
    </row>
    <row r="566" spans="12:12">
      <c r="L566"/>
    </row>
    <row r="567" spans="12:12">
      <c r="L567"/>
    </row>
    <row r="568" spans="12:12">
      <c r="L568"/>
    </row>
    <row r="569" spans="12:12">
      <c r="L569"/>
    </row>
    <row r="570" spans="12:12">
      <c r="L570"/>
    </row>
    <row r="571" spans="12:12">
      <c r="L571"/>
    </row>
    <row r="572" spans="12:12">
      <c r="L572"/>
    </row>
    <row r="573" spans="12:12">
      <c r="L573"/>
    </row>
    <row r="574" spans="12:12">
      <c r="L574"/>
    </row>
    <row r="575" spans="12:12">
      <c r="L575"/>
    </row>
    <row r="576" spans="12:12">
      <c r="L576"/>
    </row>
    <row r="577" spans="12:12">
      <c r="L577"/>
    </row>
    <row r="578" spans="12:12">
      <c r="L578"/>
    </row>
    <row r="579" spans="12:12">
      <c r="L579"/>
    </row>
    <row r="580" spans="12:12">
      <c r="L580"/>
    </row>
    <row r="581" spans="12:12">
      <c r="L581"/>
    </row>
    <row r="582" spans="12:12">
      <c r="L582"/>
    </row>
    <row r="583" spans="12:12">
      <c r="L583"/>
    </row>
    <row r="584" spans="12:12">
      <c r="L584"/>
    </row>
    <row r="585" spans="12:12">
      <c r="L585"/>
    </row>
    <row r="586" spans="12:12">
      <c r="L586"/>
    </row>
    <row r="587" spans="12:12">
      <c r="L587"/>
    </row>
    <row r="588" spans="12:12">
      <c r="L588"/>
    </row>
    <row r="589" spans="12:12">
      <c r="L589"/>
    </row>
    <row r="590" spans="12:12">
      <c r="L590"/>
    </row>
    <row r="591" spans="12:12">
      <c r="L591"/>
    </row>
    <row r="592" spans="12:12">
      <c r="L592"/>
    </row>
    <row r="593" spans="12:12">
      <c r="L593"/>
    </row>
    <row r="594" spans="12:12">
      <c r="L594"/>
    </row>
    <row r="595" spans="12:12">
      <c r="L595"/>
    </row>
    <row r="596" spans="12:12">
      <c r="L596"/>
    </row>
    <row r="597" spans="12:12">
      <c r="L597"/>
    </row>
    <row r="598" spans="12:12">
      <c r="L598"/>
    </row>
    <row r="599" spans="12:12">
      <c r="L599"/>
    </row>
    <row r="600" spans="12:12">
      <c r="L600"/>
    </row>
    <row r="601" spans="12:12">
      <c r="L601"/>
    </row>
    <row r="602" spans="12:12">
      <c r="L602"/>
    </row>
    <row r="603" spans="12:12">
      <c r="L603"/>
    </row>
    <row r="604" spans="12:12">
      <c r="L604"/>
    </row>
    <row r="605" spans="12:12">
      <c r="L605"/>
    </row>
    <row r="606" spans="12:12">
      <c r="L606"/>
    </row>
    <row r="607" spans="12:12">
      <c r="L607"/>
    </row>
    <row r="608" spans="12:12">
      <c r="L608"/>
    </row>
    <row r="609" spans="12:12">
      <c r="L609"/>
    </row>
    <row r="610" spans="12:12">
      <c r="L610"/>
    </row>
    <row r="611" spans="12:12">
      <c r="L611"/>
    </row>
    <row r="612" spans="12:12">
      <c r="L612"/>
    </row>
    <row r="613" spans="12:12">
      <c r="L613"/>
    </row>
    <row r="614" spans="12:12">
      <c r="L614"/>
    </row>
    <row r="615" spans="12:12">
      <c r="L615"/>
    </row>
    <row r="616" spans="12:12">
      <c r="L616"/>
    </row>
    <row r="617" spans="12:12">
      <c r="L617"/>
    </row>
    <row r="618" spans="12:12">
      <c r="L618"/>
    </row>
    <row r="619" spans="12:12">
      <c r="L619"/>
    </row>
    <row r="620" spans="12:12">
      <c r="L620"/>
    </row>
    <row r="621" spans="12:12">
      <c r="L621"/>
    </row>
    <row r="622" spans="12:12">
      <c r="L622"/>
    </row>
    <row r="623" spans="12:12">
      <c r="L623"/>
    </row>
    <row r="624" spans="12:12">
      <c r="L624"/>
    </row>
    <row r="625" spans="12:12">
      <c r="L625"/>
    </row>
    <row r="626" spans="12:12">
      <c r="L626"/>
    </row>
    <row r="627" spans="12:12">
      <c r="L627"/>
    </row>
    <row r="628" spans="12:12">
      <c r="L628"/>
    </row>
    <row r="629" spans="12:12">
      <c r="L629"/>
    </row>
    <row r="630" spans="12:12">
      <c r="L630"/>
    </row>
    <row r="631" spans="12:12">
      <c r="L631"/>
    </row>
    <row r="632" spans="12:12">
      <c r="L632"/>
    </row>
    <row r="633" spans="12:12">
      <c r="L633"/>
    </row>
    <row r="634" spans="12:12">
      <c r="L634"/>
    </row>
    <row r="635" spans="12:12">
      <c r="L635"/>
    </row>
    <row r="636" spans="12:12">
      <c r="L636"/>
    </row>
    <row r="637" spans="12:12">
      <c r="L637"/>
    </row>
    <row r="638" spans="12:12">
      <c r="L638"/>
    </row>
    <row r="639" spans="12:12">
      <c r="L639"/>
    </row>
    <row r="640" spans="12:12">
      <c r="L640"/>
    </row>
    <row r="641" spans="12:12">
      <c r="L641"/>
    </row>
    <row r="642" spans="12:12">
      <c r="L642"/>
    </row>
    <row r="643" spans="12:12">
      <c r="L643"/>
    </row>
    <row r="644" spans="12:12">
      <c r="L644"/>
    </row>
    <row r="645" spans="12:12">
      <c r="L645"/>
    </row>
    <row r="646" spans="12:12">
      <c r="L646"/>
    </row>
    <row r="647" spans="12:12">
      <c r="L647"/>
    </row>
    <row r="648" spans="12:12">
      <c r="L648"/>
    </row>
    <row r="649" spans="12:12">
      <c r="L649"/>
    </row>
    <row r="650" spans="12:12">
      <c r="L650"/>
    </row>
    <row r="651" spans="12:12">
      <c r="L651"/>
    </row>
    <row r="652" spans="12:12">
      <c r="L652"/>
    </row>
    <row r="653" spans="12:12">
      <c r="L653"/>
    </row>
    <row r="654" spans="12:12">
      <c r="L654"/>
    </row>
    <row r="655" spans="12:12">
      <c r="L655"/>
    </row>
    <row r="656" spans="12:12">
      <c r="L656"/>
    </row>
    <row r="657" spans="12:12">
      <c r="L657"/>
    </row>
    <row r="658" spans="12:12">
      <c r="L658"/>
    </row>
    <row r="659" spans="12:12">
      <c r="L659"/>
    </row>
    <row r="660" spans="12:12">
      <c r="L660"/>
    </row>
    <row r="661" spans="12:12">
      <c r="L661"/>
    </row>
    <row r="662" spans="12:12">
      <c r="L662"/>
    </row>
    <row r="663" spans="12:12">
      <c r="L663"/>
    </row>
    <row r="664" spans="12:12">
      <c r="L664"/>
    </row>
    <row r="665" spans="12:12">
      <c r="L665"/>
    </row>
    <row r="666" spans="12:12">
      <c r="L666"/>
    </row>
    <row r="667" spans="12:12">
      <c r="L667"/>
    </row>
    <row r="668" spans="12:12">
      <c r="L668"/>
    </row>
    <row r="669" spans="12:12">
      <c r="L669"/>
    </row>
    <row r="670" spans="12:12">
      <c r="L670"/>
    </row>
    <row r="671" spans="12:12">
      <c r="L671"/>
    </row>
    <row r="672" spans="12:12">
      <c r="L672"/>
    </row>
    <row r="673" spans="12:12">
      <c r="L673"/>
    </row>
    <row r="674" spans="12:12">
      <c r="L674"/>
    </row>
    <row r="675" spans="12:12">
      <c r="L675"/>
    </row>
    <row r="676" spans="12:12">
      <c r="L676"/>
    </row>
    <row r="677" spans="12:12">
      <c r="L677"/>
    </row>
    <row r="678" spans="12:12">
      <c r="L678"/>
    </row>
    <row r="679" spans="12:12">
      <c r="L679"/>
    </row>
    <row r="680" spans="12:12">
      <c r="L680"/>
    </row>
    <row r="681" spans="12:12">
      <c r="L681"/>
    </row>
    <row r="682" spans="12:12">
      <c r="L682"/>
    </row>
    <row r="683" spans="12:12">
      <c r="L683"/>
    </row>
    <row r="684" spans="12:12">
      <c r="L684"/>
    </row>
    <row r="685" spans="12:12">
      <c r="L685"/>
    </row>
    <row r="686" spans="12:12">
      <c r="L686"/>
    </row>
    <row r="687" spans="12:12">
      <c r="L687"/>
    </row>
    <row r="688" spans="12:12">
      <c r="L688"/>
    </row>
    <row r="689" spans="12:12">
      <c r="L689"/>
    </row>
    <row r="690" spans="12:12">
      <c r="L690"/>
    </row>
    <row r="691" spans="12:12">
      <c r="L691"/>
    </row>
    <row r="692" spans="12:12">
      <c r="L692"/>
    </row>
    <row r="693" spans="12:12">
      <c r="L693"/>
    </row>
    <row r="694" spans="12:12">
      <c r="L694"/>
    </row>
    <row r="695" spans="12:12">
      <c r="L695"/>
    </row>
    <row r="696" spans="12:12">
      <c r="L696"/>
    </row>
    <row r="697" spans="12:12">
      <c r="L697"/>
    </row>
    <row r="698" spans="12:12">
      <c r="L698"/>
    </row>
  </sheetData>
  <mergeCells count="18">
    <mergeCell ref="W6:W8"/>
    <mergeCell ref="T6:T8"/>
    <mergeCell ref="U6:U8"/>
    <mergeCell ref="M7:M8"/>
    <mergeCell ref="M9:M15"/>
    <mergeCell ref="A5:H5"/>
    <mergeCell ref="J7:J8"/>
    <mergeCell ref="K7:K8"/>
    <mergeCell ref="J6:M6"/>
    <mergeCell ref="V6:V8"/>
    <mergeCell ref="L7:L8"/>
    <mergeCell ref="N6:N8"/>
    <mergeCell ref="O6:O8"/>
    <mergeCell ref="P6:P8"/>
    <mergeCell ref="Q6:Q8"/>
    <mergeCell ref="R6:R8"/>
    <mergeCell ref="S6:S8"/>
    <mergeCell ref="D7:D12"/>
  </mergeCells>
  <phoneticPr fontId="4" type="noConversion"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ksheet" dvAspect="DVASPECT_ICON" shapeId="27659" r:id="rId4">
          <objectPr defaultSize="0" autoPict="0" r:id="rId5">
            <anchor moveWithCells="1">
              <from>
                <xdr:col>3</xdr:col>
                <xdr:colOff>76200</xdr:colOff>
                <xdr:row>6</xdr:row>
                <xdr:rowOff>85725</xdr:rowOff>
              </from>
              <to>
                <xdr:col>3</xdr:col>
                <xdr:colOff>1323975</xdr:colOff>
                <xdr:row>11</xdr:row>
                <xdr:rowOff>76200</xdr:rowOff>
              </to>
            </anchor>
          </objectPr>
        </oleObject>
      </mc:Choice>
      <mc:Fallback>
        <oleObject progId="Worksheet" dvAspect="DVASPECT_ICON" shapeId="2765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3B0F4-21D6-4D25-BFEA-7E8EB2BBCEA6}">
  <sheetPr codeName="Sheet4">
    <tabColor theme="1"/>
  </sheetPr>
  <dimension ref="A1:T45"/>
  <sheetViews>
    <sheetView zoomScale="82" workbookViewId="0">
      <selection activeCell="F22" sqref="F22"/>
    </sheetView>
  </sheetViews>
  <sheetFormatPr defaultRowHeight="15"/>
  <cols>
    <col min="2" max="2" width="26.42578125" customWidth="1"/>
    <col min="3" max="3" width="13.7109375" customWidth="1"/>
    <col min="4" max="4" width="20" bestFit="1" customWidth="1"/>
    <col min="5" max="5" width="8" customWidth="1"/>
    <col min="6" max="6" width="13" customWidth="1"/>
    <col min="9" max="9" width="22.42578125" bestFit="1" customWidth="1"/>
    <col min="10" max="10" width="15.140625" bestFit="1" customWidth="1"/>
    <col min="11" max="11" width="16.5703125" customWidth="1"/>
    <col min="12" max="12" width="16.5703125" bestFit="1" customWidth="1"/>
    <col min="13" max="13" width="15.5703125" bestFit="1" customWidth="1"/>
    <col min="14" max="14" width="14.42578125" bestFit="1" customWidth="1"/>
    <col min="15" max="15" width="20" customWidth="1"/>
    <col min="16" max="16" width="18.28515625" customWidth="1"/>
    <col min="17" max="17" width="24.85546875" customWidth="1"/>
    <col min="18" max="18" width="22.7109375" customWidth="1"/>
    <col min="19" max="19" width="31.140625" customWidth="1"/>
    <col min="20" max="20" width="18.85546875" customWidth="1"/>
  </cols>
  <sheetData>
    <row r="1" spans="1:20" ht="30.75">
      <c r="K1" s="81" t="s">
        <v>31</v>
      </c>
      <c r="L1" s="82" t="s">
        <v>32</v>
      </c>
      <c r="M1" s="82" t="s">
        <v>33</v>
      </c>
    </row>
    <row r="2" spans="1:20">
      <c r="K2" s="16">
        <v>0.47</v>
      </c>
      <c r="L2" s="17">
        <v>0.04</v>
      </c>
      <c r="M2" s="17">
        <v>0.02</v>
      </c>
    </row>
    <row r="5" spans="1:20">
      <c r="A5" s="130" t="s">
        <v>99</v>
      </c>
      <c r="B5" s="131"/>
      <c r="C5" s="131"/>
      <c r="D5" s="131"/>
      <c r="E5" s="131"/>
      <c r="F5" s="131"/>
    </row>
    <row r="6" spans="1:20" ht="35.25" customHeight="1">
      <c r="A6" s="79" t="s">
        <v>35</v>
      </c>
      <c r="B6" s="79" t="s">
        <v>36</v>
      </c>
      <c r="C6" s="79" t="s">
        <v>37</v>
      </c>
      <c r="D6" s="79" t="s">
        <v>38</v>
      </c>
      <c r="E6" s="79" t="s">
        <v>39</v>
      </c>
      <c r="F6" s="79" t="s">
        <v>37</v>
      </c>
      <c r="H6" s="119" t="s">
        <v>40</v>
      </c>
      <c r="I6" s="120"/>
      <c r="J6" s="121"/>
      <c r="K6" s="117" t="s">
        <v>41</v>
      </c>
      <c r="L6" s="117" t="s">
        <v>100</v>
      </c>
      <c r="M6" s="122" t="s">
        <v>101</v>
      </c>
      <c r="N6" s="117" t="s">
        <v>102</v>
      </c>
      <c r="O6" s="122" t="s">
        <v>103</v>
      </c>
      <c r="P6" s="122" t="s">
        <v>46</v>
      </c>
      <c r="Q6" s="122" t="s">
        <v>47</v>
      </c>
      <c r="R6" s="117" t="s">
        <v>104</v>
      </c>
      <c r="S6" s="122" t="s">
        <v>105</v>
      </c>
      <c r="T6" s="117" t="s">
        <v>50</v>
      </c>
    </row>
    <row r="7" spans="1:20" ht="15" customHeight="1">
      <c r="A7" s="51"/>
      <c r="B7" s="52">
        <v>0</v>
      </c>
      <c r="C7" s="52">
        <v>0</v>
      </c>
      <c r="D7" s="124"/>
      <c r="E7" s="53">
        <f>H9</f>
        <v>0.53846153846153799</v>
      </c>
      <c r="F7" s="53">
        <v>0</v>
      </c>
      <c r="H7" s="117" t="s">
        <v>51</v>
      </c>
      <c r="I7" s="132" t="s">
        <v>52</v>
      </c>
      <c r="J7" s="132" t="s">
        <v>106</v>
      </c>
      <c r="K7" s="123"/>
      <c r="L7" s="123"/>
      <c r="M7" s="122"/>
      <c r="N7" s="123"/>
      <c r="O7" s="122"/>
      <c r="P7" s="122"/>
      <c r="Q7" s="122"/>
      <c r="R7" s="123"/>
      <c r="S7" s="122" t="s">
        <v>55</v>
      </c>
      <c r="T7" s="123"/>
    </row>
    <row r="8" spans="1:20">
      <c r="A8" s="51" t="s">
        <v>107</v>
      </c>
      <c r="B8" s="37">
        <f>'2018 MH (MAI)'!B8</f>
        <v>5.7479452054794518</v>
      </c>
      <c r="C8" s="55">
        <v>37.344363649885018</v>
      </c>
      <c r="D8" s="125"/>
      <c r="E8" s="37">
        <f>H10</f>
        <v>1.5384615384615379</v>
      </c>
      <c r="F8" s="37">
        <v>0</v>
      </c>
      <c r="H8" s="118"/>
      <c r="I8" s="133"/>
      <c r="J8" s="133"/>
      <c r="K8" s="118"/>
      <c r="L8" s="118"/>
      <c r="M8" s="122"/>
      <c r="N8" s="118"/>
      <c r="O8" s="122"/>
      <c r="P8" s="122"/>
      <c r="Q8" s="122"/>
      <c r="R8" s="118"/>
      <c r="S8" s="122"/>
      <c r="T8" s="118"/>
    </row>
    <row r="9" spans="1:20">
      <c r="A9" s="51"/>
      <c r="B9" s="51"/>
      <c r="C9" s="51"/>
      <c r="D9" s="125"/>
      <c r="E9" s="37">
        <f t="shared" ref="E9:E21" si="0">H11</f>
        <v>2.5384615384615379</v>
      </c>
      <c r="F9" s="37">
        <f>TREND(C7:C8,B7:B8,E9,TRUE)</f>
        <v>16.492368562105483</v>
      </c>
      <c r="H9" s="3">
        <f>'2018 MH (MAI)'!I9</f>
        <v>0.53846153846153799</v>
      </c>
      <c r="I9" s="3" t="str">
        <f>'2018 MH (MAI)'!J9</f>
        <v>18/06/2018 to 31/12/2018</v>
      </c>
      <c r="J9" s="37">
        <f>F7</f>
        <v>0</v>
      </c>
      <c r="K9" s="37"/>
      <c r="L9" s="37"/>
      <c r="M9" s="37"/>
      <c r="N9" s="37"/>
      <c r="O9" s="37"/>
      <c r="P9" s="37">
        <f>O9</f>
        <v>0</v>
      </c>
      <c r="Q9" s="37">
        <f>Baseline!F4</f>
        <v>0</v>
      </c>
      <c r="R9" s="37">
        <f>Leakage!F4</f>
        <v>0</v>
      </c>
      <c r="S9" s="37">
        <f>O9-Q9-R9</f>
        <v>0</v>
      </c>
      <c r="T9" s="37">
        <f>S9</f>
        <v>0</v>
      </c>
    </row>
    <row r="10" spans="1:20">
      <c r="A10" s="51"/>
      <c r="B10" s="51"/>
      <c r="C10" s="51"/>
      <c r="D10" s="125"/>
      <c r="E10" s="37">
        <f t="shared" si="0"/>
        <v>3.5384615384615379</v>
      </c>
      <c r="F10" s="37">
        <f>TREND(C7:C8,B7:B8,E10,TRUE)</f>
        <v>22.989362238086432</v>
      </c>
      <c r="H10" s="3">
        <f>'2018 MH (MAI)'!I10</f>
        <v>1.5384615384615379</v>
      </c>
      <c r="I10" s="3" t="str">
        <f>'2018 MH (MAI)'!J10</f>
        <v>01/01/2019 to 31/12/2019</v>
      </c>
      <c r="J10" s="37">
        <f>F8</f>
        <v>0</v>
      </c>
      <c r="K10" s="37"/>
      <c r="L10" s="37"/>
      <c r="M10" s="37"/>
      <c r="N10" s="37"/>
      <c r="O10" s="37"/>
      <c r="P10" s="37">
        <f>O10-O9</f>
        <v>0</v>
      </c>
      <c r="Q10" s="37">
        <f>Baseline!F5</f>
        <v>0</v>
      </c>
      <c r="R10" s="37">
        <f>Leakage!F5</f>
        <v>0</v>
      </c>
      <c r="S10" s="37">
        <f t="shared" ref="S10:S43" si="1">O10-Q10-R10</f>
        <v>0</v>
      </c>
      <c r="T10" s="37">
        <f>S10-S9</f>
        <v>0</v>
      </c>
    </row>
    <row r="11" spans="1:20">
      <c r="A11" s="51"/>
      <c r="B11" s="51"/>
      <c r="C11" s="51"/>
      <c r="D11" s="125"/>
      <c r="E11" s="37">
        <f t="shared" si="0"/>
        <v>4.5384615384615383</v>
      </c>
      <c r="F11" s="37">
        <f>TREND(C7:C8,B7:B8,E11,TRUE)</f>
        <v>29.486355914067385</v>
      </c>
      <c r="H11" s="3">
        <f>'2018 MH (MAI)'!I11</f>
        <v>2.5384615384615379</v>
      </c>
      <c r="I11" s="3" t="str">
        <f>'2018 MH (MAI)'!J11</f>
        <v>01/01/2020 to 31/12/2020</v>
      </c>
      <c r="J11" s="37">
        <f t="shared" ref="J11:J24" si="2">F9</f>
        <v>16.492368562105483</v>
      </c>
      <c r="K11" s="37">
        <f>J11*SUM(Overview!$B$31)</f>
        <v>211.77839371241828</v>
      </c>
      <c r="L11" s="37">
        <f t="shared" ref="L11:L43" si="3">K11*$K$2*3.67</f>
        <v>365.2965513145503</v>
      </c>
      <c r="M11" s="37">
        <f>L11*$L$2</f>
        <v>14.611862052582012</v>
      </c>
      <c r="N11" s="37">
        <f>L11*$M$2</f>
        <v>7.305931026291006</v>
      </c>
      <c r="O11" s="37">
        <f>N11+M11+L11</f>
        <v>387.21434439342329</v>
      </c>
      <c r="P11" s="37">
        <f t="shared" ref="P11:P43" si="4">O11-O10</f>
        <v>387.21434439342329</v>
      </c>
      <c r="Q11" s="37">
        <f>Baseline!F6</f>
        <v>0</v>
      </c>
      <c r="R11" s="37">
        <f>Leakage!F6</f>
        <v>0</v>
      </c>
      <c r="S11" s="37">
        <f t="shared" si="1"/>
        <v>387.21434439342329</v>
      </c>
      <c r="T11" s="37">
        <f>S11-S10</f>
        <v>387.21434439342329</v>
      </c>
    </row>
    <row r="12" spans="1:20">
      <c r="A12" s="51"/>
      <c r="B12" s="51"/>
      <c r="C12" s="51"/>
      <c r="D12" s="126"/>
      <c r="E12" s="37">
        <f t="shared" si="0"/>
        <v>5.5384615384615383</v>
      </c>
      <c r="F12" s="37">
        <f>TREND(C7:C8,B7:B8,E12,TRUE)</f>
        <v>35.983349590048334</v>
      </c>
      <c r="H12" s="3">
        <f>'2018 MH (MAI)'!I12</f>
        <v>3.5384615384615379</v>
      </c>
      <c r="I12" s="3" t="str">
        <f>'2018 MH (MAI)'!J12</f>
        <v>01/01/2021 to 31/12/2021</v>
      </c>
      <c r="J12" s="37">
        <f t="shared" si="2"/>
        <v>22.989362238086432</v>
      </c>
      <c r="K12" s="37">
        <f>J12*SUM(Overview!$B$31)</f>
        <v>295.20624578094674</v>
      </c>
      <c r="L12" s="37">
        <f t="shared" si="3"/>
        <v>509.201253347555</v>
      </c>
      <c r="M12" s="37">
        <f t="shared" ref="M12:M43" si="5">L12*$L$2</f>
        <v>20.368050133902202</v>
      </c>
      <c r="N12" s="37">
        <f>L12*$M$2</f>
        <v>10.184025066951101</v>
      </c>
      <c r="O12" s="37">
        <f t="shared" ref="O12:O43" si="6">N12+M12+L12</f>
        <v>539.75332854840826</v>
      </c>
      <c r="P12" s="37">
        <f t="shared" si="4"/>
        <v>152.53898415498497</v>
      </c>
      <c r="Q12" s="37">
        <f>Baseline!F7</f>
        <v>0</v>
      </c>
      <c r="R12" s="37">
        <f>Leakage!F7</f>
        <v>0</v>
      </c>
      <c r="S12" s="37">
        <f t="shared" si="1"/>
        <v>539.75332854840826</v>
      </c>
      <c r="T12" s="37">
        <f t="shared" ref="T12:T16" si="7">S12-S11</f>
        <v>152.53898415498497</v>
      </c>
    </row>
    <row r="13" spans="1:20">
      <c r="A13" s="51"/>
      <c r="B13" s="51"/>
      <c r="C13" s="51"/>
      <c r="D13" s="51"/>
      <c r="E13" s="37">
        <f t="shared" si="0"/>
        <v>6.5384615384615383</v>
      </c>
      <c r="F13" s="37">
        <f>TREND(C7:C8,B7:B8,$E$13,TRUE)</f>
        <v>42.48034326602928</v>
      </c>
      <c r="H13" s="3">
        <f>'2018 MH (MAI)'!I13</f>
        <v>4.5384615384615383</v>
      </c>
      <c r="I13" s="3" t="str">
        <f>'2018 MH (MAI)'!J13</f>
        <v>01/01/2022 to 31/12/2022</v>
      </c>
      <c r="J13" s="37">
        <f t="shared" si="2"/>
        <v>29.486355914067385</v>
      </c>
      <c r="K13" s="37">
        <f>J13*SUM(Overview!$B$31)</f>
        <v>378.63409784947521</v>
      </c>
      <c r="L13" s="37">
        <f t="shared" si="3"/>
        <v>653.10595538055975</v>
      </c>
      <c r="M13" s="37">
        <f t="shared" si="5"/>
        <v>26.124238215222391</v>
      </c>
      <c r="N13" s="37">
        <f t="shared" ref="N13:N43" si="8">L13*$M$2</f>
        <v>13.062119107611196</v>
      </c>
      <c r="O13" s="37">
        <f t="shared" si="6"/>
        <v>692.29231270339335</v>
      </c>
      <c r="P13" s="37">
        <f t="shared" si="4"/>
        <v>152.53898415498509</v>
      </c>
      <c r="Q13" s="37">
        <f>Baseline!F8</f>
        <v>0</v>
      </c>
      <c r="R13" s="37">
        <f>Leakage!F8</f>
        <v>0</v>
      </c>
      <c r="S13" s="37">
        <f t="shared" si="1"/>
        <v>692.29231270339335</v>
      </c>
      <c r="T13" s="37">
        <f t="shared" si="7"/>
        <v>152.53898415498509</v>
      </c>
    </row>
    <row r="14" spans="1:20">
      <c r="A14" s="51"/>
      <c r="B14" s="51"/>
      <c r="C14" s="51"/>
      <c r="D14" s="51"/>
      <c r="E14" s="37">
        <f t="shared" si="0"/>
        <v>7.5384615384615383</v>
      </c>
      <c r="F14" s="37">
        <f>TREND(F9:F13,E9:E13,E14:$E$22,TRUE)</f>
        <v>48.97733694201024</v>
      </c>
      <c r="H14" s="3">
        <f>'2018 MH (MAI)'!I14</f>
        <v>5.5384615384615383</v>
      </c>
      <c r="I14" s="3" t="str">
        <f>'2018 MH (MAI)'!J14</f>
        <v>01/01/2023 to 31/12/2023</v>
      </c>
      <c r="J14" s="37">
        <f t="shared" si="2"/>
        <v>35.983349590048334</v>
      </c>
      <c r="K14" s="37">
        <f>J14*SUM(Overview!$B$31)</f>
        <v>462.06194991800362</v>
      </c>
      <c r="L14" s="37">
        <f t="shared" si="3"/>
        <v>797.01065741356445</v>
      </c>
      <c r="M14" s="37">
        <f t="shared" si="5"/>
        <v>31.880426296542577</v>
      </c>
      <c r="N14" s="37">
        <f t="shared" si="8"/>
        <v>15.940213148271289</v>
      </c>
      <c r="O14" s="37">
        <f t="shared" si="6"/>
        <v>844.83129685837832</v>
      </c>
      <c r="P14" s="37">
        <f t="shared" si="4"/>
        <v>152.53898415498497</v>
      </c>
      <c r="Q14" s="37">
        <f>Baseline!F9</f>
        <v>0</v>
      </c>
      <c r="R14" s="37">
        <f>Leakage!F9</f>
        <v>0</v>
      </c>
      <c r="S14" s="37">
        <f t="shared" si="1"/>
        <v>844.83129685837832</v>
      </c>
      <c r="T14" s="37">
        <f t="shared" si="7"/>
        <v>152.53898415498497</v>
      </c>
    </row>
    <row r="15" spans="1:20">
      <c r="A15" s="51"/>
      <c r="B15" s="51"/>
      <c r="C15" s="51"/>
      <c r="D15" s="51"/>
      <c r="E15" s="37">
        <f t="shared" si="0"/>
        <v>8.5384615384615383</v>
      </c>
      <c r="F15" s="37">
        <f>TREND(F10:F14,E10:E14,E15:$E$22,TRUE)</f>
        <v>55.474330617991185</v>
      </c>
      <c r="H15" s="3">
        <f>'2018 MH (MAI)'!I15</f>
        <v>6.5384615384615383</v>
      </c>
      <c r="I15" s="3" t="str">
        <f>'2018 MH (MAI)'!J15</f>
        <v>01/01/2024 to 31/12/2024</v>
      </c>
      <c r="J15" s="37">
        <f t="shared" si="2"/>
        <v>42.48034326602928</v>
      </c>
      <c r="K15" s="37">
        <f>J15*SUM(Overview!$B$31)</f>
        <v>545.48980198653203</v>
      </c>
      <c r="L15" s="37">
        <f t="shared" si="3"/>
        <v>940.91535944656903</v>
      </c>
      <c r="M15" s="37">
        <f t="shared" si="5"/>
        <v>37.636614377862763</v>
      </c>
      <c r="N15" s="37">
        <f t="shared" si="8"/>
        <v>18.818307188931382</v>
      </c>
      <c r="O15" s="37">
        <f t="shared" si="6"/>
        <v>997.37028101336318</v>
      </c>
      <c r="P15" s="37">
        <f t="shared" si="4"/>
        <v>152.53898415498486</v>
      </c>
      <c r="Q15" s="37">
        <f>Baseline!F10</f>
        <v>0</v>
      </c>
      <c r="R15" s="37">
        <f>Leakage!F10</f>
        <v>0</v>
      </c>
      <c r="S15" s="37">
        <f t="shared" si="1"/>
        <v>997.37028101336318</v>
      </c>
      <c r="T15" s="37">
        <f t="shared" si="7"/>
        <v>152.53898415498486</v>
      </c>
    </row>
    <row r="16" spans="1:20">
      <c r="A16" s="51"/>
      <c r="B16" s="51"/>
      <c r="C16" s="51"/>
      <c r="D16" s="51"/>
      <c r="E16" s="37">
        <f t="shared" si="0"/>
        <v>9.5384615384615383</v>
      </c>
      <c r="F16" s="37">
        <f>TREND(F11:F15,E11:E15,E16:$E$22,TRUE)</f>
        <v>61.971324293972138</v>
      </c>
      <c r="H16" s="3">
        <f>'2018 MH (MAI)'!I16</f>
        <v>7.5384615384615383</v>
      </c>
      <c r="I16" s="3" t="str">
        <f>'2018 MH (MAI)'!J16</f>
        <v>01/01/2025 to 31/12/2025</v>
      </c>
      <c r="J16" s="37">
        <f t="shared" si="2"/>
        <v>48.97733694201024</v>
      </c>
      <c r="K16" s="37">
        <f>J16*SUM(Overview!$B$31)</f>
        <v>628.91765405506055</v>
      </c>
      <c r="L16" s="37">
        <f t="shared" si="3"/>
        <v>1084.820061479574</v>
      </c>
      <c r="M16" s="37">
        <f t="shared" si="5"/>
        <v>43.39280245918296</v>
      </c>
      <c r="N16" s="37">
        <f t="shared" si="8"/>
        <v>21.69640122959148</v>
      </c>
      <c r="O16" s="37">
        <f t="shared" si="6"/>
        <v>1149.9092651683484</v>
      </c>
      <c r="P16" s="37">
        <f t="shared" si="4"/>
        <v>152.5389841549852</v>
      </c>
      <c r="Q16" s="37">
        <f>Baseline!F11</f>
        <v>0</v>
      </c>
      <c r="R16" s="37">
        <f>Leakage!F11</f>
        <v>0</v>
      </c>
      <c r="S16" s="37">
        <f t="shared" si="1"/>
        <v>1149.9092651683484</v>
      </c>
      <c r="T16" s="37">
        <f t="shared" si="7"/>
        <v>152.5389841549852</v>
      </c>
    </row>
    <row r="17" spans="1:20">
      <c r="A17" s="51"/>
      <c r="B17" s="51"/>
      <c r="C17" s="51"/>
      <c r="D17" s="51"/>
      <c r="E17" s="37">
        <f t="shared" si="0"/>
        <v>10.538461538461538</v>
      </c>
      <c r="F17" s="37">
        <f>TREND(F12:F16,E12:E16,E17:$E$22,TRUE)</f>
        <v>68.468317969953091</v>
      </c>
      <c r="H17" s="3">
        <f>'2018 MH (MAI)'!I17</f>
        <v>8.5384615384615383</v>
      </c>
      <c r="I17" s="3" t="str">
        <f>'2018 MH (MAI)'!J17</f>
        <v>01/01/2026 to 31/12/2026</v>
      </c>
      <c r="J17" s="37">
        <f t="shared" si="2"/>
        <v>55.474330617991185</v>
      </c>
      <c r="K17" s="37">
        <f>J17*SUM(Overview!$B$31)</f>
        <v>712.34550612358896</v>
      </c>
      <c r="L17" s="37">
        <f t="shared" si="3"/>
        <v>1228.7247635125784</v>
      </c>
      <c r="M17" s="37">
        <f t="shared" si="5"/>
        <v>49.148990540503135</v>
      </c>
      <c r="N17" s="37">
        <f t="shared" si="8"/>
        <v>24.574495270251568</v>
      </c>
      <c r="O17" s="37">
        <f t="shared" si="6"/>
        <v>1302.4482493233331</v>
      </c>
      <c r="P17" s="37">
        <f t="shared" si="4"/>
        <v>152.53898415498475</v>
      </c>
      <c r="Q17" s="37">
        <f>Baseline!F12</f>
        <v>0</v>
      </c>
      <c r="R17" s="37">
        <f>Leakage!F12</f>
        <v>0</v>
      </c>
      <c r="S17" s="37">
        <f t="shared" si="1"/>
        <v>1302.4482493233331</v>
      </c>
      <c r="T17" s="37">
        <f>S45-SUM(T9:T16)</f>
        <v>131.41820173352562</v>
      </c>
    </row>
    <row r="18" spans="1:20">
      <c r="A18" s="51"/>
      <c r="B18" s="51"/>
      <c r="C18" s="51"/>
      <c r="D18" s="51"/>
      <c r="E18" s="37">
        <f t="shared" si="0"/>
        <v>11.538461538461538</v>
      </c>
      <c r="F18" s="37">
        <f>TREND(F13:F17,E13:E17,E18:$E$22,TRUE)</f>
        <v>74.965311645934037</v>
      </c>
      <c r="H18" s="3">
        <f>'2018 MH (MAI)'!I18</f>
        <v>9.5384615384615383</v>
      </c>
      <c r="I18" s="3" t="str">
        <f>'2018 MH (MAI)'!J18</f>
        <v>01/01/2027 to 31/12/2027</v>
      </c>
      <c r="J18" s="37">
        <f t="shared" si="2"/>
        <v>61.971324293972138</v>
      </c>
      <c r="K18" s="37">
        <f>J18*SUM(Overview!$B$31)</f>
        <v>795.77335819211748</v>
      </c>
      <c r="L18" s="37">
        <f t="shared" si="3"/>
        <v>1372.6294655455833</v>
      </c>
      <c r="M18" s="37">
        <f t="shared" si="5"/>
        <v>54.905178621823332</v>
      </c>
      <c r="N18" s="37">
        <f t="shared" si="8"/>
        <v>27.452589310911666</v>
      </c>
      <c r="O18" s="37">
        <f t="shared" si="6"/>
        <v>1454.9872334783183</v>
      </c>
      <c r="P18" s="37">
        <f t="shared" si="4"/>
        <v>152.5389841549852</v>
      </c>
      <c r="Q18" s="37">
        <f>Baseline!F13</f>
        <v>0</v>
      </c>
      <c r="R18" s="37">
        <f>Leakage!F13</f>
        <v>0</v>
      </c>
      <c r="S18" s="37">
        <f t="shared" si="1"/>
        <v>1454.9872334783183</v>
      </c>
      <c r="T18" s="37">
        <v>0</v>
      </c>
    </row>
    <row r="19" spans="1:20">
      <c r="A19" s="51"/>
      <c r="B19" s="51"/>
      <c r="C19" s="51"/>
      <c r="D19" s="51"/>
      <c r="E19" s="37">
        <f t="shared" si="0"/>
        <v>12.538461538461538</v>
      </c>
      <c r="F19" s="37">
        <f>TREND(F14:F18,E14:E18,E19:$E$22,TRUE)</f>
        <v>81.462305321914982</v>
      </c>
      <c r="H19" s="3">
        <f>'2018 MH (MAI)'!I19</f>
        <v>10.538461538461538</v>
      </c>
      <c r="I19" s="3" t="str">
        <f>'2018 MH (MAI)'!J19</f>
        <v>01/01/2028 to 31/12/2028</v>
      </c>
      <c r="J19" s="37">
        <f t="shared" si="2"/>
        <v>68.468317969953091</v>
      </c>
      <c r="K19" s="37">
        <f>J19*SUM(Overview!$B$31)</f>
        <v>879.20121026064589</v>
      </c>
      <c r="L19" s="37">
        <f t="shared" si="3"/>
        <v>1516.534167578588</v>
      </c>
      <c r="M19" s="37">
        <f t="shared" si="5"/>
        <v>60.661366703143521</v>
      </c>
      <c r="N19" s="37">
        <f t="shared" si="8"/>
        <v>30.330683351571761</v>
      </c>
      <c r="O19" s="37">
        <f t="shared" si="6"/>
        <v>1607.5262176333033</v>
      </c>
      <c r="P19" s="37">
        <f t="shared" si="4"/>
        <v>152.53898415498497</v>
      </c>
      <c r="Q19" s="37">
        <f>Baseline!F14</f>
        <v>0</v>
      </c>
      <c r="R19" s="37">
        <f>Leakage!F14</f>
        <v>0</v>
      </c>
      <c r="S19" s="37">
        <f t="shared" si="1"/>
        <v>1607.5262176333033</v>
      </c>
      <c r="T19" s="37">
        <v>0</v>
      </c>
    </row>
    <row r="20" spans="1:20">
      <c r="A20" s="51"/>
      <c r="B20" s="51"/>
      <c r="C20" s="51"/>
      <c r="D20" s="51"/>
      <c r="E20" s="37">
        <f t="shared" si="0"/>
        <v>13.538461538461538</v>
      </c>
      <c r="F20" s="37">
        <f>TREND(F15:F19,E15:E19,E20:$E$22,TRUE)</f>
        <v>87.959298997895928</v>
      </c>
      <c r="H20" s="3">
        <f>'2018 MH (MAI)'!I20</f>
        <v>11.538461538461538</v>
      </c>
      <c r="I20" s="3" t="str">
        <f>'2018 MH (MAI)'!J20</f>
        <v>01/01/2029 to 31/12/2029</v>
      </c>
      <c r="J20" s="37">
        <f t="shared" si="2"/>
        <v>74.965311645934037</v>
      </c>
      <c r="K20" s="37">
        <f>J20*SUM(Overview!$B$31)</f>
        <v>962.6290623291743</v>
      </c>
      <c r="L20" s="37">
        <f t="shared" si="3"/>
        <v>1660.4388696115927</v>
      </c>
      <c r="M20" s="37">
        <f t="shared" si="5"/>
        <v>66.417554784463704</v>
      </c>
      <c r="N20" s="37">
        <f t="shared" si="8"/>
        <v>33.208777392231852</v>
      </c>
      <c r="O20" s="37">
        <f t="shared" si="6"/>
        <v>1760.0652017882883</v>
      </c>
      <c r="P20" s="37">
        <f t="shared" si="4"/>
        <v>152.53898415498497</v>
      </c>
      <c r="Q20" s="37">
        <f>Baseline!F15</f>
        <v>0</v>
      </c>
      <c r="R20" s="37">
        <f>Leakage!F15</f>
        <v>0</v>
      </c>
      <c r="S20" s="37">
        <f t="shared" si="1"/>
        <v>1760.0652017882883</v>
      </c>
      <c r="T20" s="37">
        <v>0</v>
      </c>
    </row>
    <row r="21" spans="1:20">
      <c r="A21" s="51"/>
      <c r="B21" s="51"/>
      <c r="C21" s="51"/>
      <c r="D21" s="51"/>
      <c r="E21" s="37">
        <f t="shared" si="0"/>
        <v>14.538461538461538</v>
      </c>
      <c r="F21" s="37">
        <f>TREND(F16:F20,E16:E20,E21:$E$22,TRUE)</f>
        <v>94.456292673876874</v>
      </c>
      <c r="H21" s="3">
        <f>'2018 MH (MAI)'!I21</f>
        <v>12.538461538461538</v>
      </c>
      <c r="I21" s="3" t="str">
        <f>'2018 MH (MAI)'!J21</f>
        <v>01/01/2030 to 31/12/2030</v>
      </c>
      <c r="J21" s="37">
        <f t="shared" si="2"/>
        <v>81.462305321914982</v>
      </c>
      <c r="K21" s="37">
        <f>J21*SUM(Overview!$B$31)</f>
        <v>1046.0569143977027</v>
      </c>
      <c r="L21" s="37">
        <f t="shared" si="3"/>
        <v>1804.3435716445974</v>
      </c>
      <c r="M21" s="37">
        <f t="shared" si="5"/>
        <v>72.173742865783893</v>
      </c>
      <c r="N21" s="37">
        <f t="shared" si="8"/>
        <v>36.086871432891947</v>
      </c>
      <c r="O21" s="37">
        <f t="shared" si="6"/>
        <v>1912.6041859432733</v>
      </c>
      <c r="P21" s="37">
        <f t="shared" si="4"/>
        <v>152.53898415498497</v>
      </c>
      <c r="Q21" s="37">
        <f>Baseline!F16</f>
        <v>0</v>
      </c>
      <c r="R21" s="37">
        <f>Leakage!F16</f>
        <v>0</v>
      </c>
      <c r="S21" s="37">
        <f t="shared" si="1"/>
        <v>1912.6041859432733</v>
      </c>
      <c r="T21" s="37">
        <v>0</v>
      </c>
    </row>
    <row r="22" spans="1:20">
      <c r="A22" s="51"/>
      <c r="B22" s="51"/>
      <c r="C22" s="51"/>
      <c r="D22" s="51"/>
      <c r="E22" s="37">
        <v>15</v>
      </c>
      <c r="F22" s="37">
        <f>TREND(F17:F21,E17:E21,E22:$E$22,TRUE)</f>
        <v>97.454905139714228</v>
      </c>
      <c r="H22" s="3">
        <f>'2018 MH (MAI)'!I22</f>
        <v>13.538461538461538</v>
      </c>
      <c r="I22" s="3" t="str">
        <f>'2018 MH (MAI)'!J22</f>
        <v>01/01/2031 to 31/12/2031</v>
      </c>
      <c r="J22" s="37">
        <f t="shared" si="2"/>
        <v>87.959298997895928</v>
      </c>
      <c r="K22" s="37">
        <f>J22*SUM(Overview!$B$31)</f>
        <v>1129.4847664662311</v>
      </c>
      <c r="L22" s="37">
        <f t="shared" si="3"/>
        <v>1948.2482736776019</v>
      </c>
      <c r="M22" s="37">
        <f t="shared" si="5"/>
        <v>77.929930947104083</v>
      </c>
      <c r="N22" s="37">
        <f t="shared" si="8"/>
        <v>38.964965473552041</v>
      </c>
      <c r="O22" s="37">
        <f t="shared" si="6"/>
        <v>2065.143170098258</v>
      </c>
      <c r="P22" s="37">
        <f t="shared" si="4"/>
        <v>152.53898415498475</v>
      </c>
      <c r="Q22" s="37">
        <f>Baseline!F17</f>
        <v>0</v>
      </c>
      <c r="R22" s="37">
        <f>Leakage!F17</f>
        <v>0</v>
      </c>
      <c r="S22" s="37">
        <f t="shared" si="1"/>
        <v>2065.143170098258</v>
      </c>
      <c r="T22" s="37">
        <v>0</v>
      </c>
    </row>
    <row r="23" spans="1:20">
      <c r="H23" s="3">
        <f>'2018 MH (MAI)'!I23</f>
        <v>14.538461538461538</v>
      </c>
      <c r="I23" s="3" t="str">
        <f>'2018 MH (MAI)'!J23</f>
        <v>01/01/2032 to 31/12/2032</v>
      </c>
      <c r="J23" s="37">
        <f t="shared" si="2"/>
        <v>94.456292673876874</v>
      </c>
      <c r="K23" s="37">
        <f>J23*SUM(Overview!$B$31)</f>
        <v>1212.9126185347595</v>
      </c>
      <c r="L23" s="37">
        <f t="shared" si="3"/>
        <v>2092.1529757106068</v>
      </c>
      <c r="M23" s="37">
        <f t="shared" si="5"/>
        <v>83.686119028424272</v>
      </c>
      <c r="N23" s="37">
        <f t="shared" si="8"/>
        <v>41.843059514212136</v>
      </c>
      <c r="O23" s="37">
        <f t="shared" si="6"/>
        <v>2217.6821542532434</v>
      </c>
      <c r="P23" s="37">
        <f t="shared" si="4"/>
        <v>152.53898415498543</v>
      </c>
      <c r="Q23" s="37">
        <f>Baseline!F18</f>
        <v>0</v>
      </c>
      <c r="R23" s="37">
        <f>Leakage!F18</f>
        <v>0</v>
      </c>
      <c r="S23" s="37">
        <f t="shared" si="1"/>
        <v>2217.6821542532434</v>
      </c>
      <c r="T23" s="37">
        <v>0</v>
      </c>
    </row>
    <row r="24" spans="1:20">
      <c r="H24" s="3">
        <f>'2018 MH (MAI)'!I24</f>
        <v>15.538461538461538</v>
      </c>
      <c r="I24" s="3" t="str">
        <f>'2018 MH (MAI)'!J24</f>
        <v>01/01/2033 to 31/12/2033</v>
      </c>
      <c r="J24" s="37">
        <f t="shared" si="2"/>
        <v>97.454905139714228</v>
      </c>
      <c r="K24" s="37">
        <f>J24*SUM(Overview!$B$31)</f>
        <v>1251.4177810279264</v>
      </c>
      <c r="L24" s="37">
        <f t="shared" si="3"/>
        <v>2158.5705304950702</v>
      </c>
      <c r="M24" s="37">
        <f t="shared" si="5"/>
        <v>86.342821219802815</v>
      </c>
      <c r="N24" s="37">
        <f t="shared" si="8"/>
        <v>43.171410609901407</v>
      </c>
      <c r="O24" s="37">
        <f t="shared" si="6"/>
        <v>2288.0847623247746</v>
      </c>
      <c r="P24" s="37">
        <f t="shared" si="4"/>
        <v>70.402608071531176</v>
      </c>
      <c r="Q24" s="37">
        <f>Baseline!F19</f>
        <v>0</v>
      </c>
      <c r="R24" s="37">
        <f>Leakage!F19</f>
        <v>0</v>
      </c>
      <c r="S24" s="37">
        <f t="shared" si="1"/>
        <v>2288.0847623247746</v>
      </c>
      <c r="T24" s="37">
        <v>0</v>
      </c>
    </row>
    <row r="25" spans="1:20">
      <c r="H25" s="3">
        <f>'2018 MH (MAI)'!I25</f>
        <v>16.53846153846154</v>
      </c>
      <c r="I25" s="3" t="str">
        <f>'2018 MH (MAI)'!J25</f>
        <v>01/01/2034 to 31/12/2034</v>
      </c>
      <c r="J25" s="37">
        <f>J10</f>
        <v>0</v>
      </c>
      <c r="K25" s="37">
        <f>J25*SUM(Overview!$B$31)</f>
        <v>0</v>
      </c>
      <c r="L25" s="37">
        <f t="shared" si="3"/>
        <v>0</v>
      </c>
      <c r="M25" s="37">
        <f t="shared" si="5"/>
        <v>0</v>
      </c>
      <c r="N25" s="37">
        <f t="shared" si="8"/>
        <v>0</v>
      </c>
      <c r="O25" s="37">
        <f t="shared" si="6"/>
        <v>0</v>
      </c>
      <c r="P25" s="37">
        <f t="shared" si="4"/>
        <v>-2288.0847623247746</v>
      </c>
      <c r="Q25" s="37">
        <f>Baseline!F20</f>
        <v>0</v>
      </c>
      <c r="R25" s="37">
        <f>Leakage!F20</f>
        <v>0</v>
      </c>
      <c r="S25" s="37">
        <f t="shared" si="1"/>
        <v>0</v>
      </c>
      <c r="T25" s="37">
        <v>0</v>
      </c>
    </row>
    <row r="26" spans="1:20">
      <c r="H26" s="3">
        <f>'2018 MH (MAI)'!I26</f>
        <v>17.53846153846154</v>
      </c>
      <c r="I26" s="3" t="str">
        <f>'2018 MH (MAI)'!J26</f>
        <v>01/01/2035 to 31/12/2035</v>
      </c>
      <c r="J26" s="37">
        <f t="shared" ref="J26:J39" si="9">J11</f>
        <v>16.492368562105483</v>
      </c>
      <c r="K26" s="37">
        <f>J26*SUM(Overview!$B$31)</f>
        <v>211.77839371241828</v>
      </c>
      <c r="L26" s="37">
        <f t="shared" si="3"/>
        <v>365.2965513145503</v>
      </c>
      <c r="M26" s="37">
        <f t="shared" si="5"/>
        <v>14.611862052582012</v>
      </c>
      <c r="N26" s="37">
        <f t="shared" si="8"/>
        <v>7.305931026291006</v>
      </c>
      <c r="O26" s="37">
        <f t="shared" si="6"/>
        <v>387.21434439342329</v>
      </c>
      <c r="P26" s="37">
        <f t="shared" si="4"/>
        <v>387.21434439342329</v>
      </c>
      <c r="Q26" s="37">
        <f>Baseline!F21</f>
        <v>0</v>
      </c>
      <c r="R26" s="37">
        <f>Leakage!F21</f>
        <v>0</v>
      </c>
      <c r="S26" s="37">
        <f t="shared" si="1"/>
        <v>387.21434439342329</v>
      </c>
      <c r="T26" s="37">
        <v>0</v>
      </c>
    </row>
    <row r="27" spans="1:20">
      <c r="H27" s="3">
        <f>'2018 MH (MAI)'!I27</f>
        <v>18.53846153846154</v>
      </c>
      <c r="I27" s="3" t="str">
        <f>'2018 MH (MAI)'!J27</f>
        <v>01/01/2036 to 31/12/2036</v>
      </c>
      <c r="J27" s="37">
        <f t="shared" si="9"/>
        <v>22.989362238086432</v>
      </c>
      <c r="K27" s="37">
        <f>J27*SUM(Overview!$B$31)</f>
        <v>295.20624578094674</v>
      </c>
      <c r="L27" s="37">
        <f t="shared" si="3"/>
        <v>509.201253347555</v>
      </c>
      <c r="M27" s="37">
        <f t="shared" si="5"/>
        <v>20.368050133902202</v>
      </c>
      <c r="N27" s="37">
        <f t="shared" si="8"/>
        <v>10.184025066951101</v>
      </c>
      <c r="O27" s="37">
        <f t="shared" si="6"/>
        <v>539.75332854840826</v>
      </c>
      <c r="P27" s="37">
        <f t="shared" si="4"/>
        <v>152.53898415498497</v>
      </c>
      <c r="Q27" s="37">
        <f>Baseline!F22</f>
        <v>0</v>
      </c>
      <c r="R27" s="37">
        <f>Leakage!F22</f>
        <v>0</v>
      </c>
      <c r="S27" s="37">
        <f t="shared" si="1"/>
        <v>539.75332854840826</v>
      </c>
      <c r="T27" s="37">
        <v>0</v>
      </c>
    </row>
    <row r="28" spans="1:20">
      <c r="H28" s="3">
        <f>'2018 MH (MAI)'!I28</f>
        <v>19.53846153846154</v>
      </c>
      <c r="I28" s="3" t="str">
        <f>'2018 MH (MAI)'!J28</f>
        <v>01/01/2037 to 31/12/2037</v>
      </c>
      <c r="J28" s="37">
        <f t="shared" si="9"/>
        <v>29.486355914067385</v>
      </c>
      <c r="K28" s="37">
        <f>J28*SUM(Overview!$B$31)</f>
        <v>378.63409784947521</v>
      </c>
      <c r="L28" s="37">
        <f t="shared" si="3"/>
        <v>653.10595538055975</v>
      </c>
      <c r="M28" s="37">
        <f t="shared" si="5"/>
        <v>26.124238215222391</v>
      </c>
      <c r="N28" s="37">
        <f t="shared" si="8"/>
        <v>13.062119107611196</v>
      </c>
      <c r="O28" s="37">
        <f t="shared" si="6"/>
        <v>692.29231270339335</v>
      </c>
      <c r="P28" s="37">
        <f t="shared" si="4"/>
        <v>152.53898415498509</v>
      </c>
      <c r="Q28" s="37">
        <f>Baseline!F23</f>
        <v>0</v>
      </c>
      <c r="R28" s="37">
        <f>Leakage!F23</f>
        <v>0</v>
      </c>
      <c r="S28" s="37">
        <f t="shared" si="1"/>
        <v>692.29231270339335</v>
      </c>
      <c r="T28" s="37">
        <v>0</v>
      </c>
    </row>
    <row r="29" spans="1:20">
      <c r="H29" s="3">
        <f>'2018 MH (MAI)'!I29</f>
        <v>20.53846153846154</v>
      </c>
      <c r="I29" s="3" t="str">
        <f>'2018 MH (MAI)'!J29</f>
        <v>01/01/2038 to 31/12/2038</v>
      </c>
      <c r="J29" s="37">
        <f t="shared" si="9"/>
        <v>35.983349590048334</v>
      </c>
      <c r="K29" s="37">
        <f>J29*SUM(Overview!$B$31)</f>
        <v>462.06194991800362</v>
      </c>
      <c r="L29" s="37">
        <f t="shared" si="3"/>
        <v>797.01065741356445</v>
      </c>
      <c r="M29" s="37">
        <f t="shared" si="5"/>
        <v>31.880426296542577</v>
      </c>
      <c r="N29" s="37">
        <f t="shared" si="8"/>
        <v>15.940213148271289</v>
      </c>
      <c r="O29" s="37">
        <f t="shared" si="6"/>
        <v>844.83129685837832</v>
      </c>
      <c r="P29" s="37">
        <f t="shared" si="4"/>
        <v>152.53898415498497</v>
      </c>
      <c r="Q29" s="37">
        <f>Baseline!F24</f>
        <v>0</v>
      </c>
      <c r="R29" s="37">
        <f>Leakage!F24</f>
        <v>0</v>
      </c>
      <c r="S29" s="37">
        <f t="shared" si="1"/>
        <v>844.83129685837832</v>
      </c>
      <c r="T29" s="37">
        <v>0</v>
      </c>
    </row>
    <row r="30" spans="1:20">
      <c r="H30" s="3">
        <f>'2018 MH (MAI)'!I30</f>
        <v>21.53846153846154</v>
      </c>
      <c r="I30" s="3" t="str">
        <f>'2018 MH (MAI)'!J30</f>
        <v>01/01/2039 to 31/12/2039</v>
      </c>
      <c r="J30" s="37">
        <f t="shared" si="9"/>
        <v>42.48034326602928</v>
      </c>
      <c r="K30" s="37">
        <f>J30*SUM(Overview!$B$31)</f>
        <v>545.48980198653203</v>
      </c>
      <c r="L30" s="37">
        <f t="shared" si="3"/>
        <v>940.91535944656903</v>
      </c>
      <c r="M30" s="37">
        <f t="shared" si="5"/>
        <v>37.636614377862763</v>
      </c>
      <c r="N30" s="37">
        <f t="shared" si="8"/>
        <v>18.818307188931382</v>
      </c>
      <c r="O30" s="37">
        <f t="shared" si="6"/>
        <v>997.37028101336318</v>
      </c>
      <c r="P30" s="37">
        <f t="shared" si="4"/>
        <v>152.53898415498486</v>
      </c>
      <c r="Q30" s="37">
        <f>Baseline!F25</f>
        <v>0</v>
      </c>
      <c r="R30" s="37">
        <f>Leakage!F25</f>
        <v>0</v>
      </c>
      <c r="S30" s="37">
        <f t="shared" si="1"/>
        <v>997.37028101336318</v>
      </c>
      <c r="T30" s="37">
        <v>0</v>
      </c>
    </row>
    <row r="31" spans="1:20">
      <c r="H31" s="3">
        <f>'2018 MH (MAI)'!I31</f>
        <v>22.53846153846154</v>
      </c>
      <c r="I31" s="3" t="str">
        <f>'2018 MH (MAI)'!J31</f>
        <v>01/01/2040 to 31/12/2040</v>
      </c>
      <c r="J31" s="37">
        <f t="shared" si="9"/>
        <v>48.97733694201024</v>
      </c>
      <c r="K31" s="37">
        <f>J31*SUM(Overview!$B$31)</f>
        <v>628.91765405506055</v>
      </c>
      <c r="L31" s="37">
        <f t="shared" si="3"/>
        <v>1084.820061479574</v>
      </c>
      <c r="M31" s="37">
        <f t="shared" si="5"/>
        <v>43.39280245918296</v>
      </c>
      <c r="N31" s="37">
        <f t="shared" si="8"/>
        <v>21.69640122959148</v>
      </c>
      <c r="O31" s="37">
        <f t="shared" si="6"/>
        <v>1149.9092651683484</v>
      </c>
      <c r="P31" s="37">
        <f t="shared" si="4"/>
        <v>152.5389841549852</v>
      </c>
      <c r="Q31" s="37">
        <f>Baseline!F26</f>
        <v>0</v>
      </c>
      <c r="R31" s="37">
        <f>Leakage!F26</f>
        <v>0</v>
      </c>
      <c r="S31" s="37">
        <f t="shared" si="1"/>
        <v>1149.9092651683484</v>
      </c>
      <c r="T31" s="37">
        <v>0</v>
      </c>
    </row>
    <row r="32" spans="1:20">
      <c r="H32" s="3">
        <f>'2018 MH (MAI)'!I32</f>
        <v>23.53846153846154</v>
      </c>
      <c r="I32" s="3" t="str">
        <f>'2018 MH (MAI)'!J32</f>
        <v>01/01/2041 to 31/12/2041</v>
      </c>
      <c r="J32" s="37">
        <f t="shared" si="9"/>
        <v>55.474330617991185</v>
      </c>
      <c r="K32" s="37">
        <f>J32*SUM(Overview!$B$31)</f>
        <v>712.34550612358896</v>
      </c>
      <c r="L32" s="37">
        <f t="shared" si="3"/>
        <v>1228.7247635125784</v>
      </c>
      <c r="M32" s="37">
        <f t="shared" si="5"/>
        <v>49.148990540503135</v>
      </c>
      <c r="N32" s="37">
        <f t="shared" si="8"/>
        <v>24.574495270251568</v>
      </c>
      <c r="O32" s="37">
        <f t="shared" si="6"/>
        <v>1302.4482493233331</v>
      </c>
      <c r="P32" s="37">
        <f t="shared" si="4"/>
        <v>152.53898415498475</v>
      </c>
      <c r="Q32" s="37">
        <f>Baseline!F27</f>
        <v>0</v>
      </c>
      <c r="R32" s="37">
        <f>Leakage!F27</f>
        <v>0</v>
      </c>
      <c r="S32" s="37">
        <f t="shared" si="1"/>
        <v>1302.4482493233331</v>
      </c>
      <c r="T32" s="37">
        <v>0</v>
      </c>
    </row>
    <row r="33" spans="8:20">
      <c r="H33" s="3">
        <f>'2018 MH (MAI)'!I33</f>
        <v>24.53846153846154</v>
      </c>
      <c r="I33" s="3" t="str">
        <f>'2018 MH (MAI)'!J33</f>
        <v>01/01/2042 to 31/12/2042</v>
      </c>
      <c r="J33" s="37">
        <f t="shared" si="9"/>
        <v>61.971324293972138</v>
      </c>
      <c r="K33" s="37">
        <f>J33*SUM(Overview!$B$31)</f>
        <v>795.77335819211748</v>
      </c>
      <c r="L33" s="37">
        <f t="shared" si="3"/>
        <v>1372.6294655455833</v>
      </c>
      <c r="M33" s="37">
        <f t="shared" si="5"/>
        <v>54.905178621823332</v>
      </c>
      <c r="N33" s="37">
        <f t="shared" si="8"/>
        <v>27.452589310911666</v>
      </c>
      <c r="O33" s="37">
        <f t="shared" si="6"/>
        <v>1454.9872334783183</v>
      </c>
      <c r="P33" s="37">
        <f t="shared" si="4"/>
        <v>152.5389841549852</v>
      </c>
      <c r="Q33" s="37">
        <f>Baseline!F28</f>
        <v>0</v>
      </c>
      <c r="R33" s="37">
        <f>Leakage!F28</f>
        <v>0</v>
      </c>
      <c r="S33" s="37">
        <f t="shared" si="1"/>
        <v>1454.9872334783183</v>
      </c>
      <c r="T33" s="37">
        <v>0</v>
      </c>
    </row>
    <row r="34" spans="8:20">
      <c r="H34" s="3">
        <f>'2018 MH (MAI)'!I34</f>
        <v>25.53846153846154</v>
      </c>
      <c r="I34" s="3" t="str">
        <f>'2018 MH (MAI)'!J34</f>
        <v>01/01/2043 to 31/12/2043</v>
      </c>
      <c r="J34" s="37">
        <f t="shared" si="9"/>
        <v>68.468317969953091</v>
      </c>
      <c r="K34" s="37">
        <f>J34*SUM(Overview!$B$31)</f>
        <v>879.20121026064589</v>
      </c>
      <c r="L34" s="37">
        <f t="shared" si="3"/>
        <v>1516.534167578588</v>
      </c>
      <c r="M34" s="37">
        <f t="shared" si="5"/>
        <v>60.661366703143521</v>
      </c>
      <c r="N34" s="37">
        <f t="shared" si="8"/>
        <v>30.330683351571761</v>
      </c>
      <c r="O34" s="37">
        <f t="shared" si="6"/>
        <v>1607.5262176333033</v>
      </c>
      <c r="P34" s="37">
        <f t="shared" si="4"/>
        <v>152.53898415498497</v>
      </c>
      <c r="Q34" s="37">
        <f>Baseline!F29</f>
        <v>0</v>
      </c>
      <c r="R34" s="37">
        <f>Leakage!F29</f>
        <v>0</v>
      </c>
      <c r="S34" s="37">
        <f t="shared" si="1"/>
        <v>1607.5262176333033</v>
      </c>
      <c r="T34" s="37">
        <v>0</v>
      </c>
    </row>
    <row r="35" spans="8:20">
      <c r="H35" s="3">
        <f>'2018 MH (MAI)'!I35</f>
        <v>26.53846153846154</v>
      </c>
      <c r="I35" s="3" t="str">
        <f>'2018 MH (MAI)'!J35</f>
        <v>01/01/2044 to 31/12/2044</v>
      </c>
      <c r="J35" s="37">
        <f t="shared" si="9"/>
        <v>74.965311645934037</v>
      </c>
      <c r="K35" s="37">
        <f>J35*SUM(Overview!$B$31)</f>
        <v>962.6290623291743</v>
      </c>
      <c r="L35" s="37">
        <f t="shared" si="3"/>
        <v>1660.4388696115927</v>
      </c>
      <c r="M35" s="37">
        <f t="shared" si="5"/>
        <v>66.417554784463704</v>
      </c>
      <c r="N35" s="37">
        <f t="shared" si="8"/>
        <v>33.208777392231852</v>
      </c>
      <c r="O35" s="37">
        <f t="shared" si="6"/>
        <v>1760.0652017882883</v>
      </c>
      <c r="P35" s="37">
        <f t="shared" si="4"/>
        <v>152.53898415498497</v>
      </c>
      <c r="Q35" s="37">
        <f>Baseline!F30</f>
        <v>0</v>
      </c>
      <c r="R35" s="37">
        <f>Leakage!F30</f>
        <v>0</v>
      </c>
      <c r="S35" s="37">
        <f t="shared" si="1"/>
        <v>1760.0652017882883</v>
      </c>
      <c r="T35" s="37">
        <v>0</v>
      </c>
    </row>
    <row r="36" spans="8:20">
      <c r="H36" s="3">
        <f>'2018 MH (MAI)'!I36</f>
        <v>27.53846153846154</v>
      </c>
      <c r="I36" s="3" t="str">
        <f>'2018 MH (MAI)'!J36</f>
        <v>01/01/2045 to 31/12/2045</v>
      </c>
      <c r="J36" s="37">
        <f t="shared" si="9"/>
        <v>81.462305321914982</v>
      </c>
      <c r="K36" s="37">
        <f>J36*SUM(Overview!$B$31)</f>
        <v>1046.0569143977027</v>
      </c>
      <c r="L36" s="37">
        <f t="shared" si="3"/>
        <v>1804.3435716445974</v>
      </c>
      <c r="M36" s="37">
        <f t="shared" si="5"/>
        <v>72.173742865783893</v>
      </c>
      <c r="N36" s="37">
        <f t="shared" si="8"/>
        <v>36.086871432891947</v>
      </c>
      <c r="O36" s="37">
        <f t="shared" si="6"/>
        <v>1912.6041859432733</v>
      </c>
      <c r="P36" s="37">
        <f t="shared" si="4"/>
        <v>152.53898415498497</v>
      </c>
      <c r="Q36" s="37">
        <f>Baseline!F31</f>
        <v>0</v>
      </c>
      <c r="R36" s="37">
        <f>Leakage!F31</f>
        <v>0</v>
      </c>
      <c r="S36" s="37">
        <f t="shared" si="1"/>
        <v>1912.6041859432733</v>
      </c>
      <c r="T36" s="37">
        <v>0</v>
      </c>
    </row>
    <row r="37" spans="8:20">
      <c r="H37" s="3">
        <f>'2018 MH (MAI)'!I37</f>
        <v>28.53846153846154</v>
      </c>
      <c r="I37" s="3" t="str">
        <f>'2018 MH (MAI)'!J37</f>
        <v>01/01/2046 to 31/12/2046</v>
      </c>
      <c r="J37" s="37">
        <f t="shared" si="9"/>
        <v>87.959298997895928</v>
      </c>
      <c r="K37" s="37">
        <f>J37*SUM(Overview!$B$31)</f>
        <v>1129.4847664662311</v>
      </c>
      <c r="L37" s="37">
        <f t="shared" si="3"/>
        <v>1948.2482736776019</v>
      </c>
      <c r="M37" s="37">
        <f t="shared" si="5"/>
        <v>77.929930947104083</v>
      </c>
      <c r="N37" s="37">
        <f t="shared" si="8"/>
        <v>38.964965473552041</v>
      </c>
      <c r="O37" s="37">
        <f t="shared" si="6"/>
        <v>2065.143170098258</v>
      </c>
      <c r="P37" s="37">
        <f t="shared" si="4"/>
        <v>152.53898415498475</v>
      </c>
      <c r="Q37" s="37">
        <f>Baseline!F32</f>
        <v>0</v>
      </c>
      <c r="R37" s="37">
        <f>Leakage!F32</f>
        <v>0</v>
      </c>
      <c r="S37" s="37">
        <f t="shared" si="1"/>
        <v>2065.143170098258</v>
      </c>
      <c r="T37" s="37">
        <v>0</v>
      </c>
    </row>
    <row r="38" spans="8:20">
      <c r="H38" s="3">
        <f>'2018 MH (MAI)'!I38</f>
        <v>29.53846153846154</v>
      </c>
      <c r="I38" s="3" t="str">
        <f>'2018 MH (MAI)'!J38</f>
        <v>01/01/2047 to 31/12/2047</v>
      </c>
      <c r="J38" s="37">
        <f t="shared" si="9"/>
        <v>94.456292673876874</v>
      </c>
      <c r="K38" s="37">
        <f>J38*SUM(Overview!$B$31)</f>
        <v>1212.9126185347595</v>
      </c>
      <c r="L38" s="37">
        <f t="shared" si="3"/>
        <v>2092.1529757106068</v>
      </c>
      <c r="M38" s="37">
        <f t="shared" si="5"/>
        <v>83.686119028424272</v>
      </c>
      <c r="N38" s="37">
        <f t="shared" si="8"/>
        <v>41.843059514212136</v>
      </c>
      <c r="O38" s="37">
        <f t="shared" si="6"/>
        <v>2217.6821542532434</v>
      </c>
      <c r="P38" s="37">
        <f t="shared" si="4"/>
        <v>152.53898415498543</v>
      </c>
      <c r="Q38" s="37">
        <f>Baseline!F33</f>
        <v>0</v>
      </c>
      <c r="R38" s="37">
        <f>Leakage!F33</f>
        <v>0</v>
      </c>
      <c r="S38" s="37">
        <f t="shared" si="1"/>
        <v>2217.6821542532434</v>
      </c>
      <c r="T38" s="37">
        <v>0</v>
      </c>
    </row>
    <row r="39" spans="8:20">
      <c r="H39" s="3">
        <f>'2018 MH (MAI)'!I39</f>
        <v>30.53846153846154</v>
      </c>
      <c r="I39" s="3" t="str">
        <f>'2018 MH (MAI)'!J39</f>
        <v>01/01/2048 to 31/12/2048</v>
      </c>
      <c r="J39" s="37">
        <f t="shared" si="9"/>
        <v>97.454905139714228</v>
      </c>
      <c r="K39" s="37">
        <f>J39*SUM(Overview!$B$31)</f>
        <v>1251.4177810279264</v>
      </c>
      <c r="L39" s="37">
        <f t="shared" si="3"/>
        <v>2158.5705304950702</v>
      </c>
      <c r="M39" s="37">
        <f t="shared" si="5"/>
        <v>86.342821219802815</v>
      </c>
      <c r="N39" s="37">
        <f t="shared" si="8"/>
        <v>43.171410609901407</v>
      </c>
      <c r="O39" s="37">
        <f t="shared" si="6"/>
        <v>2288.0847623247746</v>
      </c>
      <c r="P39" s="37">
        <f t="shared" si="4"/>
        <v>70.402608071531176</v>
      </c>
      <c r="Q39" s="37">
        <f>Baseline!F34</f>
        <v>0</v>
      </c>
      <c r="R39" s="37">
        <f>Leakage!F34</f>
        <v>0</v>
      </c>
      <c r="S39" s="37">
        <f t="shared" si="1"/>
        <v>2288.0847623247746</v>
      </c>
      <c r="T39" s="37">
        <v>0</v>
      </c>
    </row>
    <row r="40" spans="8:20">
      <c r="H40" s="3">
        <f>'2018 MH (MAI)'!I40</f>
        <v>31.53846153846154</v>
      </c>
      <c r="I40" s="3" t="str">
        <f>'2018 MH (MAI)'!J40</f>
        <v>01/01/2049 to 31/12/2049</v>
      </c>
      <c r="J40" s="37">
        <v>0</v>
      </c>
      <c r="K40" s="37">
        <f>J40*SUM(Overview!$B$31)</f>
        <v>0</v>
      </c>
      <c r="L40" s="37">
        <f t="shared" si="3"/>
        <v>0</v>
      </c>
      <c r="M40" s="37">
        <f t="shared" si="5"/>
        <v>0</v>
      </c>
      <c r="N40" s="37">
        <f t="shared" si="8"/>
        <v>0</v>
      </c>
      <c r="O40" s="37">
        <f t="shared" si="6"/>
        <v>0</v>
      </c>
      <c r="P40" s="37">
        <f t="shared" si="4"/>
        <v>-2288.0847623247746</v>
      </c>
      <c r="Q40" s="37">
        <f>Baseline!F35</f>
        <v>0</v>
      </c>
      <c r="R40" s="37">
        <f>Leakage!F35</f>
        <v>0</v>
      </c>
      <c r="S40" s="37">
        <f t="shared" si="1"/>
        <v>0</v>
      </c>
      <c r="T40" s="37">
        <v>0</v>
      </c>
    </row>
    <row r="41" spans="8:20">
      <c r="H41" s="3">
        <f>'2018 MH (MAI)'!I41</f>
        <v>32.53846153846154</v>
      </c>
      <c r="I41" s="3" t="str">
        <f>'2018 MH (MAI)'!J41</f>
        <v>01/01/2050 to 31/12/2050</v>
      </c>
      <c r="J41" s="37">
        <v>0</v>
      </c>
      <c r="K41" s="37">
        <f>J41*SUM(Overview!$B$31)</f>
        <v>0</v>
      </c>
      <c r="L41" s="37">
        <f t="shared" si="3"/>
        <v>0</v>
      </c>
      <c r="M41" s="37">
        <f t="shared" si="5"/>
        <v>0</v>
      </c>
      <c r="N41" s="37">
        <f t="shared" si="8"/>
        <v>0</v>
      </c>
      <c r="O41" s="37">
        <f t="shared" si="6"/>
        <v>0</v>
      </c>
      <c r="P41" s="37">
        <f t="shared" si="4"/>
        <v>0</v>
      </c>
      <c r="Q41" s="37">
        <f>Baseline!F36*(H41-H40)</f>
        <v>0</v>
      </c>
      <c r="R41" s="37">
        <f>Leakage!F36*(H41-H40)</f>
        <v>0</v>
      </c>
      <c r="S41" s="37">
        <f t="shared" si="1"/>
        <v>0</v>
      </c>
      <c r="T41" s="37">
        <v>0</v>
      </c>
    </row>
    <row r="42" spans="8:20">
      <c r="H42" s="3">
        <f>'2018 MH (MAI)'!I42</f>
        <v>33.53846153846154</v>
      </c>
      <c r="I42" s="3" t="str">
        <f>'2018 MH (MAI)'!J42</f>
        <v>01/01/2051 to 31/12/2051</v>
      </c>
      <c r="J42" s="37">
        <v>0</v>
      </c>
      <c r="K42" s="37">
        <f>J42*SUM(Overview!$B$31)</f>
        <v>0</v>
      </c>
      <c r="L42" s="37">
        <f t="shared" si="3"/>
        <v>0</v>
      </c>
      <c r="M42" s="37">
        <f t="shared" si="5"/>
        <v>0</v>
      </c>
      <c r="N42" s="37">
        <f t="shared" si="8"/>
        <v>0</v>
      </c>
      <c r="O42" s="37">
        <f t="shared" si="6"/>
        <v>0</v>
      </c>
      <c r="P42" s="37">
        <f t="shared" si="4"/>
        <v>0</v>
      </c>
      <c r="Q42" s="37">
        <f>Baseline!F36*H42</f>
        <v>0</v>
      </c>
      <c r="R42" s="37">
        <f>Leakage!F36*H42</f>
        <v>0</v>
      </c>
      <c r="S42" s="37">
        <f t="shared" si="1"/>
        <v>0</v>
      </c>
      <c r="T42" s="37">
        <v>0</v>
      </c>
    </row>
    <row r="43" spans="8:20">
      <c r="H43" s="3">
        <f>'2018 MH (MAI)'!I43</f>
        <v>34</v>
      </c>
      <c r="I43" s="3" t="str">
        <f>'2018 MH (MAI)'!J43</f>
        <v>01/01/2052 to 17/06/2052</v>
      </c>
      <c r="J43" s="37">
        <v>0</v>
      </c>
      <c r="K43" s="37">
        <f>J43*SUM(Overview!$B$31)</f>
        <v>0</v>
      </c>
      <c r="L43" s="37">
        <f t="shared" si="3"/>
        <v>0</v>
      </c>
      <c r="M43" s="37">
        <f t="shared" si="5"/>
        <v>0</v>
      </c>
      <c r="N43" s="37">
        <f t="shared" si="8"/>
        <v>0</v>
      </c>
      <c r="O43" s="37">
        <f t="shared" si="6"/>
        <v>0</v>
      </c>
      <c r="P43" s="37">
        <f t="shared" si="4"/>
        <v>0</v>
      </c>
      <c r="Q43" s="37">
        <f>Baseline!F37</f>
        <v>0</v>
      </c>
      <c r="R43" s="37">
        <f>Leakage!F37</f>
        <v>0</v>
      </c>
      <c r="S43" s="37">
        <f t="shared" si="1"/>
        <v>0</v>
      </c>
      <c r="T43" s="37">
        <v>0</v>
      </c>
    </row>
    <row r="44" spans="8:20">
      <c r="R44" s="65" t="s">
        <v>97</v>
      </c>
      <c r="S44" s="66">
        <f>SUM(S9:S40)</f>
        <v>38439.824007056217</v>
      </c>
    </row>
    <row r="45" spans="8:20">
      <c r="R45" s="65" t="s">
        <v>98</v>
      </c>
      <c r="S45" s="66">
        <f>S44/30</f>
        <v>1281.327466901874</v>
      </c>
    </row>
  </sheetData>
  <mergeCells count="16">
    <mergeCell ref="A5:F5"/>
    <mergeCell ref="R6:R8"/>
    <mergeCell ref="S6:S8"/>
    <mergeCell ref="T6:T8"/>
    <mergeCell ref="H7:H8"/>
    <mergeCell ref="I7:I8"/>
    <mergeCell ref="J7:J8"/>
    <mergeCell ref="H6:J6"/>
    <mergeCell ref="K6:K8"/>
    <mergeCell ref="L6:L8"/>
    <mergeCell ref="M6:M8"/>
    <mergeCell ref="N6:N8"/>
    <mergeCell ref="O6:O8"/>
    <mergeCell ref="Q6:Q8"/>
    <mergeCell ref="P6:P8"/>
    <mergeCell ref="D7:D12"/>
  </mergeCells>
  <conditionalFormatting sqref="C8">
    <cfRule type="cellIs" dxfId="3" priority="1" operator="equal">
      <formula>647012.5824</formula>
    </cfRule>
  </conditionalFormatting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ksheet" dvAspect="DVASPECT_ICON" shapeId="31754" r:id="rId4">
          <objectPr defaultSize="0" autoPict="0" r:id="rId5">
            <anchor moveWithCells="1">
              <from>
                <xdr:col>3</xdr:col>
                <xdr:colOff>95250</xdr:colOff>
                <xdr:row>6</xdr:row>
                <xdr:rowOff>142875</xdr:rowOff>
              </from>
              <to>
                <xdr:col>3</xdr:col>
                <xdr:colOff>1295400</xdr:colOff>
                <xdr:row>11</xdr:row>
                <xdr:rowOff>95250</xdr:rowOff>
              </to>
            </anchor>
          </objectPr>
        </oleObject>
      </mc:Choice>
      <mc:Fallback>
        <oleObject progId="Worksheet" dvAspect="DVASPECT_ICON" shapeId="31754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67D3D-8751-4E55-AED8-082DFFF9544F}">
  <sheetPr codeName="Sheet3">
    <tabColor theme="1"/>
  </sheetPr>
  <dimension ref="A1:V45"/>
  <sheetViews>
    <sheetView topLeftCell="A7" zoomScale="106" zoomScaleNormal="106" workbookViewId="0">
      <selection activeCell="F22" sqref="F22"/>
    </sheetView>
  </sheetViews>
  <sheetFormatPr defaultRowHeight="15"/>
  <cols>
    <col min="2" max="2" width="25.42578125" customWidth="1"/>
    <col min="3" max="3" width="13.42578125" customWidth="1"/>
    <col min="4" max="4" width="14.28515625" customWidth="1"/>
    <col min="5" max="5" width="7.5703125" customWidth="1"/>
    <col min="6" max="6" width="13.42578125" customWidth="1"/>
    <col min="10" max="10" width="53" customWidth="1"/>
    <col min="11" max="11" width="15.140625" bestFit="1" customWidth="1"/>
    <col min="12" max="12" width="15.140625" customWidth="1"/>
    <col min="13" max="13" width="16" customWidth="1"/>
    <col min="14" max="14" width="15.85546875" customWidth="1"/>
    <col min="15" max="15" width="15.5703125" bestFit="1" customWidth="1"/>
    <col min="16" max="16" width="14.42578125" bestFit="1" customWidth="1"/>
    <col min="17" max="17" width="17.5703125" customWidth="1"/>
    <col min="18" max="18" width="17.28515625" customWidth="1"/>
    <col min="19" max="19" width="26.7109375" customWidth="1"/>
    <col min="20" max="20" width="21.28515625" customWidth="1"/>
    <col min="21" max="21" width="27.7109375" customWidth="1"/>
    <col min="22" max="22" width="18.5703125" customWidth="1"/>
  </cols>
  <sheetData>
    <row r="1" spans="1:22" ht="45">
      <c r="M1" s="81" t="s">
        <v>31</v>
      </c>
      <c r="N1" s="82" t="s">
        <v>32</v>
      </c>
      <c r="O1" s="82" t="s">
        <v>33</v>
      </c>
    </row>
    <row r="2" spans="1:22">
      <c r="M2" s="16">
        <v>0.47</v>
      </c>
      <c r="N2" s="17">
        <v>0.04</v>
      </c>
      <c r="O2" s="17">
        <v>0.02</v>
      </c>
    </row>
    <row r="5" spans="1:22">
      <c r="A5" s="134" t="s">
        <v>23</v>
      </c>
      <c r="B5" s="134"/>
      <c r="C5" s="134"/>
      <c r="D5" s="134"/>
      <c r="E5" s="134"/>
      <c r="F5" s="134"/>
    </row>
    <row r="6" spans="1:22" ht="60">
      <c r="A6" s="79" t="s">
        <v>35</v>
      </c>
      <c r="B6" s="79" t="s">
        <v>36</v>
      </c>
      <c r="C6" s="79" t="s">
        <v>37</v>
      </c>
      <c r="D6" s="79" t="s">
        <v>38</v>
      </c>
      <c r="E6" s="80" t="s">
        <v>51</v>
      </c>
      <c r="F6" s="79" t="s">
        <v>37</v>
      </c>
      <c r="I6" s="119" t="s">
        <v>40</v>
      </c>
      <c r="J6" s="120"/>
      <c r="K6" s="120"/>
      <c r="L6" s="121"/>
      <c r="M6" s="117" t="s">
        <v>41</v>
      </c>
      <c r="N6" s="122" t="s">
        <v>108</v>
      </c>
      <c r="O6" s="122" t="s">
        <v>101</v>
      </c>
      <c r="P6" s="117" t="s">
        <v>102</v>
      </c>
      <c r="Q6" s="122" t="s">
        <v>103</v>
      </c>
      <c r="R6" s="122" t="s">
        <v>46</v>
      </c>
      <c r="S6" s="122" t="s">
        <v>47</v>
      </c>
      <c r="T6" s="117" t="s">
        <v>109</v>
      </c>
      <c r="U6" s="122" t="s">
        <v>110</v>
      </c>
      <c r="V6" s="117" t="s">
        <v>50</v>
      </c>
    </row>
    <row r="7" spans="1:22" ht="15" customHeight="1">
      <c r="A7" s="51"/>
      <c r="B7" s="52">
        <v>0</v>
      </c>
      <c r="C7" s="52">
        <v>0</v>
      </c>
      <c r="D7" s="124"/>
      <c r="E7" s="37">
        <f>I8</f>
        <v>0</v>
      </c>
      <c r="F7" s="37">
        <v>0</v>
      </c>
      <c r="I7" s="117" t="s">
        <v>51</v>
      </c>
      <c r="J7" s="132" t="s">
        <v>52</v>
      </c>
      <c r="K7" s="132" t="s">
        <v>53</v>
      </c>
      <c r="L7" s="132" t="s">
        <v>54</v>
      </c>
      <c r="M7" s="123"/>
      <c r="N7" s="122"/>
      <c r="O7" s="122"/>
      <c r="P7" s="123"/>
      <c r="Q7" s="122"/>
      <c r="R7" s="122"/>
      <c r="S7" s="122"/>
      <c r="T7" s="123"/>
      <c r="U7" s="122" t="s">
        <v>55</v>
      </c>
      <c r="V7" s="123"/>
    </row>
    <row r="8" spans="1:22">
      <c r="A8" s="51" t="s">
        <v>111</v>
      </c>
      <c r="B8" s="37">
        <v>5.7479452054794518</v>
      </c>
      <c r="C8" s="57">
        <v>57.294079799105404</v>
      </c>
      <c r="D8" s="125"/>
      <c r="E8" s="37">
        <f>I9</f>
        <v>0.53846153846153799</v>
      </c>
      <c r="F8" s="37">
        <v>0</v>
      </c>
      <c r="I8" s="118"/>
      <c r="J8" s="133"/>
      <c r="K8" s="133"/>
      <c r="L8" s="133"/>
      <c r="M8" s="118"/>
      <c r="N8" s="122"/>
      <c r="O8" s="122"/>
      <c r="P8" s="118"/>
      <c r="Q8" s="122"/>
      <c r="R8" s="122"/>
      <c r="S8" s="122"/>
      <c r="T8" s="118"/>
      <c r="U8" s="122"/>
      <c r="V8" s="118"/>
    </row>
    <row r="9" spans="1:22" ht="15" customHeight="1">
      <c r="A9" s="51"/>
      <c r="B9" s="51"/>
      <c r="C9" s="51"/>
      <c r="D9" s="125"/>
      <c r="E9" s="37">
        <f>I10</f>
        <v>1.5384615384615379</v>
      </c>
      <c r="F9" s="37">
        <v>0</v>
      </c>
      <c r="I9" s="3">
        <f>'2018 PM (MAI)'!J9</f>
        <v>0.53846153846153799</v>
      </c>
      <c r="J9" s="3" t="str">
        <f>'2018 PM (MAI)'!K9</f>
        <v>18/06/2018 to 31/12/2018</v>
      </c>
      <c r="K9" s="37"/>
      <c r="L9" s="135" t="s">
        <v>112</v>
      </c>
      <c r="M9" s="37"/>
      <c r="N9" s="37"/>
      <c r="O9" s="37"/>
      <c r="P9" s="37"/>
      <c r="Q9" s="37"/>
      <c r="R9" s="37">
        <f>Q9</f>
        <v>0</v>
      </c>
      <c r="S9" s="37">
        <f>Baseline!E4</f>
        <v>0</v>
      </c>
      <c r="T9" s="37">
        <f>Leakage!E4</f>
        <v>0</v>
      </c>
      <c r="U9" s="37">
        <f>Q9-S9-T9</f>
        <v>0</v>
      </c>
      <c r="V9" s="37">
        <f t="shared" ref="V9:V16" si="0">U9-U8</f>
        <v>0</v>
      </c>
    </row>
    <row r="10" spans="1:22">
      <c r="A10" s="51"/>
      <c r="B10" s="51"/>
      <c r="C10" s="51"/>
      <c r="D10" s="125"/>
      <c r="E10" s="37">
        <f>I11</f>
        <v>2.5384615384615379</v>
      </c>
      <c r="F10" s="37">
        <f>TREND(C7:C8,B7:B8,E10,TRUE)</f>
        <v>25.302749548295974</v>
      </c>
      <c r="I10" s="3">
        <f>'2018 PM (MAI)'!J10</f>
        <v>1.5384615384615379</v>
      </c>
      <c r="J10" s="3" t="str">
        <f>'2018 PM (MAI)'!K10</f>
        <v>01/01/2019 to 31/12/2019</v>
      </c>
      <c r="K10" s="37"/>
      <c r="L10" s="136"/>
      <c r="M10" s="37"/>
      <c r="N10" s="37"/>
      <c r="O10" s="37"/>
      <c r="P10" s="37"/>
      <c r="Q10" s="37"/>
      <c r="R10" s="37">
        <f>Q10-Q9</f>
        <v>0</v>
      </c>
      <c r="S10" s="37">
        <f>Baseline!E5</f>
        <v>0</v>
      </c>
      <c r="T10" s="37">
        <f>Leakage!E5</f>
        <v>0</v>
      </c>
      <c r="U10" s="37">
        <f t="shared" ref="U10:U43" si="1">Q10-S10-T10</f>
        <v>0</v>
      </c>
      <c r="V10" s="37">
        <f t="shared" si="0"/>
        <v>0</v>
      </c>
    </row>
    <row r="11" spans="1:22">
      <c r="A11" s="51"/>
      <c r="B11" s="51"/>
      <c r="C11" s="51"/>
      <c r="D11" s="125"/>
      <c r="E11" s="37">
        <f>E10+1</f>
        <v>3.5384615384615379</v>
      </c>
      <c r="F11" s="37">
        <f>TREND(C7:C8,B7:B8,E11,TRUE)</f>
        <v>35.27049937035197</v>
      </c>
      <c r="I11" s="3">
        <f>'2018 PM (MAI)'!J11</f>
        <v>2.5384615384615379</v>
      </c>
      <c r="J11" s="3" t="str">
        <f>'2018 PM (MAI)'!K11</f>
        <v>01/01/2020 to 31/12/2020</v>
      </c>
      <c r="K11" s="37">
        <f t="shared" ref="K11:K24" si="2">F10</f>
        <v>25.302749548295974</v>
      </c>
      <c r="L11" s="136"/>
      <c r="M11" s="37">
        <f>K11*SUM(Overview!$B$32)</f>
        <v>307.83324712536381</v>
      </c>
      <c r="N11" s="37">
        <f t="shared" ref="N11:N43" si="3">M11*$M$2*3.67</f>
        <v>530.98156796653996</v>
      </c>
      <c r="O11" s="37">
        <f t="shared" ref="O11:O43" si="4">N11*$N$2</f>
        <v>21.2392627186616</v>
      </c>
      <c r="P11" s="37">
        <f t="shared" ref="P11:P43" si="5">N11*$O$2</f>
        <v>10.6196313593308</v>
      </c>
      <c r="Q11" s="37">
        <f>P11+O11+N11</f>
        <v>562.84046204453239</v>
      </c>
      <c r="R11" s="37">
        <f t="shared" ref="R11:R43" si="6">Q11-Q10</f>
        <v>562.84046204453239</v>
      </c>
      <c r="S11" s="37">
        <f>Baseline!E6</f>
        <v>0</v>
      </c>
      <c r="T11" s="37">
        <f>Leakage!E6</f>
        <v>0</v>
      </c>
      <c r="U11" s="37">
        <f t="shared" si="1"/>
        <v>562.84046204453239</v>
      </c>
      <c r="V11" s="37">
        <f t="shared" si="0"/>
        <v>562.84046204453239</v>
      </c>
    </row>
    <row r="12" spans="1:22">
      <c r="A12" s="51"/>
      <c r="B12" s="51"/>
      <c r="C12" s="51"/>
      <c r="D12" s="126"/>
      <c r="E12" s="37">
        <f>E11+1</f>
        <v>4.5384615384615383</v>
      </c>
      <c r="F12" s="37">
        <f>TREND(C7:C8,B7:B8,E12,TRUE)</f>
        <v>45.238249192407963</v>
      </c>
      <c r="I12" s="3">
        <f>'2018 PM (MAI)'!J12</f>
        <v>3.5384615384615379</v>
      </c>
      <c r="J12" s="3" t="str">
        <f>'2018 PM (MAI)'!K12</f>
        <v>01/01/2021 to 31/12/2021</v>
      </c>
      <c r="K12" s="37">
        <f t="shared" si="2"/>
        <v>35.27049937035197</v>
      </c>
      <c r="L12" s="136"/>
      <c r="M12" s="37">
        <f>K12*SUM(Overview!$B$32)</f>
        <v>429.1008899323254</v>
      </c>
      <c r="N12" s="37">
        <f t="shared" si="3"/>
        <v>740.15612504426804</v>
      </c>
      <c r="O12" s="37">
        <f t="shared" si="4"/>
        <v>29.606245001770723</v>
      </c>
      <c r="P12" s="37">
        <f t="shared" si="5"/>
        <v>14.803122500885362</v>
      </c>
      <c r="Q12" s="37">
        <f t="shared" ref="Q12:Q43" si="7">P12+O12+N12</f>
        <v>784.56549254692413</v>
      </c>
      <c r="R12" s="37">
        <f t="shared" si="6"/>
        <v>221.72503050239175</v>
      </c>
      <c r="S12" s="37">
        <f>Baseline!E7</f>
        <v>0</v>
      </c>
      <c r="T12" s="37">
        <f>Leakage!E7</f>
        <v>0</v>
      </c>
      <c r="U12" s="37">
        <f t="shared" si="1"/>
        <v>784.56549254692413</v>
      </c>
      <c r="V12" s="37">
        <f t="shared" si="0"/>
        <v>221.72503050239175</v>
      </c>
    </row>
    <row r="13" spans="1:22">
      <c r="A13" s="51"/>
      <c r="B13" s="51"/>
      <c r="C13" s="51"/>
      <c r="D13" s="51"/>
      <c r="E13" s="37">
        <f>E12+1</f>
        <v>5.5384615384615383</v>
      </c>
      <c r="F13" s="37">
        <f>TREND(C7:C8,B7:B8,E13,TRUE)</f>
        <v>55.205999014463956</v>
      </c>
      <c r="I13" s="3">
        <f>'2018 PM (MAI)'!J13</f>
        <v>4.5384615384615383</v>
      </c>
      <c r="J13" s="3" t="str">
        <f>'2018 PM (MAI)'!K13</f>
        <v>01/01/2022 to 31/12/2022</v>
      </c>
      <c r="K13" s="37">
        <f t="shared" si="2"/>
        <v>45.238249192407963</v>
      </c>
      <c r="L13" s="136"/>
      <c r="M13" s="37">
        <f>K13*SUM(Overview!$B$32)</f>
        <v>550.36853273928693</v>
      </c>
      <c r="N13" s="37">
        <f t="shared" si="3"/>
        <v>949.33068212199601</v>
      </c>
      <c r="O13" s="37">
        <f t="shared" si="4"/>
        <v>37.97322728487984</v>
      </c>
      <c r="P13" s="37">
        <f t="shared" si="5"/>
        <v>18.98661364243992</v>
      </c>
      <c r="Q13" s="37">
        <f t="shared" si="7"/>
        <v>1006.2905230493158</v>
      </c>
      <c r="R13" s="37">
        <f t="shared" si="6"/>
        <v>221.72503050239163</v>
      </c>
      <c r="S13" s="37">
        <f>Baseline!E8</f>
        <v>0</v>
      </c>
      <c r="T13" s="37">
        <f>Leakage!E8</f>
        <v>0</v>
      </c>
      <c r="U13" s="37">
        <f t="shared" si="1"/>
        <v>1006.2905230493158</v>
      </c>
      <c r="V13" s="37">
        <f t="shared" si="0"/>
        <v>221.72503050239163</v>
      </c>
    </row>
    <row r="14" spans="1:22">
      <c r="A14" s="51"/>
      <c r="B14" s="51"/>
      <c r="C14" s="51"/>
      <c r="D14" s="51"/>
      <c r="E14" s="37">
        <f t="shared" ref="E14:E22" si="8">E13+1</f>
        <v>6.5384615384615383</v>
      </c>
      <c r="F14" s="37">
        <f>TREND(C7:C8,B7:B8,$E$14,TRUE)</f>
        <v>65.173748836519948</v>
      </c>
      <c r="I14" s="3">
        <f>'2018 PM (MAI)'!J14</f>
        <v>5.5384615384615383</v>
      </c>
      <c r="J14" s="3" t="str">
        <f>'2018 PM (MAI)'!K14</f>
        <v>01/01/2023 to 31/12/2023</v>
      </c>
      <c r="K14" s="37">
        <f t="shared" si="2"/>
        <v>55.205999014463956</v>
      </c>
      <c r="L14" s="136"/>
      <c r="M14" s="37">
        <f>K14*SUM(Overview!$B$32)</f>
        <v>671.63617554624852</v>
      </c>
      <c r="N14" s="37">
        <f t="shared" si="3"/>
        <v>1158.505239199724</v>
      </c>
      <c r="O14" s="37">
        <f t="shared" si="4"/>
        <v>46.340209567988957</v>
      </c>
      <c r="P14" s="37">
        <f t="shared" si="5"/>
        <v>23.170104783994478</v>
      </c>
      <c r="Q14" s="37">
        <f t="shared" si="7"/>
        <v>1228.0155535517074</v>
      </c>
      <c r="R14" s="37">
        <f t="shared" si="6"/>
        <v>221.72503050239163</v>
      </c>
      <c r="S14" s="37">
        <f>Baseline!E9</f>
        <v>0</v>
      </c>
      <c r="T14" s="37">
        <f>Leakage!E9</f>
        <v>0</v>
      </c>
      <c r="U14" s="37">
        <f t="shared" si="1"/>
        <v>1228.0155535517074</v>
      </c>
      <c r="V14" s="37">
        <f t="shared" si="0"/>
        <v>221.72503050239163</v>
      </c>
    </row>
    <row r="15" spans="1:22">
      <c r="A15" s="51"/>
      <c r="B15" s="51"/>
      <c r="C15" s="51"/>
      <c r="D15" s="51"/>
      <c r="E15" s="37">
        <f t="shared" si="8"/>
        <v>7.5384615384615383</v>
      </c>
      <c r="F15" s="37">
        <f>TREND(F10:F14,E10:E14,E15:$E$23,TRUE)</f>
        <v>75.141498658575955</v>
      </c>
      <c r="I15" s="3">
        <f>'2018 PM (MAI)'!J15</f>
        <v>6.5384615384615383</v>
      </c>
      <c r="J15" s="3" t="str">
        <f>'2018 PM (MAI)'!K15</f>
        <v>01/01/2024 to 31/12/2024</v>
      </c>
      <c r="K15" s="37">
        <f t="shared" si="2"/>
        <v>65.173748836519948</v>
      </c>
      <c r="L15" s="137"/>
      <c r="M15" s="37">
        <f>K15*SUM(Overview!$B$32)</f>
        <v>792.90381835321</v>
      </c>
      <c r="N15" s="37">
        <f t="shared" si="3"/>
        <v>1367.6797962774519</v>
      </c>
      <c r="O15" s="37">
        <f t="shared" si="4"/>
        <v>54.707191851098081</v>
      </c>
      <c r="P15" s="37">
        <f t="shared" si="5"/>
        <v>27.35359592554904</v>
      </c>
      <c r="Q15" s="37">
        <f t="shared" si="7"/>
        <v>1449.7405840540991</v>
      </c>
      <c r="R15" s="37">
        <f t="shared" si="6"/>
        <v>221.72503050239175</v>
      </c>
      <c r="S15" s="37">
        <f>Baseline!E10</f>
        <v>0</v>
      </c>
      <c r="T15" s="37">
        <f>Leakage!E10</f>
        <v>0</v>
      </c>
      <c r="U15" s="37">
        <f t="shared" si="1"/>
        <v>1449.7405840540991</v>
      </c>
      <c r="V15" s="37">
        <f t="shared" si="0"/>
        <v>221.72503050239175</v>
      </c>
    </row>
    <row r="16" spans="1:22">
      <c r="A16" s="51"/>
      <c r="B16" s="51"/>
      <c r="C16" s="51"/>
      <c r="D16" s="51"/>
      <c r="E16" s="37">
        <f t="shared" si="8"/>
        <v>8.5384615384615383</v>
      </c>
      <c r="F16" s="37">
        <f>TREND(F11:F15,E11:E15,E16:$E$23,TRUE)</f>
        <v>85.109248480631948</v>
      </c>
      <c r="I16" s="3">
        <f>'2018 PM (MAI)'!J16</f>
        <v>7.5384615384615383</v>
      </c>
      <c r="J16" s="3" t="str">
        <f>'2018 PM (MAI)'!K16</f>
        <v>01/01/2025 to 31/12/2025</v>
      </c>
      <c r="K16" s="37">
        <f t="shared" si="2"/>
        <v>75.141498658575955</v>
      </c>
      <c r="L16" s="37"/>
      <c r="M16" s="37">
        <f>K16*SUM(Overview!$B$32)</f>
        <v>914.1714611601717</v>
      </c>
      <c r="N16" s="37">
        <f t="shared" si="3"/>
        <v>1576.8543533551801</v>
      </c>
      <c r="O16" s="37">
        <f t="shared" si="4"/>
        <v>63.074174134207205</v>
      </c>
      <c r="P16" s="37">
        <f t="shared" si="5"/>
        <v>31.537087067103602</v>
      </c>
      <c r="Q16" s="37">
        <f t="shared" si="7"/>
        <v>1671.4656145564909</v>
      </c>
      <c r="R16" s="37">
        <f t="shared" si="6"/>
        <v>221.72503050239175</v>
      </c>
      <c r="S16" s="37">
        <f>Baseline!E11</f>
        <v>0</v>
      </c>
      <c r="T16" s="37">
        <f>Leakage!E11</f>
        <v>0</v>
      </c>
      <c r="U16" s="37">
        <f t="shared" si="1"/>
        <v>1671.4656145564909</v>
      </c>
      <c r="V16" s="37">
        <f t="shared" si="0"/>
        <v>221.72503050239175</v>
      </c>
    </row>
    <row r="17" spans="1:22">
      <c r="A17" s="51"/>
      <c r="B17" s="51"/>
      <c r="C17" s="51"/>
      <c r="D17" s="51"/>
      <c r="E17" s="37">
        <f t="shared" si="8"/>
        <v>9.5384615384615383</v>
      </c>
      <c r="F17" s="37">
        <f>TREND(F12:F16,E12:E16,E17:$E$23,TRUE)</f>
        <v>95.076998302687954</v>
      </c>
      <c r="I17" s="3">
        <f>'2018 PM (MAI)'!J17</f>
        <v>8.5384615384615383</v>
      </c>
      <c r="J17" s="3" t="str">
        <f>'2018 PM (MAI)'!K17</f>
        <v>01/01/2026 to 31/12/2026</v>
      </c>
      <c r="K17" s="37">
        <f t="shared" si="2"/>
        <v>85.109248480631948</v>
      </c>
      <c r="L17" s="37"/>
      <c r="M17" s="37">
        <f>K17*SUM(Overview!$B$32)</f>
        <v>1035.4391039671332</v>
      </c>
      <c r="N17" s="37">
        <f t="shared" si="3"/>
        <v>1786.0289104329079</v>
      </c>
      <c r="O17" s="37">
        <f t="shared" si="4"/>
        <v>71.441156417316321</v>
      </c>
      <c r="P17" s="37">
        <f t="shared" si="5"/>
        <v>35.720578208658161</v>
      </c>
      <c r="Q17" s="37">
        <f t="shared" si="7"/>
        <v>1893.1906450588824</v>
      </c>
      <c r="R17" s="37">
        <f t="shared" si="6"/>
        <v>221.72503050239152</v>
      </c>
      <c r="S17" s="37">
        <f>Baseline!E12</f>
        <v>0</v>
      </c>
      <c r="T17" s="37">
        <f>Leakage!E12</f>
        <v>0</v>
      </c>
      <c r="U17" s="37">
        <f t="shared" si="1"/>
        <v>1893.1906450588824</v>
      </c>
      <c r="V17" s="37">
        <f>U45-SUM(V9:V16)</f>
        <v>191.02464166359823</v>
      </c>
    </row>
    <row r="18" spans="1:22">
      <c r="A18" s="51"/>
      <c r="B18" s="51"/>
      <c r="C18" s="51"/>
      <c r="D18" s="51"/>
      <c r="E18" s="37">
        <f t="shared" si="8"/>
        <v>10.538461538461538</v>
      </c>
      <c r="F18" s="37">
        <f>TREND(F13:F17,E13:E17,E18:$E$23,TRUE)</f>
        <v>105.04474812474395</v>
      </c>
      <c r="I18" s="3">
        <f>'2018 PM (MAI)'!J18</f>
        <v>9.5384615384615383</v>
      </c>
      <c r="J18" s="3" t="str">
        <f>'2018 PM (MAI)'!K18</f>
        <v>01/01/2027 to 31/12/2027</v>
      </c>
      <c r="K18" s="37">
        <f t="shared" si="2"/>
        <v>95.076998302687954</v>
      </c>
      <c r="L18" s="37"/>
      <c r="M18" s="37">
        <f>K18*SUM(Overview!$B$32)</f>
        <v>1156.7067467740949</v>
      </c>
      <c r="N18" s="37">
        <f t="shared" si="3"/>
        <v>1995.2034675106363</v>
      </c>
      <c r="O18" s="37">
        <f t="shared" si="4"/>
        <v>79.808138700425459</v>
      </c>
      <c r="P18" s="37">
        <f t="shared" si="5"/>
        <v>39.90406935021273</v>
      </c>
      <c r="Q18" s="37">
        <f t="shared" si="7"/>
        <v>2114.9156755612744</v>
      </c>
      <c r="R18" s="37">
        <f t="shared" si="6"/>
        <v>221.72503050239197</v>
      </c>
      <c r="S18" s="37">
        <f>Baseline!E13</f>
        <v>0</v>
      </c>
      <c r="T18" s="37">
        <f>Leakage!E13</f>
        <v>0</v>
      </c>
      <c r="U18" s="37">
        <f t="shared" si="1"/>
        <v>2114.9156755612744</v>
      </c>
      <c r="V18" s="37">
        <v>0</v>
      </c>
    </row>
    <row r="19" spans="1:22">
      <c r="A19" s="51"/>
      <c r="B19" s="51"/>
      <c r="C19" s="51"/>
      <c r="D19" s="51"/>
      <c r="E19" s="37">
        <f t="shared" si="8"/>
        <v>11.538461538461538</v>
      </c>
      <c r="F19" s="37">
        <f>TREND(F14:F18,E14:E18,E19:$E$23,TRUE)</f>
        <v>115.01249794679994</v>
      </c>
      <c r="I19" s="3">
        <f>'2018 PM (MAI)'!J19</f>
        <v>10.538461538461538</v>
      </c>
      <c r="J19" s="3" t="str">
        <f>'2018 PM (MAI)'!K19</f>
        <v>01/01/2028 to 31/12/2028</v>
      </c>
      <c r="K19" s="37">
        <f t="shared" si="2"/>
        <v>105.04474812474395</v>
      </c>
      <c r="L19" s="37"/>
      <c r="M19" s="37">
        <f>K19*SUM(Overview!$B$32)</f>
        <v>1277.9743895810566</v>
      </c>
      <c r="N19" s="37">
        <f t="shared" si="3"/>
        <v>2204.3780245883645</v>
      </c>
      <c r="O19" s="37">
        <f t="shared" si="4"/>
        <v>88.175120983534583</v>
      </c>
      <c r="P19" s="37">
        <f t="shared" si="5"/>
        <v>44.087560491767292</v>
      </c>
      <c r="Q19" s="37">
        <f t="shared" si="7"/>
        <v>2336.6407060636666</v>
      </c>
      <c r="R19" s="37">
        <f t="shared" si="6"/>
        <v>221.7250305023922</v>
      </c>
      <c r="S19" s="37">
        <f>Baseline!E14</f>
        <v>0</v>
      </c>
      <c r="T19" s="37">
        <f>Leakage!E14</f>
        <v>0</v>
      </c>
      <c r="U19" s="37">
        <f t="shared" si="1"/>
        <v>2336.6407060636666</v>
      </c>
      <c r="V19" s="37">
        <v>0</v>
      </c>
    </row>
    <row r="20" spans="1:22">
      <c r="A20" s="51"/>
      <c r="B20" s="51"/>
      <c r="C20" s="51"/>
      <c r="D20" s="51"/>
      <c r="E20" s="37">
        <f t="shared" si="8"/>
        <v>12.538461538461538</v>
      </c>
      <c r="F20" s="37">
        <f>TREND(F15:F19,E15:E19,E20:$E$23,TRUE)</f>
        <v>124.98024776885593</v>
      </c>
      <c r="I20" s="3">
        <f>'2018 PM (MAI)'!J20</f>
        <v>11.538461538461538</v>
      </c>
      <c r="J20" s="3" t="str">
        <f>'2018 PM (MAI)'!K20</f>
        <v>01/01/2029 to 31/12/2029</v>
      </c>
      <c r="K20" s="37">
        <f t="shared" si="2"/>
        <v>115.01249794679994</v>
      </c>
      <c r="L20" s="37"/>
      <c r="M20" s="37">
        <f>K20*SUM(Overview!$B$32)</f>
        <v>1399.2420323880181</v>
      </c>
      <c r="N20" s="37">
        <f t="shared" si="3"/>
        <v>2413.552581666092</v>
      </c>
      <c r="O20" s="37">
        <f t="shared" si="4"/>
        <v>96.542103266643679</v>
      </c>
      <c r="P20" s="37">
        <f t="shared" si="5"/>
        <v>48.271051633321839</v>
      </c>
      <c r="Q20" s="37">
        <f t="shared" si="7"/>
        <v>2558.3657365660574</v>
      </c>
      <c r="R20" s="37">
        <f t="shared" si="6"/>
        <v>221.72503050239084</v>
      </c>
      <c r="S20" s="37">
        <f>Baseline!E15</f>
        <v>0</v>
      </c>
      <c r="T20" s="37">
        <f>Leakage!E15</f>
        <v>0</v>
      </c>
      <c r="U20" s="37">
        <f t="shared" si="1"/>
        <v>2558.3657365660574</v>
      </c>
      <c r="V20" s="37">
        <v>0</v>
      </c>
    </row>
    <row r="21" spans="1:22">
      <c r="A21" s="51"/>
      <c r="B21" s="51"/>
      <c r="C21" s="51"/>
      <c r="D21" s="51"/>
      <c r="E21" s="37">
        <f t="shared" si="8"/>
        <v>13.538461538461538</v>
      </c>
      <c r="F21" s="37">
        <f>TREND(F16:F20,E16:E20,E21:$E$23,TRUE)</f>
        <v>134.94799759091194</v>
      </c>
      <c r="I21" s="3">
        <f>'2018 PM (MAI)'!J21</f>
        <v>12.538461538461538</v>
      </c>
      <c r="J21" s="3" t="str">
        <f>'2018 PM (MAI)'!K21</f>
        <v>01/01/2030 to 31/12/2030</v>
      </c>
      <c r="K21" s="37">
        <f t="shared" si="2"/>
        <v>124.98024776885593</v>
      </c>
      <c r="L21" s="37"/>
      <c r="M21" s="37">
        <f>K21*SUM(Overview!$B$32)</f>
        <v>1520.5096751949795</v>
      </c>
      <c r="N21" s="37">
        <f t="shared" si="3"/>
        <v>2622.72713874382</v>
      </c>
      <c r="O21" s="37">
        <f t="shared" si="4"/>
        <v>104.9090855497528</v>
      </c>
      <c r="P21" s="37">
        <f t="shared" si="5"/>
        <v>52.454542774876401</v>
      </c>
      <c r="Q21" s="37">
        <f t="shared" si="7"/>
        <v>2780.0907670684492</v>
      </c>
      <c r="R21" s="37">
        <f t="shared" si="6"/>
        <v>221.72503050239175</v>
      </c>
      <c r="S21" s="37">
        <f>Baseline!E16</f>
        <v>0</v>
      </c>
      <c r="T21" s="37">
        <f>Leakage!E16</f>
        <v>0</v>
      </c>
      <c r="U21" s="37">
        <f t="shared" si="1"/>
        <v>2780.0907670684492</v>
      </c>
      <c r="V21" s="37">
        <v>0</v>
      </c>
    </row>
    <row r="22" spans="1:22">
      <c r="A22" s="51"/>
      <c r="B22" s="51"/>
      <c r="C22" s="51"/>
      <c r="D22" s="51"/>
      <c r="E22" s="37">
        <f t="shared" si="8"/>
        <v>14.538461538461538</v>
      </c>
      <c r="F22" s="37">
        <f>TREND(F17:F21,E17:E21,E22:$E$23,TRUE)</f>
        <v>144.9157474129679</v>
      </c>
      <c r="I22" s="3">
        <f>'2018 PM (MAI)'!J22</f>
        <v>13.538461538461538</v>
      </c>
      <c r="J22" s="3" t="str">
        <f>'2018 PM (MAI)'!K22</f>
        <v>01/01/2031 to 31/12/2031</v>
      </c>
      <c r="K22" s="37">
        <f t="shared" si="2"/>
        <v>134.94799759091194</v>
      </c>
      <c r="L22" s="37"/>
      <c r="M22" s="37">
        <f>K22*SUM(Overview!$B$32)</f>
        <v>1641.7773180019412</v>
      </c>
      <c r="N22" s="37">
        <f t="shared" si="3"/>
        <v>2831.9016958215479</v>
      </c>
      <c r="O22" s="37">
        <f t="shared" si="4"/>
        <v>113.27606783286193</v>
      </c>
      <c r="P22" s="37">
        <f t="shared" si="5"/>
        <v>56.638033916430963</v>
      </c>
      <c r="Q22" s="37">
        <f t="shared" si="7"/>
        <v>3001.8157975708409</v>
      </c>
      <c r="R22" s="37">
        <f t="shared" si="6"/>
        <v>221.72503050239175</v>
      </c>
      <c r="S22" s="37">
        <f>Baseline!E17</f>
        <v>0</v>
      </c>
      <c r="T22" s="37">
        <f>Leakage!E17</f>
        <v>0</v>
      </c>
      <c r="U22" s="37">
        <f t="shared" si="1"/>
        <v>3001.8157975708409</v>
      </c>
      <c r="V22" s="37">
        <v>0</v>
      </c>
    </row>
    <row r="23" spans="1:22">
      <c r="A23" s="51"/>
      <c r="B23" s="51"/>
      <c r="C23" s="51"/>
      <c r="D23" s="51"/>
      <c r="E23" s="51">
        <v>15</v>
      </c>
      <c r="F23" s="37">
        <f>TREND(F18:F22,E18:E22,E23:$E$23,TRUE)</f>
        <v>149.51624733083992</v>
      </c>
      <c r="I23" s="3">
        <f>'2018 PM (MAI)'!J23</f>
        <v>14.538461538461538</v>
      </c>
      <c r="J23" s="3" t="str">
        <f>'2018 PM (MAI)'!K23</f>
        <v>01/01/2032 to 31/12/2032</v>
      </c>
      <c r="K23" s="37">
        <f t="shared" si="2"/>
        <v>144.9157474129679</v>
      </c>
      <c r="L23" s="37"/>
      <c r="M23" s="37">
        <f>K23*SUM(Overview!$B$32)</f>
        <v>1763.0449608089025</v>
      </c>
      <c r="N23" s="37">
        <f t="shared" si="3"/>
        <v>3041.0762528992759</v>
      </c>
      <c r="O23" s="37">
        <f t="shared" si="4"/>
        <v>121.64305011597104</v>
      </c>
      <c r="P23" s="37">
        <f t="shared" si="5"/>
        <v>60.821525057985518</v>
      </c>
      <c r="Q23" s="37">
        <f t="shared" si="7"/>
        <v>3223.5408280732327</v>
      </c>
      <c r="R23" s="37">
        <f t="shared" si="6"/>
        <v>221.72503050239175</v>
      </c>
      <c r="S23" s="37">
        <f>Baseline!E18</f>
        <v>0</v>
      </c>
      <c r="T23" s="37">
        <f>Leakage!E18</f>
        <v>0</v>
      </c>
      <c r="U23" s="37">
        <f t="shared" si="1"/>
        <v>3223.5408280732327</v>
      </c>
      <c r="V23" s="37">
        <v>0</v>
      </c>
    </row>
    <row r="24" spans="1:22">
      <c r="E24" s="37"/>
      <c r="F24" s="37"/>
      <c r="I24" s="3">
        <f>'2018 PM (MAI)'!J24</f>
        <v>15.538461538461538</v>
      </c>
      <c r="J24" s="3" t="str">
        <f>'2018 PM (MAI)'!K24</f>
        <v>01/01/2033 to 31/12/2033</v>
      </c>
      <c r="K24" s="37">
        <f t="shared" si="2"/>
        <v>149.51624733083992</v>
      </c>
      <c r="L24" s="37"/>
      <c r="M24" s="37">
        <f>K24*SUM(Overview!$B$32)</f>
        <v>1819.0146421044235</v>
      </c>
      <c r="N24" s="37">
        <f t="shared" si="3"/>
        <v>3137.61835616592</v>
      </c>
      <c r="O24" s="37">
        <f t="shared" si="4"/>
        <v>125.5047342466368</v>
      </c>
      <c r="P24" s="37">
        <f t="shared" si="5"/>
        <v>62.7523671233184</v>
      </c>
      <c r="Q24" s="37">
        <f t="shared" si="7"/>
        <v>3325.8754575358753</v>
      </c>
      <c r="R24" s="37">
        <f t="shared" si="6"/>
        <v>102.33462946264262</v>
      </c>
      <c r="S24" s="37">
        <f>Baseline!E19</f>
        <v>0</v>
      </c>
      <c r="T24" s="37">
        <f>Leakage!E19</f>
        <v>0</v>
      </c>
      <c r="U24" s="37">
        <f t="shared" si="1"/>
        <v>3325.8754575358753</v>
      </c>
      <c r="V24" s="37">
        <v>0</v>
      </c>
    </row>
    <row r="25" spans="1:22">
      <c r="I25" s="3">
        <f>'2018 PM (MAI)'!J25</f>
        <v>16.53846153846154</v>
      </c>
      <c r="J25" s="3" t="str">
        <f>'2018 PM (MAI)'!K25</f>
        <v>01/01/2034 to 31/12/2034</v>
      </c>
      <c r="K25" s="37">
        <f>K10</f>
        <v>0</v>
      </c>
      <c r="L25" s="37"/>
      <c r="M25" s="37">
        <f>K25*SUM(Overview!$B$32)</f>
        <v>0</v>
      </c>
      <c r="N25" s="37">
        <f t="shared" si="3"/>
        <v>0</v>
      </c>
      <c r="O25" s="37">
        <f t="shared" si="4"/>
        <v>0</v>
      </c>
      <c r="P25" s="37">
        <f t="shared" si="5"/>
        <v>0</v>
      </c>
      <c r="Q25" s="37">
        <f t="shared" si="7"/>
        <v>0</v>
      </c>
      <c r="R25" s="37">
        <f t="shared" si="6"/>
        <v>-3325.8754575358753</v>
      </c>
      <c r="S25" s="37">
        <f>Baseline!E20</f>
        <v>0</v>
      </c>
      <c r="T25" s="37">
        <f>Leakage!E20</f>
        <v>0</v>
      </c>
      <c r="U25" s="37">
        <f t="shared" si="1"/>
        <v>0</v>
      </c>
      <c r="V25" s="37">
        <v>0</v>
      </c>
    </row>
    <row r="26" spans="1:22">
      <c r="I26" s="3">
        <f>'2018 PM (MAI)'!J26</f>
        <v>17.53846153846154</v>
      </c>
      <c r="J26" s="3" t="str">
        <f>'2018 PM (MAI)'!K26</f>
        <v>01/01/2035 to 31/12/2035</v>
      </c>
      <c r="K26" s="37">
        <f t="shared" ref="K26:K39" si="9">K11</f>
        <v>25.302749548295974</v>
      </c>
      <c r="L26" s="37"/>
      <c r="M26" s="37">
        <f>K26*SUM(Overview!$B$32)</f>
        <v>307.83324712536381</v>
      </c>
      <c r="N26" s="37">
        <f t="shared" si="3"/>
        <v>530.98156796653996</v>
      </c>
      <c r="O26" s="37">
        <f t="shared" si="4"/>
        <v>21.2392627186616</v>
      </c>
      <c r="P26" s="37">
        <f t="shared" si="5"/>
        <v>10.6196313593308</v>
      </c>
      <c r="Q26" s="37">
        <f t="shared" si="7"/>
        <v>562.84046204453239</v>
      </c>
      <c r="R26" s="37">
        <f t="shared" si="6"/>
        <v>562.84046204453239</v>
      </c>
      <c r="S26" s="37">
        <f>Baseline!E21</f>
        <v>0</v>
      </c>
      <c r="T26" s="37">
        <f>Leakage!E21</f>
        <v>0</v>
      </c>
      <c r="U26" s="37">
        <f t="shared" si="1"/>
        <v>562.84046204453239</v>
      </c>
      <c r="V26" s="37">
        <v>0</v>
      </c>
    </row>
    <row r="27" spans="1:22">
      <c r="I27" s="3">
        <f>'2018 PM (MAI)'!J27</f>
        <v>18.53846153846154</v>
      </c>
      <c r="J27" s="3" t="str">
        <f>'2018 PM (MAI)'!K27</f>
        <v>01/01/2036 to 31/12/2036</v>
      </c>
      <c r="K27" s="37">
        <f t="shared" si="9"/>
        <v>35.27049937035197</v>
      </c>
      <c r="L27" s="37"/>
      <c r="M27" s="37">
        <f>K27*SUM(Overview!$B$32)</f>
        <v>429.1008899323254</v>
      </c>
      <c r="N27" s="37">
        <f t="shared" si="3"/>
        <v>740.15612504426804</v>
      </c>
      <c r="O27" s="37">
        <f t="shared" si="4"/>
        <v>29.606245001770723</v>
      </c>
      <c r="P27" s="37">
        <f t="shared" si="5"/>
        <v>14.803122500885362</v>
      </c>
      <c r="Q27" s="37">
        <f t="shared" si="7"/>
        <v>784.56549254692413</v>
      </c>
      <c r="R27" s="37">
        <f t="shared" si="6"/>
        <v>221.72503050239175</v>
      </c>
      <c r="S27" s="37">
        <f>Baseline!E22</f>
        <v>0</v>
      </c>
      <c r="T27" s="37">
        <f>Leakage!E22</f>
        <v>0</v>
      </c>
      <c r="U27" s="37">
        <f t="shared" si="1"/>
        <v>784.56549254692413</v>
      </c>
      <c r="V27" s="37">
        <v>0</v>
      </c>
    </row>
    <row r="28" spans="1:22">
      <c r="I28" s="3">
        <f>'2018 PM (MAI)'!J28</f>
        <v>19.53846153846154</v>
      </c>
      <c r="J28" s="3" t="str">
        <f>'2018 PM (MAI)'!K28</f>
        <v>01/01/2037 to 31/12/2037</v>
      </c>
      <c r="K28" s="37">
        <f t="shared" si="9"/>
        <v>45.238249192407963</v>
      </c>
      <c r="L28" s="37"/>
      <c r="M28" s="37">
        <f>K28*SUM(Overview!$B$32)</f>
        <v>550.36853273928693</v>
      </c>
      <c r="N28" s="37">
        <f t="shared" si="3"/>
        <v>949.33068212199601</v>
      </c>
      <c r="O28" s="37">
        <f t="shared" si="4"/>
        <v>37.97322728487984</v>
      </c>
      <c r="P28" s="37">
        <f t="shared" si="5"/>
        <v>18.98661364243992</v>
      </c>
      <c r="Q28" s="37">
        <f t="shared" si="7"/>
        <v>1006.2905230493158</v>
      </c>
      <c r="R28" s="37">
        <f t="shared" si="6"/>
        <v>221.72503050239163</v>
      </c>
      <c r="S28" s="37">
        <f>Baseline!E23</f>
        <v>0</v>
      </c>
      <c r="T28" s="37">
        <f>Leakage!E23</f>
        <v>0</v>
      </c>
      <c r="U28" s="37">
        <f t="shared" si="1"/>
        <v>1006.2905230493158</v>
      </c>
      <c r="V28" s="37">
        <v>0</v>
      </c>
    </row>
    <row r="29" spans="1:22">
      <c r="I29" s="3">
        <f>'2018 PM (MAI)'!J29</f>
        <v>20.53846153846154</v>
      </c>
      <c r="J29" s="3" t="str">
        <f>'2018 PM (MAI)'!K29</f>
        <v>01/01/2038 to 31/12/2038</v>
      </c>
      <c r="K29" s="37">
        <f t="shared" si="9"/>
        <v>55.205999014463956</v>
      </c>
      <c r="L29" s="37"/>
      <c r="M29" s="37">
        <f>K29*SUM(Overview!$B$32)</f>
        <v>671.63617554624852</v>
      </c>
      <c r="N29" s="37">
        <f t="shared" si="3"/>
        <v>1158.505239199724</v>
      </c>
      <c r="O29" s="37">
        <f t="shared" si="4"/>
        <v>46.340209567988957</v>
      </c>
      <c r="P29" s="37">
        <f t="shared" si="5"/>
        <v>23.170104783994478</v>
      </c>
      <c r="Q29" s="37">
        <f t="shared" si="7"/>
        <v>1228.0155535517074</v>
      </c>
      <c r="R29" s="37">
        <f t="shared" si="6"/>
        <v>221.72503050239163</v>
      </c>
      <c r="S29" s="37">
        <f>Baseline!E24</f>
        <v>0</v>
      </c>
      <c r="T29" s="37">
        <f>Leakage!E24</f>
        <v>0</v>
      </c>
      <c r="U29" s="37">
        <f t="shared" si="1"/>
        <v>1228.0155535517074</v>
      </c>
      <c r="V29" s="37">
        <v>0</v>
      </c>
    </row>
    <row r="30" spans="1:22">
      <c r="I30" s="3">
        <f>'2018 PM (MAI)'!J30</f>
        <v>21.53846153846154</v>
      </c>
      <c r="J30" s="3" t="str">
        <f>'2018 PM (MAI)'!K30</f>
        <v>01/01/2039 to 31/12/2039</v>
      </c>
      <c r="K30" s="37">
        <f t="shared" si="9"/>
        <v>65.173748836519948</v>
      </c>
      <c r="L30" s="37"/>
      <c r="M30" s="37">
        <f>K30*SUM(Overview!$B$32)</f>
        <v>792.90381835321</v>
      </c>
      <c r="N30" s="37">
        <f t="shared" si="3"/>
        <v>1367.6797962774519</v>
      </c>
      <c r="O30" s="37">
        <f t="shared" si="4"/>
        <v>54.707191851098081</v>
      </c>
      <c r="P30" s="37">
        <f t="shared" si="5"/>
        <v>27.35359592554904</v>
      </c>
      <c r="Q30" s="37">
        <f t="shared" si="7"/>
        <v>1449.7405840540991</v>
      </c>
      <c r="R30" s="37">
        <f t="shared" si="6"/>
        <v>221.72503050239175</v>
      </c>
      <c r="S30" s="37">
        <f>Baseline!E25</f>
        <v>0</v>
      </c>
      <c r="T30" s="37">
        <f>Leakage!E25</f>
        <v>0</v>
      </c>
      <c r="U30" s="37">
        <f t="shared" si="1"/>
        <v>1449.7405840540991</v>
      </c>
      <c r="V30" s="37">
        <v>0</v>
      </c>
    </row>
    <row r="31" spans="1:22">
      <c r="I31" s="3">
        <f>'2018 PM (MAI)'!J31</f>
        <v>22.53846153846154</v>
      </c>
      <c r="J31" s="3" t="str">
        <f>'2018 PM (MAI)'!K31</f>
        <v>01/01/2040 to 31/12/2040</v>
      </c>
      <c r="K31" s="37">
        <f t="shared" si="9"/>
        <v>75.141498658575955</v>
      </c>
      <c r="L31" s="37"/>
      <c r="M31" s="37">
        <f>K31*SUM(Overview!$B$32)</f>
        <v>914.1714611601717</v>
      </c>
      <c r="N31" s="37">
        <f t="shared" si="3"/>
        <v>1576.8543533551801</v>
      </c>
      <c r="O31" s="37">
        <f t="shared" si="4"/>
        <v>63.074174134207205</v>
      </c>
      <c r="P31" s="37">
        <f t="shared" si="5"/>
        <v>31.537087067103602</v>
      </c>
      <c r="Q31" s="37">
        <f t="shared" si="7"/>
        <v>1671.4656145564909</v>
      </c>
      <c r="R31" s="37">
        <f t="shared" si="6"/>
        <v>221.72503050239175</v>
      </c>
      <c r="S31" s="37">
        <f>Baseline!E26</f>
        <v>0</v>
      </c>
      <c r="T31" s="37">
        <f>Leakage!E26</f>
        <v>0</v>
      </c>
      <c r="U31" s="37">
        <f t="shared" si="1"/>
        <v>1671.4656145564909</v>
      </c>
      <c r="V31" s="37">
        <v>0</v>
      </c>
    </row>
    <row r="32" spans="1:22">
      <c r="I32" s="3">
        <f>'2018 PM (MAI)'!J32</f>
        <v>23.53846153846154</v>
      </c>
      <c r="J32" s="3" t="str">
        <f>'2018 PM (MAI)'!K32</f>
        <v>01/01/2041 to 31/12/2041</v>
      </c>
      <c r="K32" s="37">
        <f t="shared" si="9"/>
        <v>85.109248480631948</v>
      </c>
      <c r="L32" s="37"/>
      <c r="M32" s="37">
        <f>K32*SUM(Overview!$B$32)</f>
        <v>1035.4391039671332</v>
      </c>
      <c r="N32" s="37">
        <f t="shared" si="3"/>
        <v>1786.0289104329079</v>
      </c>
      <c r="O32" s="37">
        <f t="shared" si="4"/>
        <v>71.441156417316321</v>
      </c>
      <c r="P32" s="37">
        <f t="shared" si="5"/>
        <v>35.720578208658161</v>
      </c>
      <c r="Q32" s="37">
        <f t="shared" si="7"/>
        <v>1893.1906450588824</v>
      </c>
      <c r="R32" s="37">
        <f t="shared" si="6"/>
        <v>221.72503050239152</v>
      </c>
      <c r="S32" s="37">
        <f>Baseline!E27</f>
        <v>0</v>
      </c>
      <c r="T32" s="37">
        <f>Leakage!E27</f>
        <v>0</v>
      </c>
      <c r="U32" s="37">
        <f t="shared" si="1"/>
        <v>1893.1906450588824</v>
      </c>
      <c r="V32" s="37">
        <v>0</v>
      </c>
    </row>
    <row r="33" spans="9:22">
      <c r="I33" s="3">
        <f>'2018 PM (MAI)'!J33</f>
        <v>24.53846153846154</v>
      </c>
      <c r="J33" s="3" t="str">
        <f>'2018 PM (MAI)'!K33</f>
        <v>01/01/2042 to 31/12/2042</v>
      </c>
      <c r="K33" s="37">
        <f t="shared" si="9"/>
        <v>95.076998302687954</v>
      </c>
      <c r="L33" s="37"/>
      <c r="M33" s="37">
        <f>K33*SUM(Overview!$B$32)</f>
        <v>1156.7067467740949</v>
      </c>
      <c r="N33" s="37">
        <f t="shared" si="3"/>
        <v>1995.2034675106363</v>
      </c>
      <c r="O33" s="37">
        <f t="shared" si="4"/>
        <v>79.808138700425459</v>
      </c>
      <c r="P33" s="37">
        <f t="shared" si="5"/>
        <v>39.90406935021273</v>
      </c>
      <c r="Q33" s="37">
        <f t="shared" si="7"/>
        <v>2114.9156755612744</v>
      </c>
      <c r="R33" s="37">
        <f t="shared" si="6"/>
        <v>221.72503050239197</v>
      </c>
      <c r="S33" s="37">
        <f>Baseline!E28</f>
        <v>0</v>
      </c>
      <c r="T33" s="37">
        <f>Leakage!E28</f>
        <v>0</v>
      </c>
      <c r="U33" s="37">
        <f t="shared" si="1"/>
        <v>2114.9156755612744</v>
      </c>
      <c r="V33" s="37">
        <v>0</v>
      </c>
    </row>
    <row r="34" spans="9:22">
      <c r="I34" s="3">
        <f>'2018 PM (MAI)'!J34</f>
        <v>25.53846153846154</v>
      </c>
      <c r="J34" s="3" t="str">
        <f>'2018 PM (MAI)'!K34</f>
        <v>01/01/2043 to 31/12/2043</v>
      </c>
      <c r="K34" s="37">
        <f t="shared" si="9"/>
        <v>105.04474812474395</v>
      </c>
      <c r="L34" s="37"/>
      <c r="M34" s="37">
        <f>K34*SUM(Overview!$B$32)</f>
        <v>1277.9743895810566</v>
      </c>
      <c r="N34" s="37">
        <f t="shared" si="3"/>
        <v>2204.3780245883645</v>
      </c>
      <c r="O34" s="37">
        <f t="shared" si="4"/>
        <v>88.175120983534583</v>
      </c>
      <c r="P34" s="37">
        <f t="shared" si="5"/>
        <v>44.087560491767292</v>
      </c>
      <c r="Q34" s="37">
        <f t="shared" si="7"/>
        <v>2336.6407060636666</v>
      </c>
      <c r="R34" s="37">
        <f t="shared" si="6"/>
        <v>221.7250305023922</v>
      </c>
      <c r="S34" s="37">
        <f>Baseline!E29</f>
        <v>0</v>
      </c>
      <c r="T34" s="37">
        <f>Leakage!E29</f>
        <v>0</v>
      </c>
      <c r="U34" s="37">
        <f t="shared" si="1"/>
        <v>2336.6407060636666</v>
      </c>
      <c r="V34" s="37">
        <v>0</v>
      </c>
    </row>
    <row r="35" spans="9:22">
      <c r="I35" s="3">
        <f>'2018 PM (MAI)'!J35</f>
        <v>26.53846153846154</v>
      </c>
      <c r="J35" s="3" t="str">
        <f>'2018 PM (MAI)'!K35</f>
        <v>01/01/2044 to 31/12/2044</v>
      </c>
      <c r="K35" s="37">
        <f t="shared" si="9"/>
        <v>115.01249794679994</v>
      </c>
      <c r="L35" s="37"/>
      <c r="M35" s="37">
        <f>K35*SUM(Overview!$B$32)</f>
        <v>1399.2420323880181</v>
      </c>
      <c r="N35" s="37">
        <f t="shared" si="3"/>
        <v>2413.552581666092</v>
      </c>
      <c r="O35" s="37">
        <f t="shared" si="4"/>
        <v>96.542103266643679</v>
      </c>
      <c r="P35" s="37">
        <f t="shared" si="5"/>
        <v>48.271051633321839</v>
      </c>
      <c r="Q35" s="37">
        <f t="shared" si="7"/>
        <v>2558.3657365660574</v>
      </c>
      <c r="R35" s="37">
        <f t="shared" si="6"/>
        <v>221.72503050239084</v>
      </c>
      <c r="S35" s="37">
        <f>Baseline!E30</f>
        <v>0</v>
      </c>
      <c r="T35" s="37">
        <f>Leakage!E30</f>
        <v>0</v>
      </c>
      <c r="U35" s="37">
        <f t="shared" si="1"/>
        <v>2558.3657365660574</v>
      </c>
      <c r="V35" s="37">
        <v>0</v>
      </c>
    </row>
    <row r="36" spans="9:22">
      <c r="I36" s="3">
        <f>'2018 PM (MAI)'!J36</f>
        <v>27.53846153846154</v>
      </c>
      <c r="J36" s="3" t="str">
        <f>'2018 PM (MAI)'!K36</f>
        <v>01/01/2045 to 31/12/2045</v>
      </c>
      <c r="K36" s="37">
        <f t="shared" si="9"/>
        <v>124.98024776885593</v>
      </c>
      <c r="L36" s="37"/>
      <c r="M36" s="37">
        <f>K36*SUM(Overview!$B$32)</f>
        <v>1520.5096751949795</v>
      </c>
      <c r="N36" s="37">
        <f t="shared" si="3"/>
        <v>2622.72713874382</v>
      </c>
      <c r="O36" s="37">
        <f t="shared" si="4"/>
        <v>104.9090855497528</v>
      </c>
      <c r="P36" s="37">
        <f t="shared" si="5"/>
        <v>52.454542774876401</v>
      </c>
      <c r="Q36" s="37">
        <f t="shared" si="7"/>
        <v>2780.0907670684492</v>
      </c>
      <c r="R36" s="37">
        <f t="shared" si="6"/>
        <v>221.72503050239175</v>
      </c>
      <c r="S36" s="37">
        <f>Baseline!E31</f>
        <v>0</v>
      </c>
      <c r="T36" s="37">
        <f>Leakage!E31</f>
        <v>0</v>
      </c>
      <c r="U36" s="37">
        <f t="shared" si="1"/>
        <v>2780.0907670684492</v>
      </c>
      <c r="V36" s="37">
        <v>0</v>
      </c>
    </row>
    <row r="37" spans="9:22">
      <c r="I37" s="3">
        <f>'2018 PM (MAI)'!J37</f>
        <v>28.53846153846154</v>
      </c>
      <c r="J37" s="3" t="str">
        <f>'2018 PM (MAI)'!K37</f>
        <v>01/01/2046 to 31/12/2046</v>
      </c>
      <c r="K37" s="37">
        <f t="shared" si="9"/>
        <v>134.94799759091194</v>
      </c>
      <c r="L37" s="37"/>
      <c r="M37" s="37">
        <f>K37*SUM(Overview!$B$32)</f>
        <v>1641.7773180019412</v>
      </c>
      <c r="N37" s="37">
        <f t="shared" si="3"/>
        <v>2831.9016958215479</v>
      </c>
      <c r="O37" s="37">
        <f t="shared" si="4"/>
        <v>113.27606783286193</v>
      </c>
      <c r="P37" s="37">
        <f t="shared" si="5"/>
        <v>56.638033916430963</v>
      </c>
      <c r="Q37" s="37">
        <f t="shared" si="7"/>
        <v>3001.8157975708409</v>
      </c>
      <c r="R37" s="37">
        <f t="shared" si="6"/>
        <v>221.72503050239175</v>
      </c>
      <c r="S37" s="37">
        <f>Baseline!E32</f>
        <v>0</v>
      </c>
      <c r="T37" s="37">
        <f>Leakage!E32</f>
        <v>0</v>
      </c>
      <c r="U37" s="37">
        <f t="shared" si="1"/>
        <v>3001.8157975708409</v>
      </c>
      <c r="V37" s="37">
        <v>0</v>
      </c>
    </row>
    <row r="38" spans="9:22">
      <c r="I38" s="3">
        <f>'2018 PM (MAI)'!J38</f>
        <v>29.53846153846154</v>
      </c>
      <c r="J38" s="3" t="str">
        <f>'2018 PM (MAI)'!K38</f>
        <v>01/01/2047 to 31/12/2047</v>
      </c>
      <c r="K38" s="37">
        <f t="shared" si="9"/>
        <v>144.9157474129679</v>
      </c>
      <c r="L38" s="37"/>
      <c r="M38" s="37">
        <f>K38*SUM(Overview!$B$32)</f>
        <v>1763.0449608089025</v>
      </c>
      <c r="N38" s="37">
        <f t="shared" si="3"/>
        <v>3041.0762528992759</v>
      </c>
      <c r="O38" s="37">
        <f t="shared" si="4"/>
        <v>121.64305011597104</v>
      </c>
      <c r="P38" s="37">
        <f t="shared" si="5"/>
        <v>60.821525057985518</v>
      </c>
      <c r="Q38" s="37">
        <f t="shared" si="7"/>
        <v>3223.5408280732327</v>
      </c>
      <c r="R38" s="37">
        <f t="shared" si="6"/>
        <v>221.72503050239175</v>
      </c>
      <c r="S38" s="37">
        <f>Baseline!E33</f>
        <v>0</v>
      </c>
      <c r="T38" s="37">
        <f>Leakage!E33</f>
        <v>0</v>
      </c>
      <c r="U38" s="37">
        <f t="shared" si="1"/>
        <v>3223.5408280732327</v>
      </c>
      <c r="V38" s="37">
        <v>0</v>
      </c>
    </row>
    <row r="39" spans="9:22">
      <c r="I39" s="3">
        <f>'2018 PM (MAI)'!J39</f>
        <v>30.53846153846154</v>
      </c>
      <c r="J39" s="3" t="str">
        <f>'2018 PM (MAI)'!K39</f>
        <v>01/01/2048 to 31/12/2048</v>
      </c>
      <c r="K39" s="37">
        <f t="shared" si="9"/>
        <v>149.51624733083992</v>
      </c>
      <c r="L39" s="37"/>
      <c r="M39" s="37">
        <f>K39*SUM(Overview!$B$32)</f>
        <v>1819.0146421044235</v>
      </c>
      <c r="N39" s="37">
        <f t="shared" si="3"/>
        <v>3137.61835616592</v>
      </c>
      <c r="O39" s="37">
        <f t="shared" si="4"/>
        <v>125.5047342466368</v>
      </c>
      <c r="P39" s="37">
        <f t="shared" si="5"/>
        <v>62.7523671233184</v>
      </c>
      <c r="Q39" s="37">
        <f t="shared" si="7"/>
        <v>3325.8754575358753</v>
      </c>
      <c r="R39" s="37">
        <f t="shared" si="6"/>
        <v>102.33462946264262</v>
      </c>
      <c r="S39" s="37">
        <f>Baseline!E34</f>
        <v>0</v>
      </c>
      <c r="T39" s="37">
        <f>Leakage!E34</f>
        <v>0</v>
      </c>
      <c r="U39" s="37">
        <f t="shared" si="1"/>
        <v>3325.8754575358753</v>
      </c>
      <c r="V39" s="37">
        <v>0</v>
      </c>
    </row>
    <row r="40" spans="9:22">
      <c r="I40" s="3">
        <f>'2018 PM (MAI)'!J40</f>
        <v>31.53846153846154</v>
      </c>
      <c r="J40" s="3" t="str">
        <f>'2018 PM (MAI)'!K40</f>
        <v>01/01/2049 to 31/12/2049</v>
      </c>
      <c r="K40" s="37">
        <v>0</v>
      </c>
      <c r="L40" s="37"/>
      <c r="M40" s="37">
        <f>K40*SUM(Overview!$B$32)</f>
        <v>0</v>
      </c>
      <c r="N40" s="37">
        <f t="shared" si="3"/>
        <v>0</v>
      </c>
      <c r="O40" s="37">
        <f t="shared" si="4"/>
        <v>0</v>
      </c>
      <c r="P40" s="37">
        <f t="shared" si="5"/>
        <v>0</v>
      </c>
      <c r="Q40" s="37">
        <f t="shared" si="7"/>
        <v>0</v>
      </c>
      <c r="R40" s="37">
        <f t="shared" si="6"/>
        <v>-3325.8754575358753</v>
      </c>
      <c r="S40" s="37">
        <f>Baseline!E35</f>
        <v>0</v>
      </c>
      <c r="T40" s="37">
        <f>Leakage!E35</f>
        <v>0</v>
      </c>
      <c r="U40" s="37">
        <f t="shared" si="1"/>
        <v>0</v>
      </c>
      <c r="V40" s="37">
        <v>0</v>
      </c>
    </row>
    <row r="41" spans="9:22">
      <c r="I41" s="3">
        <f>'2018 PM (MAI)'!J41</f>
        <v>32.53846153846154</v>
      </c>
      <c r="J41" s="3" t="str">
        <f>'2018 PM (MAI)'!K41</f>
        <v>01/01/2050 to 31/12/2050</v>
      </c>
      <c r="K41" s="37">
        <v>0</v>
      </c>
      <c r="L41" s="37"/>
      <c r="M41" s="37">
        <f>K41*SUM(Overview!$B$32)</f>
        <v>0</v>
      </c>
      <c r="N41" s="37">
        <f t="shared" si="3"/>
        <v>0</v>
      </c>
      <c r="O41" s="37">
        <f t="shared" si="4"/>
        <v>0</v>
      </c>
      <c r="P41" s="37">
        <f t="shared" si="5"/>
        <v>0</v>
      </c>
      <c r="Q41" s="37">
        <f t="shared" si="7"/>
        <v>0</v>
      </c>
      <c r="R41" s="37">
        <f t="shared" si="6"/>
        <v>0</v>
      </c>
      <c r="S41" s="37">
        <f>Baseline!E36*(I41-I40)</f>
        <v>0</v>
      </c>
      <c r="T41" s="37">
        <f>Leakage!E36*(I41-I40)</f>
        <v>0</v>
      </c>
      <c r="U41" s="37">
        <f t="shared" si="1"/>
        <v>0</v>
      </c>
      <c r="V41" s="37">
        <v>0</v>
      </c>
    </row>
    <row r="42" spans="9:22">
      <c r="I42" s="3">
        <f>'2018 PM (MAI)'!J42</f>
        <v>33.53846153846154</v>
      </c>
      <c r="J42" s="3" t="str">
        <f>'2018 PM (MAI)'!K42</f>
        <v>01/01/2051 to 31/12/2051</v>
      </c>
      <c r="K42" s="37">
        <v>0</v>
      </c>
      <c r="L42" s="37"/>
      <c r="M42" s="37">
        <f>K42*SUM(Overview!$B$32)</f>
        <v>0</v>
      </c>
      <c r="N42" s="37">
        <f t="shared" si="3"/>
        <v>0</v>
      </c>
      <c r="O42" s="37">
        <f t="shared" si="4"/>
        <v>0</v>
      </c>
      <c r="P42" s="37">
        <f t="shared" si="5"/>
        <v>0</v>
      </c>
      <c r="Q42" s="37">
        <f t="shared" si="7"/>
        <v>0</v>
      </c>
      <c r="R42" s="37">
        <f t="shared" si="6"/>
        <v>0</v>
      </c>
      <c r="S42" s="37">
        <f>Baseline!E36*I42</f>
        <v>0</v>
      </c>
      <c r="T42" s="37">
        <f>Leakage!E36*I42</f>
        <v>0</v>
      </c>
      <c r="U42" s="37">
        <f t="shared" si="1"/>
        <v>0</v>
      </c>
      <c r="V42" s="37">
        <v>0</v>
      </c>
    </row>
    <row r="43" spans="9:22">
      <c r="I43" s="3">
        <f>'2018 PM (MAI)'!J43</f>
        <v>34</v>
      </c>
      <c r="J43" s="3" t="str">
        <f>'2018 PM (MAI)'!K43</f>
        <v>01/01/2052 to 17/06/2052</v>
      </c>
      <c r="K43" s="37">
        <v>0</v>
      </c>
      <c r="L43" s="37"/>
      <c r="M43" s="37">
        <f>K43*SUM(Overview!$B$32)</f>
        <v>0</v>
      </c>
      <c r="N43" s="37">
        <f t="shared" si="3"/>
        <v>0</v>
      </c>
      <c r="O43" s="37">
        <f t="shared" si="4"/>
        <v>0</v>
      </c>
      <c r="P43" s="37">
        <f t="shared" si="5"/>
        <v>0</v>
      </c>
      <c r="Q43" s="37">
        <f t="shared" si="7"/>
        <v>0</v>
      </c>
      <c r="R43" s="37">
        <f t="shared" si="6"/>
        <v>0</v>
      </c>
      <c r="S43" s="37">
        <f>Baseline!E37</f>
        <v>0</v>
      </c>
      <c r="T43" s="37">
        <f>Leakage!E37</f>
        <v>0</v>
      </c>
      <c r="U43" s="37">
        <f t="shared" si="1"/>
        <v>0</v>
      </c>
      <c r="V43" s="37">
        <v>0</v>
      </c>
    </row>
    <row r="44" spans="9:22">
      <c r="T44" s="65" t="s">
        <v>97</v>
      </c>
      <c r="U44" s="94">
        <f>SUM(U9:U40)</f>
        <v>55874.707686602676</v>
      </c>
    </row>
    <row r="45" spans="9:22">
      <c r="T45" s="65" t="s">
        <v>98</v>
      </c>
      <c r="U45" s="94">
        <f>U44/30</f>
        <v>1862.4902562200891</v>
      </c>
    </row>
  </sheetData>
  <mergeCells count="18">
    <mergeCell ref="L9:L15"/>
    <mergeCell ref="L7:L8"/>
    <mergeCell ref="D7:D12"/>
    <mergeCell ref="S6:S8"/>
    <mergeCell ref="T6:T8"/>
    <mergeCell ref="U6:U8"/>
    <mergeCell ref="V6:V8"/>
    <mergeCell ref="A5:F5"/>
    <mergeCell ref="M6:M8"/>
    <mergeCell ref="N6:N8"/>
    <mergeCell ref="O6:O8"/>
    <mergeCell ref="P6:P8"/>
    <mergeCell ref="Q6:Q8"/>
    <mergeCell ref="R6:R8"/>
    <mergeCell ref="I7:I8"/>
    <mergeCell ref="J7:J8"/>
    <mergeCell ref="K7:K8"/>
    <mergeCell ref="I6:L6"/>
  </mergeCells>
  <conditionalFormatting sqref="B8">
    <cfRule type="cellIs" dxfId="2" priority="1" operator="equal">
      <formula>647012.5824</formula>
    </cfRule>
  </conditionalFormatting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ksheet" dvAspect="DVASPECT_ICON" shapeId="32779" r:id="rId4">
          <objectPr defaultSize="0" r:id="rId5">
            <anchor moveWithCells="1">
              <from>
                <xdr:col>3</xdr:col>
                <xdr:colOff>47625</xdr:colOff>
                <xdr:row>7</xdr:row>
                <xdr:rowOff>47625</xdr:rowOff>
              </from>
              <to>
                <xdr:col>4</xdr:col>
                <xdr:colOff>0</xdr:colOff>
                <xdr:row>10</xdr:row>
                <xdr:rowOff>152400</xdr:rowOff>
              </to>
            </anchor>
          </objectPr>
        </oleObject>
      </mc:Choice>
      <mc:Fallback>
        <oleObject progId="Worksheet" dvAspect="DVASPECT_ICON" shapeId="32779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8DAE5-EF53-4919-8831-DA398925813F}">
  <sheetPr codeName="Sheet5">
    <tabColor theme="1"/>
  </sheetPr>
  <dimension ref="A1:Y44"/>
  <sheetViews>
    <sheetView zoomScale="47" zoomScaleNormal="96" workbookViewId="0">
      <selection activeCell="H22" sqref="H22"/>
    </sheetView>
  </sheetViews>
  <sheetFormatPr defaultRowHeight="15"/>
  <cols>
    <col min="2" max="2" width="26.42578125" customWidth="1"/>
    <col min="3" max="3" width="14.42578125" customWidth="1"/>
    <col min="4" max="4" width="21.140625" customWidth="1"/>
    <col min="6" max="6" width="14.85546875" customWidth="1"/>
    <col min="8" max="8" width="11.85546875" customWidth="1"/>
    <col min="10" max="10" width="9.7109375" bestFit="1" customWidth="1"/>
    <col min="12" max="12" width="25.5703125" bestFit="1" customWidth="1"/>
    <col min="13" max="13" width="15.140625" bestFit="1" customWidth="1"/>
    <col min="14" max="14" width="15.140625" customWidth="1"/>
    <col min="15" max="15" width="15.5703125" customWidth="1"/>
    <col min="16" max="16" width="16.5703125" bestFit="1" customWidth="1"/>
    <col min="17" max="17" width="15.5703125" bestFit="1" customWidth="1"/>
    <col min="18" max="18" width="14.42578125" bestFit="1" customWidth="1"/>
    <col min="19" max="19" width="19.140625" customWidth="1"/>
    <col min="20" max="20" width="19" customWidth="1"/>
    <col min="21" max="21" width="26.42578125" customWidth="1"/>
    <col min="22" max="22" width="20.140625" customWidth="1"/>
    <col min="23" max="23" width="27.7109375" customWidth="1"/>
    <col min="24" max="24" width="21" customWidth="1"/>
    <col min="25" max="25" width="10.5703125" bestFit="1" customWidth="1"/>
  </cols>
  <sheetData>
    <row r="1" spans="1:24" ht="45">
      <c r="O1" s="81" t="s">
        <v>31</v>
      </c>
      <c r="P1" s="82" t="s">
        <v>32</v>
      </c>
      <c r="Q1" s="82" t="s">
        <v>33</v>
      </c>
    </row>
    <row r="2" spans="1:24">
      <c r="O2" s="16">
        <v>0.47</v>
      </c>
      <c r="P2" s="17">
        <v>0.04</v>
      </c>
      <c r="Q2" s="17">
        <v>0.02</v>
      </c>
    </row>
    <row r="5" spans="1:24">
      <c r="A5" s="138" t="s">
        <v>34</v>
      </c>
      <c r="B5" s="138"/>
      <c r="C5" s="138"/>
      <c r="D5" s="138"/>
      <c r="E5" s="138"/>
      <c r="F5" s="138"/>
      <c r="G5" s="138"/>
      <c r="H5" s="138"/>
      <c r="L5" s="40"/>
      <c r="M5" s="40"/>
    </row>
    <row r="6" spans="1:24" s="28" customFormat="1" ht="30.75" customHeight="1">
      <c r="A6" s="50" t="s">
        <v>35</v>
      </c>
      <c r="B6" s="50" t="s">
        <v>36</v>
      </c>
      <c r="C6" s="50" t="s">
        <v>37</v>
      </c>
      <c r="D6" s="79" t="s">
        <v>38</v>
      </c>
      <c r="E6" s="50" t="s">
        <v>39</v>
      </c>
      <c r="F6" s="50" t="s">
        <v>37</v>
      </c>
      <c r="G6" s="50" t="s">
        <v>39</v>
      </c>
      <c r="H6" s="50" t="s">
        <v>113</v>
      </c>
      <c r="K6" s="139"/>
      <c r="L6" s="140"/>
      <c r="M6" s="140"/>
      <c r="N6" s="140"/>
      <c r="O6" s="122" t="s">
        <v>41</v>
      </c>
      <c r="P6" s="122" t="s">
        <v>100</v>
      </c>
      <c r="Q6" s="122" t="s">
        <v>101</v>
      </c>
      <c r="R6" s="117" t="s">
        <v>102</v>
      </c>
      <c r="S6" s="122" t="s">
        <v>103</v>
      </c>
      <c r="T6" s="122" t="s">
        <v>46</v>
      </c>
      <c r="U6" s="122" t="s">
        <v>47</v>
      </c>
      <c r="V6" s="117" t="s">
        <v>104</v>
      </c>
      <c r="W6" s="122" t="s">
        <v>105</v>
      </c>
      <c r="X6" s="117" t="s">
        <v>50</v>
      </c>
    </row>
    <row r="7" spans="1:24" s="28" customFormat="1">
      <c r="A7" s="51"/>
      <c r="B7" s="52">
        <v>0</v>
      </c>
      <c r="C7" s="52">
        <v>0</v>
      </c>
      <c r="D7" s="124"/>
      <c r="E7" s="37">
        <v>0.53846153846153799</v>
      </c>
      <c r="F7" s="53">
        <v>0</v>
      </c>
      <c r="G7" s="53">
        <v>0</v>
      </c>
      <c r="H7" s="53">
        <v>0</v>
      </c>
      <c r="K7" s="117" t="s">
        <v>114</v>
      </c>
      <c r="L7" s="117" t="s">
        <v>52</v>
      </c>
      <c r="M7" s="122" t="s">
        <v>53</v>
      </c>
      <c r="N7" s="117" t="s">
        <v>54</v>
      </c>
      <c r="O7" s="122"/>
      <c r="P7" s="122"/>
      <c r="Q7" s="122"/>
      <c r="R7" s="123"/>
      <c r="S7" s="122"/>
      <c r="T7" s="122"/>
      <c r="U7" s="122"/>
      <c r="V7" s="123"/>
      <c r="W7" s="122" t="s">
        <v>55</v>
      </c>
      <c r="X7" s="123"/>
    </row>
    <row r="8" spans="1:24" s="28" customFormat="1">
      <c r="A8" s="51" t="s">
        <v>56</v>
      </c>
      <c r="B8" s="37">
        <f>'2018 PM (MAI)'!B8</f>
        <v>2.2082191780821914</v>
      </c>
      <c r="C8" s="54">
        <v>9.8368636984050504</v>
      </c>
      <c r="D8" s="125"/>
      <c r="E8" s="37">
        <f>1+E7</f>
        <v>1.5384615384615379</v>
      </c>
      <c r="F8" s="54">
        <v>0</v>
      </c>
      <c r="G8" s="37">
        <v>1</v>
      </c>
      <c r="H8" s="37">
        <v>0</v>
      </c>
      <c r="K8" s="118"/>
      <c r="L8" s="118"/>
      <c r="M8" s="122"/>
      <c r="N8" s="118"/>
      <c r="O8" s="122"/>
      <c r="P8" s="122"/>
      <c r="Q8" s="122"/>
      <c r="R8" s="118"/>
      <c r="S8" s="122"/>
      <c r="T8" s="122"/>
      <c r="U8" s="122"/>
      <c r="V8" s="118"/>
      <c r="W8" s="122"/>
      <c r="X8" s="118"/>
    </row>
    <row r="9" spans="1:24" ht="15" customHeight="1">
      <c r="A9" s="51" t="s">
        <v>57</v>
      </c>
      <c r="B9" s="37">
        <f>'2018 PM (MAI)'!B9</f>
        <v>3.2082191780821914</v>
      </c>
      <c r="C9" s="37">
        <v>24.637416774964301</v>
      </c>
      <c r="D9" s="125"/>
      <c r="E9" s="37">
        <f t="shared" ref="E9" si="0">1+E8</f>
        <v>2.5384615384615379</v>
      </c>
      <c r="F9" s="37">
        <f>TREND(C7:C8,B7:B8,E9,TRUE)</f>
        <v>11.307980840550567</v>
      </c>
      <c r="G9" s="37">
        <v>2</v>
      </c>
      <c r="H9" s="37">
        <v>0</v>
      </c>
      <c r="K9" s="3">
        <v>1</v>
      </c>
      <c r="L9" s="44" t="str">
        <f>'2018 GA (MAI)'!I10</f>
        <v>01/01/2019 to 31/12/2019</v>
      </c>
      <c r="M9" s="37">
        <f>H8</f>
        <v>0</v>
      </c>
      <c r="N9" s="135" t="s">
        <v>112</v>
      </c>
      <c r="O9" s="37"/>
      <c r="P9" s="37"/>
      <c r="Q9" s="37"/>
      <c r="R9" s="37"/>
      <c r="S9" s="37">
        <f t="shared" ref="S9:S13" si="1">SUM(P9:R9)</f>
        <v>0</v>
      </c>
      <c r="T9" s="37">
        <f>S9</f>
        <v>0</v>
      </c>
      <c r="U9" s="37">
        <f>Baseline!G5</f>
        <v>0</v>
      </c>
      <c r="V9" s="37">
        <f>Leakage!G5</f>
        <v>0</v>
      </c>
      <c r="W9" s="37">
        <f>S9-U9-V9</f>
        <v>0</v>
      </c>
      <c r="X9" s="37">
        <f>W9</f>
        <v>0</v>
      </c>
    </row>
    <row r="10" spans="1:24">
      <c r="A10" s="51" t="s">
        <v>60</v>
      </c>
      <c r="B10" s="37">
        <f>'2018 PM (MAI)'!B10</f>
        <v>4.2082191780821914</v>
      </c>
      <c r="C10" s="37">
        <v>26.234077947684799</v>
      </c>
      <c r="D10" s="125"/>
      <c r="E10" s="37">
        <f>1+E9</f>
        <v>3.5384615384615379</v>
      </c>
      <c r="F10" s="37">
        <f>TREND(C9:C10,B9:B10,E10,TRUE)</f>
        <v>25.164701929369578</v>
      </c>
      <c r="G10" s="37">
        <v>3</v>
      </c>
      <c r="H10" s="37">
        <f>TREND(C8:C9,B8:B9,G10,TRUE)</f>
        <v>21.555657778201279</v>
      </c>
      <c r="K10" s="3">
        <f>K9+1</f>
        <v>2</v>
      </c>
      <c r="L10" s="44" t="str">
        <f>'2018 GA (MAI)'!I11</f>
        <v>01/01/2020 to 31/12/2020</v>
      </c>
      <c r="M10" s="37">
        <f t="shared" ref="M10:M23" si="2">H9</f>
        <v>0</v>
      </c>
      <c r="N10" s="136"/>
      <c r="O10" s="37">
        <f>M10*SUM(Overview!$C$30)</f>
        <v>0</v>
      </c>
      <c r="P10" s="37">
        <f t="shared" ref="P10:P41" si="3">O10*$O$2*3.67</f>
        <v>0</v>
      </c>
      <c r="Q10" s="37">
        <f>P10*$P$2</f>
        <v>0</v>
      </c>
      <c r="R10" s="37">
        <f>P10*$Q$2</f>
        <v>0</v>
      </c>
      <c r="S10" s="37">
        <f t="shared" si="1"/>
        <v>0</v>
      </c>
      <c r="T10" s="37">
        <f>S10-S9</f>
        <v>0</v>
      </c>
      <c r="U10" s="37">
        <f>Baseline!G6</f>
        <v>0</v>
      </c>
      <c r="V10" s="37">
        <f>Leakage!G6</f>
        <v>0</v>
      </c>
      <c r="W10" s="37">
        <f t="shared" ref="W10:W42" si="4">S10-U10-V10</f>
        <v>0</v>
      </c>
      <c r="X10" s="37">
        <f>W10-W9</f>
        <v>0</v>
      </c>
    </row>
    <row r="11" spans="1:24">
      <c r="A11" s="51" t="s">
        <v>62</v>
      </c>
      <c r="B11" s="37">
        <f>'2018 PM (MAI)'!B11</f>
        <v>5.2082191780821914</v>
      </c>
      <c r="C11" s="37">
        <v>38.666798304946994</v>
      </c>
      <c r="D11" s="125"/>
      <c r="E11" s="37">
        <f t="shared" ref="E11:E21" si="5">1+E10</f>
        <v>4.5384615384615383</v>
      </c>
      <c r="F11" s="37">
        <f>TREND(C10:C11,B10:B11,E11,TRUE)</f>
        <v>30.33988886440342</v>
      </c>
      <c r="G11" s="37">
        <v>4</v>
      </c>
      <c r="H11" s="37">
        <f>TREND(C9:C10,B9:B10,G11,TRUE)</f>
        <v>25.901622470625192</v>
      </c>
      <c r="K11" s="3">
        <f t="shared" ref="K11:K41" si="6">K10+1</f>
        <v>3</v>
      </c>
      <c r="L11" s="44" t="str">
        <f>'2018 GA (MAI)'!I12</f>
        <v>01/01/2021 to 31/12/2021</v>
      </c>
      <c r="M11" s="37">
        <f t="shared" si="2"/>
        <v>21.555657778201279</v>
      </c>
      <c r="N11" s="136"/>
      <c r="O11" s="37">
        <f>M11*SUM(Overview!$C$30)</f>
        <v>3196.8742174353993</v>
      </c>
      <c r="P11" s="37">
        <f t="shared" si="3"/>
        <v>5514.2883376543195</v>
      </c>
      <c r="Q11" s="37">
        <f t="shared" ref="Q11:Q41" si="7">P11*$P$2</f>
        <v>220.57153350617278</v>
      </c>
      <c r="R11" s="37">
        <f t="shared" ref="R11:R41" si="8">P11*$Q$2</f>
        <v>110.28576675308639</v>
      </c>
      <c r="S11" s="37">
        <f t="shared" si="1"/>
        <v>5845.1456379135789</v>
      </c>
      <c r="T11" s="37">
        <f t="shared" ref="T11:T42" si="9">S11-S10</f>
        <v>5845.1456379135789</v>
      </c>
      <c r="U11" s="37">
        <f>Baseline!G7</f>
        <v>0</v>
      </c>
      <c r="V11" s="37">
        <f>Leakage!G7</f>
        <v>0</v>
      </c>
      <c r="W11" s="37">
        <f t="shared" si="4"/>
        <v>5845.1456379135789</v>
      </c>
      <c r="X11" s="37">
        <f>W11-W10</f>
        <v>5845.1456379135789</v>
      </c>
    </row>
    <row r="12" spans="1:24">
      <c r="A12" s="51" t="s">
        <v>64</v>
      </c>
      <c r="B12" s="37">
        <f>'2018 PM (MAI)'!B12</f>
        <v>5.7479452054794518</v>
      </c>
      <c r="C12" s="37">
        <v>61.938115801516687</v>
      </c>
      <c r="D12" s="126"/>
      <c r="E12" s="37">
        <f t="shared" si="5"/>
        <v>5.5384615384615383</v>
      </c>
      <c r="F12" s="37">
        <f>TREND(C11:C12,B11:B12,E12,TRUE)</f>
        <v>52.905827792305359</v>
      </c>
      <c r="G12" s="37">
        <v>5</v>
      </c>
      <c r="H12" s="37">
        <f>TREND(C10:C11,B10:B11,G12,TRUE)</f>
        <v>36.078067490832133</v>
      </c>
      <c r="K12" s="3">
        <f t="shared" si="6"/>
        <v>4</v>
      </c>
      <c r="L12" s="44" t="str">
        <f>'2018 GA (MAI)'!I13</f>
        <v>01/01/2022 to 31/12/2022</v>
      </c>
      <c r="M12" s="37">
        <f t="shared" si="2"/>
        <v>25.901622470625192</v>
      </c>
      <c r="N12" s="136"/>
      <c r="O12" s="37">
        <f>M12*SUM(Overview!$C$30)</f>
        <v>3841.415090094119</v>
      </c>
      <c r="P12" s="37">
        <f t="shared" si="3"/>
        <v>6626.0568889033457</v>
      </c>
      <c r="Q12" s="37">
        <f t="shared" si="7"/>
        <v>265.04227555613386</v>
      </c>
      <c r="R12" s="37">
        <f t="shared" si="8"/>
        <v>132.52113777806693</v>
      </c>
      <c r="S12" s="37">
        <f t="shared" si="1"/>
        <v>7023.6203022375466</v>
      </c>
      <c r="T12" s="37">
        <f t="shared" si="9"/>
        <v>1178.4746643239678</v>
      </c>
      <c r="U12" s="37">
        <f>Baseline!G8</f>
        <v>0</v>
      </c>
      <c r="V12" s="37">
        <f>Leakage!G8</f>
        <v>0</v>
      </c>
      <c r="W12" s="37">
        <f t="shared" si="4"/>
        <v>7023.6203022375466</v>
      </c>
      <c r="X12" s="37">
        <f t="shared" ref="X12:X16" si="10">W12-W11</f>
        <v>1178.4746643239678</v>
      </c>
    </row>
    <row r="13" spans="1:24">
      <c r="A13" s="51"/>
      <c r="B13" s="51"/>
      <c r="C13" s="51"/>
      <c r="D13" s="51"/>
      <c r="E13" s="37">
        <f t="shared" si="5"/>
        <v>6.5384615384615383</v>
      </c>
      <c r="F13" s="37">
        <f>TREND(C11:C12,B11:B12,$E$13,TRUE)</f>
        <v>96.022735844325354</v>
      </c>
      <c r="G13" s="37">
        <v>6</v>
      </c>
      <c r="H13" s="37">
        <f>TREND(C11:C12,B11:B12,$G$13,TRUE)</f>
        <v>72.805939200929942</v>
      </c>
      <c r="K13" s="3">
        <f t="shared" si="6"/>
        <v>5</v>
      </c>
      <c r="L13" s="44" t="str">
        <f>'2018 GA (MAI)'!I14</f>
        <v>01/01/2023 to 31/12/2023</v>
      </c>
      <c r="M13" s="37">
        <f t="shared" si="2"/>
        <v>36.078067490832133</v>
      </c>
      <c r="N13" s="136"/>
      <c r="O13" s="37">
        <f>M13*SUM(Overview!$C$30)</f>
        <v>5350.6622234916476</v>
      </c>
      <c r="P13" s="37">
        <f t="shared" si="3"/>
        <v>9229.3572693007427</v>
      </c>
      <c r="Q13" s="37">
        <f t="shared" si="7"/>
        <v>369.17429077202974</v>
      </c>
      <c r="R13" s="37">
        <f t="shared" si="8"/>
        <v>184.58714538601487</v>
      </c>
      <c r="S13" s="37">
        <f t="shared" si="1"/>
        <v>9783.1187054587863</v>
      </c>
      <c r="T13" s="37">
        <f t="shared" si="9"/>
        <v>2759.4984032212396</v>
      </c>
      <c r="U13" s="37">
        <f>Baseline!G9</f>
        <v>0</v>
      </c>
      <c r="V13" s="37">
        <f>Leakage!G9</f>
        <v>0</v>
      </c>
      <c r="W13" s="37">
        <f t="shared" si="4"/>
        <v>9783.1187054587863</v>
      </c>
      <c r="X13" s="37">
        <f t="shared" si="10"/>
        <v>2759.4984032212396</v>
      </c>
    </row>
    <row r="14" spans="1:24">
      <c r="A14" s="51"/>
      <c r="B14" s="51"/>
      <c r="C14" s="51"/>
      <c r="D14" s="51"/>
      <c r="E14" s="37">
        <f t="shared" si="5"/>
        <v>7.5384615384615383</v>
      </c>
      <c r="F14" s="37">
        <f>TREND(F9:F13,E9:E13,E14:$E$22,TRUE)</f>
        <v>102.29941781533644</v>
      </c>
      <c r="G14" s="37">
        <v>7</v>
      </c>
      <c r="H14" s="37">
        <f>TREND(F10:F13,E10:E13,G14:$G$22,TRUE)</f>
        <v>97.231911970336427</v>
      </c>
      <c r="K14" s="3">
        <f t="shared" si="6"/>
        <v>6</v>
      </c>
      <c r="L14" s="44" t="str">
        <f>'2018 GA (MAI)'!I15</f>
        <v>01/01/2024 to 31/12/2024</v>
      </c>
      <c r="M14" s="37">
        <f t="shared" si="2"/>
        <v>72.805939200929942</v>
      </c>
      <c r="N14" s="137"/>
      <c r="O14" s="37">
        <f>M14*SUM(Overview!$C$30)</f>
        <v>10797.695542513118</v>
      </c>
      <c r="P14" s="37">
        <f t="shared" si="3"/>
        <v>18624.945041280876</v>
      </c>
      <c r="Q14" s="37">
        <f t="shared" si="7"/>
        <v>744.99780165123502</v>
      </c>
      <c r="R14" s="37">
        <f t="shared" si="8"/>
        <v>372.49890082561751</v>
      </c>
      <c r="S14" s="37">
        <f>SUM(P14:R14)</f>
        <v>19742.441743757729</v>
      </c>
      <c r="T14" s="37">
        <f t="shared" si="9"/>
        <v>9959.3230382989423</v>
      </c>
      <c r="U14" s="37">
        <f>Baseline!G10</f>
        <v>0</v>
      </c>
      <c r="V14" s="37">
        <f>Leakage!G10</f>
        <v>0</v>
      </c>
      <c r="W14" s="37">
        <f t="shared" si="4"/>
        <v>19742.441743757729</v>
      </c>
      <c r="X14" s="37">
        <f t="shared" si="10"/>
        <v>9959.3230382989423</v>
      </c>
    </row>
    <row r="15" spans="1:24">
      <c r="A15" s="51"/>
      <c r="B15" s="51"/>
      <c r="C15" s="51"/>
      <c r="D15" s="51"/>
      <c r="E15" s="37">
        <f t="shared" si="5"/>
        <v>8.5384615384615383</v>
      </c>
      <c r="F15" s="37">
        <f>TREND(F11:F14,E11:E14,E15:$E$22,TRUE)</f>
        <v>135.14084130529739</v>
      </c>
      <c r="G15" s="37">
        <v>8</v>
      </c>
      <c r="H15" s="37">
        <f>TREND(F11:F14,E11:E14,G15:$G$22,TRUE)</f>
        <v>121.19493004119175</v>
      </c>
      <c r="K15" s="3">
        <f t="shared" si="6"/>
        <v>7</v>
      </c>
      <c r="L15" s="44" t="str">
        <f>'2018 GA (MAI)'!I16</f>
        <v>01/01/2025 to 31/12/2025</v>
      </c>
      <c r="M15" s="37">
        <f t="shared" si="2"/>
        <v>97.231911970336427</v>
      </c>
      <c r="N15" s="37"/>
      <c r="O15" s="37">
        <f>M15*SUM(Overview!$C$30)</f>
        <v>14420.260132551377</v>
      </c>
      <c r="P15" s="37">
        <f t="shared" si="3"/>
        <v>24873.506702637867</v>
      </c>
      <c r="Q15" s="37">
        <f t="shared" si="7"/>
        <v>994.94026810551475</v>
      </c>
      <c r="R15" s="37">
        <f t="shared" si="8"/>
        <v>497.47013405275737</v>
      </c>
      <c r="S15" s="37">
        <f t="shared" ref="S15:S41" si="11">SUM(P15:R15)</f>
        <v>26365.917104796139</v>
      </c>
      <c r="T15" s="37">
        <f t="shared" si="9"/>
        <v>6623.4753610384105</v>
      </c>
      <c r="U15" s="37">
        <f>Baseline!G11</f>
        <v>0</v>
      </c>
      <c r="V15" s="37">
        <f>Leakage!G11</f>
        <v>0</v>
      </c>
      <c r="W15" s="37">
        <f t="shared" si="4"/>
        <v>26365.917104796139</v>
      </c>
      <c r="X15" s="37">
        <f t="shared" si="10"/>
        <v>6623.4753610384105</v>
      </c>
    </row>
    <row r="16" spans="1:24">
      <c r="A16" s="51"/>
      <c r="B16" s="51"/>
      <c r="C16" s="51"/>
      <c r="D16" s="51"/>
      <c r="E16" s="37">
        <f t="shared" si="5"/>
        <v>9.5384615384615383</v>
      </c>
      <c r="F16" s="37">
        <f>TREND(F12:F15,E12:E15,E16:$E$22,TRUE)</f>
        <v>159.8376363168129</v>
      </c>
      <c r="G16" s="37">
        <v>9</v>
      </c>
      <c r="H16" s="37">
        <f>TREND(F12:F15,E12:E15,G16:$G$22,TRUE)</f>
        <v>146.21554356627516</v>
      </c>
      <c r="K16" s="3">
        <f t="shared" si="6"/>
        <v>8</v>
      </c>
      <c r="L16" s="44" t="str">
        <f>'2018 GA (MAI)'!I17</f>
        <v>01/01/2026 to 31/12/2026</v>
      </c>
      <c r="M16" s="37">
        <f t="shared" si="2"/>
        <v>121.19493004119175</v>
      </c>
      <c r="N16" s="37"/>
      <c r="O16" s="37">
        <f>M16*SUM(Overview!$C$30)</f>
        <v>17974.164886046143</v>
      </c>
      <c r="P16" s="37">
        <f t="shared" si="3"/>
        <v>31003.637011940988</v>
      </c>
      <c r="Q16" s="37">
        <f t="shared" si="7"/>
        <v>1240.1454804776395</v>
      </c>
      <c r="R16" s="37">
        <f>P16*$Q$2</f>
        <v>620.07274023881973</v>
      </c>
      <c r="S16" s="37">
        <f t="shared" si="11"/>
        <v>32863.85523265745</v>
      </c>
      <c r="T16" s="37">
        <f t="shared" si="9"/>
        <v>6497.9381278613109</v>
      </c>
      <c r="U16" s="37">
        <f>Baseline!G12</f>
        <v>0</v>
      </c>
      <c r="V16" s="37">
        <f>Leakage!G12</f>
        <v>0</v>
      </c>
      <c r="W16" s="37">
        <f t="shared" si="4"/>
        <v>32863.85523265745</v>
      </c>
      <c r="X16" s="37">
        <f t="shared" si="10"/>
        <v>6497.9381278613109</v>
      </c>
    </row>
    <row r="17" spans="1:24">
      <c r="A17" s="51"/>
      <c r="B17" s="51"/>
      <c r="C17" s="51"/>
      <c r="D17" s="51"/>
      <c r="E17" s="37">
        <f t="shared" si="5"/>
        <v>10.538461538461538</v>
      </c>
      <c r="F17" s="37">
        <f>TREND(F13:F16,E13:E16,E17:$E$22,TRUE)</f>
        <v>179.39668904729893</v>
      </c>
      <c r="G17" s="37">
        <v>10</v>
      </c>
      <c r="H17" s="37">
        <f>TREND(F13:F16,E13:E16,G17:$G$22,TRUE)</f>
        <v>167.31974385997611</v>
      </c>
      <c r="K17" s="3">
        <f t="shared" si="6"/>
        <v>9</v>
      </c>
      <c r="L17" s="44" t="str">
        <f>'2018 GA (MAI)'!I18</f>
        <v>01/01/2027 to 31/12/2027</v>
      </c>
      <c r="M17" s="37">
        <f t="shared" si="2"/>
        <v>146.21554356627516</v>
      </c>
      <c r="N17" s="37"/>
      <c r="O17" s="37">
        <f>M17*SUM(Overview!$C$30)</f>
        <v>21684.919394481709</v>
      </c>
      <c r="P17" s="37">
        <f t="shared" si="3"/>
        <v>37404.317463541498</v>
      </c>
      <c r="Q17" s="37">
        <f t="shared" si="7"/>
        <v>1496.1726985416599</v>
      </c>
      <c r="R17" s="37">
        <f t="shared" si="8"/>
        <v>748.08634927082994</v>
      </c>
      <c r="S17" s="37">
        <f t="shared" si="11"/>
        <v>39648.576511353989</v>
      </c>
      <c r="T17" s="37">
        <f t="shared" si="9"/>
        <v>6784.7212786965392</v>
      </c>
      <c r="U17" s="37">
        <f>Baseline!G13</f>
        <v>0</v>
      </c>
      <c r="V17" s="37">
        <f>Leakage!G13</f>
        <v>0</v>
      </c>
      <c r="W17" s="37">
        <f t="shared" si="4"/>
        <v>39648.576511353989</v>
      </c>
      <c r="X17" s="37">
        <f>W44-SUM(X9:X16)</f>
        <v>1454.9766332355284</v>
      </c>
    </row>
    <row r="18" spans="1:24">
      <c r="A18" s="51"/>
      <c r="B18" s="51"/>
      <c r="C18" s="51"/>
      <c r="D18" s="51"/>
      <c r="E18" s="37">
        <f t="shared" si="5"/>
        <v>11.538461538461538</v>
      </c>
      <c r="F18" s="37">
        <f>TREND(F14:F17,E14:E17,E18:$E$22,TRUE)</f>
        <v>208.16579829803715</v>
      </c>
      <c r="G18" s="37">
        <v>11</v>
      </c>
      <c r="H18" s="37">
        <f>TREND(F14:F17,E14:E17,G18:$G$22,TRUE)</f>
        <v>194.38179629071544</v>
      </c>
      <c r="K18" s="3">
        <f t="shared" si="6"/>
        <v>10</v>
      </c>
      <c r="L18" s="44" t="str">
        <f>'2018 GA (MAI)'!I19</f>
        <v>01/01/2028 to 31/12/2028</v>
      </c>
      <c r="M18" s="37">
        <f t="shared" si="2"/>
        <v>167.31974385997611</v>
      </c>
      <c r="N18" s="37"/>
      <c r="O18" s="37">
        <f>M18*SUM(Overview!$C$30)</f>
        <v>24814.83890298093</v>
      </c>
      <c r="P18" s="37">
        <f t="shared" si="3"/>
        <v>42803.115623751801</v>
      </c>
      <c r="Q18" s="37">
        <f t="shared" si="7"/>
        <v>1712.1246249500721</v>
      </c>
      <c r="R18" s="37">
        <f t="shared" si="8"/>
        <v>856.06231247503604</v>
      </c>
      <c r="S18" s="37">
        <f t="shared" si="11"/>
        <v>45371.302561176904</v>
      </c>
      <c r="T18" s="37">
        <f t="shared" si="9"/>
        <v>5722.7260498229152</v>
      </c>
      <c r="U18" s="37">
        <f>Baseline!G14</f>
        <v>0</v>
      </c>
      <c r="V18" s="37">
        <f>Leakage!G14</f>
        <v>0</v>
      </c>
      <c r="W18" s="37">
        <f t="shared" si="4"/>
        <v>45371.302561176904</v>
      </c>
      <c r="X18" s="37">
        <v>0</v>
      </c>
    </row>
    <row r="19" spans="1:24">
      <c r="A19" s="51"/>
      <c r="B19" s="51"/>
      <c r="C19" s="51"/>
      <c r="D19" s="51"/>
      <c r="E19" s="37">
        <f t="shared" si="5"/>
        <v>12.538461538461538</v>
      </c>
      <c r="F19" s="37">
        <f>TREND(F15:F18,E15:E18,E19:$E$22,TRUE)</f>
        <v>230.29372216903795</v>
      </c>
      <c r="G19" s="37">
        <v>12</v>
      </c>
      <c r="H19" s="37">
        <f>TREND(F15:F18,E15:E18,G19:$G$22,TRUE)</f>
        <v>217.44420320010767</v>
      </c>
      <c r="K19" s="3">
        <f t="shared" si="6"/>
        <v>11</v>
      </c>
      <c r="L19" s="44" t="str">
        <f>'2018 GA (MAI)'!I20</f>
        <v>01/01/2029 to 31/12/2029</v>
      </c>
      <c r="M19" s="37">
        <f t="shared" si="2"/>
        <v>194.38179629071544</v>
      </c>
      <c r="N19" s="37"/>
      <c r="O19" s="37">
        <f>M19*SUM(Overview!$C$30)</f>
        <v>28828.354917055207</v>
      </c>
      <c r="P19" s="37">
        <f t="shared" si="3"/>
        <v>49726.029396428523</v>
      </c>
      <c r="Q19" s="37">
        <f t="shared" si="7"/>
        <v>1989.0411758571411</v>
      </c>
      <c r="R19" s="37">
        <f t="shared" si="8"/>
        <v>994.52058792857054</v>
      </c>
      <c r="S19" s="37">
        <f t="shared" si="11"/>
        <v>52709.591160214237</v>
      </c>
      <c r="T19" s="37">
        <f t="shared" si="9"/>
        <v>7338.2885990373325</v>
      </c>
      <c r="U19" s="37">
        <f>Baseline!G15</f>
        <v>0</v>
      </c>
      <c r="V19" s="37">
        <f>Leakage!G15</f>
        <v>0</v>
      </c>
      <c r="W19" s="37">
        <f t="shared" si="4"/>
        <v>52709.591160214237</v>
      </c>
      <c r="X19" s="37">
        <v>0</v>
      </c>
    </row>
    <row r="20" spans="1:24">
      <c r="A20" s="51"/>
      <c r="B20" s="51"/>
      <c r="C20" s="51"/>
      <c r="D20" s="51"/>
      <c r="E20" s="37">
        <f t="shared" si="5"/>
        <v>13.538461538461538</v>
      </c>
      <c r="F20" s="37">
        <f>TREND(F16:F19,E16:E19,E20:$E$22,TRUE)</f>
        <v>254.4578031596501</v>
      </c>
      <c r="G20" s="37">
        <v>13</v>
      </c>
      <c r="H20" s="37">
        <f>TREND(F16:F19,E16:E19,G20:$G$22,TRUE)</f>
        <v>241.52732956232785</v>
      </c>
      <c r="K20" s="3">
        <f t="shared" si="6"/>
        <v>12</v>
      </c>
      <c r="L20" s="44" t="str">
        <f>'2018 GA (MAI)'!I21</f>
        <v>01/01/2030 to 31/12/2030</v>
      </c>
      <c r="M20" s="37">
        <f t="shared" si="2"/>
        <v>217.44420320010767</v>
      </c>
      <c r="N20" s="37"/>
      <c r="O20" s="37">
        <f>M20*SUM(Overview!$C$30)</f>
        <v>32248.691925522606</v>
      </c>
      <c r="P20" s="37">
        <f t="shared" si="3"/>
        <v>55625.768702333939</v>
      </c>
      <c r="Q20" s="37">
        <f t="shared" si="7"/>
        <v>2225.0307480933575</v>
      </c>
      <c r="R20" s="37">
        <f t="shared" si="8"/>
        <v>1112.5153740466787</v>
      </c>
      <c r="S20" s="37">
        <f t="shared" si="11"/>
        <v>58963.314824473971</v>
      </c>
      <c r="T20" s="37">
        <f t="shared" si="9"/>
        <v>6253.7236642597345</v>
      </c>
      <c r="U20" s="37">
        <f>Baseline!G16</f>
        <v>0</v>
      </c>
      <c r="V20" s="37">
        <f>Leakage!G16</f>
        <v>0</v>
      </c>
      <c r="W20" s="37">
        <f t="shared" si="4"/>
        <v>58963.314824473971</v>
      </c>
      <c r="X20" s="37">
        <v>0</v>
      </c>
    </row>
    <row r="21" spans="1:24">
      <c r="A21" s="51"/>
      <c r="B21" s="51"/>
      <c r="C21" s="51"/>
      <c r="D21" s="51"/>
      <c r="E21" s="37">
        <f t="shared" si="5"/>
        <v>14.538461538461538</v>
      </c>
      <c r="F21" s="37">
        <f>TREND(F17:F20,E17:E20,E21:$E$22,TRUE)</f>
        <v>279.9063197205196</v>
      </c>
      <c r="G21" s="37">
        <v>14</v>
      </c>
      <c r="H21" s="37">
        <f>TREND(F17:F20,E17:E20,G21:$G$22,TRUE)</f>
        <v>266.58955923239364</v>
      </c>
      <c r="K21" s="3">
        <f t="shared" si="6"/>
        <v>13</v>
      </c>
      <c r="L21" s="44" t="str">
        <f>'2018 GA (MAI)'!I22</f>
        <v>01/01/2031 to 31/12/2031</v>
      </c>
      <c r="M21" s="37">
        <f t="shared" si="2"/>
        <v>241.52732956232785</v>
      </c>
      <c r="N21" s="37"/>
      <c r="O21" s="37">
        <f>M21*SUM(Overview!$C$30)</f>
        <v>35820.409686809362</v>
      </c>
      <c r="P21" s="37">
        <f t="shared" si="3"/>
        <v>61786.624668777469</v>
      </c>
      <c r="Q21" s="37">
        <f t="shared" si="7"/>
        <v>2471.4649867510989</v>
      </c>
      <c r="R21" s="37">
        <f t="shared" si="8"/>
        <v>1235.7324933755494</v>
      </c>
      <c r="S21" s="37">
        <f t="shared" si="11"/>
        <v>65493.822148904117</v>
      </c>
      <c r="T21" s="37">
        <f t="shared" si="9"/>
        <v>6530.5073244301457</v>
      </c>
      <c r="U21" s="37">
        <f>Baseline!G17</f>
        <v>0</v>
      </c>
      <c r="V21" s="37">
        <f>Leakage!G17</f>
        <v>0</v>
      </c>
      <c r="W21" s="37">
        <f t="shared" si="4"/>
        <v>65493.822148904117</v>
      </c>
      <c r="X21" s="37">
        <v>0</v>
      </c>
    </row>
    <row r="22" spans="1:24">
      <c r="A22" s="51"/>
      <c r="B22" s="51"/>
      <c r="C22" s="51"/>
      <c r="D22" s="51"/>
      <c r="E22" s="37">
        <v>15</v>
      </c>
      <c r="F22" s="37">
        <f>TREND(F18:F21,E18:E21,E22:$E$22,TRUE)</f>
        <v>290.16232586819984</v>
      </c>
      <c r="G22" s="37">
        <v>15</v>
      </c>
      <c r="H22" s="37">
        <f>TREND(F18:F21,E18:E21,G22:$G$22,TRUE)</f>
        <v>290.16232586819984</v>
      </c>
      <c r="K22" s="3">
        <f t="shared" si="6"/>
        <v>14</v>
      </c>
      <c r="L22" s="44" t="str">
        <f>'2018 GA (MAI)'!I23</f>
        <v>01/01/2032 to 31/12/2032</v>
      </c>
      <c r="M22" s="37">
        <f t="shared" si="2"/>
        <v>266.58955923239364</v>
      </c>
      <c r="N22" s="37"/>
      <c r="O22" s="37">
        <f>M22*SUM(Overview!$C$30)</f>
        <v>39537.3361980802</v>
      </c>
      <c r="P22" s="37">
        <f t="shared" si="3"/>
        <v>68197.951208068538</v>
      </c>
      <c r="Q22" s="37">
        <f t="shared" si="7"/>
        <v>2727.9180483227415</v>
      </c>
      <c r="R22" s="37">
        <f t="shared" si="8"/>
        <v>1363.9590241613707</v>
      </c>
      <c r="S22" s="37">
        <f t="shared" si="11"/>
        <v>72289.828280552654</v>
      </c>
      <c r="T22" s="37">
        <f t="shared" si="9"/>
        <v>6796.0061316485371</v>
      </c>
      <c r="U22" s="37">
        <f>Baseline!G18</f>
        <v>0</v>
      </c>
      <c r="V22" s="37">
        <f>Leakage!G18</f>
        <v>0</v>
      </c>
      <c r="W22" s="37">
        <f t="shared" si="4"/>
        <v>72289.828280552654</v>
      </c>
      <c r="X22" s="37">
        <v>0</v>
      </c>
    </row>
    <row r="23" spans="1:24">
      <c r="K23" s="3">
        <f t="shared" si="6"/>
        <v>15</v>
      </c>
      <c r="L23" s="44" t="str">
        <f>'2018 GA (MAI)'!I24</f>
        <v>01/01/2033 to 31/12/2033</v>
      </c>
      <c r="M23" s="37">
        <f t="shared" si="2"/>
        <v>290.16232586819984</v>
      </c>
      <c r="N23" s="37"/>
      <c r="O23" s="37">
        <f>M23*SUM(Overview!$C$30)</f>
        <v>43033.363582957274</v>
      </c>
      <c r="P23" s="37">
        <f t="shared" si="3"/>
        <v>74228.248844242989</v>
      </c>
      <c r="Q23" s="37">
        <f t="shared" si="7"/>
        <v>2969.1299537697196</v>
      </c>
      <c r="R23" s="37">
        <f t="shared" si="8"/>
        <v>1484.5649768848598</v>
      </c>
      <c r="S23" s="37">
        <f t="shared" si="11"/>
        <v>78681.943774897576</v>
      </c>
      <c r="T23" s="37">
        <f t="shared" si="9"/>
        <v>6392.1154943449219</v>
      </c>
      <c r="U23" s="37">
        <f>Baseline!G19</f>
        <v>0</v>
      </c>
      <c r="V23" s="37">
        <f>Leakage!G19</f>
        <v>0</v>
      </c>
      <c r="W23" s="37">
        <f t="shared" si="4"/>
        <v>78681.943774897576</v>
      </c>
      <c r="X23" s="37">
        <v>0</v>
      </c>
    </row>
    <row r="24" spans="1:24">
      <c r="K24" s="3">
        <f t="shared" si="6"/>
        <v>16</v>
      </c>
      <c r="L24" s="44" t="str">
        <f>'2018 GA (MAI)'!I25</f>
        <v>01/01/2034 to 31/12/2034</v>
      </c>
      <c r="M24" s="37">
        <f>M9</f>
        <v>0</v>
      </c>
      <c r="N24" s="37"/>
      <c r="O24" s="37">
        <f>M24*SUM(Overview!$C$30)</f>
        <v>0</v>
      </c>
      <c r="P24" s="37">
        <f t="shared" si="3"/>
        <v>0</v>
      </c>
      <c r="Q24" s="37">
        <f t="shared" si="7"/>
        <v>0</v>
      </c>
      <c r="R24" s="37">
        <f t="shared" si="8"/>
        <v>0</v>
      </c>
      <c r="S24" s="37">
        <f t="shared" si="11"/>
        <v>0</v>
      </c>
      <c r="T24" s="37">
        <f t="shared" si="9"/>
        <v>-78681.943774897576</v>
      </c>
      <c r="U24" s="37">
        <f>Baseline!G20</f>
        <v>0</v>
      </c>
      <c r="V24" s="37">
        <f>Leakage!G20</f>
        <v>0</v>
      </c>
      <c r="W24" s="37">
        <f t="shared" si="4"/>
        <v>0</v>
      </c>
      <c r="X24" s="37">
        <v>0</v>
      </c>
    </row>
    <row r="25" spans="1:24">
      <c r="K25" s="3">
        <f t="shared" si="6"/>
        <v>17</v>
      </c>
      <c r="L25" s="44" t="str">
        <f>'2018 GA (MAI)'!I26</f>
        <v>01/01/2035 to 31/12/2035</v>
      </c>
      <c r="M25" s="37">
        <f t="shared" ref="M25:M38" si="12">M10</f>
        <v>0</v>
      </c>
      <c r="N25" s="37"/>
      <c r="O25" s="37">
        <f>M25*SUM(Overview!$C$30)</f>
        <v>0</v>
      </c>
      <c r="P25" s="37">
        <f t="shared" si="3"/>
        <v>0</v>
      </c>
      <c r="Q25" s="37">
        <f t="shared" si="7"/>
        <v>0</v>
      </c>
      <c r="R25" s="37">
        <f t="shared" si="8"/>
        <v>0</v>
      </c>
      <c r="S25" s="37">
        <f t="shared" si="11"/>
        <v>0</v>
      </c>
      <c r="T25" s="37">
        <f t="shared" si="9"/>
        <v>0</v>
      </c>
      <c r="U25" s="37">
        <f>Baseline!G21</f>
        <v>0</v>
      </c>
      <c r="V25" s="37">
        <f>Leakage!G21</f>
        <v>0</v>
      </c>
      <c r="W25" s="37">
        <f t="shared" si="4"/>
        <v>0</v>
      </c>
      <c r="X25" s="37">
        <v>0</v>
      </c>
    </row>
    <row r="26" spans="1:24">
      <c r="K26" s="3">
        <f t="shared" si="6"/>
        <v>18</v>
      </c>
      <c r="L26" s="44" t="str">
        <f>'2018 GA (MAI)'!I27</f>
        <v>01/01/2036 to 31/12/2036</v>
      </c>
      <c r="M26" s="37">
        <f t="shared" si="12"/>
        <v>21.555657778201279</v>
      </c>
      <c r="N26" s="37"/>
      <c r="O26" s="37">
        <f>M26*SUM(Overview!$C$30)</f>
        <v>3196.8742174353993</v>
      </c>
      <c r="P26" s="37">
        <f t="shared" si="3"/>
        <v>5514.2883376543195</v>
      </c>
      <c r="Q26" s="37">
        <f t="shared" si="7"/>
        <v>220.57153350617278</v>
      </c>
      <c r="R26" s="37">
        <f t="shared" si="8"/>
        <v>110.28576675308639</v>
      </c>
      <c r="S26" s="37">
        <f t="shared" si="11"/>
        <v>5845.1456379135789</v>
      </c>
      <c r="T26" s="37">
        <f t="shared" si="9"/>
        <v>5845.1456379135789</v>
      </c>
      <c r="U26" s="37">
        <f>Baseline!G22</f>
        <v>0</v>
      </c>
      <c r="V26" s="37">
        <f>Leakage!G22</f>
        <v>0</v>
      </c>
      <c r="W26" s="37">
        <f t="shared" si="4"/>
        <v>5845.1456379135789</v>
      </c>
      <c r="X26" s="37">
        <v>0</v>
      </c>
    </row>
    <row r="27" spans="1:24">
      <c r="K27" s="3">
        <f t="shared" si="6"/>
        <v>19</v>
      </c>
      <c r="L27" s="44" t="str">
        <f>'2018 GA (MAI)'!I28</f>
        <v>01/01/2037 to 31/12/2037</v>
      </c>
      <c r="M27" s="37">
        <f t="shared" si="12"/>
        <v>25.901622470625192</v>
      </c>
      <c r="N27" s="37"/>
      <c r="O27" s="37">
        <f>M27*SUM(Overview!$C$30)</f>
        <v>3841.415090094119</v>
      </c>
      <c r="P27" s="37">
        <f t="shared" si="3"/>
        <v>6626.0568889033457</v>
      </c>
      <c r="Q27" s="37">
        <f t="shared" si="7"/>
        <v>265.04227555613386</v>
      </c>
      <c r="R27" s="37">
        <f t="shared" si="8"/>
        <v>132.52113777806693</v>
      </c>
      <c r="S27" s="37">
        <f t="shared" si="11"/>
        <v>7023.6203022375466</v>
      </c>
      <c r="T27" s="37">
        <f t="shared" si="9"/>
        <v>1178.4746643239678</v>
      </c>
      <c r="U27" s="37">
        <f>Baseline!G23</f>
        <v>0</v>
      </c>
      <c r="V27" s="37">
        <f>Leakage!G23</f>
        <v>0</v>
      </c>
      <c r="W27" s="37">
        <f t="shared" si="4"/>
        <v>7023.6203022375466</v>
      </c>
      <c r="X27" s="37">
        <v>0</v>
      </c>
    </row>
    <row r="28" spans="1:24">
      <c r="K28" s="3">
        <f t="shared" si="6"/>
        <v>20</v>
      </c>
      <c r="L28" s="44" t="str">
        <f>'2018 GA (MAI)'!I29</f>
        <v>01/01/2038 to 31/12/2038</v>
      </c>
      <c r="M28" s="37">
        <f t="shared" si="12"/>
        <v>36.078067490832133</v>
      </c>
      <c r="N28" s="37"/>
      <c r="O28" s="37">
        <f>M28*SUM(Overview!$C$30)</f>
        <v>5350.6622234916476</v>
      </c>
      <c r="P28" s="37">
        <f t="shared" si="3"/>
        <v>9229.3572693007427</v>
      </c>
      <c r="Q28" s="37">
        <f t="shared" si="7"/>
        <v>369.17429077202974</v>
      </c>
      <c r="R28" s="37">
        <f t="shared" si="8"/>
        <v>184.58714538601487</v>
      </c>
      <c r="S28" s="37">
        <f t="shared" si="11"/>
        <v>9783.1187054587863</v>
      </c>
      <c r="T28" s="37">
        <f t="shared" si="9"/>
        <v>2759.4984032212396</v>
      </c>
      <c r="U28" s="37">
        <f>Baseline!G24</f>
        <v>0</v>
      </c>
      <c r="V28" s="37">
        <f>Leakage!G24</f>
        <v>0</v>
      </c>
      <c r="W28" s="37">
        <f t="shared" si="4"/>
        <v>9783.1187054587863</v>
      </c>
      <c r="X28" s="37">
        <v>0</v>
      </c>
    </row>
    <row r="29" spans="1:24">
      <c r="K29" s="3">
        <f t="shared" si="6"/>
        <v>21</v>
      </c>
      <c r="L29" s="44" t="str">
        <f>'2018 GA (MAI)'!I30</f>
        <v>01/01/2039 to 31/12/2039</v>
      </c>
      <c r="M29" s="37">
        <f t="shared" si="12"/>
        <v>72.805939200929942</v>
      </c>
      <c r="N29" s="37"/>
      <c r="O29" s="37">
        <f>M29*SUM(Overview!$C$30)</f>
        <v>10797.695542513118</v>
      </c>
      <c r="P29" s="37">
        <f t="shared" si="3"/>
        <v>18624.945041280876</v>
      </c>
      <c r="Q29" s="37">
        <f t="shared" si="7"/>
        <v>744.99780165123502</v>
      </c>
      <c r="R29" s="37">
        <f t="shared" si="8"/>
        <v>372.49890082561751</v>
      </c>
      <c r="S29" s="37">
        <f t="shared" si="11"/>
        <v>19742.441743757729</v>
      </c>
      <c r="T29" s="37">
        <f t="shared" si="9"/>
        <v>9959.3230382989423</v>
      </c>
      <c r="U29" s="37">
        <f>Baseline!G25</f>
        <v>0</v>
      </c>
      <c r="V29" s="37">
        <f>Leakage!G25</f>
        <v>0</v>
      </c>
      <c r="W29" s="37">
        <f t="shared" si="4"/>
        <v>19742.441743757729</v>
      </c>
      <c r="X29" s="37">
        <v>0</v>
      </c>
    </row>
    <row r="30" spans="1:24">
      <c r="K30" s="3">
        <f t="shared" si="6"/>
        <v>22</v>
      </c>
      <c r="L30" s="44" t="str">
        <f>'2018 GA (MAI)'!I31</f>
        <v>01/01/2040 to 31/12/2040</v>
      </c>
      <c r="M30" s="37">
        <f t="shared" si="12"/>
        <v>97.231911970336427</v>
      </c>
      <c r="N30" s="37"/>
      <c r="O30" s="37">
        <f>M30*SUM(Overview!$C$30)</f>
        <v>14420.260132551377</v>
      </c>
      <c r="P30" s="37">
        <f t="shared" si="3"/>
        <v>24873.506702637867</v>
      </c>
      <c r="Q30" s="37">
        <f t="shared" si="7"/>
        <v>994.94026810551475</v>
      </c>
      <c r="R30" s="37">
        <f t="shared" si="8"/>
        <v>497.47013405275737</v>
      </c>
      <c r="S30" s="37">
        <f t="shared" si="11"/>
        <v>26365.917104796139</v>
      </c>
      <c r="T30" s="37">
        <f t="shared" si="9"/>
        <v>6623.4753610384105</v>
      </c>
      <c r="U30" s="37">
        <f>Baseline!G26</f>
        <v>0</v>
      </c>
      <c r="V30" s="37">
        <f>Leakage!G26</f>
        <v>0</v>
      </c>
      <c r="W30" s="37">
        <f t="shared" si="4"/>
        <v>26365.917104796139</v>
      </c>
      <c r="X30" s="37">
        <v>0</v>
      </c>
    </row>
    <row r="31" spans="1:24">
      <c r="K31" s="3">
        <f t="shared" si="6"/>
        <v>23</v>
      </c>
      <c r="L31" s="44" t="str">
        <f>'2018 GA (MAI)'!I32</f>
        <v>01/01/2041 to 31/12/2041</v>
      </c>
      <c r="M31" s="37">
        <f t="shared" si="12"/>
        <v>121.19493004119175</v>
      </c>
      <c r="N31" s="37"/>
      <c r="O31" s="37">
        <f>M31*SUM(Overview!$C$30)</f>
        <v>17974.164886046143</v>
      </c>
      <c r="P31" s="37">
        <f t="shared" si="3"/>
        <v>31003.637011940988</v>
      </c>
      <c r="Q31" s="37">
        <f t="shared" si="7"/>
        <v>1240.1454804776395</v>
      </c>
      <c r="R31" s="37">
        <f t="shared" si="8"/>
        <v>620.07274023881973</v>
      </c>
      <c r="S31" s="37">
        <f t="shared" si="11"/>
        <v>32863.85523265745</v>
      </c>
      <c r="T31" s="37">
        <f t="shared" si="9"/>
        <v>6497.9381278613109</v>
      </c>
      <c r="U31" s="37">
        <f>Baseline!G27</f>
        <v>0</v>
      </c>
      <c r="V31" s="37">
        <f>Leakage!G27</f>
        <v>0</v>
      </c>
      <c r="W31" s="37">
        <f t="shared" si="4"/>
        <v>32863.85523265745</v>
      </c>
      <c r="X31" s="37">
        <v>0</v>
      </c>
    </row>
    <row r="32" spans="1:24">
      <c r="K32" s="3">
        <f t="shared" si="6"/>
        <v>24</v>
      </c>
      <c r="L32" s="44" t="str">
        <f>'2018 GA (MAI)'!I33</f>
        <v>01/01/2042 to 31/12/2042</v>
      </c>
      <c r="M32" s="37">
        <f t="shared" si="12"/>
        <v>146.21554356627516</v>
      </c>
      <c r="N32" s="37"/>
      <c r="O32" s="37">
        <f>M32*SUM(Overview!$C$30)</f>
        <v>21684.919394481709</v>
      </c>
      <c r="P32" s="37">
        <f t="shared" si="3"/>
        <v>37404.317463541498</v>
      </c>
      <c r="Q32" s="37">
        <f t="shared" si="7"/>
        <v>1496.1726985416599</v>
      </c>
      <c r="R32" s="37">
        <f t="shared" si="8"/>
        <v>748.08634927082994</v>
      </c>
      <c r="S32" s="37">
        <f t="shared" si="11"/>
        <v>39648.576511353989</v>
      </c>
      <c r="T32" s="37">
        <f t="shared" si="9"/>
        <v>6784.7212786965392</v>
      </c>
      <c r="U32" s="37">
        <f>Baseline!G28</f>
        <v>0</v>
      </c>
      <c r="V32" s="37">
        <f>Leakage!G28</f>
        <v>0</v>
      </c>
      <c r="W32" s="37">
        <f t="shared" si="4"/>
        <v>39648.576511353989</v>
      </c>
      <c r="X32" s="37">
        <v>0</v>
      </c>
    </row>
    <row r="33" spans="11:25">
      <c r="K33" s="3">
        <f t="shared" si="6"/>
        <v>25</v>
      </c>
      <c r="L33" s="44" t="str">
        <f>'2018 GA (MAI)'!I34</f>
        <v>01/01/2043 to 31/12/2043</v>
      </c>
      <c r="M33" s="37">
        <f t="shared" si="12"/>
        <v>167.31974385997611</v>
      </c>
      <c r="N33" s="37"/>
      <c r="O33" s="37">
        <f>M33*SUM(Overview!$C$30)</f>
        <v>24814.83890298093</v>
      </c>
      <c r="P33" s="37">
        <f t="shared" si="3"/>
        <v>42803.115623751801</v>
      </c>
      <c r="Q33" s="37">
        <f t="shared" si="7"/>
        <v>1712.1246249500721</v>
      </c>
      <c r="R33" s="37">
        <f t="shared" si="8"/>
        <v>856.06231247503604</v>
      </c>
      <c r="S33" s="37">
        <f t="shared" si="11"/>
        <v>45371.302561176904</v>
      </c>
      <c r="T33" s="37">
        <f t="shared" si="9"/>
        <v>5722.7260498229152</v>
      </c>
      <c r="U33" s="37">
        <f>Baseline!G29</f>
        <v>0</v>
      </c>
      <c r="V33" s="37">
        <f>Leakage!G29</f>
        <v>0</v>
      </c>
      <c r="W33" s="37">
        <f t="shared" si="4"/>
        <v>45371.302561176904</v>
      </c>
      <c r="X33" s="37">
        <v>0</v>
      </c>
    </row>
    <row r="34" spans="11:25">
      <c r="K34" s="3">
        <f t="shared" si="6"/>
        <v>26</v>
      </c>
      <c r="L34" s="44" t="str">
        <f>'2018 GA (MAI)'!I35</f>
        <v>01/01/2044 to 31/12/2044</v>
      </c>
      <c r="M34" s="37">
        <f t="shared" si="12"/>
        <v>194.38179629071544</v>
      </c>
      <c r="N34" s="37"/>
      <c r="O34" s="37">
        <f>M34*SUM(Overview!$C$30)</f>
        <v>28828.354917055207</v>
      </c>
      <c r="P34" s="37">
        <f t="shared" si="3"/>
        <v>49726.029396428523</v>
      </c>
      <c r="Q34" s="37">
        <f t="shared" si="7"/>
        <v>1989.0411758571411</v>
      </c>
      <c r="R34" s="37">
        <f t="shared" si="8"/>
        <v>994.52058792857054</v>
      </c>
      <c r="S34" s="37">
        <f t="shared" si="11"/>
        <v>52709.591160214237</v>
      </c>
      <c r="T34" s="37">
        <f t="shared" si="9"/>
        <v>7338.2885990373325</v>
      </c>
      <c r="U34" s="37">
        <f>Baseline!G30</f>
        <v>0</v>
      </c>
      <c r="V34" s="37">
        <f>Leakage!G30</f>
        <v>0</v>
      </c>
      <c r="W34" s="37">
        <f t="shared" si="4"/>
        <v>52709.591160214237</v>
      </c>
      <c r="X34" s="37">
        <v>0</v>
      </c>
    </row>
    <row r="35" spans="11:25">
      <c r="K35" s="3">
        <f t="shared" si="6"/>
        <v>27</v>
      </c>
      <c r="L35" s="44" t="str">
        <f>'2018 GA (MAI)'!I36</f>
        <v>01/01/2045 to 31/12/2045</v>
      </c>
      <c r="M35" s="37">
        <f t="shared" si="12"/>
        <v>217.44420320010767</v>
      </c>
      <c r="N35" s="37"/>
      <c r="O35" s="37">
        <f>M35*SUM(Overview!$C$30)</f>
        <v>32248.691925522606</v>
      </c>
      <c r="P35" s="37">
        <f t="shared" si="3"/>
        <v>55625.768702333939</v>
      </c>
      <c r="Q35" s="37">
        <f t="shared" si="7"/>
        <v>2225.0307480933575</v>
      </c>
      <c r="R35" s="37">
        <f t="shared" si="8"/>
        <v>1112.5153740466787</v>
      </c>
      <c r="S35" s="37">
        <f>SUM(P35:R35)</f>
        <v>58963.314824473971</v>
      </c>
      <c r="T35" s="37">
        <f t="shared" si="9"/>
        <v>6253.7236642597345</v>
      </c>
      <c r="U35" s="37">
        <f>Baseline!G31</f>
        <v>0</v>
      </c>
      <c r="V35" s="37">
        <f>Leakage!G31</f>
        <v>0</v>
      </c>
      <c r="W35" s="37">
        <f t="shared" si="4"/>
        <v>58963.314824473971</v>
      </c>
      <c r="X35" s="37">
        <v>0</v>
      </c>
    </row>
    <row r="36" spans="11:25">
      <c r="K36" s="3">
        <f t="shared" si="6"/>
        <v>28</v>
      </c>
      <c r="L36" s="44" t="str">
        <f>'2018 GA (MAI)'!I37</f>
        <v>01/01/2046 to 31/12/2046</v>
      </c>
      <c r="M36" s="37">
        <f t="shared" si="12"/>
        <v>241.52732956232785</v>
      </c>
      <c r="N36" s="37"/>
      <c r="O36" s="37">
        <f>M36*SUM(Overview!$C$30)</f>
        <v>35820.409686809362</v>
      </c>
      <c r="P36" s="37">
        <f t="shared" si="3"/>
        <v>61786.624668777469</v>
      </c>
      <c r="Q36" s="37">
        <f t="shared" si="7"/>
        <v>2471.4649867510989</v>
      </c>
      <c r="R36" s="37">
        <f t="shared" si="8"/>
        <v>1235.7324933755494</v>
      </c>
      <c r="S36" s="37">
        <f t="shared" si="11"/>
        <v>65493.822148904117</v>
      </c>
      <c r="T36" s="37">
        <f t="shared" si="9"/>
        <v>6530.5073244301457</v>
      </c>
      <c r="U36" s="37">
        <f>Baseline!G32</f>
        <v>0</v>
      </c>
      <c r="V36" s="37">
        <f>Leakage!G32</f>
        <v>0</v>
      </c>
      <c r="W36" s="37">
        <f t="shared" si="4"/>
        <v>65493.822148904117</v>
      </c>
      <c r="X36" s="37">
        <v>0</v>
      </c>
    </row>
    <row r="37" spans="11:25">
      <c r="K37" s="3">
        <f t="shared" si="6"/>
        <v>29</v>
      </c>
      <c r="L37" s="44" t="str">
        <f>'2018 GA (MAI)'!I38</f>
        <v>01/01/2047 to 31/12/2047</v>
      </c>
      <c r="M37" s="37">
        <f t="shared" si="12"/>
        <v>266.58955923239364</v>
      </c>
      <c r="N37" s="37"/>
      <c r="O37" s="37">
        <f>M37*SUM(Overview!$C$30)</f>
        <v>39537.3361980802</v>
      </c>
      <c r="P37" s="37">
        <f t="shared" si="3"/>
        <v>68197.951208068538</v>
      </c>
      <c r="Q37" s="37">
        <f t="shared" si="7"/>
        <v>2727.9180483227415</v>
      </c>
      <c r="R37" s="37">
        <f t="shared" si="8"/>
        <v>1363.9590241613707</v>
      </c>
      <c r="S37" s="37">
        <f t="shared" si="11"/>
        <v>72289.828280552654</v>
      </c>
      <c r="T37" s="37">
        <f t="shared" si="9"/>
        <v>6796.0061316485371</v>
      </c>
      <c r="U37" s="37">
        <f>Baseline!G33</f>
        <v>0</v>
      </c>
      <c r="V37" s="37">
        <f>Leakage!G33</f>
        <v>0</v>
      </c>
      <c r="W37" s="37">
        <f t="shared" si="4"/>
        <v>72289.828280552654</v>
      </c>
      <c r="X37" s="37">
        <v>0</v>
      </c>
    </row>
    <row r="38" spans="11:25">
      <c r="K38" s="3">
        <f t="shared" si="6"/>
        <v>30</v>
      </c>
      <c r="L38" s="44" t="str">
        <f>'2018 GA (MAI)'!I39</f>
        <v>01/01/2048 to 31/12/2048</v>
      </c>
      <c r="M38" s="37">
        <f t="shared" si="12"/>
        <v>290.16232586819984</v>
      </c>
      <c r="N38" s="37"/>
      <c r="O38" s="37">
        <f>M38*SUM(Overview!$C$30)</f>
        <v>43033.363582957274</v>
      </c>
      <c r="P38" s="37">
        <f t="shared" si="3"/>
        <v>74228.248844242989</v>
      </c>
      <c r="Q38" s="37">
        <f t="shared" si="7"/>
        <v>2969.1299537697196</v>
      </c>
      <c r="R38" s="37">
        <f t="shared" si="8"/>
        <v>1484.5649768848598</v>
      </c>
      <c r="S38" s="37">
        <f t="shared" si="11"/>
        <v>78681.943774897576</v>
      </c>
      <c r="T38" s="37">
        <f t="shared" si="9"/>
        <v>6392.1154943449219</v>
      </c>
      <c r="U38" s="37">
        <f>Baseline!G34</f>
        <v>0</v>
      </c>
      <c r="V38" s="37">
        <f>Leakage!G34</f>
        <v>0</v>
      </c>
      <c r="W38" s="37">
        <f t="shared" si="4"/>
        <v>78681.943774897576</v>
      </c>
      <c r="X38" s="37">
        <v>0</v>
      </c>
    </row>
    <row r="39" spans="11:25">
      <c r="K39" s="3">
        <f t="shared" si="6"/>
        <v>31</v>
      </c>
      <c r="L39" s="44" t="str">
        <f>'2018 GA (MAI)'!I40</f>
        <v>01/01/2049 to 31/12/2049</v>
      </c>
      <c r="M39" s="37">
        <v>0</v>
      </c>
      <c r="N39" s="37"/>
      <c r="O39" s="37">
        <f>M39*SUM(Overview!$C$30)</f>
        <v>0</v>
      </c>
      <c r="P39" s="37">
        <f t="shared" si="3"/>
        <v>0</v>
      </c>
      <c r="Q39" s="37">
        <f t="shared" si="7"/>
        <v>0</v>
      </c>
      <c r="R39" s="37">
        <f t="shared" si="8"/>
        <v>0</v>
      </c>
      <c r="S39" s="37">
        <f>SUM(P39:R39)</f>
        <v>0</v>
      </c>
      <c r="T39" s="37">
        <f t="shared" si="9"/>
        <v>-78681.943774897576</v>
      </c>
      <c r="U39" s="37">
        <f>Baseline!G35</f>
        <v>0</v>
      </c>
      <c r="V39" s="37">
        <f>Leakage!G35</f>
        <v>0</v>
      </c>
      <c r="W39" s="37">
        <f t="shared" si="4"/>
        <v>0</v>
      </c>
      <c r="X39" s="37">
        <v>0</v>
      </c>
    </row>
    <row r="40" spans="11:25">
      <c r="K40" s="3">
        <f t="shared" si="6"/>
        <v>32</v>
      </c>
      <c r="L40" s="44" t="str">
        <f>'2018 GA (MAI)'!I41</f>
        <v>01/01/2050 to 31/12/2050</v>
      </c>
      <c r="M40" s="37">
        <v>0</v>
      </c>
      <c r="N40" s="37"/>
      <c r="O40" s="37">
        <f>M40*SUM(Overview!$C$30)</f>
        <v>0</v>
      </c>
      <c r="P40" s="37">
        <f t="shared" si="3"/>
        <v>0</v>
      </c>
      <c r="Q40" s="37">
        <f t="shared" si="7"/>
        <v>0</v>
      </c>
      <c r="R40" s="37">
        <f t="shared" si="8"/>
        <v>0</v>
      </c>
      <c r="S40" s="37">
        <f>SUM(P40:R40)</f>
        <v>0</v>
      </c>
      <c r="T40" s="37">
        <f t="shared" si="9"/>
        <v>0</v>
      </c>
      <c r="U40" s="37">
        <f>Baseline!G36</f>
        <v>0</v>
      </c>
      <c r="V40" s="37">
        <f>Leakage!G36</f>
        <v>0</v>
      </c>
      <c r="W40" s="37">
        <f t="shared" si="4"/>
        <v>0</v>
      </c>
      <c r="X40" s="37">
        <v>0</v>
      </c>
      <c r="Y40" s="40"/>
    </row>
    <row r="41" spans="11:25">
      <c r="K41" s="3">
        <f t="shared" si="6"/>
        <v>33</v>
      </c>
      <c r="L41" s="44" t="str">
        <f>'2018 GA (MAI)'!I42</f>
        <v>01/01/2051 to 31/12/2051</v>
      </c>
      <c r="M41" s="37">
        <v>0</v>
      </c>
      <c r="N41" s="37"/>
      <c r="O41" s="37">
        <f>M41*SUM(Overview!$C$30)</f>
        <v>0</v>
      </c>
      <c r="P41" s="37">
        <f t="shared" si="3"/>
        <v>0</v>
      </c>
      <c r="Q41" s="37">
        <f t="shared" si="7"/>
        <v>0</v>
      </c>
      <c r="R41" s="37">
        <f t="shared" si="8"/>
        <v>0</v>
      </c>
      <c r="S41" s="37">
        <f t="shared" si="11"/>
        <v>0</v>
      </c>
      <c r="T41" s="37">
        <f t="shared" si="9"/>
        <v>0</v>
      </c>
      <c r="U41" s="37">
        <f>Baseline!G37</f>
        <v>0</v>
      </c>
      <c r="V41" s="37">
        <f>Leakage!G37</f>
        <v>0</v>
      </c>
      <c r="W41" s="37">
        <f t="shared" si="4"/>
        <v>0</v>
      </c>
      <c r="X41" s="37">
        <v>0</v>
      </c>
    </row>
    <row r="42" spans="11:25">
      <c r="K42" s="3">
        <v>33.46</v>
      </c>
      <c r="L42" s="44" t="str">
        <f>'2018 GA (MAI)'!I43</f>
        <v>01/01/2052 to 17/06/2052</v>
      </c>
      <c r="M42" s="37">
        <v>0</v>
      </c>
      <c r="N42" s="37"/>
      <c r="O42" s="37">
        <f>M42*SUM(Overview!$C$30)</f>
        <v>0</v>
      </c>
      <c r="P42" s="37">
        <f t="shared" ref="P42" si="13">O42*$O$2*3.67</f>
        <v>0</v>
      </c>
      <c r="Q42" s="37">
        <f t="shared" ref="Q42" si="14">P42*$P$2</f>
        <v>0</v>
      </c>
      <c r="R42" s="37">
        <f t="shared" ref="R42" si="15">P42*$Q$2</f>
        <v>0</v>
      </c>
      <c r="S42" s="37">
        <f t="shared" ref="S42" si="16">SUM(P42:R42)</f>
        <v>0</v>
      </c>
      <c r="T42" s="37">
        <f t="shared" si="9"/>
        <v>0</v>
      </c>
      <c r="U42" s="37">
        <f>Baseline!G38</f>
        <v>0</v>
      </c>
      <c r="V42" s="37">
        <f>Leakage!G38</f>
        <v>0</v>
      </c>
      <c r="W42" s="37">
        <f t="shared" si="4"/>
        <v>0</v>
      </c>
      <c r="X42" s="37">
        <v>0</v>
      </c>
    </row>
    <row r="43" spans="11:25" ht="15.75">
      <c r="V43" s="67" t="s">
        <v>97</v>
      </c>
      <c r="W43" s="68">
        <f>SUM(W9:W39)</f>
        <v>1029564.9559767894</v>
      </c>
    </row>
    <row r="44" spans="11:25" ht="15.75">
      <c r="V44" s="67" t="s">
        <v>98</v>
      </c>
      <c r="W44" s="68">
        <f>W43/30</f>
        <v>34318.831865892978</v>
      </c>
    </row>
  </sheetData>
  <mergeCells count="18">
    <mergeCell ref="W6:W8"/>
    <mergeCell ref="X6:X8"/>
    <mergeCell ref="V6:V8"/>
    <mergeCell ref="A5:H5"/>
    <mergeCell ref="U6:U8"/>
    <mergeCell ref="K6:N6"/>
    <mergeCell ref="K7:K8"/>
    <mergeCell ref="L7:L8"/>
    <mergeCell ref="M7:M8"/>
    <mergeCell ref="O6:O8"/>
    <mergeCell ref="P6:P8"/>
    <mergeCell ref="Q6:Q8"/>
    <mergeCell ref="R6:R8"/>
    <mergeCell ref="S6:S8"/>
    <mergeCell ref="T6:T8"/>
    <mergeCell ref="D7:D12"/>
    <mergeCell ref="N9:N14"/>
    <mergeCell ref="N7:N8"/>
  </mergeCells>
  <phoneticPr fontId="4" type="noConversion"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ksheet" dvAspect="DVASPECT_ICON" shapeId="26639" r:id="rId3">
          <objectPr defaultSize="0" autoPict="0" r:id="rId4">
            <anchor moveWithCells="1">
              <from>
                <xdr:col>3</xdr:col>
                <xdr:colOff>85725</xdr:colOff>
                <xdr:row>6</xdr:row>
                <xdr:rowOff>57150</xdr:rowOff>
              </from>
              <to>
                <xdr:col>3</xdr:col>
                <xdr:colOff>1352550</xdr:colOff>
                <xdr:row>11</xdr:row>
                <xdr:rowOff>85725</xdr:rowOff>
              </to>
            </anchor>
          </objectPr>
        </oleObject>
      </mc:Choice>
      <mc:Fallback>
        <oleObject progId="Worksheet" dvAspect="DVASPECT_ICON" shapeId="26639" r:id="rId3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7A3AC-FC6B-4A04-BBE0-15DA22938027}">
  <sheetPr codeName="Sheet6">
    <tabColor theme="1"/>
  </sheetPr>
  <dimension ref="A1:V44"/>
  <sheetViews>
    <sheetView zoomScale="51" zoomScaleNormal="89" workbookViewId="0">
      <selection activeCell="F21" sqref="F21"/>
    </sheetView>
  </sheetViews>
  <sheetFormatPr defaultRowHeight="15"/>
  <cols>
    <col min="2" max="2" width="27" customWidth="1"/>
    <col min="3" max="3" width="13.28515625" customWidth="1"/>
    <col min="4" max="4" width="19" customWidth="1"/>
    <col min="6" max="6" width="12.85546875" customWidth="1"/>
    <col min="10" max="10" width="22.42578125" bestFit="1" customWidth="1"/>
    <col min="11" max="11" width="15.140625" bestFit="1" customWidth="1"/>
    <col min="12" max="12" width="15.140625" customWidth="1"/>
    <col min="13" max="13" width="16.140625" customWidth="1"/>
    <col min="14" max="14" width="16.5703125" bestFit="1" customWidth="1"/>
    <col min="15" max="15" width="15.5703125" bestFit="1" customWidth="1"/>
    <col min="16" max="16" width="14.42578125" bestFit="1" customWidth="1"/>
    <col min="17" max="17" width="17.85546875" customWidth="1"/>
    <col min="18" max="18" width="19.7109375" customWidth="1"/>
    <col min="19" max="19" width="24.7109375" customWidth="1"/>
    <col min="20" max="20" width="20.42578125" customWidth="1"/>
    <col min="21" max="21" width="27.42578125" customWidth="1"/>
    <col min="22" max="22" width="18" customWidth="1"/>
  </cols>
  <sheetData>
    <row r="1" spans="1:22" ht="45">
      <c r="M1" s="81" t="s">
        <v>31</v>
      </c>
      <c r="N1" s="82" t="s">
        <v>32</v>
      </c>
      <c r="O1" s="82" t="s">
        <v>33</v>
      </c>
    </row>
    <row r="2" spans="1:22">
      <c r="M2" s="16">
        <v>0.47</v>
      </c>
      <c r="N2" s="17">
        <v>0.04</v>
      </c>
      <c r="O2" s="17">
        <v>0.02</v>
      </c>
    </row>
    <row r="5" spans="1:22">
      <c r="A5" s="134" t="s">
        <v>23</v>
      </c>
      <c r="B5" s="134"/>
      <c r="C5" s="134"/>
      <c r="D5" s="134"/>
      <c r="E5" s="134"/>
      <c r="F5" s="134"/>
    </row>
    <row r="6" spans="1:22" ht="35.25" customHeight="1">
      <c r="A6" s="79" t="s">
        <v>35</v>
      </c>
      <c r="B6" s="79" t="s">
        <v>36</v>
      </c>
      <c r="C6" s="79" t="s">
        <v>37</v>
      </c>
      <c r="D6" s="79" t="s">
        <v>38</v>
      </c>
      <c r="E6" s="80" t="str">
        <f>I7</f>
        <v>Age (Years)</v>
      </c>
      <c r="F6" s="79" t="s">
        <v>37</v>
      </c>
      <c r="I6" s="142" t="s">
        <v>115</v>
      </c>
      <c r="J6" s="142"/>
      <c r="K6" s="142"/>
      <c r="L6" s="142"/>
      <c r="M6" s="122" t="s">
        <v>41</v>
      </c>
      <c r="N6" s="122" t="s">
        <v>100</v>
      </c>
      <c r="O6" s="122" t="s">
        <v>101</v>
      </c>
      <c r="P6" s="117" t="s">
        <v>102</v>
      </c>
      <c r="Q6" s="122" t="s">
        <v>103</v>
      </c>
      <c r="R6" s="122" t="s">
        <v>46</v>
      </c>
      <c r="S6" s="122" t="s">
        <v>47</v>
      </c>
      <c r="T6" s="117" t="s">
        <v>104</v>
      </c>
      <c r="U6" s="122" t="s">
        <v>105</v>
      </c>
      <c r="V6" s="117" t="s">
        <v>50</v>
      </c>
    </row>
    <row r="7" spans="1:22" ht="15" customHeight="1">
      <c r="A7" s="51"/>
      <c r="B7" s="52">
        <v>0</v>
      </c>
      <c r="C7" s="52">
        <v>0</v>
      </c>
      <c r="D7" s="124"/>
      <c r="E7" s="37">
        <f>I8</f>
        <v>0</v>
      </c>
      <c r="F7" s="37">
        <v>0</v>
      </c>
      <c r="I7" s="117" t="s">
        <v>51</v>
      </c>
      <c r="J7" s="132" t="s">
        <v>52</v>
      </c>
      <c r="K7" s="132" t="s">
        <v>106</v>
      </c>
      <c r="L7" s="117" t="s">
        <v>54</v>
      </c>
      <c r="M7" s="122"/>
      <c r="N7" s="122"/>
      <c r="O7" s="122"/>
      <c r="P7" s="123"/>
      <c r="Q7" s="122"/>
      <c r="R7" s="122"/>
      <c r="S7" s="122"/>
      <c r="T7" s="123"/>
      <c r="U7" s="122" t="s">
        <v>55</v>
      </c>
      <c r="V7" s="123"/>
    </row>
    <row r="8" spans="1:22">
      <c r="A8" s="51" t="s">
        <v>116</v>
      </c>
      <c r="B8" s="37">
        <v>5.2082191780821923</v>
      </c>
      <c r="C8" s="62">
        <v>167.41934005841972</v>
      </c>
      <c r="D8" s="125"/>
      <c r="E8" s="37">
        <f>I9</f>
        <v>1</v>
      </c>
      <c r="F8" s="37">
        <v>0</v>
      </c>
      <c r="I8" s="118"/>
      <c r="J8" s="133"/>
      <c r="K8" s="141"/>
      <c r="L8" s="118"/>
      <c r="M8" s="122"/>
      <c r="N8" s="122"/>
      <c r="O8" s="122"/>
      <c r="P8" s="118"/>
      <c r="Q8" s="122"/>
      <c r="R8" s="122"/>
      <c r="S8" s="122"/>
      <c r="T8" s="118"/>
      <c r="U8" s="122"/>
      <c r="V8" s="118"/>
    </row>
    <row r="9" spans="1:22">
      <c r="A9" s="51"/>
      <c r="B9" s="51"/>
      <c r="C9" s="51"/>
      <c r="D9" s="125"/>
      <c r="E9" s="37">
        <f>E8+1</f>
        <v>2</v>
      </c>
      <c r="F9" s="37">
        <v>0</v>
      </c>
      <c r="I9" s="3">
        <f>'2019 PM (MAI)'!K9</f>
        <v>1</v>
      </c>
      <c r="J9" s="39" t="str">
        <f>'2019 PM (MAI)'!L9</f>
        <v>01/01/2019 to 31/12/2019</v>
      </c>
      <c r="K9" s="37">
        <f>F8</f>
        <v>0</v>
      </c>
      <c r="L9" s="127" t="s">
        <v>112</v>
      </c>
      <c r="M9" s="37">
        <f>K9*SUM(Overview!$C$32)</f>
        <v>0</v>
      </c>
      <c r="N9" s="37">
        <f t="shared" ref="N9:N42" si="0">M9*$M$2*3.67</f>
        <v>0</v>
      </c>
      <c r="O9" s="37">
        <f>N9*$N$2</f>
        <v>0</v>
      </c>
      <c r="P9" s="37">
        <f>N9*$O$2</f>
        <v>0</v>
      </c>
      <c r="Q9" s="37">
        <f>P9+O9+N9</f>
        <v>0</v>
      </c>
      <c r="R9" s="37">
        <f>Q9</f>
        <v>0</v>
      </c>
      <c r="S9" s="37">
        <f>Baseline!H5</f>
        <v>0</v>
      </c>
      <c r="T9" s="37">
        <f>Leakage!H5</f>
        <v>0</v>
      </c>
      <c r="U9" s="37">
        <f>Q9-S9-T9</f>
        <v>0</v>
      </c>
      <c r="V9" s="37">
        <f>U9</f>
        <v>0</v>
      </c>
    </row>
    <row r="10" spans="1:22">
      <c r="A10" s="51"/>
      <c r="B10" s="51"/>
      <c r="C10" s="51"/>
      <c r="D10" s="125"/>
      <c r="E10" s="37">
        <f t="shared" ref="E10:E13" si="1">E9+1</f>
        <v>3</v>
      </c>
      <c r="F10" s="95">
        <f>TREND(C7:C8,B7:B8,E10,TRUE)</f>
        <v>96.435653531809351</v>
      </c>
      <c r="I10" s="3">
        <f>'2019 PM (MAI)'!K10</f>
        <v>2</v>
      </c>
      <c r="J10" s="39" t="str">
        <f>'2019 PM (MAI)'!L10</f>
        <v>01/01/2020 to 31/12/2020</v>
      </c>
      <c r="K10" s="37">
        <f t="shared" ref="K10:K23" si="2">F9</f>
        <v>0</v>
      </c>
      <c r="L10" s="128"/>
      <c r="M10" s="37">
        <f>K10*SUM(Overview!$C$32)</f>
        <v>0</v>
      </c>
      <c r="N10" s="37">
        <f t="shared" si="0"/>
        <v>0</v>
      </c>
      <c r="O10" s="37">
        <f t="shared" ref="O10:O42" si="3">N10*$N$2</f>
        <v>0</v>
      </c>
      <c r="P10" s="37">
        <f t="shared" ref="P10:P42" si="4">N10*$O$2</f>
        <v>0</v>
      </c>
      <c r="Q10" s="37">
        <f t="shared" ref="Q10:Q11" si="5">P10+O10+N10</f>
        <v>0</v>
      </c>
      <c r="R10" s="37">
        <f>Q10-Q9</f>
        <v>0</v>
      </c>
      <c r="S10" s="37">
        <f>Baseline!H6</f>
        <v>0</v>
      </c>
      <c r="T10" s="37">
        <f>Leakage!H6</f>
        <v>0</v>
      </c>
      <c r="U10" s="37">
        <f t="shared" ref="U10:U42" si="6">Q10-S10-T10</f>
        <v>0</v>
      </c>
      <c r="V10" s="37">
        <f>U10-U9</f>
        <v>0</v>
      </c>
    </row>
    <row r="11" spans="1:22">
      <c r="A11" s="51"/>
      <c r="B11" s="51"/>
      <c r="C11" s="51"/>
      <c r="D11" s="125"/>
      <c r="E11" s="37">
        <f t="shared" si="1"/>
        <v>4</v>
      </c>
      <c r="F11" s="95">
        <f>TREND(C7:C8,B7:B8,E11,TRUE)</f>
        <v>128.5808713757458</v>
      </c>
      <c r="I11" s="3">
        <f>'2019 PM (MAI)'!K11</f>
        <v>3</v>
      </c>
      <c r="J11" s="39" t="str">
        <f>'2019 PM (MAI)'!L11</f>
        <v>01/01/2021 to 31/12/2021</v>
      </c>
      <c r="K11" s="37">
        <f t="shared" si="2"/>
        <v>96.435653531809351</v>
      </c>
      <c r="L11" s="128"/>
      <c r="M11" s="37">
        <f>K11*SUM(Overview!$C$32)</f>
        <v>104.36369503562982</v>
      </c>
      <c r="N11" s="37">
        <f t="shared" si="0"/>
        <v>180.01693756695786</v>
      </c>
      <c r="O11" s="37">
        <f t="shared" si="3"/>
        <v>7.2006775026783147</v>
      </c>
      <c r="P11" s="37">
        <f t="shared" si="4"/>
        <v>3.6003387513391574</v>
      </c>
      <c r="Q11" s="37">
        <f t="shared" si="5"/>
        <v>190.81795382097533</v>
      </c>
      <c r="R11" s="37">
        <f t="shared" ref="R11:R42" si="7">Q11-Q10</f>
        <v>190.81795382097533</v>
      </c>
      <c r="S11" s="37">
        <f>Baseline!H7</f>
        <v>0</v>
      </c>
      <c r="T11" s="37">
        <f>Leakage!H7</f>
        <v>0</v>
      </c>
      <c r="U11" s="37">
        <f t="shared" si="6"/>
        <v>190.81795382097533</v>
      </c>
      <c r="V11" s="37">
        <f>U11-U10</f>
        <v>190.81795382097533</v>
      </c>
    </row>
    <row r="12" spans="1:22">
      <c r="A12" s="51"/>
      <c r="B12" s="51"/>
      <c r="C12" s="51"/>
      <c r="D12" s="126"/>
      <c r="E12" s="37">
        <f t="shared" si="1"/>
        <v>5</v>
      </c>
      <c r="F12" s="95">
        <f>TREND(C7:C8,B7:B8,E12,TRUE)</f>
        <v>160.72608921968225</v>
      </c>
      <c r="I12" s="3">
        <f>'2019 PM (MAI)'!K12</f>
        <v>4</v>
      </c>
      <c r="J12" s="39" t="str">
        <f>'2019 PM (MAI)'!L12</f>
        <v>01/01/2022 to 31/12/2022</v>
      </c>
      <c r="K12" s="37">
        <f t="shared" si="2"/>
        <v>128.5808713757458</v>
      </c>
      <c r="L12" s="128"/>
      <c r="M12" s="37">
        <f>K12*SUM(Overview!$C$32)</f>
        <v>139.15159338083976</v>
      </c>
      <c r="N12" s="37">
        <f t="shared" si="0"/>
        <v>240.0225834226105</v>
      </c>
      <c r="O12" s="37">
        <f t="shared" si="3"/>
        <v>9.6009033369044197</v>
      </c>
      <c r="P12" s="37">
        <f t="shared" si="4"/>
        <v>4.8004516684522098</v>
      </c>
      <c r="Q12" s="37">
        <f>P12+O12+N12</f>
        <v>254.42393842796713</v>
      </c>
      <c r="R12" s="37">
        <f t="shared" si="7"/>
        <v>63.605984606991797</v>
      </c>
      <c r="S12" s="37">
        <f>Baseline!H8</f>
        <v>0</v>
      </c>
      <c r="T12" s="37">
        <f>Leakage!H8</f>
        <v>0</v>
      </c>
      <c r="U12" s="37">
        <f t="shared" si="6"/>
        <v>254.42393842796713</v>
      </c>
      <c r="V12" s="37">
        <f t="shared" ref="V12:V15" si="8">U12-U11</f>
        <v>63.605984606991797</v>
      </c>
    </row>
    <row r="13" spans="1:22">
      <c r="A13" s="51"/>
      <c r="B13" s="51"/>
      <c r="C13" s="51"/>
      <c r="D13" s="51"/>
      <c r="E13" s="37">
        <f t="shared" si="1"/>
        <v>6</v>
      </c>
      <c r="F13" s="95">
        <f>TREND(C7:C8,B7:B8,E13,TRUE)</f>
        <v>192.87130706361864</v>
      </c>
      <c r="I13" s="3">
        <f>'2019 PM (MAI)'!K13</f>
        <v>5</v>
      </c>
      <c r="J13" s="39" t="str">
        <f>'2019 PM (MAI)'!L13</f>
        <v>01/01/2023 to 31/12/2023</v>
      </c>
      <c r="K13" s="37">
        <f t="shared" si="2"/>
        <v>160.72608921968225</v>
      </c>
      <c r="L13" s="128"/>
      <c r="M13" s="37">
        <f>K13*SUM(Overview!$C$32)</f>
        <v>173.93949172604971</v>
      </c>
      <c r="N13" s="37">
        <f t="shared" si="0"/>
        <v>300.02822927826315</v>
      </c>
      <c r="O13" s="37">
        <f t="shared" si="3"/>
        <v>12.001129171130527</v>
      </c>
      <c r="P13" s="37">
        <f t="shared" si="4"/>
        <v>6.0005645855652636</v>
      </c>
      <c r="Q13" s="37">
        <f t="shared" ref="Q13:Q42" si="9">P13+O13+N13</f>
        <v>318.02992303495893</v>
      </c>
      <c r="R13" s="37">
        <f t="shared" si="7"/>
        <v>63.605984606991797</v>
      </c>
      <c r="S13" s="37">
        <f>Baseline!H9</f>
        <v>0</v>
      </c>
      <c r="T13" s="37">
        <f>Leakage!H9</f>
        <v>0</v>
      </c>
      <c r="U13" s="37">
        <f t="shared" si="6"/>
        <v>318.02992303495893</v>
      </c>
      <c r="V13" s="37">
        <f t="shared" si="8"/>
        <v>63.605984606991797</v>
      </c>
    </row>
    <row r="14" spans="1:22">
      <c r="A14" s="51"/>
      <c r="B14" s="51"/>
      <c r="C14" s="51"/>
      <c r="D14" s="51"/>
      <c r="E14" s="37">
        <f>E13+1</f>
        <v>7</v>
      </c>
      <c r="F14" s="95">
        <f>TREND(F10:F13,E10:E13,E14:$E$22,TRUE)</f>
        <v>225.01652490755509</v>
      </c>
      <c r="I14" s="3">
        <f>'2019 PM (MAI)'!K14</f>
        <v>6</v>
      </c>
      <c r="J14" s="39" t="str">
        <f>'2019 PM (MAI)'!L14</f>
        <v>01/01/2024 to 31/12/2024</v>
      </c>
      <c r="K14" s="37">
        <f t="shared" si="2"/>
        <v>192.87130706361864</v>
      </c>
      <c r="L14" s="42"/>
      <c r="M14" s="37">
        <f>K14*SUM(Overview!$C$32)</f>
        <v>208.72739007125958</v>
      </c>
      <c r="N14" s="37">
        <f t="shared" si="0"/>
        <v>360.03387513391561</v>
      </c>
      <c r="O14" s="37">
        <f t="shared" si="3"/>
        <v>14.401355005356624</v>
      </c>
      <c r="P14" s="37">
        <f t="shared" si="4"/>
        <v>7.2006775026783121</v>
      </c>
      <c r="Q14" s="37">
        <f t="shared" si="9"/>
        <v>381.63590764195055</v>
      </c>
      <c r="R14" s="37">
        <f t="shared" si="7"/>
        <v>63.605984606991626</v>
      </c>
      <c r="S14" s="37">
        <f>Baseline!H10</f>
        <v>0</v>
      </c>
      <c r="T14" s="37">
        <f>Leakage!H10</f>
        <v>0</v>
      </c>
      <c r="U14" s="37">
        <f t="shared" si="6"/>
        <v>381.63590764195055</v>
      </c>
      <c r="V14" s="37">
        <f t="shared" si="8"/>
        <v>63.605984606991626</v>
      </c>
    </row>
    <row r="15" spans="1:22">
      <c r="A15" s="51"/>
      <c r="B15" s="51"/>
      <c r="C15" s="51"/>
      <c r="D15" s="51"/>
      <c r="E15" s="37">
        <f t="shared" ref="E15:E22" si="10">E14+1</f>
        <v>8</v>
      </c>
      <c r="F15" s="95">
        <f>TREND(F11:F14,E11:E14,E15:$E$22,TRUE)</f>
        <v>257.16174275149149</v>
      </c>
      <c r="I15" s="3">
        <f>'2019 PM (MAI)'!K15</f>
        <v>7</v>
      </c>
      <c r="J15" s="39" t="str">
        <f>'2019 PM (MAI)'!L15</f>
        <v>01/01/2025 to 31/12/2025</v>
      </c>
      <c r="K15" s="37">
        <f t="shared" si="2"/>
        <v>225.01652490755509</v>
      </c>
      <c r="L15" s="37"/>
      <c r="M15" s="37">
        <f>K15*SUM(Overview!$C$32)</f>
        <v>243.51528841646953</v>
      </c>
      <c r="N15" s="37">
        <f t="shared" si="0"/>
        <v>420.03952098956825</v>
      </c>
      <c r="O15" s="37">
        <f t="shared" si="3"/>
        <v>16.80158083958273</v>
      </c>
      <c r="P15" s="37">
        <f t="shared" si="4"/>
        <v>8.400790419791365</v>
      </c>
      <c r="Q15" s="37">
        <f>P15+O15+N15</f>
        <v>445.24189224894235</v>
      </c>
      <c r="R15" s="37">
        <f t="shared" si="7"/>
        <v>63.605984606991797</v>
      </c>
      <c r="S15" s="37">
        <f>Baseline!H11</f>
        <v>0</v>
      </c>
      <c r="T15" s="37">
        <f>Leakage!H11</f>
        <v>0</v>
      </c>
      <c r="U15" s="37">
        <f t="shared" si="6"/>
        <v>445.24189224894235</v>
      </c>
      <c r="V15" s="37">
        <f t="shared" si="8"/>
        <v>63.605984606991797</v>
      </c>
    </row>
    <row r="16" spans="1:22">
      <c r="A16" s="51"/>
      <c r="B16" s="51"/>
      <c r="C16" s="51"/>
      <c r="D16" s="51"/>
      <c r="E16" s="37">
        <f t="shared" si="10"/>
        <v>9</v>
      </c>
      <c r="F16" s="95">
        <f>TREND(F12:F15,E12:E15,E16:$E$22,TRUE)</f>
        <v>289.30696059542788</v>
      </c>
      <c r="I16" s="3">
        <f>'2019 PM (MAI)'!K16</f>
        <v>8</v>
      </c>
      <c r="J16" s="39" t="str">
        <f>'2019 PM (MAI)'!L16</f>
        <v>01/01/2026 to 31/12/2026</v>
      </c>
      <c r="K16" s="37">
        <f t="shared" si="2"/>
        <v>257.16174275149149</v>
      </c>
      <c r="L16" s="37"/>
      <c r="M16" s="37">
        <f>K16*SUM(Overview!$C$32)</f>
        <v>278.3031867616794</v>
      </c>
      <c r="N16" s="37">
        <f t="shared" si="0"/>
        <v>480.04516684522076</v>
      </c>
      <c r="O16" s="37">
        <f t="shared" si="3"/>
        <v>19.201806673808832</v>
      </c>
      <c r="P16" s="37">
        <f t="shared" si="4"/>
        <v>9.6009033369044161</v>
      </c>
      <c r="Q16" s="37">
        <f t="shared" si="9"/>
        <v>508.84787685593403</v>
      </c>
      <c r="R16" s="37">
        <f t="shared" si="7"/>
        <v>63.605984606991683</v>
      </c>
      <c r="S16" s="37">
        <f>Baseline!H12</f>
        <v>0</v>
      </c>
      <c r="T16" s="37">
        <f>Leakage!H12</f>
        <v>0</v>
      </c>
      <c r="U16" s="37">
        <f t="shared" si="6"/>
        <v>508.84787685593403</v>
      </c>
      <c r="V16" s="37">
        <f>U44-SUM(V9:V15)</f>
        <v>50.884787685593153</v>
      </c>
    </row>
    <row r="17" spans="1:22">
      <c r="A17" s="51"/>
      <c r="B17" s="51"/>
      <c r="C17" s="51"/>
      <c r="D17" s="51"/>
      <c r="E17" s="37">
        <f t="shared" si="10"/>
        <v>10</v>
      </c>
      <c r="F17" s="95">
        <f>TREND(F13:F16,E13:E16,E17:$E$22,TRUE)</f>
        <v>321.45217843936433</v>
      </c>
      <c r="I17" s="3">
        <f>'2019 PM (MAI)'!K17</f>
        <v>9</v>
      </c>
      <c r="J17" s="39" t="str">
        <f>'2019 PM (MAI)'!L17</f>
        <v>01/01/2027 to 31/12/2027</v>
      </c>
      <c r="K17" s="37">
        <f t="shared" si="2"/>
        <v>289.30696059542788</v>
      </c>
      <c r="L17" s="37"/>
      <c r="M17" s="37">
        <f>K17*SUM(Overview!$C$32)</f>
        <v>313.0910851068893</v>
      </c>
      <c r="N17" s="37">
        <f t="shared" si="0"/>
        <v>540.05081270087328</v>
      </c>
      <c r="O17" s="37">
        <f t="shared" si="3"/>
        <v>21.602032508034931</v>
      </c>
      <c r="P17" s="37">
        <f t="shared" si="4"/>
        <v>10.801016254017465</v>
      </c>
      <c r="Q17" s="37">
        <f t="shared" si="9"/>
        <v>572.45386146292572</v>
      </c>
      <c r="R17" s="37">
        <f t="shared" si="7"/>
        <v>63.605984606991683</v>
      </c>
      <c r="S17" s="37">
        <f>Baseline!H13</f>
        <v>0</v>
      </c>
      <c r="T17" s="37">
        <f>Leakage!H13</f>
        <v>0</v>
      </c>
      <c r="U17" s="37">
        <f t="shared" si="6"/>
        <v>572.45386146292572</v>
      </c>
      <c r="V17" s="37">
        <v>0</v>
      </c>
    </row>
    <row r="18" spans="1:22">
      <c r="A18" s="51"/>
      <c r="B18" s="51"/>
      <c r="C18" s="51"/>
      <c r="D18" s="51"/>
      <c r="E18" s="37">
        <f t="shared" si="10"/>
        <v>11</v>
      </c>
      <c r="F18" s="95">
        <f>TREND(F14:F17,E14:E17,E18:$E$22,TRUE)</f>
        <v>353.59739628330067</v>
      </c>
      <c r="I18" s="3">
        <f>'2019 PM (MAI)'!K18</f>
        <v>10</v>
      </c>
      <c r="J18" s="39" t="str">
        <f>'2019 PM (MAI)'!L18</f>
        <v>01/01/2028 to 31/12/2028</v>
      </c>
      <c r="K18" s="37">
        <f t="shared" si="2"/>
        <v>321.45217843936433</v>
      </c>
      <c r="L18" s="37"/>
      <c r="M18" s="37">
        <f>K18*SUM(Overview!$C$32)</f>
        <v>347.87898345209919</v>
      </c>
      <c r="N18" s="37">
        <f t="shared" si="0"/>
        <v>600.05645855652585</v>
      </c>
      <c r="O18" s="37">
        <f t="shared" si="3"/>
        <v>24.002258342261033</v>
      </c>
      <c r="P18" s="37">
        <f t="shared" si="4"/>
        <v>12.001129171130517</v>
      </c>
      <c r="Q18" s="37">
        <f t="shared" si="9"/>
        <v>636.0598460699174</v>
      </c>
      <c r="R18" s="37">
        <f t="shared" si="7"/>
        <v>63.605984606991683</v>
      </c>
      <c r="S18" s="37">
        <f>Baseline!H14</f>
        <v>0</v>
      </c>
      <c r="T18" s="37">
        <f>Leakage!H14</f>
        <v>0</v>
      </c>
      <c r="U18" s="37">
        <f t="shared" si="6"/>
        <v>636.0598460699174</v>
      </c>
      <c r="V18" s="37">
        <v>0</v>
      </c>
    </row>
    <row r="19" spans="1:22">
      <c r="A19" s="51"/>
      <c r="B19" s="51"/>
      <c r="C19" s="51"/>
      <c r="D19" s="51"/>
      <c r="E19" s="37">
        <f t="shared" si="10"/>
        <v>12</v>
      </c>
      <c r="F19" s="95">
        <f>TREND(F15:F18,E15:E18,E19:$E$22,TRUE)</f>
        <v>385.74261412723706</v>
      </c>
      <c r="I19" s="3">
        <f>'2019 PM (MAI)'!K19</f>
        <v>11</v>
      </c>
      <c r="J19" s="39" t="str">
        <f>'2019 PM (MAI)'!L19</f>
        <v>01/01/2029 to 31/12/2029</v>
      </c>
      <c r="K19" s="37">
        <f t="shared" si="2"/>
        <v>353.59739628330067</v>
      </c>
      <c r="L19" s="37"/>
      <c r="M19" s="37">
        <f>K19*SUM(Overview!$C$32)</f>
        <v>382.66688179730903</v>
      </c>
      <c r="N19" s="37">
        <f t="shared" si="0"/>
        <v>660.06210441217831</v>
      </c>
      <c r="O19" s="37">
        <f t="shared" si="3"/>
        <v>26.402484176487132</v>
      </c>
      <c r="P19" s="37">
        <f t="shared" si="4"/>
        <v>13.201242088243566</v>
      </c>
      <c r="Q19" s="37">
        <f t="shared" si="9"/>
        <v>699.66583067690897</v>
      </c>
      <c r="R19" s="37">
        <f t="shared" si="7"/>
        <v>63.605984606991569</v>
      </c>
      <c r="S19" s="37">
        <f>Baseline!H15</f>
        <v>0</v>
      </c>
      <c r="T19" s="37">
        <f>Leakage!H15</f>
        <v>0</v>
      </c>
      <c r="U19" s="37">
        <f t="shared" si="6"/>
        <v>699.66583067690897</v>
      </c>
      <c r="V19" s="37">
        <v>0</v>
      </c>
    </row>
    <row r="20" spans="1:22">
      <c r="A20" s="51"/>
      <c r="B20" s="51"/>
      <c r="C20" s="51"/>
      <c r="D20" s="51"/>
      <c r="E20" s="37">
        <f t="shared" si="10"/>
        <v>13</v>
      </c>
      <c r="F20" s="95">
        <f>TREND(F16:F19,E16:E19,E20:$E$22,TRUE)</f>
        <v>417.88783197117345</v>
      </c>
      <c r="I20" s="3">
        <f>'2019 PM (MAI)'!K20</f>
        <v>12</v>
      </c>
      <c r="J20" s="39" t="str">
        <f>'2019 PM (MAI)'!L20</f>
        <v>01/01/2030 to 31/12/2030</v>
      </c>
      <c r="K20" s="37">
        <f t="shared" si="2"/>
        <v>385.74261412723706</v>
      </c>
      <c r="L20" s="37"/>
      <c r="M20" s="37">
        <f>K20*SUM(Overview!$C$32)</f>
        <v>417.45478014251893</v>
      </c>
      <c r="N20" s="37">
        <f t="shared" si="0"/>
        <v>720.06775026783077</v>
      </c>
      <c r="O20" s="37">
        <f t="shared" si="3"/>
        <v>28.802710010713231</v>
      </c>
      <c r="P20" s="37">
        <f t="shared" si="4"/>
        <v>14.401355005356615</v>
      </c>
      <c r="Q20" s="37">
        <f t="shared" si="9"/>
        <v>763.27181528390065</v>
      </c>
      <c r="R20" s="37">
        <f t="shared" si="7"/>
        <v>63.605984606991683</v>
      </c>
      <c r="S20" s="37">
        <f>Baseline!H16</f>
        <v>0</v>
      </c>
      <c r="T20" s="37">
        <f>Leakage!H16</f>
        <v>0</v>
      </c>
      <c r="U20" s="37">
        <f t="shared" si="6"/>
        <v>763.27181528390065</v>
      </c>
      <c r="V20" s="37">
        <v>0</v>
      </c>
    </row>
    <row r="21" spans="1:22">
      <c r="A21" s="51"/>
      <c r="B21" s="51"/>
      <c r="C21" s="51"/>
      <c r="D21" s="51"/>
      <c r="E21" s="37">
        <f t="shared" si="10"/>
        <v>14</v>
      </c>
      <c r="F21" s="95">
        <f>TREND(F17:F20,E17:E20,E21:$E$22,TRUE)</f>
        <v>450.03304981510985</v>
      </c>
      <c r="I21" s="3">
        <f>'2019 PM (MAI)'!K21</f>
        <v>13</v>
      </c>
      <c r="J21" s="39" t="str">
        <f>'2019 PM (MAI)'!L21</f>
        <v>01/01/2031 to 31/12/2031</v>
      </c>
      <c r="K21" s="37">
        <f t="shared" si="2"/>
        <v>417.88783197117345</v>
      </c>
      <c r="L21" s="37"/>
      <c r="M21" s="37">
        <f>K21*SUM(Overview!$C$32)</f>
        <v>452.24267848772877</v>
      </c>
      <c r="N21" s="37">
        <f t="shared" si="0"/>
        <v>780.07339612348335</v>
      </c>
      <c r="O21" s="37">
        <f t="shared" si="3"/>
        <v>31.202935844939336</v>
      </c>
      <c r="P21" s="37">
        <f t="shared" si="4"/>
        <v>15.601467922469668</v>
      </c>
      <c r="Q21" s="37">
        <f t="shared" si="9"/>
        <v>826.87779989089233</v>
      </c>
      <c r="R21" s="37">
        <f t="shared" si="7"/>
        <v>63.605984606991683</v>
      </c>
      <c r="S21" s="37">
        <f>Baseline!H17</f>
        <v>0</v>
      </c>
      <c r="T21" s="37">
        <f>Leakage!H17</f>
        <v>0</v>
      </c>
      <c r="U21" s="37">
        <f t="shared" si="6"/>
        <v>826.87779989089233</v>
      </c>
      <c r="V21" s="37">
        <v>0</v>
      </c>
    </row>
    <row r="22" spans="1:22">
      <c r="A22" s="48"/>
      <c r="B22" s="48"/>
      <c r="C22" s="48"/>
      <c r="D22" s="48"/>
      <c r="E22" s="37">
        <f t="shared" si="10"/>
        <v>15</v>
      </c>
      <c r="F22" s="95">
        <f>TREND(F18:F21,E18:E21,E22:$E$22,TRUE)</f>
        <v>482.17826765904618</v>
      </c>
      <c r="I22" s="3">
        <f>'2019 PM (MAI)'!K22</f>
        <v>14</v>
      </c>
      <c r="J22" s="39" t="str">
        <f>'2019 PM (MAI)'!L22</f>
        <v>01/01/2032 to 31/12/2032</v>
      </c>
      <c r="K22" s="37">
        <f t="shared" si="2"/>
        <v>450.03304981510985</v>
      </c>
      <c r="L22" s="37"/>
      <c r="M22" s="37">
        <f>K22*SUM(Overview!$C$32)</f>
        <v>487.03057683293866</v>
      </c>
      <c r="N22" s="37">
        <f t="shared" si="0"/>
        <v>840.07904197913592</v>
      </c>
      <c r="O22" s="37">
        <f t="shared" si="3"/>
        <v>33.603161679165439</v>
      </c>
      <c r="P22" s="37">
        <f t="shared" si="4"/>
        <v>16.801580839582719</v>
      </c>
      <c r="Q22" s="37">
        <f t="shared" si="9"/>
        <v>890.48378449788413</v>
      </c>
      <c r="R22" s="37">
        <f t="shared" si="7"/>
        <v>63.605984606991797</v>
      </c>
      <c r="S22" s="37">
        <f>Baseline!H18</f>
        <v>0</v>
      </c>
      <c r="T22" s="37">
        <f>Leakage!H18</f>
        <v>0</v>
      </c>
      <c r="U22" s="37">
        <f t="shared" si="6"/>
        <v>890.48378449788413</v>
      </c>
      <c r="V22" s="37">
        <v>0</v>
      </c>
    </row>
    <row r="23" spans="1:22">
      <c r="I23" s="3">
        <f>'2019 PM (MAI)'!K23</f>
        <v>15</v>
      </c>
      <c r="J23" s="39" t="str">
        <f>'2019 PM (MAI)'!L23</f>
        <v>01/01/2033 to 31/12/2033</v>
      </c>
      <c r="K23" s="37">
        <f t="shared" si="2"/>
        <v>482.17826765904618</v>
      </c>
      <c r="L23" s="37"/>
      <c r="M23" s="37">
        <f>K23*SUM(Overview!$C$32)</f>
        <v>521.81847517814845</v>
      </c>
      <c r="N23" s="37">
        <f t="shared" si="0"/>
        <v>900.08468783478816</v>
      </c>
      <c r="O23" s="37">
        <f t="shared" si="3"/>
        <v>36.00338751339153</v>
      </c>
      <c r="P23" s="37">
        <f t="shared" si="4"/>
        <v>18.001693756695765</v>
      </c>
      <c r="Q23" s="37">
        <f t="shared" si="9"/>
        <v>954.08976910487547</v>
      </c>
      <c r="R23" s="37">
        <f t="shared" si="7"/>
        <v>63.605984606991342</v>
      </c>
      <c r="S23" s="37">
        <f>Baseline!H19</f>
        <v>0</v>
      </c>
      <c r="T23" s="37">
        <f>Leakage!H19</f>
        <v>0</v>
      </c>
      <c r="U23" s="37">
        <f t="shared" si="6"/>
        <v>954.08976910487547</v>
      </c>
      <c r="V23" s="37">
        <v>0</v>
      </c>
    </row>
    <row r="24" spans="1:22">
      <c r="I24" s="3">
        <f>'2019 PM (MAI)'!K24</f>
        <v>16</v>
      </c>
      <c r="J24" s="39" t="str">
        <f>'2019 PM (MAI)'!L24</f>
        <v>01/01/2034 to 31/12/2034</v>
      </c>
      <c r="K24" s="37">
        <f>K9</f>
        <v>0</v>
      </c>
      <c r="L24" s="37"/>
      <c r="M24" s="37">
        <f>K24*SUM(Overview!$C$32)</f>
        <v>0</v>
      </c>
      <c r="N24" s="37">
        <f t="shared" si="0"/>
        <v>0</v>
      </c>
      <c r="O24" s="37">
        <f t="shared" si="3"/>
        <v>0</v>
      </c>
      <c r="P24" s="37">
        <f t="shared" si="4"/>
        <v>0</v>
      </c>
      <c r="Q24" s="37">
        <f t="shared" si="9"/>
        <v>0</v>
      </c>
      <c r="R24" s="37">
        <f t="shared" si="7"/>
        <v>-954.08976910487547</v>
      </c>
      <c r="S24" s="37">
        <f>Baseline!H20</f>
        <v>0</v>
      </c>
      <c r="T24" s="37">
        <f>Leakage!H20</f>
        <v>0</v>
      </c>
      <c r="U24" s="37">
        <f t="shared" si="6"/>
        <v>0</v>
      </c>
      <c r="V24" s="37">
        <v>0</v>
      </c>
    </row>
    <row r="25" spans="1:22">
      <c r="I25" s="3">
        <f>'2019 PM (MAI)'!K25</f>
        <v>17</v>
      </c>
      <c r="J25" s="39" t="str">
        <f>'2019 PM (MAI)'!L25</f>
        <v>01/01/2035 to 31/12/2035</v>
      </c>
      <c r="K25" s="37">
        <f t="shared" ref="K25:K38" si="11">K10</f>
        <v>0</v>
      </c>
      <c r="L25" s="37"/>
      <c r="M25" s="37">
        <f>K25*SUM(Overview!$C$32)</f>
        <v>0</v>
      </c>
      <c r="N25" s="37">
        <f t="shared" si="0"/>
        <v>0</v>
      </c>
      <c r="O25" s="37">
        <f t="shared" si="3"/>
        <v>0</v>
      </c>
      <c r="P25" s="37">
        <f t="shared" si="4"/>
        <v>0</v>
      </c>
      <c r="Q25" s="37">
        <f t="shared" si="9"/>
        <v>0</v>
      </c>
      <c r="R25" s="37">
        <f t="shared" si="7"/>
        <v>0</v>
      </c>
      <c r="S25" s="37">
        <f>Baseline!H21</f>
        <v>0</v>
      </c>
      <c r="T25" s="37">
        <f>Leakage!H21</f>
        <v>0</v>
      </c>
      <c r="U25" s="37">
        <f t="shared" si="6"/>
        <v>0</v>
      </c>
      <c r="V25" s="37">
        <v>0</v>
      </c>
    </row>
    <row r="26" spans="1:22">
      <c r="I26" s="3">
        <f>'2019 PM (MAI)'!K26</f>
        <v>18</v>
      </c>
      <c r="J26" s="39" t="str">
        <f>'2019 PM (MAI)'!L26</f>
        <v>01/01/2036 to 31/12/2036</v>
      </c>
      <c r="K26" s="37">
        <f t="shared" si="11"/>
        <v>96.435653531809351</v>
      </c>
      <c r="L26" s="37"/>
      <c r="M26" s="37">
        <f>K26*SUM(Overview!$C$32)</f>
        <v>104.36369503562982</v>
      </c>
      <c r="N26" s="37">
        <f t="shared" si="0"/>
        <v>180.01693756695786</v>
      </c>
      <c r="O26" s="37">
        <f t="shared" si="3"/>
        <v>7.2006775026783147</v>
      </c>
      <c r="P26" s="37">
        <f t="shared" si="4"/>
        <v>3.6003387513391574</v>
      </c>
      <c r="Q26" s="37">
        <f t="shared" si="9"/>
        <v>190.81795382097533</v>
      </c>
      <c r="R26" s="37">
        <f t="shared" si="7"/>
        <v>190.81795382097533</v>
      </c>
      <c r="S26" s="37">
        <f>Baseline!H22</f>
        <v>0</v>
      </c>
      <c r="T26" s="37">
        <f>Leakage!H22</f>
        <v>0</v>
      </c>
      <c r="U26" s="37">
        <f t="shared" si="6"/>
        <v>190.81795382097533</v>
      </c>
      <c r="V26" s="37">
        <v>0</v>
      </c>
    </row>
    <row r="27" spans="1:22">
      <c r="I27" s="3">
        <f>'2019 PM (MAI)'!K27</f>
        <v>19</v>
      </c>
      <c r="J27" s="39" t="str">
        <f>'2019 PM (MAI)'!L27</f>
        <v>01/01/2037 to 31/12/2037</v>
      </c>
      <c r="K27" s="37">
        <f t="shared" si="11"/>
        <v>128.5808713757458</v>
      </c>
      <c r="L27" s="37"/>
      <c r="M27" s="37">
        <f>K27*SUM(Overview!$C$32)</f>
        <v>139.15159338083976</v>
      </c>
      <c r="N27" s="37">
        <f t="shared" si="0"/>
        <v>240.0225834226105</v>
      </c>
      <c r="O27" s="37">
        <f t="shared" si="3"/>
        <v>9.6009033369044197</v>
      </c>
      <c r="P27" s="37">
        <f t="shared" si="4"/>
        <v>4.8004516684522098</v>
      </c>
      <c r="Q27" s="37">
        <f t="shared" si="9"/>
        <v>254.42393842796713</v>
      </c>
      <c r="R27" s="37">
        <f t="shared" si="7"/>
        <v>63.605984606991797</v>
      </c>
      <c r="S27" s="37">
        <f>Baseline!H23</f>
        <v>0</v>
      </c>
      <c r="T27" s="37">
        <f>Leakage!H23</f>
        <v>0</v>
      </c>
      <c r="U27" s="37">
        <f t="shared" si="6"/>
        <v>254.42393842796713</v>
      </c>
      <c r="V27" s="37">
        <v>0</v>
      </c>
    </row>
    <row r="28" spans="1:22">
      <c r="I28" s="3">
        <f>'2019 PM (MAI)'!K28</f>
        <v>20</v>
      </c>
      <c r="J28" s="39" t="str">
        <f>'2019 PM (MAI)'!L28</f>
        <v>01/01/2038 to 31/12/2038</v>
      </c>
      <c r="K28" s="37">
        <f t="shared" si="11"/>
        <v>160.72608921968225</v>
      </c>
      <c r="L28" s="37"/>
      <c r="M28" s="37">
        <f>K28*SUM(Overview!$C$32)</f>
        <v>173.93949172604971</v>
      </c>
      <c r="N28" s="37">
        <f t="shared" si="0"/>
        <v>300.02822927826315</v>
      </c>
      <c r="O28" s="37">
        <f t="shared" si="3"/>
        <v>12.001129171130527</v>
      </c>
      <c r="P28" s="37">
        <f t="shared" si="4"/>
        <v>6.0005645855652636</v>
      </c>
      <c r="Q28" s="37">
        <f t="shared" si="9"/>
        <v>318.02992303495893</v>
      </c>
      <c r="R28" s="37">
        <f t="shared" si="7"/>
        <v>63.605984606991797</v>
      </c>
      <c r="S28" s="37">
        <f>Baseline!H24</f>
        <v>0</v>
      </c>
      <c r="T28" s="37">
        <f>Leakage!H24</f>
        <v>0</v>
      </c>
      <c r="U28" s="37">
        <f t="shared" si="6"/>
        <v>318.02992303495893</v>
      </c>
      <c r="V28" s="37">
        <v>0</v>
      </c>
    </row>
    <row r="29" spans="1:22">
      <c r="I29" s="3">
        <f>'2019 PM (MAI)'!K29</f>
        <v>21</v>
      </c>
      <c r="J29" s="39" t="str">
        <f>'2019 PM (MAI)'!L29</f>
        <v>01/01/2039 to 31/12/2039</v>
      </c>
      <c r="K29" s="37">
        <f t="shared" si="11"/>
        <v>192.87130706361864</v>
      </c>
      <c r="L29" s="37"/>
      <c r="M29" s="37">
        <f>K29*SUM(Overview!$C$32)</f>
        <v>208.72739007125958</v>
      </c>
      <c r="N29" s="37">
        <f t="shared" si="0"/>
        <v>360.03387513391561</v>
      </c>
      <c r="O29" s="37">
        <f t="shared" si="3"/>
        <v>14.401355005356624</v>
      </c>
      <c r="P29" s="37">
        <f t="shared" si="4"/>
        <v>7.2006775026783121</v>
      </c>
      <c r="Q29" s="37">
        <f t="shared" si="9"/>
        <v>381.63590764195055</v>
      </c>
      <c r="R29" s="37">
        <f t="shared" si="7"/>
        <v>63.605984606991626</v>
      </c>
      <c r="S29" s="37">
        <f>Baseline!H25</f>
        <v>0</v>
      </c>
      <c r="T29" s="37">
        <f>Leakage!H25</f>
        <v>0</v>
      </c>
      <c r="U29" s="37">
        <f t="shared" si="6"/>
        <v>381.63590764195055</v>
      </c>
      <c r="V29" s="37">
        <v>0</v>
      </c>
    </row>
    <row r="30" spans="1:22">
      <c r="I30" s="3">
        <f>'2019 PM (MAI)'!K30</f>
        <v>22</v>
      </c>
      <c r="J30" s="39" t="str">
        <f>'2019 PM (MAI)'!L30</f>
        <v>01/01/2040 to 31/12/2040</v>
      </c>
      <c r="K30" s="37">
        <f t="shared" si="11"/>
        <v>225.01652490755509</v>
      </c>
      <c r="L30" s="37"/>
      <c r="M30" s="37">
        <f>K30*SUM(Overview!$C$32)</f>
        <v>243.51528841646953</v>
      </c>
      <c r="N30" s="37">
        <f t="shared" si="0"/>
        <v>420.03952098956825</v>
      </c>
      <c r="O30" s="37">
        <f t="shared" si="3"/>
        <v>16.80158083958273</v>
      </c>
      <c r="P30" s="37">
        <f t="shared" si="4"/>
        <v>8.400790419791365</v>
      </c>
      <c r="Q30" s="37">
        <f t="shared" si="9"/>
        <v>445.24189224894235</v>
      </c>
      <c r="R30" s="37">
        <f t="shared" si="7"/>
        <v>63.605984606991797</v>
      </c>
      <c r="S30" s="37">
        <f>Baseline!H26</f>
        <v>0</v>
      </c>
      <c r="T30" s="37">
        <f>Leakage!H26</f>
        <v>0</v>
      </c>
      <c r="U30" s="37">
        <f t="shared" si="6"/>
        <v>445.24189224894235</v>
      </c>
      <c r="V30" s="37">
        <v>0</v>
      </c>
    </row>
    <row r="31" spans="1:22">
      <c r="I31" s="3">
        <f>'2019 PM (MAI)'!K31</f>
        <v>23</v>
      </c>
      <c r="J31" s="39" t="str">
        <f>'2019 PM (MAI)'!L31</f>
        <v>01/01/2041 to 31/12/2041</v>
      </c>
      <c r="K31" s="37">
        <f t="shared" si="11"/>
        <v>257.16174275149149</v>
      </c>
      <c r="L31" s="37"/>
      <c r="M31" s="37">
        <f>K31*SUM(Overview!$C$32)</f>
        <v>278.3031867616794</v>
      </c>
      <c r="N31" s="37">
        <f t="shared" si="0"/>
        <v>480.04516684522076</v>
      </c>
      <c r="O31" s="37">
        <f t="shared" si="3"/>
        <v>19.201806673808832</v>
      </c>
      <c r="P31" s="37">
        <f t="shared" si="4"/>
        <v>9.6009033369044161</v>
      </c>
      <c r="Q31" s="37">
        <f t="shared" si="9"/>
        <v>508.84787685593403</v>
      </c>
      <c r="R31" s="37">
        <f t="shared" si="7"/>
        <v>63.605984606991683</v>
      </c>
      <c r="S31" s="37">
        <f>Baseline!H27</f>
        <v>0</v>
      </c>
      <c r="T31" s="37">
        <f>Leakage!H27</f>
        <v>0</v>
      </c>
      <c r="U31" s="37">
        <f t="shared" si="6"/>
        <v>508.84787685593403</v>
      </c>
      <c r="V31" s="37">
        <v>0</v>
      </c>
    </row>
    <row r="32" spans="1:22">
      <c r="I32" s="3">
        <f>'2019 PM (MAI)'!K32</f>
        <v>24</v>
      </c>
      <c r="J32" s="39" t="str">
        <f>'2019 PM (MAI)'!L32</f>
        <v>01/01/2042 to 31/12/2042</v>
      </c>
      <c r="K32" s="37">
        <f t="shared" si="11"/>
        <v>289.30696059542788</v>
      </c>
      <c r="L32" s="37"/>
      <c r="M32" s="37">
        <f>K32*SUM(Overview!$C$32)</f>
        <v>313.0910851068893</v>
      </c>
      <c r="N32" s="37">
        <f t="shared" si="0"/>
        <v>540.05081270087328</v>
      </c>
      <c r="O32" s="37">
        <f t="shared" si="3"/>
        <v>21.602032508034931</v>
      </c>
      <c r="P32" s="37">
        <f t="shared" si="4"/>
        <v>10.801016254017465</v>
      </c>
      <c r="Q32" s="37">
        <f t="shared" si="9"/>
        <v>572.45386146292572</v>
      </c>
      <c r="R32" s="37">
        <f t="shared" si="7"/>
        <v>63.605984606991683</v>
      </c>
      <c r="S32" s="37">
        <f>Baseline!H28</f>
        <v>0</v>
      </c>
      <c r="T32" s="37">
        <f>Leakage!H28</f>
        <v>0</v>
      </c>
      <c r="U32" s="37">
        <f t="shared" si="6"/>
        <v>572.45386146292572</v>
      </c>
      <c r="V32" s="37">
        <v>0</v>
      </c>
    </row>
    <row r="33" spans="9:22">
      <c r="I33" s="3">
        <f>'2019 PM (MAI)'!K33</f>
        <v>25</v>
      </c>
      <c r="J33" s="39" t="str">
        <f>'2019 PM (MAI)'!L33</f>
        <v>01/01/2043 to 31/12/2043</v>
      </c>
      <c r="K33" s="37">
        <f t="shared" si="11"/>
        <v>321.45217843936433</v>
      </c>
      <c r="L33" s="37"/>
      <c r="M33" s="37">
        <f>K33*SUM(Overview!$C$32)</f>
        <v>347.87898345209919</v>
      </c>
      <c r="N33" s="37">
        <f t="shared" si="0"/>
        <v>600.05645855652585</v>
      </c>
      <c r="O33" s="37">
        <f t="shared" si="3"/>
        <v>24.002258342261033</v>
      </c>
      <c r="P33" s="37">
        <f t="shared" si="4"/>
        <v>12.001129171130517</v>
      </c>
      <c r="Q33" s="37">
        <f t="shared" si="9"/>
        <v>636.0598460699174</v>
      </c>
      <c r="R33" s="37">
        <f t="shared" si="7"/>
        <v>63.605984606991683</v>
      </c>
      <c r="S33" s="37">
        <f>Baseline!H29</f>
        <v>0</v>
      </c>
      <c r="T33" s="37">
        <f>Leakage!H29</f>
        <v>0</v>
      </c>
      <c r="U33" s="37">
        <f t="shared" si="6"/>
        <v>636.0598460699174</v>
      </c>
      <c r="V33" s="37">
        <v>0</v>
      </c>
    </row>
    <row r="34" spans="9:22">
      <c r="I34" s="3">
        <f>'2019 PM (MAI)'!K34</f>
        <v>26</v>
      </c>
      <c r="J34" s="39" t="str">
        <f>'2019 PM (MAI)'!L34</f>
        <v>01/01/2044 to 31/12/2044</v>
      </c>
      <c r="K34" s="37">
        <f t="shared" si="11"/>
        <v>353.59739628330067</v>
      </c>
      <c r="L34" s="37"/>
      <c r="M34" s="37">
        <f>K34*SUM(Overview!$C$32)</f>
        <v>382.66688179730903</v>
      </c>
      <c r="N34" s="37">
        <f t="shared" si="0"/>
        <v>660.06210441217831</v>
      </c>
      <c r="O34" s="37">
        <f t="shared" si="3"/>
        <v>26.402484176487132</v>
      </c>
      <c r="P34" s="37">
        <f t="shared" si="4"/>
        <v>13.201242088243566</v>
      </c>
      <c r="Q34" s="37">
        <f t="shared" si="9"/>
        <v>699.66583067690897</v>
      </c>
      <c r="R34" s="37">
        <f t="shared" si="7"/>
        <v>63.605984606991569</v>
      </c>
      <c r="S34" s="37">
        <f>Baseline!H30</f>
        <v>0</v>
      </c>
      <c r="T34" s="37">
        <f>Leakage!H30</f>
        <v>0</v>
      </c>
      <c r="U34" s="37">
        <f t="shared" si="6"/>
        <v>699.66583067690897</v>
      </c>
      <c r="V34" s="37">
        <v>0</v>
      </c>
    </row>
    <row r="35" spans="9:22">
      <c r="I35" s="3">
        <f>'2019 PM (MAI)'!K35</f>
        <v>27</v>
      </c>
      <c r="J35" s="39" t="str">
        <f>'2019 PM (MAI)'!L35</f>
        <v>01/01/2045 to 31/12/2045</v>
      </c>
      <c r="K35" s="37">
        <f t="shared" si="11"/>
        <v>385.74261412723706</v>
      </c>
      <c r="L35" s="37"/>
      <c r="M35" s="37">
        <f>K35*SUM(Overview!$C$32)</f>
        <v>417.45478014251893</v>
      </c>
      <c r="N35" s="37">
        <f t="shared" si="0"/>
        <v>720.06775026783077</v>
      </c>
      <c r="O35" s="37">
        <f t="shared" si="3"/>
        <v>28.802710010713231</v>
      </c>
      <c r="P35" s="37">
        <f t="shared" si="4"/>
        <v>14.401355005356615</v>
      </c>
      <c r="Q35" s="37">
        <f t="shared" si="9"/>
        <v>763.27181528390065</v>
      </c>
      <c r="R35" s="37">
        <f t="shared" si="7"/>
        <v>63.605984606991683</v>
      </c>
      <c r="S35" s="37">
        <f>Baseline!H31</f>
        <v>0</v>
      </c>
      <c r="T35" s="37">
        <f>Leakage!H31</f>
        <v>0</v>
      </c>
      <c r="U35" s="37">
        <f t="shared" si="6"/>
        <v>763.27181528390065</v>
      </c>
      <c r="V35" s="37">
        <v>0</v>
      </c>
    </row>
    <row r="36" spans="9:22">
      <c r="I36" s="3">
        <f>'2019 PM (MAI)'!K36</f>
        <v>28</v>
      </c>
      <c r="J36" s="39" t="str">
        <f>'2019 PM (MAI)'!L36</f>
        <v>01/01/2046 to 31/12/2046</v>
      </c>
      <c r="K36" s="37">
        <f t="shared" si="11"/>
        <v>417.88783197117345</v>
      </c>
      <c r="L36" s="37"/>
      <c r="M36" s="37">
        <f>K36*SUM(Overview!$C$32)</f>
        <v>452.24267848772877</v>
      </c>
      <c r="N36" s="37">
        <f t="shared" si="0"/>
        <v>780.07339612348335</v>
      </c>
      <c r="O36" s="37">
        <f t="shared" si="3"/>
        <v>31.202935844939336</v>
      </c>
      <c r="P36" s="37">
        <f t="shared" si="4"/>
        <v>15.601467922469668</v>
      </c>
      <c r="Q36" s="37">
        <f t="shared" si="9"/>
        <v>826.87779989089233</v>
      </c>
      <c r="R36" s="37">
        <f t="shared" si="7"/>
        <v>63.605984606991683</v>
      </c>
      <c r="S36" s="37">
        <f>Baseline!H32</f>
        <v>0</v>
      </c>
      <c r="T36" s="37">
        <f>Leakage!H32</f>
        <v>0</v>
      </c>
      <c r="U36" s="37">
        <f t="shared" si="6"/>
        <v>826.87779989089233</v>
      </c>
      <c r="V36" s="37">
        <v>0</v>
      </c>
    </row>
    <row r="37" spans="9:22">
      <c r="I37" s="3">
        <f>'2019 PM (MAI)'!K37</f>
        <v>29</v>
      </c>
      <c r="J37" s="39" t="str">
        <f>'2019 PM (MAI)'!L37</f>
        <v>01/01/2047 to 31/12/2047</v>
      </c>
      <c r="K37" s="37">
        <f t="shared" si="11"/>
        <v>450.03304981510985</v>
      </c>
      <c r="L37" s="37"/>
      <c r="M37" s="37">
        <f>K37*SUM(Overview!$C$32)</f>
        <v>487.03057683293866</v>
      </c>
      <c r="N37" s="37">
        <f t="shared" si="0"/>
        <v>840.07904197913592</v>
      </c>
      <c r="O37" s="37">
        <f t="shared" si="3"/>
        <v>33.603161679165439</v>
      </c>
      <c r="P37" s="37">
        <f t="shared" si="4"/>
        <v>16.801580839582719</v>
      </c>
      <c r="Q37" s="37">
        <f t="shared" si="9"/>
        <v>890.48378449788413</v>
      </c>
      <c r="R37" s="37">
        <f t="shared" si="7"/>
        <v>63.605984606991797</v>
      </c>
      <c r="S37" s="37">
        <f>Baseline!H33</f>
        <v>0</v>
      </c>
      <c r="T37" s="37">
        <f>Leakage!H33</f>
        <v>0</v>
      </c>
      <c r="U37" s="37">
        <f t="shared" si="6"/>
        <v>890.48378449788413</v>
      </c>
      <c r="V37" s="37">
        <v>0</v>
      </c>
    </row>
    <row r="38" spans="9:22">
      <c r="I38" s="3">
        <f>'2019 PM (MAI)'!K38</f>
        <v>30</v>
      </c>
      <c r="J38" s="39" t="str">
        <f>'2019 PM (MAI)'!L38</f>
        <v>01/01/2048 to 31/12/2048</v>
      </c>
      <c r="K38" s="37">
        <f t="shared" si="11"/>
        <v>482.17826765904618</v>
      </c>
      <c r="L38" s="37"/>
      <c r="M38" s="37">
        <f>K38*SUM(Overview!$C$32)</f>
        <v>521.81847517814845</v>
      </c>
      <c r="N38" s="37">
        <f t="shared" si="0"/>
        <v>900.08468783478816</v>
      </c>
      <c r="O38" s="37">
        <f t="shared" si="3"/>
        <v>36.00338751339153</v>
      </c>
      <c r="P38" s="37">
        <f t="shared" si="4"/>
        <v>18.001693756695765</v>
      </c>
      <c r="Q38" s="37">
        <f t="shared" si="9"/>
        <v>954.08976910487547</v>
      </c>
      <c r="R38" s="37">
        <f t="shared" si="7"/>
        <v>63.605984606991342</v>
      </c>
      <c r="S38" s="37">
        <f>Baseline!H34</f>
        <v>0</v>
      </c>
      <c r="T38" s="37">
        <f>Leakage!H34</f>
        <v>0</v>
      </c>
      <c r="U38" s="37">
        <f t="shared" si="6"/>
        <v>954.08976910487547</v>
      </c>
      <c r="V38" s="37">
        <v>0</v>
      </c>
    </row>
    <row r="39" spans="9:22">
      <c r="I39" s="3">
        <f>'2019 PM (MAI)'!K39</f>
        <v>31</v>
      </c>
      <c r="J39" s="39" t="str">
        <f>'2019 PM (MAI)'!L39</f>
        <v>01/01/2049 to 31/12/2049</v>
      </c>
      <c r="K39" s="37">
        <v>0</v>
      </c>
      <c r="L39" s="37"/>
      <c r="M39" s="37">
        <f>K39*SUM(Overview!$C$32)</f>
        <v>0</v>
      </c>
      <c r="N39" s="37">
        <f t="shared" si="0"/>
        <v>0</v>
      </c>
      <c r="O39" s="37">
        <f t="shared" si="3"/>
        <v>0</v>
      </c>
      <c r="P39" s="37">
        <f t="shared" si="4"/>
        <v>0</v>
      </c>
      <c r="Q39" s="37">
        <f t="shared" si="9"/>
        <v>0</v>
      </c>
      <c r="R39" s="37">
        <f t="shared" si="7"/>
        <v>-954.08976910487547</v>
      </c>
      <c r="S39" s="37">
        <f>Baseline!H35</f>
        <v>0</v>
      </c>
      <c r="T39" s="37">
        <f>Leakage!H35</f>
        <v>0</v>
      </c>
      <c r="U39" s="37">
        <f t="shared" si="6"/>
        <v>0</v>
      </c>
      <c r="V39" s="37">
        <v>0</v>
      </c>
    </row>
    <row r="40" spans="9:22">
      <c r="I40" s="3">
        <f>'2019 PM (MAI)'!K40</f>
        <v>32</v>
      </c>
      <c r="J40" s="39" t="str">
        <f>'2019 PM (MAI)'!L40</f>
        <v>01/01/2050 to 31/12/2050</v>
      </c>
      <c r="K40" s="37">
        <v>0</v>
      </c>
      <c r="L40" s="37"/>
      <c r="M40" s="37">
        <f>K40*SUM(Overview!$C$32)</f>
        <v>0</v>
      </c>
      <c r="N40" s="37">
        <f t="shared" si="0"/>
        <v>0</v>
      </c>
      <c r="O40" s="37">
        <f t="shared" si="3"/>
        <v>0</v>
      </c>
      <c r="P40" s="37">
        <f t="shared" si="4"/>
        <v>0</v>
      </c>
      <c r="Q40" s="37">
        <f t="shared" si="9"/>
        <v>0</v>
      </c>
      <c r="R40" s="37">
        <f t="shared" si="7"/>
        <v>0</v>
      </c>
      <c r="S40" s="37">
        <f>Baseline!H36</f>
        <v>0</v>
      </c>
      <c r="T40" s="37">
        <f>Leakage!H36</f>
        <v>0</v>
      </c>
      <c r="U40" s="37">
        <f t="shared" si="6"/>
        <v>0</v>
      </c>
      <c r="V40" s="37">
        <v>0</v>
      </c>
    </row>
    <row r="41" spans="9:22">
      <c r="I41" s="3">
        <f>'2019 PM (MAI)'!K41</f>
        <v>33</v>
      </c>
      <c r="J41" s="39" t="str">
        <f>'2019 PM (MAI)'!L41</f>
        <v>01/01/2051 to 31/12/2051</v>
      </c>
      <c r="K41" s="37">
        <v>0</v>
      </c>
      <c r="L41" s="37"/>
      <c r="M41" s="37">
        <f>K41*SUM(Overview!$C$32)</f>
        <v>0</v>
      </c>
      <c r="N41" s="37">
        <f t="shared" si="0"/>
        <v>0</v>
      </c>
      <c r="O41" s="37">
        <f t="shared" si="3"/>
        <v>0</v>
      </c>
      <c r="P41" s="37">
        <f t="shared" si="4"/>
        <v>0</v>
      </c>
      <c r="Q41" s="37">
        <f t="shared" si="9"/>
        <v>0</v>
      </c>
      <c r="R41" s="37">
        <f t="shared" si="7"/>
        <v>0</v>
      </c>
      <c r="S41" s="37">
        <f>Baseline!H37</f>
        <v>0</v>
      </c>
      <c r="T41" s="37">
        <f>Leakage!H37</f>
        <v>0</v>
      </c>
      <c r="U41" s="37">
        <f t="shared" si="6"/>
        <v>0</v>
      </c>
      <c r="V41" s="37">
        <v>0</v>
      </c>
    </row>
    <row r="42" spans="9:22">
      <c r="I42" s="3">
        <f>'2019 PM (MAI)'!K42</f>
        <v>33.46</v>
      </c>
      <c r="J42" s="39" t="str">
        <f>'2019 PM (MAI)'!L42</f>
        <v>01/01/2052 to 17/06/2052</v>
      </c>
      <c r="K42" s="37">
        <v>0</v>
      </c>
      <c r="L42" s="37"/>
      <c r="M42" s="37">
        <f>K42*SUM(Overview!$C$32)</f>
        <v>0</v>
      </c>
      <c r="N42" s="37">
        <f t="shared" si="0"/>
        <v>0</v>
      </c>
      <c r="O42" s="37">
        <f t="shared" si="3"/>
        <v>0</v>
      </c>
      <c r="P42" s="37">
        <f t="shared" si="4"/>
        <v>0</v>
      </c>
      <c r="Q42" s="37">
        <f t="shared" si="9"/>
        <v>0</v>
      </c>
      <c r="R42" s="37">
        <f t="shared" si="7"/>
        <v>0</v>
      </c>
      <c r="S42" s="37">
        <f>Baseline!H38</f>
        <v>0</v>
      </c>
      <c r="T42" s="37">
        <f>Leakage!H38</f>
        <v>0</v>
      </c>
      <c r="U42" s="37">
        <f t="shared" si="6"/>
        <v>0</v>
      </c>
      <c r="V42" s="37">
        <v>0</v>
      </c>
    </row>
    <row r="43" spans="9:22" ht="15.75">
      <c r="T43" s="67" t="s">
        <v>97</v>
      </c>
      <c r="U43" s="68">
        <f>SUM(U9:U39)</f>
        <v>14883.800398036065</v>
      </c>
    </row>
    <row r="44" spans="9:22" ht="15.75">
      <c r="T44" s="67" t="s">
        <v>98</v>
      </c>
      <c r="U44" s="68">
        <f>U43/30</f>
        <v>496.1266799345355</v>
      </c>
    </row>
  </sheetData>
  <mergeCells count="18">
    <mergeCell ref="A5:F5"/>
    <mergeCell ref="M6:M8"/>
    <mergeCell ref="N6:N8"/>
    <mergeCell ref="O6:O8"/>
    <mergeCell ref="P6:P8"/>
    <mergeCell ref="D7:D12"/>
    <mergeCell ref="L9:L13"/>
    <mergeCell ref="I7:I8"/>
    <mergeCell ref="J7:J8"/>
    <mergeCell ref="K7:K8"/>
    <mergeCell ref="I6:L6"/>
    <mergeCell ref="L7:L8"/>
    <mergeCell ref="S6:S8"/>
    <mergeCell ref="T6:T8"/>
    <mergeCell ref="U6:U8"/>
    <mergeCell ref="V6:V8"/>
    <mergeCell ref="Q6:Q8"/>
    <mergeCell ref="R6:R8"/>
  </mergeCells>
  <conditionalFormatting sqref="B8:C8">
    <cfRule type="cellIs" dxfId="1" priority="1" operator="equal">
      <formula>647012.5824</formula>
    </cfRule>
  </conditionalFormatting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ksheet" dvAspect="DVASPECT_ICON" shapeId="34828" r:id="rId4">
          <objectPr defaultSize="0" autoPict="0" r:id="rId5">
            <anchor moveWithCells="1">
              <from>
                <xdr:col>3</xdr:col>
                <xdr:colOff>38100</xdr:colOff>
                <xdr:row>6</xdr:row>
                <xdr:rowOff>57150</xdr:rowOff>
              </from>
              <to>
                <xdr:col>3</xdr:col>
                <xdr:colOff>1190625</xdr:colOff>
                <xdr:row>10</xdr:row>
                <xdr:rowOff>171450</xdr:rowOff>
              </to>
            </anchor>
          </objectPr>
        </oleObject>
      </mc:Choice>
      <mc:Fallback>
        <oleObject progId="Worksheet" dvAspect="DVASPECT_ICON" shapeId="34828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22D35-EF19-4A31-BDA7-922F82D6BEAA}">
  <sheetPr codeName="Sheet7">
    <tabColor theme="1"/>
  </sheetPr>
  <dimension ref="A1:V44"/>
  <sheetViews>
    <sheetView topLeftCell="A5" zoomScale="96" zoomScaleNormal="96" workbookViewId="0">
      <selection activeCell="F21" sqref="F21"/>
    </sheetView>
  </sheetViews>
  <sheetFormatPr defaultRowHeight="15"/>
  <cols>
    <col min="2" max="2" width="26" customWidth="1"/>
    <col min="3" max="3" width="13.5703125" customWidth="1"/>
    <col min="4" max="4" width="20" customWidth="1"/>
    <col min="6" max="6" width="13.5703125" customWidth="1"/>
    <col min="10" max="10" width="22.42578125" bestFit="1" customWidth="1"/>
    <col min="11" max="11" width="15.140625" bestFit="1" customWidth="1"/>
    <col min="12" max="12" width="15.140625" customWidth="1"/>
    <col min="13" max="13" width="16.42578125" customWidth="1"/>
    <col min="14" max="14" width="16.5703125" bestFit="1" customWidth="1"/>
    <col min="15" max="15" width="15.5703125" bestFit="1" customWidth="1"/>
    <col min="16" max="16" width="14.42578125" bestFit="1" customWidth="1"/>
    <col min="17" max="17" width="20.85546875" customWidth="1"/>
    <col min="18" max="18" width="19.85546875" customWidth="1"/>
    <col min="19" max="19" width="31.140625" customWidth="1"/>
    <col min="20" max="20" width="24.140625" customWidth="1"/>
    <col min="21" max="21" width="28.85546875" customWidth="1"/>
    <col min="22" max="22" width="20.85546875" customWidth="1"/>
  </cols>
  <sheetData>
    <row r="1" spans="1:22" ht="30.75">
      <c r="M1" s="81" t="s">
        <v>31</v>
      </c>
      <c r="N1" s="82" t="s">
        <v>32</v>
      </c>
      <c r="O1" s="82" t="s">
        <v>33</v>
      </c>
    </row>
    <row r="2" spans="1:22">
      <c r="M2" s="16">
        <v>0.47</v>
      </c>
      <c r="N2" s="17">
        <v>0.04</v>
      </c>
      <c r="O2" s="17">
        <v>0.02</v>
      </c>
    </row>
    <row r="5" spans="1:22">
      <c r="A5" s="138" t="s">
        <v>117</v>
      </c>
      <c r="B5" s="138"/>
      <c r="C5" s="138"/>
      <c r="D5" s="138"/>
      <c r="E5" s="138"/>
      <c r="F5" s="138"/>
    </row>
    <row r="6" spans="1:22" ht="30">
      <c r="A6" s="79" t="s">
        <v>35</v>
      </c>
      <c r="B6" s="79" t="s">
        <v>36</v>
      </c>
      <c r="C6" s="79" t="s">
        <v>37</v>
      </c>
      <c r="D6" s="79" t="s">
        <v>38</v>
      </c>
      <c r="E6" s="79" t="s">
        <v>39</v>
      </c>
      <c r="F6" s="79" t="s">
        <v>37</v>
      </c>
      <c r="I6" s="142" t="s">
        <v>40</v>
      </c>
      <c r="J6" s="142"/>
      <c r="K6" s="142"/>
      <c r="L6" s="142"/>
      <c r="M6" s="122" t="s">
        <v>41</v>
      </c>
      <c r="N6" s="122" t="s">
        <v>100</v>
      </c>
      <c r="O6" s="122" t="s">
        <v>101</v>
      </c>
      <c r="P6" s="117" t="s">
        <v>102</v>
      </c>
      <c r="Q6" s="122" t="s">
        <v>103</v>
      </c>
      <c r="R6" s="122" t="s">
        <v>46</v>
      </c>
      <c r="S6" s="122" t="s">
        <v>47</v>
      </c>
      <c r="T6" s="117" t="s">
        <v>104</v>
      </c>
      <c r="U6" s="122" t="s">
        <v>105</v>
      </c>
      <c r="V6" s="117" t="s">
        <v>50</v>
      </c>
    </row>
    <row r="7" spans="1:22" ht="15" customHeight="1">
      <c r="A7" s="51"/>
      <c r="B7" s="52">
        <v>0</v>
      </c>
      <c r="C7" s="52">
        <v>0</v>
      </c>
      <c r="D7" s="124"/>
      <c r="E7" s="60">
        <v>0</v>
      </c>
      <c r="F7" s="52">
        <v>0</v>
      </c>
      <c r="I7" s="117" t="s">
        <v>51</v>
      </c>
      <c r="J7" s="132" t="s">
        <v>52</v>
      </c>
      <c r="K7" s="117" t="s">
        <v>106</v>
      </c>
      <c r="L7" s="117" t="s">
        <v>54</v>
      </c>
      <c r="M7" s="122"/>
      <c r="N7" s="122"/>
      <c r="O7" s="122"/>
      <c r="P7" s="123"/>
      <c r="Q7" s="122"/>
      <c r="R7" s="122"/>
      <c r="S7" s="122"/>
      <c r="T7" s="123"/>
      <c r="U7" s="122" t="s">
        <v>55</v>
      </c>
      <c r="V7" s="123"/>
    </row>
    <row r="8" spans="1:22" ht="15.75" thickBot="1">
      <c r="A8" s="51" t="s">
        <v>118</v>
      </c>
      <c r="B8" s="56">
        <v>5.2082191780821923</v>
      </c>
      <c r="C8" s="55">
        <v>34.420897204312965</v>
      </c>
      <c r="D8" s="125"/>
      <c r="E8" s="61">
        <v>1</v>
      </c>
      <c r="F8" s="51">
        <v>0</v>
      </c>
      <c r="I8" s="118"/>
      <c r="J8" s="133"/>
      <c r="K8" s="123"/>
      <c r="L8" s="118"/>
      <c r="M8" s="122"/>
      <c r="N8" s="122"/>
      <c r="O8" s="122"/>
      <c r="P8" s="118"/>
      <c r="Q8" s="122"/>
      <c r="R8" s="122"/>
      <c r="S8" s="122"/>
      <c r="T8" s="118"/>
      <c r="U8" s="122"/>
      <c r="V8" s="118"/>
    </row>
    <row r="9" spans="1:22">
      <c r="A9" s="51"/>
      <c r="B9" s="51"/>
      <c r="C9" s="51"/>
      <c r="D9" s="125"/>
      <c r="E9" s="61">
        <v>2</v>
      </c>
      <c r="F9" s="51">
        <v>0</v>
      </c>
      <c r="I9" s="3">
        <f>'2019 MH (MAI)'!I9</f>
        <v>1</v>
      </c>
      <c r="J9" s="39" t="str">
        <f>'2019 MH (MAI)'!J9</f>
        <v>01/01/2019 to 31/12/2019</v>
      </c>
      <c r="K9" s="37">
        <f>F8</f>
        <v>0</v>
      </c>
      <c r="L9" s="127" t="s">
        <v>112</v>
      </c>
      <c r="M9" s="37">
        <f>K9*SUM(Overview!$C$33)</f>
        <v>0</v>
      </c>
      <c r="N9" s="37">
        <f t="shared" ref="N9:N42" si="0">M9*$M$2*3.67</f>
        <v>0</v>
      </c>
      <c r="O9" s="37">
        <f>N9*$N$2</f>
        <v>0</v>
      </c>
      <c r="P9" s="37">
        <f>N9*$O$2</f>
        <v>0</v>
      </c>
      <c r="Q9" s="37">
        <f t="shared" ref="Q9:Q10" si="1">P9+O9+N9</f>
        <v>0</v>
      </c>
      <c r="R9" s="37">
        <f>Q9</f>
        <v>0</v>
      </c>
      <c r="S9" s="37">
        <f>Baseline!I5</f>
        <v>0</v>
      </c>
      <c r="T9" s="37">
        <f>Leakage!I5</f>
        <v>0</v>
      </c>
      <c r="U9" s="37">
        <f>Q9-S9-T9</f>
        <v>0</v>
      </c>
      <c r="V9" s="37">
        <f>U9</f>
        <v>0</v>
      </c>
    </row>
    <row r="10" spans="1:22">
      <c r="A10" s="51"/>
      <c r="B10" s="51"/>
      <c r="C10" s="51"/>
      <c r="D10" s="125"/>
      <c r="E10" s="61">
        <v>3</v>
      </c>
      <c r="F10" s="37">
        <f>TREND(C7:C8,B7:B8,E10,TRUE)</f>
        <v>19.826871351248126</v>
      </c>
      <c r="I10" s="3">
        <f>'2019 MH (MAI)'!I10</f>
        <v>2</v>
      </c>
      <c r="J10" s="39" t="str">
        <f>'2019 MH (MAI)'!J10</f>
        <v>01/01/2020 to 31/12/2020</v>
      </c>
      <c r="K10" s="37">
        <f t="shared" ref="K10:K23" si="2">F9</f>
        <v>0</v>
      </c>
      <c r="L10" s="128"/>
      <c r="M10" s="37">
        <f>K10*SUM(Overview!$C$33)</f>
        <v>0</v>
      </c>
      <c r="N10" s="37">
        <f t="shared" si="0"/>
        <v>0</v>
      </c>
      <c r="O10" s="37">
        <f t="shared" ref="O10:O42" si="3">N10*$N$2</f>
        <v>0</v>
      </c>
      <c r="P10" s="37">
        <f t="shared" ref="P10:P42" si="4">N10*$O$2</f>
        <v>0</v>
      </c>
      <c r="Q10" s="37">
        <f t="shared" si="1"/>
        <v>0</v>
      </c>
      <c r="R10" s="37">
        <f>Q10-Q9</f>
        <v>0</v>
      </c>
      <c r="S10" s="37">
        <f>Baseline!I6</f>
        <v>0</v>
      </c>
      <c r="T10" s="37">
        <f>Leakage!I6</f>
        <v>0</v>
      </c>
      <c r="U10" s="37">
        <f t="shared" ref="U10:U42" si="5">Q10-S10-T10</f>
        <v>0</v>
      </c>
      <c r="V10" s="37">
        <f>U10-U9</f>
        <v>0</v>
      </c>
    </row>
    <row r="11" spans="1:22">
      <c r="A11" s="51"/>
      <c r="B11" s="51"/>
      <c r="C11" s="51"/>
      <c r="D11" s="125"/>
      <c r="E11" s="61">
        <v>4</v>
      </c>
      <c r="F11" s="37">
        <f>TREND(C7:C8,B7:B8,E11,TRUE)</f>
        <v>26.435828468330836</v>
      </c>
      <c r="I11" s="3">
        <f>'2019 MH (MAI)'!I11</f>
        <v>3</v>
      </c>
      <c r="J11" s="39" t="str">
        <f>'2019 MH (MAI)'!J11</f>
        <v>01/01/2021 to 31/12/2021</v>
      </c>
      <c r="K11" s="37">
        <f t="shared" si="2"/>
        <v>19.826871351248126</v>
      </c>
      <c r="L11" s="128"/>
      <c r="M11" s="37">
        <f>K11*SUM(Overview!$C$33)</f>
        <v>233.90431625432956</v>
      </c>
      <c r="N11" s="37">
        <f t="shared" si="0"/>
        <v>403.46155510709303</v>
      </c>
      <c r="O11" s="37">
        <f t="shared" si="3"/>
        <v>16.138462204283723</v>
      </c>
      <c r="P11" s="37">
        <f t="shared" si="4"/>
        <v>8.0692311021418615</v>
      </c>
      <c r="Q11" s="37">
        <f>P11+O11+N11</f>
        <v>427.66924841351863</v>
      </c>
      <c r="R11" s="37">
        <f t="shared" ref="R11:R42" si="6">Q11-Q10</f>
        <v>427.66924841351863</v>
      </c>
      <c r="S11" s="37">
        <f>Baseline!I7</f>
        <v>0</v>
      </c>
      <c r="T11" s="37">
        <f>Leakage!I7</f>
        <v>0</v>
      </c>
      <c r="U11" s="37">
        <f t="shared" si="5"/>
        <v>427.66924841351863</v>
      </c>
      <c r="V11" s="37">
        <f>U11-U10</f>
        <v>427.66924841351863</v>
      </c>
    </row>
    <row r="12" spans="1:22">
      <c r="A12" s="51"/>
      <c r="B12" s="51"/>
      <c r="C12" s="51"/>
      <c r="D12" s="126"/>
      <c r="E12" s="61">
        <v>5</v>
      </c>
      <c r="F12" s="37">
        <f>TREND(C7:C8,B7:B8,E12,TRUE)</f>
        <v>33.044785585413543</v>
      </c>
      <c r="I12" s="3">
        <f>'2019 MH (MAI)'!I12</f>
        <v>4</v>
      </c>
      <c r="J12" s="39" t="str">
        <f>'2019 MH (MAI)'!J12</f>
        <v>01/01/2022 to 31/12/2022</v>
      </c>
      <c r="K12" s="37">
        <f t="shared" si="2"/>
        <v>26.435828468330836</v>
      </c>
      <c r="L12" s="128"/>
      <c r="M12" s="37">
        <f>K12*SUM(Overview!$C$33)</f>
        <v>311.87242167243943</v>
      </c>
      <c r="N12" s="37">
        <f t="shared" si="0"/>
        <v>537.94874014279071</v>
      </c>
      <c r="O12" s="37">
        <f t="shared" si="3"/>
        <v>21.517949605711628</v>
      </c>
      <c r="P12" s="37">
        <f t="shared" si="4"/>
        <v>10.758974802855814</v>
      </c>
      <c r="Q12" s="37">
        <f>P12+O12+N12</f>
        <v>570.22566455135814</v>
      </c>
      <c r="R12" s="37">
        <f t="shared" si="6"/>
        <v>142.55641613783951</v>
      </c>
      <c r="S12" s="37">
        <f>Baseline!I8</f>
        <v>0</v>
      </c>
      <c r="T12" s="37">
        <f>Leakage!I8</f>
        <v>0</v>
      </c>
      <c r="U12" s="37">
        <f t="shared" si="5"/>
        <v>570.22566455135814</v>
      </c>
      <c r="V12" s="37">
        <f t="shared" ref="V12:V15" si="7">U12-U11</f>
        <v>142.55641613783951</v>
      </c>
    </row>
    <row r="13" spans="1:22">
      <c r="A13" s="51"/>
      <c r="B13" s="51"/>
      <c r="C13" s="51"/>
      <c r="D13" s="51"/>
      <c r="E13" s="61">
        <v>6</v>
      </c>
      <c r="F13" s="37">
        <f>TREND(C7:C8,B7:B8,E13,TRUE)</f>
        <v>39.653742702496253</v>
      </c>
      <c r="I13" s="3">
        <f>'2019 MH (MAI)'!I13</f>
        <v>5</v>
      </c>
      <c r="J13" s="39" t="str">
        <f>'2019 MH (MAI)'!J13</f>
        <v>01/01/2023 to 31/12/2023</v>
      </c>
      <c r="K13" s="37">
        <f t="shared" si="2"/>
        <v>33.044785585413543</v>
      </c>
      <c r="L13" s="128"/>
      <c r="M13" s="37">
        <f>K13*SUM(Overview!$C$33)</f>
        <v>389.84052709054924</v>
      </c>
      <c r="N13" s="37">
        <f t="shared" si="0"/>
        <v>672.43592517848833</v>
      </c>
      <c r="O13" s="37">
        <f t="shared" si="3"/>
        <v>26.897437007139533</v>
      </c>
      <c r="P13" s="37">
        <f t="shared" si="4"/>
        <v>13.448718503569767</v>
      </c>
      <c r="Q13" s="37">
        <f t="shared" ref="Q13:Q42" si="8">P13+O13+N13</f>
        <v>712.78208068919764</v>
      </c>
      <c r="R13" s="37">
        <f t="shared" si="6"/>
        <v>142.55641613783951</v>
      </c>
      <c r="S13" s="37">
        <f>Baseline!I9</f>
        <v>0</v>
      </c>
      <c r="T13" s="37">
        <f>Leakage!I9</f>
        <v>0</v>
      </c>
      <c r="U13" s="37">
        <f t="shared" si="5"/>
        <v>712.78208068919764</v>
      </c>
      <c r="V13" s="37">
        <f t="shared" si="7"/>
        <v>142.55641613783951</v>
      </c>
    </row>
    <row r="14" spans="1:22">
      <c r="A14" s="51"/>
      <c r="B14" s="51"/>
      <c r="C14" s="51"/>
      <c r="D14" s="61"/>
      <c r="E14" s="61">
        <v>7</v>
      </c>
      <c r="F14" s="37">
        <f>TREND(C7:C8,B7:B8,E14,TRUE)</f>
        <v>46.262699819578962</v>
      </c>
      <c r="I14" s="3">
        <f>'2019 MH (MAI)'!I14</f>
        <v>6</v>
      </c>
      <c r="J14" s="39" t="str">
        <f>'2019 MH (MAI)'!J14</f>
        <v>01/01/2024 to 31/12/2024</v>
      </c>
      <c r="K14" s="37">
        <f t="shared" si="2"/>
        <v>39.653742702496253</v>
      </c>
      <c r="L14" s="42"/>
      <c r="M14" s="37">
        <f>K14*SUM(Overview!$C$33)</f>
        <v>467.80863250865912</v>
      </c>
      <c r="N14" s="37">
        <f t="shared" si="0"/>
        <v>806.92311021418607</v>
      </c>
      <c r="O14" s="37">
        <f t="shared" si="3"/>
        <v>32.276924408567446</v>
      </c>
      <c r="P14" s="37">
        <f t="shared" si="4"/>
        <v>16.138462204283723</v>
      </c>
      <c r="Q14" s="37">
        <f t="shared" si="8"/>
        <v>855.33849682703726</v>
      </c>
      <c r="R14" s="37">
        <f t="shared" si="6"/>
        <v>142.55641613783962</v>
      </c>
      <c r="S14" s="37">
        <f>Baseline!I10</f>
        <v>0</v>
      </c>
      <c r="T14" s="37">
        <f>Leakage!I10</f>
        <v>0</v>
      </c>
      <c r="U14" s="37">
        <f t="shared" si="5"/>
        <v>855.33849682703726</v>
      </c>
      <c r="V14" s="37">
        <f t="shared" si="7"/>
        <v>142.55641613783962</v>
      </c>
    </row>
    <row r="15" spans="1:22">
      <c r="A15" s="51"/>
      <c r="B15" s="51"/>
      <c r="C15" s="51"/>
      <c r="D15" s="61"/>
      <c r="E15" s="61">
        <v>8</v>
      </c>
      <c r="F15" s="37">
        <f>TREND(F11:F14,E11:E14,E15:$E$22,TRUE)</f>
        <v>52.871656936661672</v>
      </c>
      <c r="I15" s="3">
        <f>'2019 MH (MAI)'!I15</f>
        <v>7</v>
      </c>
      <c r="J15" s="39" t="str">
        <f>'2019 MH (MAI)'!J15</f>
        <v>01/01/2025 to 31/12/2025</v>
      </c>
      <c r="K15" s="37">
        <f t="shared" si="2"/>
        <v>46.262699819578962</v>
      </c>
      <c r="L15" s="37"/>
      <c r="M15" s="37">
        <f>K15*SUM(Overview!$C$33)</f>
        <v>545.77673792676899</v>
      </c>
      <c r="N15" s="37">
        <f t="shared" si="0"/>
        <v>941.4102952498838</v>
      </c>
      <c r="O15" s="37">
        <f t="shared" si="3"/>
        <v>37.656411809995355</v>
      </c>
      <c r="P15" s="37">
        <f t="shared" si="4"/>
        <v>18.828205904997677</v>
      </c>
      <c r="Q15" s="37">
        <f t="shared" si="8"/>
        <v>997.89491296487688</v>
      </c>
      <c r="R15" s="37">
        <f t="shared" si="6"/>
        <v>142.55641613783962</v>
      </c>
      <c r="S15" s="37">
        <f>Baseline!I11</f>
        <v>0</v>
      </c>
      <c r="T15" s="37">
        <f>Leakage!I11</f>
        <v>0</v>
      </c>
      <c r="U15" s="37">
        <f t="shared" si="5"/>
        <v>997.89491296487688</v>
      </c>
      <c r="V15" s="37">
        <f t="shared" si="7"/>
        <v>142.55641613783962</v>
      </c>
    </row>
    <row r="16" spans="1:22">
      <c r="A16" s="51"/>
      <c r="B16" s="51"/>
      <c r="C16" s="51"/>
      <c r="D16" s="61"/>
      <c r="E16" s="61">
        <v>9</v>
      </c>
      <c r="F16" s="37">
        <f>TREND(F12:F15,E12:E15,E16:$E$22,TRUE)</f>
        <v>59.480614053744382</v>
      </c>
      <c r="I16" s="3">
        <f>'2019 MH (MAI)'!I16</f>
        <v>8</v>
      </c>
      <c r="J16" s="39" t="str">
        <f>'2019 MH (MAI)'!J16</f>
        <v>01/01/2026 to 31/12/2026</v>
      </c>
      <c r="K16" s="37">
        <f t="shared" si="2"/>
        <v>52.871656936661672</v>
      </c>
      <c r="L16" s="37"/>
      <c r="M16" s="37">
        <f>K16*SUM(Overview!$C$33)</f>
        <v>623.74484334487886</v>
      </c>
      <c r="N16" s="37">
        <f t="shared" si="0"/>
        <v>1075.8974802855814</v>
      </c>
      <c r="O16" s="37">
        <f t="shared" si="3"/>
        <v>43.035899211423256</v>
      </c>
      <c r="P16" s="37">
        <f t="shared" si="4"/>
        <v>21.517949605711628</v>
      </c>
      <c r="Q16" s="37">
        <f t="shared" si="8"/>
        <v>1140.4513291027163</v>
      </c>
      <c r="R16" s="37">
        <f t="shared" si="6"/>
        <v>142.55641613783939</v>
      </c>
      <c r="S16" s="37">
        <f>Baseline!I12</f>
        <v>0</v>
      </c>
      <c r="T16" s="37">
        <f>Leakage!I12</f>
        <v>0</v>
      </c>
      <c r="U16" s="37">
        <f t="shared" si="5"/>
        <v>1140.4513291027163</v>
      </c>
      <c r="V16" s="37">
        <f>U44-SUM(V9:V14)</f>
        <v>256.60154904811111</v>
      </c>
    </row>
    <row r="17" spans="1:22">
      <c r="A17" s="51"/>
      <c r="B17" s="51"/>
      <c r="C17" s="51"/>
      <c r="D17" s="61"/>
      <c r="E17" s="61">
        <v>10</v>
      </c>
      <c r="F17" s="37">
        <f>TREND(F13:F16,E13:E16,E17:$E$22,TRUE)</f>
        <v>66.089571170827099</v>
      </c>
      <c r="I17" s="3">
        <f>'2019 MH (MAI)'!I17</f>
        <v>9</v>
      </c>
      <c r="J17" s="39" t="str">
        <f>'2019 MH (MAI)'!J17</f>
        <v>01/01/2027 to 31/12/2027</v>
      </c>
      <c r="K17" s="37">
        <f t="shared" si="2"/>
        <v>59.480614053744382</v>
      </c>
      <c r="L17" s="37"/>
      <c r="M17" s="37">
        <f>K17*SUM(Overview!$C$33)</f>
        <v>701.71294876298873</v>
      </c>
      <c r="N17" s="37">
        <f t="shared" si="0"/>
        <v>1210.384665321279</v>
      </c>
      <c r="O17" s="37">
        <f t="shared" si="3"/>
        <v>48.415386612851165</v>
      </c>
      <c r="P17" s="37">
        <f t="shared" si="4"/>
        <v>24.207693306425583</v>
      </c>
      <c r="Q17" s="37">
        <f t="shared" si="8"/>
        <v>1283.0077452405558</v>
      </c>
      <c r="R17" s="37">
        <f t="shared" si="6"/>
        <v>142.55641613783951</v>
      </c>
      <c r="S17" s="37">
        <f>Baseline!I13</f>
        <v>0</v>
      </c>
      <c r="T17" s="37">
        <f>Leakage!I13</f>
        <v>0</v>
      </c>
      <c r="U17" s="37">
        <f t="shared" si="5"/>
        <v>1283.0077452405558</v>
      </c>
      <c r="V17" s="37">
        <v>0</v>
      </c>
    </row>
    <row r="18" spans="1:22">
      <c r="A18" s="51"/>
      <c r="B18" s="51"/>
      <c r="C18" s="51"/>
      <c r="D18" s="61"/>
      <c r="E18" s="61">
        <v>11</v>
      </c>
      <c r="F18" s="37">
        <f>TREND(F14:F17,E14:E17,E18:$E$22,TRUE)</f>
        <v>72.698528287909795</v>
      </c>
      <c r="I18" s="3">
        <f>'2019 MH (MAI)'!I18</f>
        <v>10</v>
      </c>
      <c r="J18" s="39" t="str">
        <f>'2019 MH (MAI)'!J18</f>
        <v>01/01/2028 to 31/12/2028</v>
      </c>
      <c r="K18" s="37">
        <f t="shared" si="2"/>
        <v>66.089571170827099</v>
      </c>
      <c r="L18" s="37"/>
      <c r="M18" s="37">
        <f>K18*SUM(Overview!$C$33)</f>
        <v>779.68105418109872</v>
      </c>
      <c r="N18" s="37">
        <f t="shared" si="0"/>
        <v>1344.8718503569771</v>
      </c>
      <c r="O18" s="37">
        <f t="shared" si="3"/>
        <v>53.794874014279088</v>
      </c>
      <c r="P18" s="37">
        <f t="shared" si="4"/>
        <v>26.897437007139544</v>
      </c>
      <c r="Q18" s="37">
        <f t="shared" si="8"/>
        <v>1425.5641613783957</v>
      </c>
      <c r="R18" s="37">
        <f t="shared" si="6"/>
        <v>142.55641613783996</v>
      </c>
      <c r="S18" s="37">
        <f>Baseline!I14</f>
        <v>0</v>
      </c>
      <c r="T18" s="37">
        <f>Leakage!I14</f>
        <v>0</v>
      </c>
      <c r="U18" s="37">
        <f t="shared" si="5"/>
        <v>1425.5641613783957</v>
      </c>
      <c r="V18" s="37">
        <v>0</v>
      </c>
    </row>
    <row r="19" spans="1:22">
      <c r="A19" s="51"/>
      <c r="B19" s="51"/>
      <c r="C19" s="51"/>
      <c r="D19" s="61"/>
      <c r="E19" s="61">
        <v>12</v>
      </c>
      <c r="F19" s="37">
        <f>TREND(F15:F18,E15:E18,E19:$E$22,TRUE)</f>
        <v>79.307485404992491</v>
      </c>
      <c r="I19" s="3">
        <f>'2019 MH (MAI)'!I19</f>
        <v>11</v>
      </c>
      <c r="J19" s="39" t="str">
        <f>'2019 MH (MAI)'!J19</f>
        <v>01/01/2029 to 31/12/2029</v>
      </c>
      <c r="K19" s="37">
        <f t="shared" si="2"/>
        <v>72.698528287909795</v>
      </c>
      <c r="L19" s="37"/>
      <c r="M19" s="37">
        <f>K19*SUM(Overview!$C$33)</f>
        <v>857.64915959920836</v>
      </c>
      <c r="N19" s="37">
        <f t="shared" si="0"/>
        <v>1479.3590353926743</v>
      </c>
      <c r="O19" s="37">
        <f t="shared" si="3"/>
        <v>59.174361415706976</v>
      </c>
      <c r="P19" s="37">
        <f t="shared" si="4"/>
        <v>29.587180707853488</v>
      </c>
      <c r="Q19" s="37">
        <f t="shared" si="8"/>
        <v>1568.1205775162348</v>
      </c>
      <c r="R19" s="37">
        <f t="shared" si="6"/>
        <v>142.55641613783905</v>
      </c>
      <c r="S19" s="37">
        <f>Baseline!I15</f>
        <v>0</v>
      </c>
      <c r="T19" s="37">
        <f>Leakage!I15</f>
        <v>0</v>
      </c>
      <c r="U19" s="37">
        <f t="shared" si="5"/>
        <v>1568.1205775162348</v>
      </c>
      <c r="V19" s="37">
        <v>0</v>
      </c>
    </row>
    <row r="20" spans="1:22">
      <c r="A20" s="51"/>
      <c r="B20" s="51"/>
      <c r="C20" s="51"/>
      <c r="D20" s="61"/>
      <c r="E20" s="61">
        <v>13</v>
      </c>
      <c r="F20" s="37">
        <f>TREND(F16:F19,E16:E19,E20:$E$22,TRUE)</f>
        <v>85.916442522075201</v>
      </c>
      <c r="I20" s="3">
        <f>'2019 MH (MAI)'!I20</f>
        <v>12</v>
      </c>
      <c r="J20" s="39" t="str">
        <f>'2019 MH (MAI)'!J20</f>
        <v>01/01/2030 to 31/12/2030</v>
      </c>
      <c r="K20" s="37">
        <f t="shared" si="2"/>
        <v>79.307485404992491</v>
      </c>
      <c r="L20" s="37"/>
      <c r="M20" s="37">
        <f>K20*SUM(Overview!$C$33)</f>
        <v>935.61726501731812</v>
      </c>
      <c r="N20" s="37">
        <f t="shared" si="0"/>
        <v>1613.8462204283719</v>
      </c>
      <c r="O20" s="37">
        <f t="shared" si="3"/>
        <v>64.553848817134877</v>
      </c>
      <c r="P20" s="37">
        <f t="shared" si="4"/>
        <v>32.276924408567439</v>
      </c>
      <c r="Q20" s="37">
        <f t="shared" si="8"/>
        <v>1710.6769936540743</v>
      </c>
      <c r="R20" s="37">
        <f t="shared" si="6"/>
        <v>142.55641613783951</v>
      </c>
      <c r="S20" s="37">
        <f>Baseline!I16</f>
        <v>0</v>
      </c>
      <c r="T20" s="37">
        <f>Leakage!I16</f>
        <v>0</v>
      </c>
      <c r="U20" s="37">
        <f t="shared" si="5"/>
        <v>1710.6769936540743</v>
      </c>
      <c r="V20" s="37">
        <v>0</v>
      </c>
    </row>
    <row r="21" spans="1:22">
      <c r="A21" s="51"/>
      <c r="B21" s="51"/>
      <c r="C21" s="51"/>
      <c r="D21" s="61"/>
      <c r="E21" s="61">
        <v>14</v>
      </c>
      <c r="F21" s="37">
        <f>TREND(F17:F20,E17:E20,E21:$E$22,TRUE)</f>
        <v>92.525399639157882</v>
      </c>
      <c r="I21" s="3">
        <f>'2019 MH (MAI)'!I21</f>
        <v>13</v>
      </c>
      <c r="J21" s="39" t="str">
        <f>'2019 MH (MAI)'!J21</f>
        <v>01/01/2031 to 31/12/2031</v>
      </c>
      <c r="K21" s="37">
        <f t="shared" si="2"/>
        <v>85.916442522075201</v>
      </c>
      <c r="L21" s="37"/>
      <c r="M21" s="37">
        <f>K21*SUM(Overview!$C$33)</f>
        <v>1013.5853704354279</v>
      </c>
      <c r="N21" s="37">
        <f t="shared" si="0"/>
        <v>1748.3334054640695</v>
      </c>
      <c r="O21" s="37">
        <f t="shared" si="3"/>
        <v>69.933336218562786</v>
      </c>
      <c r="P21" s="37">
        <f t="shared" si="4"/>
        <v>34.966668109281393</v>
      </c>
      <c r="Q21" s="37">
        <f t="shared" si="8"/>
        <v>1853.2334097919138</v>
      </c>
      <c r="R21" s="37">
        <f t="shared" si="6"/>
        <v>142.55641613783951</v>
      </c>
      <c r="S21" s="37">
        <f>Baseline!I17</f>
        <v>0</v>
      </c>
      <c r="T21" s="37">
        <f>Leakage!I17</f>
        <v>0</v>
      </c>
      <c r="U21" s="37">
        <f t="shared" si="5"/>
        <v>1853.2334097919138</v>
      </c>
      <c r="V21" s="37">
        <v>0</v>
      </c>
    </row>
    <row r="22" spans="1:22">
      <c r="A22" s="51"/>
      <c r="B22" s="51"/>
      <c r="C22" s="51"/>
      <c r="D22" s="61"/>
      <c r="E22" s="61">
        <v>15</v>
      </c>
      <c r="F22" s="37">
        <f>TREND(F18:F21,E18:E21,E22:$E$22,TRUE)</f>
        <v>99.134356756240578</v>
      </c>
      <c r="I22" s="3">
        <f>'2019 MH (MAI)'!I22</f>
        <v>14</v>
      </c>
      <c r="J22" s="39" t="str">
        <f>'2019 MH (MAI)'!J22</f>
        <v>01/01/2032 to 31/12/2032</v>
      </c>
      <c r="K22" s="37">
        <f t="shared" si="2"/>
        <v>92.525399639157882</v>
      </c>
      <c r="L22" s="37"/>
      <c r="M22" s="37">
        <f>K22*SUM(Overview!$C$33)</f>
        <v>1091.5534758535375</v>
      </c>
      <c r="N22" s="37">
        <f t="shared" si="0"/>
        <v>1882.8205904997667</v>
      </c>
      <c r="O22" s="37">
        <f t="shared" si="3"/>
        <v>75.312823619990667</v>
      </c>
      <c r="P22" s="37">
        <f t="shared" si="4"/>
        <v>37.656411809995333</v>
      </c>
      <c r="Q22" s="37">
        <f t="shared" si="8"/>
        <v>1995.7898259297526</v>
      </c>
      <c r="R22" s="37">
        <f t="shared" si="6"/>
        <v>142.55641613783882</v>
      </c>
      <c r="S22" s="37">
        <f>Baseline!I18</f>
        <v>0</v>
      </c>
      <c r="T22" s="37">
        <f>Leakage!I18</f>
        <v>0</v>
      </c>
      <c r="U22" s="37">
        <f t="shared" si="5"/>
        <v>1995.7898259297526</v>
      </c>
      <c r="V22" s="37">
        <v>0</v>
      </c>
    </row>
    <row r="23" spans="1:22">
      <c r="I23" s="3">
        <f>'2019 MH (MAI)'!I23</f>
        <v>15</v>
      </c>
      <c r="J23" s="39" t="str">
        <f>'2019 MH (MAI)'!J23</f>
        <v>01/01/2033 to 31/12/2033</v>
      </c>
      <c r="K23" s="37">
        <f t="shared" si="2"/>
        <v>99.134356756240578</v>
      </c>
      <c r="L23" s="37"/>
      <c r="M23" s="37">
        <f>K23*SUM(Overview!$C$33)</f>
        <v>1169.5215812716472</v>
      </c>
      <c r="N23" s="37">
        <f t="shared" si="0"/>
        <v>2017.3077755354641</v>
      </c>
      <c r="O23" s="37">
        <f t="shared" si="3"/>
        <v>80.692311021418561</v>
      </c>
      <c r="P23" s="37">
        <f t="shared" si="4"/>
        <v>40.346155510709281</v>
      </c>
      <c r="Q23" s="37">
        <f t="shared" si="8"/>
        <v>2138.3462420675919</v>
      </c>
      <c r="R23" s="37">
        <f t="shared" si="6"/>
        <v>142.55641613783928</v>
      </c>
      <c r="S23" s="37">
        <f>Baseline!I19</f>
        <v>0</v>
      </c>
      <c r="T23" s="37">
        <f>Leakage!I19</f>
        <v>0</v>
      </c>
      <c r="U23" s="37">
        <f t="shared" si="5"/>
        <v>2138.3462420675919</v>
      </c>
      <c r="V23" s="37">
        <v>0</v>
      </c>
    </row>
    <row r="24" spans="1:22">
      <c r="I24" s="3">
        <f>'2019 MH (MAI)'!I24</f>
        <v>16</v>
      </c>
      <c r="J24" s="39" t="str">
        <f>'2019 MH (MAI)'!J24</f>
        <v>01/01/2034 to 31/12/2034</v>
      </c>
      <c r="K24" s="37">
        <f>K9</f>
        <v>0</v>
      </c>
      <c r="L24" s="37"/>
      <c r="M24" s="37">
        <f>K24*SUM(Overview!$C$33)</f>
        <v>0</v>
      </c>
      <c r="N24" s="37">
        <f t="shared" si="0"/>
        <v>0</v>
      </c>
      <c r="O24" s="37">
        <f t="shared" si="3"/>
        <v>0</v>
      </c>
      <c r="P24" s="37">
        <f t="shared" si="4"/>
        <v>0</v>
      </c>
      <c r="Q24" s="37">
        <f t="shared" si="8"/>
        <v>0</v>
      </c>
      <c r="R24" s="37">
        <f t="shared" si="6"/>
        <v>-2138.3462420675919</v>
      </c>
      <c r="S24" s="37">
        <f>Baseline!I20</f>
        <v>0</v>
      </c>
      <c r="T24" s="37">
        <f>Leakage!I20</f>
        <v>0</v>
      </c>
      <c r="U24" s="37">
        <f t="shared" si="5"/>
        <v>0</v>
      </c>
      <c r="V24" s="37">
        <v>0</v>
      </c>
    </row>
    <row r="25" spans="1:22">
      <c r="I25" s="3">
        <f>'2019 MH (MAI)'!I25</f>
        <v>17</v>
      </c>
      <c r="J25" s="39" t="str">
        <f>'2019 MH (MAI)'!J25</f>
        <v>01/01/2035 to 31/12/2035</v>
      </c>
      <c r="K25" s="37">
        <f t="shared" ref="K25:K38" si="9">K10</f>
        <v>0</v>
      </c>
      <c r="L25" s="37"/>
      <c r="M25" s="37">
        <f>K25*SUM(Overview!$C$33)</f>
        <v>0</v>
      </c>
      <c r="N25" s="37">
        <f t="shared" si="0"/>
        <v>0</v>
      </c>
      <c r="O25" s="37">
        <f t="shared" si="3"/>
        <v>0</v>
      </c>
      <c r="P25" s="37">
        <f t="shared" si="4"/>
        <v>0</v>
      </c>
      <c r="Q25" s="37">
        <f t="shared" si="8"/>
        <v>0</v>
      </c>
      <c r="R25" s="37">
        <f t="shared" si="6"/>
        <v>0</v>
      </c>
      <c r="S25" s="37">
        <f>Baseline!I21</f>
        <v>0</v>
      </c>
      <c r="T25" s="37">
        <f>Leakage!I21</f>
        <v>0</v>
      </c>
      <c r="U25" s="37">
        <f t="shared" si="5"/>
        <v>0</v>
      </c>
      <c r="V25" s="37">
        <v>0</v>
      </c>
    </row>
    <row r="26" spans="1:22">
      <c r="I26" s="3">
        <f>'2019 MH (MAI)'!I26</f>
        <v>18</v>
      </c>
      <c r="J26" s="39" t="str">
        <f>'2019 MH (MAI)'!J26</f>
        <v>01/01/2036 to 31/12/2036</v>
      </c>
      <c r="K26" s="37">
        <f t="shared" si="9"/>
        <v>19.826871351248126</v>
      </c>
      <c r="L26" s="37"/>
      <c r="M26" s="37">
        <f>K26*SUM(Overview!$C$33)</f>
        <v>233.90431625432956</v>
      </c>
      <c r="N26" s="37">
        <f t="shared" si="0"/>
        <v>403.46155510709303</v>
      </c>
      <c r="O26" s="37">
        <f t="shared" si="3"/>
        <v>16.138462204283723</v>
      </c>
      <c r="P26" s="37">
        <f t="shared" si="4"/>
        <v>8.0692311021418615</v>
      </c>
      <c r="Q26" s="37">
        <f t="shared" si="8"/>
        <v>427.66924841351863</v>
      </c>
      <c r="R26" s="37">
        <f t="shared" si="6"/>
        <v>427.66924841351863</v>
      </c>
      <c r="S26" s="37">
        <f>Baseline!I22</f>
        <v>0</v>
      </c>
      <c r="T26" s="37">
        <f>Leakage!I22</f>
        <v>0</v>
      </c>
      <c r="U26" s="37">
        <f t="shared" si="5"/>
        <v>427.66924841351863</v>
      </c>
      <c r="V26" s="37">
        <v>0</v>
      </c>
    </row>
    <row r="27" spans="1:22">
      <c r="I27" s="3">
        <f>'2019 MH (MAI)'!I27</f>
        <v>19</v>
      </c>
      <c r="J27" s="39" t="str">
        <f>'2019 MH (MAI)'!J27</f>
        <v>01/01/2037 to 31/12/2037</v>
      </c>
      <c r="K27" s="37">
        <f t="shared" si="9"/>
        <v>26.435828468330836</v>
      </c>
      <c r="L27" s="37"/>
      <c r="M27" s="37">
        <f>K27*SUM(Overview!$C$33)</f>
        <v>311.87242167243943</v>
      </c>
      <c r="N27" s="37">
        <f t="shared" si="0"/>
        <v>537.94874014279071</v>
      </c>
      <c r="O27" s="37">
        <f t="shared" si="3"/>
        <v>21.517949605711628</v>
      </c>
      <c r="P27" s="37">
        <f t="shared" si="4"/>
        <v>10.758974802855814</v>
      </c>
      <c r="Q27" s="37">
        <f t="shared" si="8"/>
        <v>570.22566455135814</v>
      </c>
      <c r="R27" s="37">
        <f t="shared" si="6"/>
        <v>142.55641613783951</v>
      </c>
      <c r="S27" s="37">
        <f>Baseline!I23</f>
        <v>0</v>
      </c>
      <c r="T27" s="37">
        <f>Leakage!I23</f>
        <v>0</v>
      </c>
      <c r="U27" s="37">
        <f t="shared" si="5"/>
        <v>570.22566455135814</v>
      </c>
      <c r="V27" s="37">
        <v>0</v>
      </c>
    </row>
    <row r="28" spans="1:22">
      <c r="I28" s="3">
        <f>'2019 MH (MAI)'!I28</f>
        <v>20</v>
      </c>
      <c r="J28" s="39" t="str">
        <f>'2019 MH (MAI)'!J28</f>
        <v>01/01/2038 to 31/12/2038</v>
      </c>
      <c r="K28" s="37">
        <f t="shared" si="9"/>
        <v>33.044785585413543</v>
      </c>
      <c r="L28" s="37"/>
      <c r="M28" s="37">
        <f>K28*SUM(Overview!$C$33)</f>
        <v>389.84052709054924</v>
      </c>
      <c r="N28" s="37">
        <f t="shared" si="0"/>
        <v>672.43592517848833</v>
      </c>
      <c r="O28" s="37">
        <f t="shared" si="3"/>
        <v>26.897437007139533</v>
      </c>
      <c r="P28" s="37">
        <f t="shared" si="4"/>
        <v>13.448718503569767</v>
      </c>
      <c r="Q28" s="37">
        <f t="shared" si="8"/>
        <v>712.78208068919764</v>
      </c>
      <c r="R28" s="37">
        <f t="shared" si="6"/>
        <v>142.55641613783951</v>
      </c>
      <c r="S28" s="37">
        <f>Baseline!I24</f>
        <v>0</v>
      </c>
      <c r="T28" s="37">
        <f>Leakage!I24</f>
        <v>0</v>
      </c>
      <c r="U28" s="37">
        <f t="shared" si="5"/>
        <v>712.78208068919764</v>
      </c>
      <c r="V28" s="37">
        <v>0</v>
      </c>
    </row>
    <row r="29" spans="1:22">
      <c r="I29" s="3">
        <f>'2019 MH (MAI)'!I29</f>
        <v>21</v>
      </c>
      <c r="J29" s="39" t="str">
        <f>'2019 MH (MAI)'!J29</f>
        <v>01/01/2039 to 31/12/2039</v>
      </c>
      <c r="K29" s="37">
        <f t="shared" si="9"/>
        <v>39.653742702496253</v>
      </c>
      <c r="L29" s="37"/>
      <c r="M29" s="37">
        <f>K29*SUM(Overview!$C$33)</f>
        <v>467.80863250865912</v>
      </c>
      <c r="N29" s="37">
        <f t="shared" si="0"/>
        <v>806.92311021418607</v>
      </c>
      <c r="O29" s="37">
        <f t="shared" si="3"/>
        <v>32.276924408567446</v>
      </c>
      <c r="P29" s="37">
        <f t="shared" si="4"/>
        <v>16.138462204283723</v>
      </c>
      <c r="Q29" s="37">
        <f t="shared" si="8"/>
        <v>855.33849682703726</v>
      </c>
      <c r="R29" s="37">
        <f t="shared" si="6"/>
        <v>142.55641613783962</v>
      </c>
      <c r="S29" s="37">
        <f>Baseline!I25</f>
        <v>0</v>
      </c>
      <c r="T29" s="37">
        <f>Leakage!I25</f>
        <v>0</v>
      </c>
      <c r="U29" s="37">
        <f t="shared" si="5"/>
        <v>855.33849682703726</v>
      </c>
      <c r="V29" s="37">
        <v>0</v>
      </c>
    </row>
    <row r="30" spans="1:22">
      <c r="I30" s="3">
        <f>'2019 MH (MAI)'!I30</f>
        <v>22</v>
      </c>
      <c r="J30" s="39" t="str">
        <f>'2019 MH (MAI)'!J30</f>
        <v>01/01/2040 to 31/12/2040</v>
      </c>
      <c r="K30" s="37">
        <f t="shared" si="9"/>
        <v>46.262699819578962</v>
      </c>
      <c r="L30" s="37"/>
      <c r="M30" s="37">
        <f>K30*SUM(Overview!$C$33)</f>
        <v>545.77673792676899</v>
      </c>
      <c r="N30" s="37">
        <f t="shared" si="0"/>
        <v>941.4102952498838</v>
      </c>
      <c r="O30" s="37">
        <f t="shared" si="3"/>
        <v>37.656411809995355</v>
      </c>
      <c r="P30" s="37">
        <f t="shared" si="4"/>
        <v>18.828205904997677</v>
      </c>
      <c r="Q30" s="37">
        <f t="shared" si="8"/>
        <v>997.89491296487688</v>
      </c>
      <c r="R30" s="37">
        <f t="shared" si="6"/>
        <v>142.55641613783962</v>
      </c>
      <c r="S30" s="37">
        <f>Baseline!I26</f>
        <v>0</v>
      </c>
      <c r="T30" s="37">
        <f>Leakage!I26</f>
        <v>0</v>
      </c>
      <c r="U30" s="37">
        <f t="shared" si="5"/>
        <v>997.89491296487688</v>
      </c>
      <c r="V30" s="37">
        <v>0</v>
      </c>
    </row>
    <row r="31" spans="1:22">
      <c r="I31" s="3">
        <f>'2019 MH (MAI)'!I31</f>
        <v>23</v>
      </c>
      <c r="J31" s="39" t="str">
        <f>'2019 MH (MAI)'!J31</f>
        <v>01/01/2041 to 31/12/2041</v>
      </c>
      <c r="K31" s="37">
        <f t="shared" si="9"/>
        <v>52.871656936661672</v>
      </c>
      <c r="L31" s="37"/>
      <c r="M31" s="37">
        <f>K31*SUM(Overview!$C$33)</f>
        <v>623.74484334487886</v>
      </c>
      <c r="N31" s="37">
        <f t="shared" si="0"/>
        <v>1075.8974802855814</v>
      </c>
      <c r="O31" s="37">
        <f t="shared" si="3"/>
        <v>43.035899211423256</v>
      </c>
      <c r="P31" s="37">
        <f t="shared" si="4"/>
        <v>21.517949605711628</v>
      </c>
      <c r="Q31" s="37">
        <f t="shared" si="8"/>
        <v>1140.4513291027163</v>
      </c>
      <c r="R31" s="37">
        <f t="shared" si="6"/>
        <v>142.55641613783939</v>
      </c>
      <c r="S31" s="37">
        <f>Baseline!I27</f>
        <v>0</v>
      </c>
      <c r="T31" s="37">
        <f>Leakage!I27</f>
        <v>0</v>
      </c>
      <c r="U31" s="37">
        <f t="shared" si="5"/>
        <v>1140.4513291027163</v>
      </c>
      <c r="V31" s="37">
        <v>0</v>
      </c>
    </row>
    <row r="32" spans="1:22">
      <c r="I32" s="3">
        <f>'2019 MH (MAI)'!I32</f>
        <v>24</v>
      </c>
      <c r="J32" s="39" t="str">
        <f>'2019 MH (MAI)'!J32</f>
        <v>01/01/2042 to 31/12/2042</v>
      </c>
      <c r="K32" s="37">
        <f t="shared" si="9"/>
        <v>59.480614053744382</v>
      </c>
      <c r="L32" s="37"/>
      <c r="M32" s="37">
        <f>K32*SUM(Overview!$C$33)</f>
        <v>701.71294876298873</v>
      </c>
      <c r="N32" s="37">
        <f t="shared" si="0"/>
        <v>1210.384665321279</v>
      </c>
      <c r="O32" s="37">
        <f t="shared" si="3"/>
        <v>48.415386612851165</v>
      </c>
      <c r="P32" s="37">
        <f t="shared" si="4"/>
        <v>24.207693306425583</v>
      </c>
      <c r="Q32" s="37">
        <f t="shared" si="8"/>
        <v>1283.0077452405558</v>
      </c>
      <c r="R32" s="37">
        <f t="shared" si="6"/>
        <v>142.55641613783951</v>
      </c>
      <c r="S32" s="37">
        <f>Baseline!I28</f>
        <v>0</v>
      </c>
      <c r="T32" s="37">
        <f>Leakage!I28</f>
        <v>0</v>
      </c>
      <c r="U32" s="37">
        <f t="shared" si="5"/>
        <v>1283.0077452405558</v>
      </c>
      <c r="V32" s="37">
        <v>0</v>
      </c>
    </row>
    <row r="33" spans="9:22">
      <c r="I33" s="3">
        <f>'2019 MH (MAI)'!I33</f>
        <v>25</v>
      </c>
      <c r="J33" s="39" t="str">
        <f>'2019 MH (MAI)'!J33</f>
        <v>01/01/2043 to 31/12/2043</v>
      </c>
      <c r="K33" s="37">
        <f t="shared" si="9"/>
        <v>66.089571170827099</v>
      </c>
      <c r="L33" s="37"/>
      <c r="M33" s="37">
        <f>K33*SUM(Overview!$C$33)</f>
        <v>779.68105418109872</v>
      </c>
      <c r="N33" s="37">
        <f t="shared" si="0"/>
        <v>1344.8718503569771</v>
      </c>
      <c r="O33" s="37">
        <f t="shared" si="3"/>
        <v>53.794874014279088</v>
      </c>
      <c r="P33" s="37">
        <f t="shared" si="4"/>
        <v>26.897437007139544</v>
      </c>
      <c r="Q33" s="37">
        <f t="shared" si="8"/>
        <v>1425.5641613783957</v>
      </c>
      <c r="R33" s="37">
        <f t="shared" si="6"/>
        <v>142.55641613783996</v>
      </c>
      <c r="S33" s="37">
        <f>Baseline!I29</f>
        <v>0</v>
      </c>
      <c r="T33" s="37">
        <f>Leakage!I29</f>
        <v>0</v>
      </c>
      <c r="U33" s="37">
        <f t="shared" si="5"/>
        <v>1425.5641613783957</v>
      </c>
      <c r="V33" s="37">
        <v>0</v>
      </c>
    </row>
    <row r="34" spans="9:22">
      <c r="I34" s="3">
        <f>'2019 MH (MAI)'!I34</f>
        <v>26</v>
      </c>
      <c r="J34" s="39" t="str">
        <f>'2019 MH (MAI)'!J34</f>
        <v>01/01/2044 to 31/12/2044</v>
      </c>
      <c r="K34" s="37">
        <f t="shared" si="9"/>
        <v>72.698528287909795</v>
      </c>
      <c r="L34" s="37"/>
      <c r="M34" s="37">
        <f>K34*SUM(Overview!$C$33)</f>
        <v>857.64915959920836</v>
      </c>
      <c r="N34" s="37">
        <f t="shared" si="0"/>
        <v>1479.3590353926743</v>
      </c>
      <c r="O34" s="37">
        <f t="shared" si="3"/>
        <v>59.174361415706976</v>
      </c>
      <c r="P34" s="37">
        <f t="shared" si="4"/>
        <v>29.587180707853488</v>
      </c>
      <c r="Q34" s="37">
        <f t="shared" si="8"/>
        <v>1568.1205775162348</v>
      </c>
      <c r="R34" s="37">
        <f t="shared" si="6"/>
        <v>142.55641613783905</v>
      </c>
      <c r="S34" s="37">
        <f>Baseline!I30</f>
        <v>0</v>
      </c>
      <c r="T34" s="37">
        <f>Leakage!I30</f>
        <v>0</v>
      </c>
      <c r="U34" s="37">
        <f t="shared" si="5"/>
        <v>1568.1205775162348</v>
      </c>
      <c r="V34" s="37">
        <v>0</v>
      </c>
    </row>
    <row r="35" spans="9:22">
      <c r="I35" s="3">
        <f>'2019 MH (MAI)'!I35</f>
        <v>27</v>
      </c>
      <c r="J35" s="39" t="str">
        <f>'2019 MH (MAI)'!J35</f>
        <v>01/01/2045 to 31/12/2045</v>
      </c>
      <c r="K35" s="37">
        <f t="shared" si="9"/>
        <v>79.307485404992491</v>
      </c>
      <c r="L35" s="37"/>
      <c r="M35" s="37">
        <f>K35*SUM(Overview!$C$33)</f>
        <v>935.61726501731812</v>
      </c>
      <c r="N35" s="37">
        <f t="shared" si="0"/>
        <v>1613.8462204283719</v>
      </c>
      <c r="O35" s="37">
        <f t="shared" si="3"/>
        <v>64.553848817134877</v>
      </c>
      <c r="P35" s="37">
        <f t="shared" si="4"/>
        <v>32.276924408567439</v>
      </c>
      <c r="Q35" s="37">
        <f t="shared" si="8"/>
        <v>1710.6769936540743</v>
      </c>
      <c r="R35" s="37">
        <f t="shared" si="6"/>
        <v>142.55641613783951</v>
      </c>
      <c r="S35" s="37">
        <f>Baseline!I31</f>
        <v>0</v>
      </c>
      <c r="T35" s="37">
        <f>Leakage!I31</f>
        <v>0</v>
      </c>
      <c r="U35" s="37">
        <f t="shared" si="5"/>
        <v>1710.6769936540743</v>
      </c>
      <c r="V35" s="37">
        <v>0</v>
      </c>
    </row>
    <row r="36" spans="9:22">
      <c r="I36" s="3">
        <f>'2019 MH (MAI)'!I36</f>
        <v>28</v>
      </c>
      <c r="J36" s="39" t="str">
        <f>'2019 MH (MAI)'!J36</f>
        <v>01/01/2046 to 31/12/2046</v>
      </c>
      <c r="K36" s="37">
        <f t="shared" si="9"/>
        <v>85.916442522075201</v>
      </c>
      <c r="L36" s="37"/>
      <c r="M36" s="37">
        <f>K36*SUM(Overview!$C$33)</f>
        <v>1013.5853704354279</v>
      </c>
      <c r="N36" s="37">
        <f t="shared" si="0"/>
        <v>1748.3334054640695</v>
      </c>
      <c r="O36" s="37">
        <f t="shared" si="3"/>
        <v>69.933336218562786</v>
      </c>
      <c r="P36" s="37">
        <f t="shared" si="4"/>
        <v>34.966668109281393</v>
      </c>
      <c r="Q36" s="37">
        <f t="shared" si="8"/>
        <v>1853.2334097919138</v>
      </c>
      <c r="R36" s="37">
        <f t="shared" si="6"/>
        <v>142.55641613783951</v>
      </c>
      <c r="S36" s="37">
        <f>Baseline!I32</f>
        <v>0</v>
      </c>
      <c r="T36" s="37">
        <f>Leakage!I32</f>
        <v>0</v>
      </c>
      <c r="U36" s="37">
        <f t="shared" si="5"/>
        <v>1853.2334097919138</v>
      </c>
      <c r="V36" s="37">
        <v>0</v>
      </c>
    </row>
    <row r="37" spans="9:22">
      <c r="I37" s="3">
        <f>'2019 MH (MAI)'!I37</f>
        <v>29</v>
      </c>
      <c r="J37" s="39" t="str">
        <f>'2019 MH (MAI)'!J37</f>
        <v>01/01/2047 to 31/12/2047</v>
      </c>
      <c r="K37" s="37">
        <f t="shared" si="9"/>
        <v>92.525399639157882</v>
      </c>
      <c r="L37" s="37"/>
      <c r="M37" s="37">
        <f>K37*SUM(Overview!$C$33)</f>
        <v>1091.5534758535375</v>
      </c>
      <c r="N37" s="37">
        <f t="shared" si="0"/>
        <v>1882.8205904997667</v>
      </c>
      <c r="O37" s="37">
        <f t="shared" si="3"/>
        <v>75.312823619990667</v>
      </c>
      <c r="P37" s="37">
        <f t="shared" si="4"/>
        <v>37.656411809995333</v>
      </c>
      <c r="Q37" s="37">
        <f t="shared" si="8"/>
        <v>1995.7898259297526</v>
      </c>
      <c r="R37" s="37">
        <f t="shared" si="6"/>
        <v>142.55641613783882</v>
      </c>
      <c r="S37" s="37">
        <f>Baseline!I33</f>
        <v>0</v>
      </c>
      <c r="T37" s="37">
        <f>Leakage!I33</f>
        <v>0</v>
      </c>
      <c r="U37" s="37">
        <f t="shared" si="5"/>
        <v>1995.7898259297526</v>
      </c>
      <c r="V37" s="37">
        <v>0</v>
      </c>
    </row>
    <row r="38" spans="9:22">
      <c r="I38" s="3">
        <f>'2019 MH (MAI)'!I38</f>
        <v>30</v>
      </c>
      <c r="J38" s="39" t="str">
        <f>'2019 MH (MAI)'!J38</f>
        <v>01/01/2048 to 31/12/2048</v>
      </c>
      <c r="K38" s="37">
        <f t="shared" si="9"/>
        <v>99.134356756240578</v>
      </c>
      <c r="L38" s="37"/>
      <c r="M38" s="37">
        <f>K38*SUM(Overview!$C$33)</f>
        <v>1169.5215812716472</v>
      </c>
      <c r="N38" s="37">
        <f t="shared" si="0"/>
        <v>2017.3077755354641</v>
      </c>
      <c r="O38" s="37">
        <f t="shared" si="3"/>
        <v>80.692311021418561</v>
      </c>
      <c r="P38" s="37">
        <f t="shared" si="4"/>
        <v>40.346155510709281</v>
      </c>
      <c r="Q38" s="37">
        <f t="shared" si="8"/>
        <v>2138.3462420675919</v>
      </c>
      <c r="R38" s="37">
        <f t="shared" si="6"/>
        <v>142.55641613783928</v>
      </c>
      <c r="S38" s="37">
        <f>Baseline!I34</f>
        <v>0</v>
      </c>
      <c r="T38" s="37">
        <f>Leakage!I34</f>
        <v>0</v>
      </c>
      <c r="U38" s="37">
        <f t="shared" si="5"/>
        <v>2138.3462420675919</v>
      </c>
      <c r="V38" s="37">
        <v>0</v>
      </c>
    </row>
    <row r="39" spans="9:22">
      <c r="I39" s="3">
        <f>'2019 MH (MAI)'!I39</f>
        <v>31</v>
      </c>
      <c r="J39" s="39" t="str">
        <f>'2019 MH (MAI)'!J39</f>
        <v>01/01/2049 to 31/12/2049</v>
      </c>
      <c r="K39" s="37">
        <v>0</v>
      </c>
      <c r="L39" s="37"/>
      <c r="M39" s="37">
        <f>K39*SUM(Overview!$C$33)</f>
        <v>0</v>
      </c>
      <c r="N39" s="37">
        <f t="shared" si="0"/>
        <v>0</v>
      </c>
      <c r="O39" s="37">
        <f t="shared" si="3"/>
        <v>0</v>
      </c>
      <c r="P39" s="37">
        <f t="shared" si="4"/>
        <v>0</v>
      </c>
      <c r="Q39" s="37">
        <f t="shared" si="8"/>
        <v>0</v>
      </c>
      <c r="R39" s="37">
        <f t="shared" si="6"/>
        <v>-2138.3462420675919</v>
      </c>
      <c r="S39" s="37">
        <f>Baseline!I35</f>
        <v>0</v>
      </c>
      <c r="T39" s="37">
        <f>Leakage!I35</f>
        <v>0</v>
      </c>
      <c r="U39" s="37">
        <f t="shared" si="5"/>
        <v>0</v>
      </c>
      <c r="V39" s="37">
        <v>0</v>
      </c>
    </row>
    <row r="40" spans="9:22">
      <c r="I40" s="3">
        <f>'2019 MH (MAI)'!I40</f>
        <v>32</v>
      </c>
      <c r="J40" s="39" t="str">
        <f>'2019 MH (MAI)'!J40</f>
        <v>01/01/2050 to 31/12/2050</v>
      </c>
      <c r="K40" s="37">
        <v>0</v>
      </c>
      <c r="L40" s="37"/>
      <c r="M40" s="37">
        <f>K40*SUM(Overview!$C$33)</f>
        <v>0</v>
      </c>
      <c r="N40" s="37">
        <f t="shared" si="0"/>
        <v>0</v>
      </c>
      <c r="O40" s="37">
        <f t="shared" si="3"/>
        <v>0</v>
      </c>
      <c r="P40" s="37">
        <f t="shared" si="4"/>
        <v>0</v>
      </c>
      <c r="Q40" s="37">
        <f t="shared" si="8"/>
        <v>0</v>
      </c>
      <c r="R40" s="37">
        <f t="shared" si="6"/>
        <v>0</v>
      </c>
      <c r="S40" s="37">
        <f>Baseline!I36</f>
        <v>0</v>
      </c>
      <c r="T40" s="37">
        <f>Leakage!I36</f>
        <v>0</v>
      </c>
      <c r="U40" s="37">
        <f t="shared" si="5"/>
        <v>0</v>
      </c>
      <c r="V40" s="37">
        <v>0</v>
      </c>
    </row>
    <row r="41" spans="9:22">
      <c r="I41" s="3">
        <f>'2019 MH (MAI)'!I41</f>
        <v>33</v>
      </c>
      <c r="J41" s="39" t="str">
        <f>'2019 MH (MAI)'!J41</f>
        <v>01/01/2051 to 31/12/2051</v>
      </c>
      <c r="K41" s="37">
        <v>0</v>
      </c>
      <c r="L41" s="37"/>
      <c r="M41" s="37">
        <f>K41*SUM(Overview!$C$33)</f>
        <v>0</v>
      </c>
      <c r="N41" s="37">
        <f t="shared" si="0"/>
        <v>0</v>
      </c>
      <c r="O41" s="37">
        <f t="shared" si="3"/>
        <v>0</v>
      </c>
      <c r="P41" s="37">
        <f t="shared" si="4"/>
        <v>0</v>
      </c>
      <c r="Q41" s="37">
        <f t="shared" si="8"/>
        <v>0</v>
      </c>
      <c r="R41" s="37">
        <f t="shared" si="6"/>
        <v>0</v>
      </c>
      <c r="S41" s="37">
        <f>Baseline!I36</f>
        <v>0</v>
      </c>
      <c r="T41" s="37">
        <f>Leakage!I36</f>
        <v>0</v>
      </c>
      <c r="U41" s="37">
        <f t="shared" si="5"/>
        <v>0</v>
      </c>
      <c r="V41" s="37">
        <v>0</v>
      </c>
    </row>
    <row r="42" spans="9:22">
      <c r="I42" s="3">
        <f>'2019 MH (MAI)'!I42</f>
        <v>33.46</v>
      </c>
      <c r="J42" s="39" t="str">
        <f>'2019 MH (MAI)'!J42</f>
        <v>01/01/2052 to 17/06/2052</v>
      </c>
      <c r="K42" s="37">
        <v>0</v>
      </c>
      <c r="L42" s="37"/>
      <c r="M42" s="37">
        <f>K42*SUM(Overview!$C$33)</f>
        <v>0</v>
      </c>
      <c r="N42" s="37">
        <f t="shared" si="0"/>
        <v>0</v>
      </c>
      <c r="O42" s="37">
        <f t="shared" si="3"/>
        <v>0</v>
      </c>
      <c r="P42" s="37">
        <f t="shared" si="4"/>
        <v>0</v>
      </c>
      <c r="Q42" s="37">
        <f t="shared" si="8"/>
        <v>0</v>
      </c>
      <c r="R42" s="37">
        <f t="shared" si="6"/>
        <v>0</v>
      </c>
      <c r="S42" s="37">
        <f>Baseline!I37</f>
        <v>0</v>
      </c>
      <c r="T42" s="37">
        <f>Leakage!I37</f>
        <v>0</v>
      </c>
      <c r="U42" s="37">
        <f t="shared" si="5"/>
        <v>0</v>
      </c>
      <c r="V42" s="37">
        <v>0</v>
      </c>
    </row>
    <row r="43" spans="9:22" ht="15.75">
      <c r="T43" s="67" t="s">
        <v>97</v>
      </c>
      <c r="U43" s="68">
        <f>SUM(U9:U39)</f>
        <v>33358.201376254452</v>
      </c>
    </row>
    <row r="44" spans="9:22" ht="15.75">
      <c r="T44" s="67" t="s">
        <v>98</v>
      </c>
      <c r="U44" s="68">
        <f>U43/30</f>
        <v>1111.9400458751484</v>
      </c>
    </row>
  </sheetData>
  <mergeCells count="18">
    <mergeCell ref="A5:F5"/>
    <mergeCell ref="D7:D12"/>
    <mergeCell ref="L9:L13"/>
    <mergeCell ref="S6:S8"/>
    <mergeCell ref="I7:I8"/>
    <mergeCell ref="J7:J8"/>
    <mergeCell ref="K7:K8"/>
    <mergeCell ref="I6:L6"/>
    <mergeCell ref="M6:M8"/>
    <mergeCell ref="N6:N8"/>
    <mergeCell ref="O6:O8"/>
    <mergeCell ref="P6:P8"/>
    <mergeCell ref="Q6:Q8"/>
    <mergeCell ref="R6:R8"/>
    <mergeCell ref="L7:L8"/>
    <mergeCell ref="T6:T8"/>
    <mergeCell ref="U6:U8"/>
    <mergeCell ref="V6:V8"/>
  </mergeCells>
  <conditionalFormatting sqref="B8:C8">
    <cfRule type="cellIs" dxfId="0" priority="1" operator="equal">
      <formula>647012.5824</formula>
    </cfRule>
  </conditionalFormatting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ksheet" dvAspect="DVASPECT_ICON" shapeId="33803" r:id="rId4">
          <objectPr defaultSize="0" autoPict="0" r:id="rId5">
            <anchor moveWithCells="1">
              <from>
                <xdr:col>3</xdr:col>
                <xdr:colOff>76200</xdr:colOff>
                <xdr:row>6</xdr:row>
                <xdr:rowOff>57150</xdr:rowOff>
              </from>
              <to>
                <xdr:col>3</xdr:col>
                <xdr:colOff>1295400</xdr:colOff>
                <xdr:row>11</xdr:row>
                <xdr:rowOff>0</xdr:rowOff>
              </to>
            </anchor>
          </objectPr>
        </oleObject>
      </mc:Choice>
      <mc:Fallback>
        <oleObject progId="Worksheet" dvAspect="DVASPECT_ICON" shapeId="33803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E3CC7-29C2-4221-971F-771CC75795D3}">
  <sheetPr codeName="Sheet8">
    <tabColor theme="1"/>
  </sheetPr>
  <dimension ref="A1:W43"/>
  <sheetViews>
    <sheetView topLeftCell="A7" zoomScale="118" zoomScaleNormal="118" workbookViewId="0">
      <selection activeCell="H22" sqref="H22"/>
    </sheetView>
  </sheetViews>
  <sheetFormatPr defaultRowHeight="15"/>
  <cols>
    <col min="2" max="2" width="25.28515625" customWidth="1"/>
    <col min="3" max="3" width="14.42578125" customWidth="1"/>
    <col min="4" max="4" width="19.85546875" customWidth="1"/>
    <col min="6" max="6" width="15" customWidth="1"/>
    <col min="8" max="8" width="13.7109375" customWidth="1"/>
    <col min="11" max="11" width="22.42578125" bestFit="1" customWidth="1"/>
    <col min="12" max="12" width="15.140625" bestFit="1" customWidth="1"/>
    <col min="13" max="13" width="15.140625" customWidth="1"/>
    <col min="14" max="14" width="20" bestFit="1" customWidth="1"/>
    <col min="15" max="15" width="16.5703125" bestFit="1" customWidth="1"/>
    <col min="16" max="16" width="15.5703125" bestFit="1" customWidth="1"/>
    <col min="17" max="17" width="14.42578125" bestFit="1" customWidth="1"/>
    <col min="18" max="18" width="20.140625" customWidth="1"/>
    <col min="19" max="19" width="20.85546875" customWidth="1"/>
    <col min="20" max="20" width="28.5703125" customWidth="1"/>
    <col min="21" max="21" width="25.85546875" customWidth="1"/>
    <col min="22" max="22" width="27.5703125" customWidth="1"/>
    <col min="23" max="23" width="18.85546875" customWidth="1"/>
  </cols>
  <sheetData>
    <row r="1" spans="1:23" ht="30.75">
      <c r="N1" s="81" t="s">
        <v>31</v>
      </c>
      <c r="O1" s="82" t="s">
        <v>32</v>
      </c>
      <c r="P1" s="82" t="s">
        <v>33</v>
      </c>
    </row>
    <row r="2" spans="1:23">
      <c r="N2" s="16">
        <v>0.47</v>
      </c>
      <c r="O2" s="17">
        <v>0.04</v>
      </c>
      <c r="P2" s="17">
        <v>0.02</v>
      </c>
    </row>
    <row r="5" spans="1:23">
      <c r="A5" s="134" t="s">
        <v>34</v>
      </c>
      <c r="B5" s="134"/>
      <c r="C5" s="134"/>
      <c r="D5" s="134"/>
      <c r="E5" s="134"/>
      <c r="F5" s="134"/>
      <c r="G5" s="134"/>
      <c r="H5" s="134"/>
    </row>
    <row r="6" spans="1:23" s="28" customFormat="1" ht="45">
      <c r="A6" s="79" t="s">
        <v>35</v>
      </c>
      <c r="B6" s="79" t="s">
        <v>36</v>
      </c>
      <c r="C6" s="79" t="s">
        <v>37</v>
      </c>
      <c r="D6" s="79" t="s">
        <v>38</v>
      </c>
      <c r="E6" s="79" t="s">
        <v>51</v>
      </c>
      <c r="F6" s="79" t="s">
        <v>37</v>
      </c>
      <c r="G6" s="79" t="s">
        <v>51</v>
      </c>
      <c r="H6" s="79" t="s">
        <v>37</v>
      </c>
      <c r="I6"/>
      <c r="J6" s="142" t="s">
        <v>40</v>
      </c>
      <c r="K6" s="142"/>
      <c r="L6" s="142"/>
      <c r="M6" s="142"/>
      <c r="N6" s="122" t="s">
        <v>41</v>
      </c>
      <c r="O6" s="122" t="s">
        <v>119</v>
      </c>
      <c r="P6" s="122" t="s">
        <v>120</v>
      </c>
      <c r="Q6" s="117" t="s">
        <v>121</v>
      </c>
      <c r="R6" s="122" t="s">
        <v>103</v>
      </c>
      <c r="S6" s="122" t="s">
        <v>46</v>
      </c>
      <c r="T6" s="122" t="s">
        <v>47</v>
      </c>
      <c r="U6" s="117" t="s">
        <v>104</v>
      </c>
      <c r="V6" s="122" t="s">
        <v>105</v>
      </c>
      <c r="W6" s="117" t="s">
        <v>50</v>
      </c>
    </row>
    <row r="7" spans="1:23" s="28" customFormat="1">
      <c r="A7" s="51"/>
      <c r="B7" s="52">
        <v>0</v>
      </c>
      <c r="C7" s="52">
        <v>0</v>
      </c>
      <c r="D7" s="124"/>
      <c r="E7" s="37">
        <v>0.53846153846153799</v>
      </c>
      <c r="F7" s="53">
        <v>0</v>
      </c>
      <c r="G7" s="53">
        <v>0</v>
      </c>
      <c r="H7" s="53">
        <v>0</v>
      </c>
      <c r="I7"/>
      <c r="J7" s="117" t="s">
        <v>51</v>
      </c>
      <c r="K7" s="117" t="s">
        <v>52</v>
      </c>
      <c r="L7" s="122" t="s">
        <v>53</v>
      </c>
      <c r="M7" s="117" t="s">
        <v>54</v>
      </c>
      <c r="N7" s="122"/>
      <c r="O7" s="122"/>
      <c r="P7" s="122"/>
      <c r="Q7" s="123"/>
      <c r="R7" s="122"/>
      <c r="S7" s="122"/>
      <c r="T7" s="122"/>
      <c r="U7" s="123"/>
      <c r="V7" s="122" t="s">
        <v>55</v>
      </c>
      <c r="W7" s="123"/>
    </row>
    <row r="8" spans="1:23" s="28" customFormat="1">
      <c r="A8" s="51" t="s">
        <v>56</v>
      </c>
      <c r="B8" s="37">
        <f>'2019 PM (MAI)'!B8</f>
        <v>2.2082191780821914</v>
      </c>
      <c r="C8" s="54">
        <v>9.8368636984050504</v>
      </c>
      <c r="D8" s="125"/>
      <c r="E8" s="37">
        <f>1+E7</f>
        <v>1.5384615384615379</v>
      </c>
      <c r="F8" s="54">
        <v>0</v>
      </c>
      <c r="G8" s="37">
        <v>1</v>
      </c>
      <c r="H8" s="37">
        <v>0</v>
      </c>
      <c r="I8"/>
      <c r="J8" s="118"/>
      <c r="K8" s="118"/>
      <c r="L8" s="122"/>
      <c r="M8" s="118"/>
      <c r="N8" s="122"/>
      <c r="O8" s="122"/>
      <c r="P8" s="122"/>
      <c r="Q8" s="118"/>
      <c r="R8" s="122"/>
      <c r="S8" s="122"/>
      <c r="T8" s="122"/>
      <c r="U8" s="118"/>
      <c r="V8" s="122"/>
      <c r="W8" s="118"/>
    </row>
    <row r="9" spans="1:23" ht="15" customHeight="1">
      <c r="A9" s="51" t="s">
        <v>57</v>
      </c>
      <c r="B9" s="37">
        <f>'2019 PM (MAI)'!B9</f>
        <v>3.2082191780821914</v>
      </c>
      <c r="C9" s="37">
        <v>24.637416774964301</v>
      </c>
      <c r="D9" s="125"/>
      <c r="E9" s="37">
        <f t="shared" ref="E9" si="0">1+E8</f>
        <v>2.5384615384615379</v>
      </c>
      <c r="F9" s="37">
        <f>TREND(C7:C8,B7:B8,E9,TRUE)</f>
        <v>11.307980840550567</v>
      </c>
      <c r="G9" s="37">
        <v>2</v>
      </c>
      <c r="H9" s="37">
        <v>0</v>
      </c>
      <c r="J9" s="3">
        <f>'2019 CA (MAI)'!I9</f>
        <v>1</v>
      </c>
      <c r="K9" s="39" t="str">
        <f>'2019 CA (MAI)'!J10</f>
        <v>01/01/2020 to 31/12/2020</v>
      </c>
      <c r="L9" s="37">
        <f>H8</f>
        <v>0</v>
      </c>
      <c r="M9" s="135" t="s">
        <v>112</v>
      </c>
      <c r="N9" s="37"/>
      <c r="O9" s="37"/>
      <c r="P9" s="37">
        <f>O9*$O$2</f>
        <v>0</v>
      </c>
      <c r="Q9" s="37">
        <f>O9*$P$2</f>
        <v>0</v>
      </c>
      <c r="R9" s="37">
        <f>SUM(O9:Q9)</f>
        <v>0</v>
      </c>
      <c r="S9" s="37">
        <f>R9</f>
        <v>0</v>
      </c>
      <c r="T9" s="37">
        <f>Baseline!J6</f>
        <v>0</v>
      </c>
      <c r="U9" s="37">
        <f>Leakage!J6</f>
        <v>0</v>
      </c>
      <c r="V9" s="37">
        <f>R9-T9-U9</f>
        <v>0</v>
      </c>
      <c r="W9" s="37">
        <f>V9</f>
        <v>0</v>
      </c>
    </row>
    <row r="10" spans="1:23">
      <c r="A10" s="51" t="s">
        <v>60</v>
      </c>
      <c r="B10" s="37">
        <f>'2019 PM (MAI)'!B10</f>
        <v>4.2082191780821914</v>
      </c>
      <c r="C10" s="37">
        <v>26.234077947684799</v>
      </c>
      <c r="D10" s="125"/>
      <c r="E10" s="37">
        <f>1+E9</f>
        <v>3.5384615384615379</v>
      </c>
      <c r="F10" s="37">
        <f>TREND(C9:C10,B9:B10,E10,TRUE)</f>
        <v>25.164701929369578</v>
      </c>
      <c r="G10" s="37">
        <v>3</v>
      </c>
      <c r="H10" s="37">
        <f>TREND(C8:C9,B8:B9,G10,TRUE)</f>
        <v>21.555657778201279</v>
      </c>
      <c r="J10" s="3">
        <f>'2019 CA (MAI)'!I10</f>
        <v>2</v>
      </c>
      <c r="K10" s="39" t="str">
        <f>'2019 CA (MAI)'!J11</f>
        <v>01/01/2021 to 31/12/2021</v>
      </c>
      <c r="L10" s="37">
        <f t="shared" ref="L10:L23" si="1">H9</f>
        <v>0</v>
      </c>
      <c r="M10" s="136"/>
      <c r="N10" s="37">
        <f>L10*Overview!$D$30</f>
        <v>0</v>
      </c>
      <c r="O10" s="37">
        <f>N10*$N$2*3.67</f>
        <v>0</v>
      </c>
      <c r="P10" s="37">
        <f>O10*$O$2</f>
        <v>0</v>
      </c>
      <c r="Q10" s="37">
        <f>O10*$P$2</f>
        <v>0</v>
      </c>
      <c r="R10" s="37">
        <f t="shared" ref="R10:R40" si="2">SUM(O10:Q10)</f>
        <v>0</v>
      </c>
      <c r="S10" s="37">
        <f>R10-R9</f>
        <v>0</v>
      </c>
      <c r="T10" s="37">
        <f>Baseline!J7</f>
        <v>0</v>
      </c>
      <c r="U10" s="37">
        <f>Leakage!J7</f>
        <v>0</v>
      </c>
      <c r="V10" s="37">
        <f t="shared" ref="V10:V41" si="3">R10-T10-U10</f>
        <v>0</v>
      </c>
      <c r="W10" s="37">
        <f>V10-V9</f>
        <v>0</v>
      </c>
    </row>
    <row r="11" spans="1:23" ht="15" customHeight="1">
      <c r="A11" s="51" t="s">
        <v>62</v>
      </c>
      <c r="B11" s="37">
        <f>'2019 PM (MAI)'!B11</f>
        <v>5.2082191780821914</v>
      </c>
      <c r="C11" s="37">
        <v>38.666798304946994</v>
      </c>
      <c r="D11" s="125"/>
      <c r="E11" s="37">
        <f t="shared" ref="E11:E21" si="4">1+E10</f>
        <v>4.5384615384615383</v>
      </c>
      <c r="F11" s="37">
        <f>TREND(C10:C11,B10:B11,E11,TRUE)</f>
        <v>30.33988886440342</v>
      </c>
      <c r="G11" s="37">
        <v>4</v>
      </c>
      <c r="H11" s="37">
        <f>TREND(C9:C10,B9:B10,G11,TRUE)</f>
        <v>25.901622470625192</v>
      </c>
      <c r="J11" s="3">
        <f>'2019 CA (MAI)'!I11</f>
        <v>3</v>
      </c>
      <c r="K11" s="39" t="str">
        <f>'2019 CA (MAI)'!J12</f>
        <v>01/01/2022 to 31/12/2022</v>
      </c>
      <c r="L11" s="37">
        <f t="shared" si="1"/>
        <v>21.555657778201279</v>
      </c>
      <c r="M11" s="136"/>
      <c r="N11" s="37">
        <f>L11*Overview!$D$30</f>
        <v>2392.168800716438</v>
      </c>
      <c r="O11" s="37">
        <f t="shared" ref="O11:O40" si="5">N11*$N$2*3.67</f>
        <v>4126.2519643557835</v>
      </c>
      <c r="P11" s="37">
        <f t="shared" ref="P11:P40" si="6">O11*$O$2</f>
        <v>165.05007857423135</v>
      </c>
      <c r="Q11" s="37">
        <f t="shared" ref="Q11:Q40" si="7">O11*$P$2</f>
        <v>82.525039287115675</v>
      </c>
      <c r="R11" s="37">
        <f t="shared" si="2"/>
        <v>4373.8270822171307</v>
      </c>
      <c r="S11" s="37">
        <f t="shared" ref="S11:S41" si="8">R11-R10</f>
        <v>4373.8270822171307</v>
      </c>
      <c r="T11" s="37">
        <f>Baseline!J8</f>
        <v>0</v>
      </c>
      <c r="U11" s="37">
        <f>Leakage!J8</f>
        <v>0</v>
      </c>
      <c r="V11" s="37">
        <f t="shared" si="3"/>
        <v>4373.8270822171307</v>
      </c>
      <c r="W11" s="37">
        <f>V11-V10</f>
        <v>4373.8270822171307</v>
      </c>
    </row>
    <row r="12" spans="1:23">
      <c r="A12" s="51" t="s">
        <v>64</v>
      </c>
      <c r="B12" s="37">
        <f>'2019 PM (MAI)'!B12</f>
        <v>5.7479452054794518</v>
      </c>
      <c r="C12" s="37">
        <v>61.938115801516687</v>
      </c>
      <c r="D12" s="126"/>
      <c r="E12" s="37">
        <f t="shared" si="4"/>
        <v>5.5384615384615383</v>
      </c>
      <c r="F12" s="37">
        <f>TREND(C11:C12,B11:B12,E12,TRUE)</f>
        <v>52.905827792305359</v>
      </c>
      <c r="G12" s="37">
        <v>5</v>
      </c>
      <c r="H12" s="37">
        <f>TREND(C10:C11,B10:B11,G12,TRUE)</f>
        <v>36.078067490832133</v>
      </c>
      <c r="J12" s="3">
        <f>'2019 CA (MAI)'!I12</f>
        <v>4</v>
      </c>
      <c r="K12" s="39" t="str">
        <f>'2019 CA (MAI)'!J13</f>
        <v>01/01/2023 to 31/12/2023</v>
      </c>
      <c r="L12" s="37">
        <f t="shared" si="1"/>
        <v>25.901622470625192</v>
      </c>
      <c r="M12" s="136"/>
      <c r="N12" s="37">
        <f>L12*Overview!$D$30</f>
        <v>2874.4682161740911</v>
      </c>
      <c r="O12" s="37">
        <f t="shared" si="5"/>
        <v>4958.1702260786897</v>
      </c>
      <c r="P12" s="37">
        <f t="shared" si="6"/>
        <v>198.32680904314759</v>
      </c>
      <c r="Q12" s="37">
        <f t="shared" si="7"/>
        <v>99.163404521573796</v>
      </c>
      <c r="R12" s="37">
        <f t="shared" si="2"/>
        <v>5255.6604396434113</v>
      </c>
      <c r="S12" s="37">
        <f t="shared" si="8"/>
        <v>881.8333574262806</v>
      </c>
      <c r="T12" s="37">
        <f>Baseline!J9</f>
        <v>0</v>
      </c>
      <c r="U12" s="37">
        <f>Leakage!J9</f>
        <v>0</v>
      </c>
      <c r="V12" s="37">
        <f t="shared" si="3"/>
        <v>5255.6604396434113</v>
      </c>
      <c r="W12" s="37">
        <f t="shared" ref="W12:W16" si="9">V12-V11</f>
        <v>881.8333574262806</v>
      </c>
    </row>
    <row r="13" spans="1:23">
      <c r="A13" s="51"/>
      <c r="B13" s="51"/>
      <c r="C13" s="51"/>
      <c r="D13" s="51"/>
      <c r="E13" s="37">
        <f t="shared" si="4"/>
        <v>6.5384615384615383</v>
      </c>
      <c r="F13" s="37">
        <f>TREND(C11:C12,B11:B12,$E$13,TRUE)</f>
        <v>96.022735844325354</v>
      </c>
      <c r="G13" s="37">
        <v>6</v>
      </c>
      <c r="H13" s="37">
        <f>TREND(C11:C12,B11:B12,$G$13,TRUE)</f>
        <v>72.805939200929942</v>
      </c>
      <c r="J13" s="3">
        <f>'2019 CA (MAI)'!I13</f>
        <v>5</v>
      </c>
      <c r="K13" s="39" t="str">
        <f>'2019 CA (MAI)'!J14</f>
        <v>01/01/2024 to 31/12/2024</v>
      </c>
      <c r="L13" s="37">
        <f t="shared" si="1"/>
        <v>36.078067490832133</v>
      </c>
      <c r="M13" s="137"/>
      <c r="N13" s="37">
        <f>L13*Overview!$D$30</f>
        <v>4003.8132136699915</v>
      </c>
      <c r="O13" s="37">
        <f t="shared" si="5"/>
        <v>6906.1774122593679</v>
      </c>
      <c r="P13" s="37">
        <f t="shared" si="6"/>
        <v>276.2470964903747</v>
      </c>
      <c r="Q13" s="37">
        <f t="shared" si="7"/>
        <v>138.12354824518735</v>
      </c>
      <c r="R13" s="37">
        <f t="shared" si="2"/>
        <v>7320.5480569949304</v>
      </c>
      <c r="S13" s="37">
        <f t="shared" si="8"/>
        <v>2064.8876173515191</v>
      </c>
      <c r="T13" s="37">
        <f>Baseline!J10</f>
        <v>0</v>
      </c>
      <c r="U13" s="37">
        <f>Leakage!J10</f>
        <v>0</v>
      </c>
      <c r="V13" s="37">
        <f t="shared" si="3"/>
        <v>7320.5480569949304</v>
      </c>
      <c r="W13" s="37">
        <f t="shared" si="9"/>
        <v>2064.8876173515191</v>
      </c>
    </row>
    <row r="14" spans="1:23">
      <c r="A14" s="51"/>
      <c r="B14" s="51"/>
      <c r="C14" s="51"/>
      <c r="D14" s="51"/>
      <c r="E14" s="37">
        <f t="shared" si="4"/>
        <v>7.5384615384615383</v>
      </c>
      <c r="F14" s="37">
        <f>TREND(F9:F13,E9:E13,E14:$E$22,TRUE)</f>
        <v>102.29941781533644</v>
      </c>
      <c r="G14" s="37">
        <v>7</v>
      </c>
      <c r="H14" s="37">
        <f>TREND(F10:F13,E10:E13,G14:$G$22,TRUE)</f>
        <v>97.231911970336427</v>
      </c>
      <c r="J14" s="3">
        <f>'2019 CA (MAI)'!I14</f>
        <v>6</v>
      </c>
      <c r="K14" s="39" t="str">
        <f>'2019 CA (MAI)'!J15</f>
        <v>01/01/2025 to 31/12/2025</v>
      </c>
      <c r="L14" s="37">
        <f t="shared" si="1"/>
        <v>72.805939200929942</v>
      </c>
      <c r="M14" s="37"/>
      <c r="N14" s="37">
        <f>L14*Overview!$D$30</f>
        <v>8079.7393452521064</v>
      </c>
      <c r="O14" s="37">
        <f t="shared" si="5"/>
        <v>13936.742396625357</v>
      </c>
      <c r="P14" s="37">
        <f t="shared" si="6"/>
        <v>557.46969586501427</v>
      </c>
      <c r="Q14" s="37">
        <f t="shared" si="7"/>
        <v>278.73484793250714</v>
      </c>
      <c r="R14" s="37">
        <f>SUM(O14:Q14)</f>
        <v>14772.946940422878</v>
      </c>
      <c r="S14" s="37">
        <f t="shared" si="8"/>
        <v>7452.398883427948</v>
      </c>
      <c r="T14" s="37">
        <f>Baseline!J11</f>
        <v>0</v>
      </c>
      <c r="U14" s="37">
        <f>Leakage!J11</f>
        <v>0</v>
      </c>
      <c r="V14" s="37">
        <f t="shared" si="3"/>
        <v>14772.946940422878</v>
      </c>
      <c r="W14" s="37">
        <f t="shared" si="9"/>
        <v>7452.398883427948</v>
      </c>
    </row>
    <row r="15" spans="1:23">
      <c r="A15" s="51"/>
      <c r="B15" s="51"/>
      <c r="C15" s="51"/>
      <c r="D15" s="51"/>
      <c r="E15" s="37">
        <f t="shared" si="4"/>
        <v>8.5384615384615383</v>
      </c>
      <c r="F15" s="37">
        <f>TREND(F11:F14,E11:E14,E15:$E$22,TRUE)</f>
        <v>135.14084130529739</v>
      </c>
      <c r="G15" s="37">
        <v>8</v>
      </c>
      <c r="H15" s="37">
        <f>TREND(F11:F14,E11:E14,G15:$G$22,TRUE)</f>
        <v>121.19493004119175</v>
      </c>
      <c r="J15" s="3">
        <f>'2019 CA (MAI)'!I15</f>
        <v>7</v>
      </c>
      <c r="K15" s="39" t="str">
        <f>'2019 CA (MAI)'!J16</f>
        <v>01/01/2026 to 31/12/2026</v>
      </c>
      <c r="L15" s="37">
        <f t="shared" si="1"/>
        <v>97.231911970336427</v>
      </c>
      <c r="M15" s="37"/>
      <c r="N15" s="37">
        <f>L15*Overview!$D$30</f>
        <v>10790.445304093844</v>
      </c>
      <c r="O15" s="37">
        <f t="shared" si="5"/>
        <v>18612.43910503147</v>
      </c>
      <c r="P15" s="37">
        <f t="shared" si="6"/>
        <v>744.4975642012588</v>
      </c>
      <c r="Q15" s="37">
        <f t="shared" si="7"/>
        <v>372.2487821006294</v>
      </c>
      <c r="R15" s="37">
        <f t="shared" si="2"/>
        <v>19729.185451333356</v>
      </c>
      <c r="S15" s="37">
        <f t="shared" si="8"/>
        <v>4956.238510910478</v>
      </c>
      <c r="T15" s="37">
        <f>Baseline!J12</f>
        <v>0</v>
      </c>
      <c r="U15" s="37">
        <f>Leakage!J12</f>
        <v>0</v>
      </c>
      <c r="V15" s="37">
        <f t="shared" si="3"/>
        <v>19729.185451333356</v>
      </c>
      <c r="W15" s="37">
        <f t="shared" si="9"/>
        <v>4956.238510910478</v>
      </c>
    </row>
    <row r="16" spans="1:23">
      <c r="A16" s="51"/>
      <c r="B16" s="51"/>
      <c r="C16" s="51"/>
      <c r="D16" s="51"/>
      <c r="E16" s="37">
        <f t="shared" si="4"/>
        <v>9.5384615384615383</v>
      </c>
      <c r="F16" s="37">
        <f>TREND(F12:F15,E12:E15,E16:$E$22,TRUE)</f>
        <v>159.8376363168129</v>
      </c>
      <c r="G16" s="37">
        <v>9</v>
      </c>
      <c r="H16" s="37">
        <f>TREND(F12:F15,E12:E15,G16:$G$22,TRUE)</f>
        <v>146.21554356627516</v>
      </c>
      <c r="J16" s="3">
        <f>'2019 CA (MAI)'!I16</f>
        <v>8</v>
      </c>
      <c r="K16" s="39" t="str">
        <f>'2019 CA (MAI)'!J17</f>
        <v>01/01/2027 to 31/12/2027</v>
      </c>
      <c r="L16" s="37">
        <f t="shared" si="1"/>
        <v>121.19493004119175</v>
      </c>
      <c r="M16" s="37"/>
      <c r="N16" s="37">
        <f>L16*Overview!$D$30</f>
        <v>13449.774227847416</v>
      </c>
      <c r="O16" s="37">
        <f t="shared" si="5"/>
        <v>23199.515565614005</v>
      </c>
      <c r="P16" s="37">
        <f t="shared" si="6"/>
        <v>927.98062262456017</v>
      </c>
      <c r="Q16" s="37">
        <f t="shared" si="7"/>
        <v>463.99031131228008</v>
      </c>
      <c r="R16" s="37">
        <f t="shared" si="2"/>
        <v>24591.486499550847</v>
      </c>
      <c r="S16" s="37">
        <f t="shared" si="8"/>
        <v>4862.3010482174905</v>
      </c>
      <c r="T16" s="37">
        <f>Baseline!J13</f>
        <v>0</v>
      </c>
      <c r="U16" s="37">
        <f>Leakage!J13</f>
        <v>0</v>
      </c>
      <c r="V16" s="37">
        <f t="shared" si="3"/>
        <v>24591.486499550847</v>
      </c>
      <c r="W16" s="37">
        <f t="shared" si="9"/>
        <v>4862.3010482174905</v>
      </c>
    </row>
    <row r="17" spans="1:23">
      <c r="A17" s="51"/>
      <c r="B17" s="51"/>
      <c r="C17" s="51"/>
      <c r="D17" s="51"/>
      <c r="E17" s="37">
        <f t="shared" si="4"/>
        <v>10.538461538461538</v>
      </c>
      <c r="F17" s="37">
        <f>TREND(F13:F16,E13:E16,E17:$E$22,TRUE)</f>
        <v>179.39668904729893</v>
      </c>
      <c r="G17" s="37">
        <v>10</v>
      </c>
      <c r="H17" s="37">
        <f>TREND(F13:F16,E13:E16,G17:$G$22,TRUE)</f>
        <v>167.31974385997611</v>
      </c>
      <c r="J17" s="3">
        <f>'2019 CA (MAI)'!I17</f>
        <v>9</v>
      </c>
      <c r="K17" s="39" t="str">
        <f>'2019 CA (MAI)'!J18</f>
        <v>01/01/2028 to 31/12/2028</v>
      </c>
      <c r="L17" s="37">
        <f t="shared" si="1"/>
        <v>146.21554356627516</v>
      </c>
      <c r="M17" s="37"/>
      <c r="N17" s="37">
        <f>L17*Overview!$D$30</f>
        <v>16226.471263278027</v>
      </c>
      <c r="O17" s="37">
        <f t="shared" si="5"/>
        <v>27989.040282028265</v>
      </c>
      <c r="P17" s="37">
        <f t="shared" si="6"/>
        <v>1119.5616112811306</v>
      </c>
      <c r="Q17" s="37">
        <f t="shared" si="7"/>
        <v>559.78080564056529</v>
      </c>
      <c r="R17" s="37">
        <f t="shared" si="2"/>
        <v>29668.382698949961</v>
      </c>
      <c r="S17" s="37">
        <f t="shared" si="8"/>
        <v>5076.8961993991143</v>
      </c>
      <c r="T17" s="37">
        <f>Baseline!J14</f>
        <v>0</v>
      </c>
      <c r="U17" s="37">
        <f>Leakage!J14</f>
        <v>0</v>
      </c>
      <c r="V17" s="37">
        <f t="shared" si="3"/>
        <v>29668.382698949961</v>
      </c>
      <c r="W17" s="37">
        <f>V43-SUM(W9:W16)</f>
        <v>1088.7352679736214</v>
      </c>
    </row>
    <row r="18" spans="1:23">
      <c r="A18" s="51"/>
      <c r="B18" s="51"/>
      <c r="C18" s="51"/>
      <c r="D18" s="51"/>
      <c r="E18" s="37">
        <f t="shared" si="4"/>
        <v>11.538461538461538</v>
      </c>
      <c r="F18" s="37">
        <f>TREND(F14:F17,E14:E17,E18:$E$22,TRUE)</f>
        <v>208.16579829803715</v>
      </c>
      <c r="G18" s="37">
        <v>11</v>
      </c>
      <c r="H18" s="37">
        <f>TREND(F14:F17,E14:E17,G18:$G$22,TRUE)</f>
        <v>194.38179629071544</v>
      </c>
      <c r="J18" s="3">
        <f>'2019 CA (MAI)'!I18</f>
        <v>10</v>
      </c>
      <c r="K18" s="39" t="str">
        <f>'2019 CA (MAI)'!J19</f>
        <v>01/01/2029 to 31/12/2029</v>
      </c>
      <c r="L18" s="37">
        <f t="shared" si="1"/>
        <v>167.31974385997611</v>
      </c>
      <c r="M18" s="37"/>
      <c r="N18" s="37">
        <f>L18*Overview!$D$30</f>
        <v>18568.538948065459</v>
      </c>
      <c r="O18" s="37">
        <f t="shared" si="5"/>
        <v>32028.872831518107</v>
      </c>
      <c r="P18" s="37">
        <f t="shared" si="6"/>
        <v>1281.1549132607242</v>
      </c>
      <c r="Q18" s="37">
        <f t="shared" si="7"/>
        <v>640.57745663036212</v>
      </c>
      <c r="R18" s="37">
        <f t="shared" si="2"/>
        <v>33950.605201409191</v>
      </c>
      <c r="S18" s="37">
        <f t="shared" si="8"/>
        <v>4282.2225024592299</v>
      </c>
      <c r="T18" s="37">
        <f>Baseline!J15</f>
        <v>0</v>
      </c>
      <c r="U18" s="37">
        <f>Leakage!J15</f>
        <v>0</v>
      </c>
      <c r="V18" s="37">
        <f t="shared" si="3"/>
        <v>33950.605201409191</v>
      </c>
      <c r="W18" s="37">
        <v>0</v>
      </c>
    </row>
    <row r="19" spans="1:23">
      <c r="A19" s="51"/>
      <c r="B19" s="51"/>
      <c r="C19" s="51"/>
      <c r="D19" s="51"/>
      <c r="E19" s="37">
        <f t="shared" si="4"/>
        <v>12.538461538461538</v>
      </c>
      <c r="F19" s="37">
        <f>TREND(F15:F18,E15:E18,E19:$E$22,TRUE)</f>
        <v>230.29372216903795</v>
      </c>
      <c r="G19" s="37">
        <v>12</v>
      </c>
      <c r="H19" s="37">
        <f>TREND(F15:F18,E15:E18,G19:$G$22,TRUE)</f>
        <v>217.44420320010767</v>
      </c>
      <c r="J19" s="3">
        <f>'2019 CA (MAI)'!I19</f>
        <v>11</v>
      </c>
      <c r="K19" s="39" t="str">
        <f>'2019 CA (MAI)'!J20</f>
        <v>01/01/2030 to 31/12/2030</v>
      </c>
      <c r="L19" s="37">
        <f t="shared" si="1"/>
        <v>194.38179629071544</v>
      </c>
      <c r="M19" s="37"/>
      <c r="N19" s="37">
        <f>L19*Overview!$D$30</f>
        <v>21571.787476794379</v>
      </c>
      <c r="O19" s="37">
        <f t="shared" si="5"/>
        <v>37209.17621872262</v>
      </c>
      <c r="P19" s="37">
        <f t="shared" si="6"/>
        <v>1488.3670487489048</v>
      </c>
      <c r="Q19" s="37">
        <f t="shared" si="7"/>
        <v>744.18352437445242</v>
      </c>
      <c r="R19" s="37">
        <f t="shared" si="2"/>
        <v>39441.726791845977</v>
      </c>
      <c r="S19" s="37">
        <f t="shared" si="8"/>
        <v>5491.1215904367855</v>
      </c>
      <c r="T19" s="37">
        <f>Baseline!J16</f>
        <v>0</v>
      </c>
      <c r="U19" s="37">
        <f>Leakage!J16</f>
        <v>0</v>
      </c>
      <c r="V19" s="37">
        <f t="shared" si="3"/>
        <v>39441.726791845977</v>
      </c>
      <c r="W19" s="37">
        <v>0</v>
      </c>
    </row>
    <row r="20" spans="1:23">
      <c r="A20" s="51"/>
      <c r="B20" s="51"/>
      <c r="C20" s="51"/>
      <c r="D20" s="51"/>
      <c r="E20" s="37">
        <f t="shared" si="4"/>
        <v>13.538461538461538</v>
      </c>
      <c r="F20" s="37">
        <f>TREND(F16:F19,E16:E19,E20:$E$22,TRUE)</f>
        <v>254.4578031596501</v>
      </c>
      <c r="G20" s="37">
        <v>13</v>
      </c>
      <c r="H20" s="37">
        <f>TREND(F16:F19,E16:E19,G20:$G$22,TRUE)</f>
        <v>241.52732956232785</v>
      </c>
      <c r="J20" s="3">
        <f>'2019 CA (MAI)'!I20</f>
        <v>12</v>
      </c>
      <c r="K20" s="39" t="str">
        <f>'2019 CA (MAI)'!J21</f>
        <v>01/01/2031 to 31/12/2031</v>
      </c>
      <c r="L20" s="37">
        <f t="shared" si="1"/>
        <v>217.44420320010767</v>
      </c>
      <c r="M20" s="37"/>
      <c r="N20" s="37">
        <f>L20*Overview!$D$30</f>
        <v>24131.169836903406</v>
      </c>
      <c r="O20" s="37">
        <f t="shared" si="5"/>
        <v>41623.854851674681</v>
      </c>
      <c r="P20" s="37">
        <f t="shared" si="6"/>
        <v>1664.9541940669874</v>
      </c>
      <c r="Q20" s="37">
        <f t="shared" si="7"/>
        <v>832.47709703349369</v>
      </c>
      <c r="R20" s="37">
        <f t="shared" si="2"/>
        <v>44121.286142775163</v>
      </c>
      <c r="S20" s="37">
        <f t="shared" si="8"/>
        <v>4679.5593509291866</v>
      </c>
      <c r="T20" s="37">
        <f>Baseline!J17</f>
        <v>0</v>
      </c>
      <c r="U20" s="37">
        <f>Leakage!J17</f>
        <v>0</v>
      </c>
      <c r="V20" s="37">
        <f t="shared" si="3"/>
        <v>44121.286142775163</v>
      </c>
      <c r="W20" s="37">
        <v>0</v>
      </c>
    </row>
    <row r="21" spans="1:23">
      <c r="A21" s="51"/>
      <c r="B21" s="51"/>
      <c r="C21" s="51"/>
      <c r="D21" s="51"/>
      <c r="E21" s="37">
        <f t="shared" si="4"/>
        <v>14.538461538461538</v>
      </c>
      <c r="F21" s="37">
        <f>TREND(F17:F20,E17:E20,E21:$E$22,TRUE)</f>
        <v>279.9063197205196</v>
      </c>
      <c r="G21" s="37">
        <v>14</v>
      </c>
      <c r="H21" s="37">
        <f>TREND(F17:F20,E17:E20,G21:$G$22,TRUE)</f>
        <v>266.58955923239364</v>
      </c>
      <c r="J21" s="3">
        <f>'2019 CA (MAI)'!I21</f>
        <v>13</v>
      </c>
      <c r="K21" s="39" t="str">
        <f>'2019 CA (MAI)'!J22</f>
        <v>01/01/2032 to 31/12/2032</v>
      </c>
      <c r="L21" s="37">
        <f t="shared" si="1"/>
        <v>241.52732956232785</v>
      </c>
      <c r="M21" s="37"/>
      <c r="N21" s="37">
        <f>L21*Overview!$D$30</f>
        <v>26803.827943661585</v>
      </c>
      <c r="O21" s="37">
        <f t="shared" si="5"/>
        <v>46233.922820021864</v>
      </c>
      <c r="P21" s="37">
        <f t="shared" si="6"/>
        <v>1849.3569128008746</v>
      </c>
      <c r="Q21" s="37">
        <f t="shared" si="7"/>
        <v>924.67845640043731</v>
      </c>
      <c r="R21" s="37">
        <f t="shared" si="2"/>
        <v>49007.958189223173</v>
      </c>
      <c r="S21" s="37">
        <f t="shared" si="8"/>
        <v>4886.6720464480095</v>
      </c>
      <c r="T21" s="37">
        <f>Baseline!J18</f>
        <v>0</v>
      </c>
      <c r="U21" s="37">
        <f>Leakage!J18</f>
        <v>0</v>
      </c>
      <c r="V21" s="37">
        <f t="shared" si="3"/>
        <v>49007.958189223173</v>
      </c>
      <c r="W21" s="37">
        <v>0</v>
      </c>
    </row>
    <row r="22" spans="1:23">
      <c r="A22" s="51"/>
      <c r="B22" s="51"/>
      <c r="C22" s="51"/>
      <c r="D22" s="51"/>
      <c r="E22" s="37">
        <v>15</v>
      </c>
      <c r="F22" s="37">
        <f>TREND(F18:F21,E18:E21,E22:$E$22,TRUE)</f>
        <v>290.16232586819984</v>
      </c>
      <c r="G22" s="37">
        <v>15</v>
      </c>
      <c r="H22" s="37">
        <f>TREND(F18:F21,E18:E21,G22:$G$22,TRUE)</f>
        <v>290.16232586819984</v>
      </c>
      <c r="J22" s="3">
        <f>'2019 CA (MAI)'!I22</f>
        <v>14</v>
      </c>
      <c r="K22" s="39" t="str">
        <f>'2019 CA (MAI)'!J23</f>
        <v>01/01/2033 to 31/12/2033</v>
      </c>
      <c r="L22" s="37">
        <f t="shared" si="1"/>
        <v>266.58955923239364</v>
      </c>
      <c r="M22" s="37"/>
      <c r="N22" s="37">
        <f>L22*Overview!$D$30</f>
        <v>29585.14338808056</v>
      </c>
      <c r="O22" s="37">
        <f t="shared" si="5"/>
        <v>51031.413830100151</v>
      </c>
      <c r="P22" s="37">
        <f t="shared" si="6"/>
        <v>2041.2565532040062</v>
      </c>
      <c r="Q22" s="37">
        <f t="shared" si="7"/>
        <v>1020.6282766020031</v>
      </c>
      <c r="R22" s="37">
        <f t="shared" si="2"/>
        <v>54093.298659906155</v>
      </c>
      <c r="S22" s="37">
        <f t="shared" si="8"/>
        <v>5085.3404706829824</v>
      </c>
      <c r="T22" s="37">
        <f>Baseline!J19</f>
        <v>0</v>
      </c>
      <c r="U22" s="37">
        <f>Leakage!J19</f>
        <v>0</v>
      </c>
      <c r="V22" s="37">
        <f t="shared" si="3"/>
        <v>54093.298659906155</v>
      </c>
      <c r="W22" s="37">
        <v>0</v>
      </c>
    </row>
    <row r="23" spans="1:23">
      <c r="J23" s="3">
        <f>'2019 CA (MAI)'!I23</f>
        <v>15</v>
      </c>
      <c r="K23" s="39" t="str">
        <f>'2019 CA (MAI)'!J24</f>
        <v>01/01/2034 to 31/12/2034</v>
      </c>
      <c r="L23" s="37">
        <f t="shared" si="1"/>
        <v>290.16232586819984</v>
      </c>
      <c r="M23" s="37"/>
      <c r="N23" s="37">
        <f>L23*Overview!$D$30</f>
        <v>32201.163621514163</v>
      </c>
      <c r="O23" s="37">
        <f t="shared" si="5"/>
        <v>55543.78713074977</v>
      </c>
      <c r="P23" s="37">
        <f t="shared" si="6"/>
        <v>2221.751485229991</v>
      </c>
      <c r="Q23" s="37">
        <f t="shared" si="7"/>
        <v>1110.8757426149955</v>
      </c>
      <c r="R23" s="37">
        <f t="shared" si="2"/>
        <v>58876.41435859476</v>
      </c>
      <c r="S23" s="37">
        <f t="shared" si="8"/>
        <v>4783.1156986886053</v>
      </c>
      <c r="T23" s="37">
        <f>Baseline!J20</f>
        <v>0</v>
      </c>
      <c r="U23" s="37">
        <f>Leakage!J20</f>
        <v>0</v>
      </c>
      <c r="V23" s="37">
        <f t="shared" si="3"/>
        <v>58876.41435859476</v>
      </c>
      <c r="W23" s="37">
        <v>0</v>
      </c>
    </row>
    <row r="24" spans="1:23">
      <c r="J24" s="3">
        <f>'2019 CA (MAI)'!I24</f>
        <v>16</v>
      </c>
      <c r="K24" s="39" t="str">
        <f>'2019 CA (MAI)'!J25</f>
        <v>01/01/2035 to 31/12/2035</v>
      </c>
      <c r="L24" s="37">
        <f>L9</f>
        <v>0</v>
      </c>
      <c r="M24" s="37"/>
      <c r="N24" s="37">
        <f>L24*Overview!$D$30</f>
        <v>0</v>
      </c>
      <c r="O24" s="37">
        <f t="shared" si="5"/>
        <v>0</v>
      </c>
      <c r="P24" s="37">
        <f t="shared" si="6"/>
        <v>0</v>
      </c>
      <c r="Q24" s="37">
        <f t="shared" si="7"/>
        <v>0</v>
      </c>
      <c r="R24" s="37">
        <f t="shared" si="2"/>
        <v>0</v>
      </c>
      <c r="S24" s="37">
        <f t="shared" si="8"/>
        <v>-58876.41435859476</v>
      </c>
      <c r="T24" s="37">
        <f>Baseline!J21</f>
        <v>0</v>
      </c>
      <c r="U24" s="37">
        <f>Leakage!J21</f>
        <v>0</v>
      </c>
      <c r="V24" s="37">
        <f t="shared" si="3"/>
        <v>0</v>
      </c>
      <c r="W24" s="37">
        <v>0</v>
      </c>
    </row>
    <row r="25" spans="1:23">
      <c r="J25" s="3">
        <f>'2019 CA (MAI)'!I25</f>
        <v>17</v>
      </c>
      <c r="K25" s="39" t="str">
        <f>'2019 CA (MAI)'!J26</f>
        <v>01/01/2036 to 31/12/2036</v>
      </c>
      <c r="L25" s="37">
        <f>L10</f>
        <v>0</v>
      </c>
      <c r="M25" s="37"/>
      <c r="N25" s="37">
        <f>L25*Overview!$D$30</f>
        <v>0</v>
      </c>
      <c r="O25" s="37">
        <f t="shared" si="5"/>
        <v>0</v>
      </c>
      <c r="P25" s="37">
        <f t="shared" si="6"/>
        <v>0</v>
      </c>
      <c r="Q25" s="37">
        <f t="shared" si="7"/>
        <v>0</v>
      </c>
      <c r="R25" s="37">
        <f t="shared" si="2"/>
        <v>0</v>
      </c>
      <c r="S25" s="37">
        <f t="shared" si="8"/>
        <v>0</v>
      </c>
      <c r="T25" s="37">
        <f>Baseline!J22</f>
        <v>0</v>
      </c>
      <c r="U25" s="37">
        <f>Leakage!J22</f>
        <v>0</v>
      </c>
      <c r="V25" s="37">
        <f t="shared" si="3"/>
        <v>0</v>
      </c>
      <c r="W25" s="37">
        <v>0</v>
      </c>
    </row>
    <row r="26" spans="1:23">
      <c r="J26" s="3">
        <f>'2019 CA (MAI)'!I26</f>
        <v>18</v>
      </c>
      <c r="K26" s="39" t="str">
        <f>'2019 CA (MAI)'!J27</f>
        <v>01/01/2037 to 31/12/2037</v>
      </c>
      <c r="L26" s="37">
        <f t="shared" ref="L26:L38" si="10">L11</f>
        <v>21.555657778201279</v>
      </c>
      <c r="M26" s="37"/>
      <c r="N26" s="37">
        <f>L26*Overview!$D$30</f>
        <v>2392.168800716438</v>
      </c>
      <c r="O26" s="37">
        <f t="shared" si="5"/>
        <v>4126.2519643557835</v>
      </c>
      <c r="P26" s="37">
        <f t="shared" si="6"/>
        <v>165.05007857423135</v>
      </c>
      <c r="Q26" s="37">
        <f t="shared" si="7"/>
        <v>82.525039287115675</v>
      </c>
      <c r="R26" s="37">
        <f t="shared" si="2"/>
        <v>4373.8270822171307</v>
      </c>
      <c r="S26" s="37">
        <f t="shared" si="8"/>
        <v>4373.8270822171307</v>
      </c>
      <c r="T26" s="37">
        <f>Baseline!J23</f>
        <v>0</v>
      </c>
      <c r="U26" s="37">
        <f>Leakage!J23</f>
        <v>0</v>
      </c>
      <c r="V26" s="37">
        <f t="shared" si="3"/>
        <v>4373.8270822171307</v>
      </c>
      <c r="W26" s="37">
        <v>0</v>
      </c>
    </row>
    <row r="27" spans="1:23">
      <c r="J27" s="3">
        <f>'2019 CA (MAI)'!I27</f>
        <v>19</v>
      </c>
      <c r="K27" s="39" t="str">
        <f>'2019 CA (MAI)'!J28</f>
        <v>01/01/2038 to 31/12/2038</v>
      </c>
      <c r="L27" s="37">
        <f t="shared" si="10"/>
        <v>25.901622470625192</v>
      </c>
      <c r="M27" s="37"/>
      <c r="N27" s="37">
        <f>L27*Overview!$D$30</f>
        <v>2874.4682161740911</v>
      </c>
      <c r="O27" s="37">
        <f t="shared" si="5"/>
        <v>4958.1702260786897</v>
      </c>
      <c r="P27" s="37">
        <f t="shared" si="6"/>
        <v>198.32680904314759</v>
      </c>
      <c r="Q27" s="37">
        <f t="shared" si="7"/>
        <v>99.163404521573796</v>
      </c>
      <c r="R27" s="37">
        <f t="shared" si="2"/>
        <v>5255.6604396434113</v>
      </c>
      <c r="S27" s="37">
        <f t="shared" si="8"/>
        <v>881.8333574262806</v>
      </c>
      <c r="T27" s="37">
        <f>Baseline!J24</f>
        <v>0</v>
      </c>
      <c r="U27" s="37">
        <f>Leakage!J24</f>
        <v>0</v>
      </c>
      <c r="V27" s="37">
        <f t="shared" si="3"/>
        <v>5255.6604396434113</v>
      </c>
      <c r="W27" s="37">
        <v>0</v>
      </c>
    </row>
    <row r="28" spans="1:23">
      <c r="J28" s="3">
        <f>'2019 CA (MAI)'!I28</f>
        <v>20</v>
      </c>
      <c r="K28" s="39" t="str">
        <f>'2019 CA (MAI)'!J29</f>
        <v>01/01/2039 to 31/12/2039</v>
      </c>
      <c r="L28" s="37">
        <f t="shared" si="10"/>
        <v>36.078067490832133</v>
      </c>
      <c r="M28" s="37"/>
      <c r="N28" s="37">
        <f>L28*Overview!$D$30</f>
        <v>4003.8132136699915</v>
      </c>
      <c r="O28" s="37">
        <f t="shared" si="5"/>
        <v>6906.1774122593679</v>
      </c>
      <c r="P28" s="37">
        <f t="shared" si="6"/>
        <v>276.2470964903747</v>
      </c>
      <c r="Q28" s="37">
        <f t="shared" si="7"/>
        <v>138.12354824518735</v>
      </c>
      <c r="R28" s="37">
        <f t="shared" si="2"/>
        <v>7320.5480569949304</v>
      </c>
      <c r="S28" s="37">
        <f t="shared" si="8"/>
        <v>2064.8876173515191</v>
      </c>
      <c r="T28" s="37">
        <f>Baseline!J25</f>
        <v>0</v>
      </c>
      <c r="U28" s="37">
        <f>Leakage!J25</f>
        <v>0</v>
      </c>
      <c r="V28" s="37">
        <f t="shared" si="3"/>
        <v>7320.5480569949304</v>
      </c>
      <c r="W28" s="37">
        <v>0</v>
      </c>
    </row>
    <row r="29" spans="1:23">
      <c r="J29" s="3">
        <f>'2019 CA (MAI)'!I29</f>
        <v>21</v>
      </c>
      <c r="K29" s="39" t="str">
        <f>'2019 CA (MAI)'!J30</f>
        <v>01/01/2040 to 31/12/2040</v>
      </c>
      <c r="L29" s="37">
        <f t="shared" si="10"/>
        <v>72.805939200929942</v>
      </c>
      <c r="M29" s="37"/>
      <c r="N29" s="37">
        <f>L29*Overview!$D$30</f>
        <v>8079.7393452521064</v>
      </c>
      <c r="O29" s="37">
        <f t="shared" si="5"/>
        <v>13936.742396625357</v>
      </c>
      <c r="P29" s="37">
        <f t="shared" si="6"/>
        <v>557.46969586501427</v>
      </c>
      <c r="Q29" s="37">
        <f t="shared" si="7"/>
        <v>278.73484793250714</v>
      </c>
      <c r="R29" s="37">
        <f t="shared" si="2"/>
        <v>14772.946940422878</v>
      </c>
      <c r="S29" s="37">
        <f t="shared" si="8"/>
        <v>7452.398883427948</v>
      </c>
      <c r="T29" s="37">
        <f>Baseline!J26</f>
        <v>0</v>
      </c>
      <c r="U29" s="37">
        <f>Leakage!J26</f>
        <v>0</v>
      </c>
      <c r="V29" s="37">
        <f t="shared" si="3"/>
        <v>14772.946940422878</v>
      </c>
      <c r="W29" s="37">
        <v>0</v>
      </c>
    </row>
    <row r="30" spans="1:23">
      <c r="J30" s="3">
        <f>'2019 CA (MAI)'!I30</f>
        <v>22</v>
      </c>
      <c r="K30" s="39" t="str">
        <f>'2019 CA (MAI)'!J31</f>
        <v>01/01/2041 to 31/12/2041</v>
      </c>
      <c r="L30" s="37">
        <f t="shared" si="10"/>
        <v>97.231911970336427</v>
      </c>
      <c r="M30" s="37"/>
      <c r="N30" s="37">
        <f>L30*Overview!$D$30</f>
        <v>10790.445304093844</v>
      </c>
      <c r="O30" s="37">
        <f t="shared" si="5"/>
        <v>18612.43910503147</v>
      </c>
      <c r="P30" s="37">
        <f t="shared" si="6"/>
        <v>744.4975642012588</v>
      </c>
      <c r="Q30" s="37">
        <f t="shared" si="7"/>
        <v>372.2487821006294</v>
      </c>
      <c r="R30" s="37">
        <f t="shared" si="2"/>
        <v>19729.185451333356</v>
      </c>
      <c r="S30" s="37">
        <f t="shared" si="8"/>
        <v>4956.238510910478</v>
      </c>
      <c r="T30" s="37">
        <f>Baseline!J27</f>
        <v>0</v>
      </c>
      <c r="U30" s="37">
        <f>Leakage!J27</f>
        <v>0</v>
      </c>
      <c r="V30" s="37">
        <f t="shared" si="3"/>
        <v>19729.185451333356</v>
      </c>
      <c r="W30" s="37">
        <v>0</v>
      </c>
    </row>
    <row r="31" spans="1:23">
      <c r="J31" s="3">
        <f>'2019 CA (MAI)'!I31</f>
        <v>23</v>
      </c>
      <c r="K31" s="39" t="str">
        <f>'2019 CA (MAI)'!J32</f>
        <v>01/01/2042 to 31/12/2042</v>
      </c>
      <c r="L31" s="37">
        <f t="shared" si="10"/>
        <v>121.19493004119175</v>
      </c>
      <c r="M31" s="37"/>
      <c r="N31" s="37">
        <f>L31*Overview!$D$30</f>
        <v>13449.774227847416</v>
      </c>
      <c r="O31" s="37">
        <f t="shared" si="5"/>
        <v>23199.515565614005</v>
      </c>
      <c r="P31" s="37">
        <f t="shared" si="6"/>
        <v>927.98062262456017</v>
      </c>
      <c r="Q31" s="37">
        <f t="shared" si="7"/>
        <v>463.99031131228008</v>
      </c>
      <c r="R31" s="37">
        <f t="shared" si="2"/>
        <v>24591.486499550847</v>
      </c>
      <c r="S31" s="37">
        <f t="shared" si="8"/>
        <v>4862.3010482174905</v>
      </c>
      <c r="T31" s="37">
        <f>Baseline!J28</f>
        <v>0</v>
      </c>
      <c r="U31" s="37">
        <f>Leakage!J28</f>
        <v>0</v>
      </c>
      <c r="V31" s="37">
        <f t="shared" si="3"/>
        <v>24591.486499550847</v>
      </c>
      <c r="W31" s="37">
        <v>0</v>
      </c>
    </row>
    <row r="32" spans="1:23">
      <c r="J32" s="3">
        <f>'2019 CA (MAI)'!I32</f>
        <v>24</v>
      </c>
      <c r="K32" s="39" t="str">
        <f>'2019 CA (MAI)'!J33</f>
        <v>01/01/2043 to 31/12/2043</v>
      </c>
      <c r="L32" s="37">
        <f t="shared" si="10"/>
        <v>146.21554356627516</v>
      </c>
      <c r="M32" s="37"/>
      <c r="N32" s="37">
        <f>L32*Overview!$D$30</f>
        <v>16226.471263278027</v>
      </c>
      <c r="O32" s="37">
        <f t="shared" si="5"/>
        <v>27989.040282028265</v>
      </c>
      <c r="P32" s="37">
        <f t="shared" si="6"/>
        <v>1119.5616112811306</v>
      </c>
      <c r="Q32" s="37">
        <f t="shared" si="7"/>
        <v>559.78080564056529</v>
      </c>
      <c r="R32" s="37">
        <f t="shared" si="2"/>
        <v>29668.382698949961</v>
      </c>
      <c r="S32" s="37">
        <f t="shared" si="8"/>
        <v>5076.8961993991143</v>
      </c>
      <c r="T32" s="37">
        <f>Baseline!J29</f>
        <v>0</v>
      </c>
      <c r="U32" s="37">
        <f>Leakage!J29</f>
        <v>0</v>
      </c>
      <c r="V32" s="37">
        <f t="shared" si="3"/>
        <v>29668.382698949961</v>
      </c>
      <c r="W32" s="37">
        <v>0</v>
      </c>
    </row>
    <row r="33" spans="10:23">
      <c r="J33" s="3">
        <f>'2019 CA (MAI)'!I33</f>
        <v>25</v>
      </c>
      <c r="K33" s="39" t="str">
        <f>'2019 CA (MAI)'!J34</f>
        <v>01/01/2044 to 31/12/2044</v>
      </c>
      <c r="L33" s="37">
        <f t="shared" si="10"/>
        <v>167.31974385997611</v>
      </c>
      <c r="M33" s="37"/>
      <c r="N33" s="37">
        <f>L33*Overview!$D$30</f>
        <v>18568.538948065459</v>
      </c>
      <c r="O33" s="37">
        <f t="shared" si="5"/>
        <v>32028.872831518107</v>
      </c>
      <c r="P33" s="37">
        <f t="shared" si="6"/>
        <v>1281.1549132607242</v>
      </c>
      <c r="Q33" s="37">
        <f t="shared" si="7"/>
        <v>640.57745663036212</v>
      </c>
      <c r="R33" s="37">
        <f t="shared" si="2"/>
        <v>33950.605201409191</v>
      </c>
      <c r="S33" s="37">
        <f t="shared" si="8"/>
        <v>4282.2225024592299</v>
      </c>
      <c r="T33" s="37">
        <f>Baseline!J30</f>
        <v>0</v>
      </c>
      <c r="U33" s="37">
        <f>Leakage!J30</f>
        <v>0</v>
      </c>
      <c r="V33" s="37">
        <f t="shared" si="3"/>
        <v>33950.605201409191</v>
      </c>
      <c r="W33" s="37">
        <v>0</v>
      </c>
    </row>
    <row r="34" spans="10:23">
      <c r="J34" s="3">
        <f>'2019 CA (MAI)'!I34</f>
        <v>26</v>
      </c>
      <c r="K34" s="39" t="str">
        <f>'2019 CA (MAI)'!J35</f>
        <v>01/01/2045 to 31/12/2045</v>
      </c>
      <c r="L34" s="37">
        <f t="shared" si="10"/>
        <v>194.38179629071544</v>
      </c>
      <c r="M34" s="37"/>
      <c r="N34" s="37">
        <f>L34*Overview!$D$30</f>
        <v>21571.787476794379</v>
      </c>
      <c r="O34" s="37">
        <f t="shared" si="5"/>
        <v>37209.17621872262</v>
      </c>
      <c r="P34" s="37">
        <f t="shared" si="6"/>
        <v>1488.3670487489048</v>
      </c>
      <c r="Q34" s="37">
        <f t="shared" si="7"/>
        <v>744.18352437445242</v>
      </c>
      <c r="R34" s="37">
        <f t="shared" si="2"/>
        <v>39441.726791845977</v>
      </c>
      <c r="S34" s="37">
        <f t="shared" si="8"/>
        <v>5491.1215904367855</v>
      </c>
      <c r="T34" s="37">
        <f>Baseline!J31</f>
        <v>0</v>
      </c>
      <c r="U34" s="37">
        <f>Leakage!J31</f>
        <v>0</v>
      </c>
      <c r="V34" s="37">
        <f t="shared" si="3"/>
        <v>39441.726791845977</v>
      </c>
      <c r="W34" s="37">
        <v>0</v>
      </c>
    </row>
    <row r="35" spans="10:23">
      <c r="J35" s="3">
        <f>'2019 CA (MAI)'!I35</f>
        <v>27</v>
      </c>
      <c r="K35" s="39" t="str">
        <f>'2019 CA (MAI)'!J36</f>
        <v>01/01/2046 to 31/12/2046</v>
      </c>
      <c r="L35" s="37">
        <f t="shared" si="10"/>
        <v>217.44420320010767</v>
      </c>
      <c r="M35" s="37"/>
      <c r="N35" s="37">
        <f>L35*Overview!$D$30</f>
        <v>24131.169836903406</v>
      </c>
      <c r="O35" s="37">
        <f t="shared" si="5"/>
        <v>41623.854851674681</v>
      </c>
      <c r="P35" s="37">
        <f t="shared" si="6"/>
        <v>1664.9541940669874</v>
      </c>
      <c r="Q35" s="37">
        <f t="shared" si="7"/>
        <v>832.47709703349369</v>
      </c>
      <c r="R35" s="37">
        <f t="shared" si="2"/>
        <v>44121.286142775163</v>
      </c>
      <c r="S35" s="37">
        <f t="shared" si="8"/>
        <v>4679.5593509291866</v>
      </c>
      <c r="T35" s="37">
        <f>Baseline!J32</f>
        <v>0</v>
      </c>
      <c r="U35" s="37">
        <f>Leakage!J32</f>
        <v>0</v>
      </c>
      <c r="V35" s="37">
        <f t="shared" si="3"/>
        <v>44121.286142775163</v>
      </c>
      <c r="W35" s="37">
        <v>0</v>
      </c>
    </row>
    <row r="36" spans="10:23">
      <c r="J36" s="3">
        <f>'2019 CA (MAI)'!I36</f>
        <v>28</v>
      </c>
      <c r="K36" s="39" t="str">
        <f>'2019 CA (MAI)'!J37</f>
        <v>01/01/2047 to 31/12/2047</v>
      </c>
      <c r="L36" s="37">
        <f t="shared" si="10"/>
        <v>241.52732956232785</v>
      </c>
      <c r="M36" s="37"/>
      <c r="N36" s="37">
        <f>L36*Overview!$D$30</f>
        <v>26803.827943661585</v>
      </c>
      <c r="O36" s="37">
        <f t="shared" si="5"/>
        <v>46233.922820021864</v>
      </c>
      <c r="P36" s="37">
        <f t="shared" si="6"/>
        <v>1849.3569128008746</v>
      </c>
      <c r="Q36" s="37">
        <f t="shared" si="7"/>
        <v>924.67845640043731</v>
      </c>
      <c r="R36" s="37">
        <f t="shared" si="2"/>
        <v>49007.958189223173</v>
      </c>
      <c r="S36" s="37">
        <f t="shared" si="8"/>
        <v>4886.6720464480095</v>
      </c>
      <c r="T36" s="37">
        <f>Baseline!J33</f>
        <v>0</v>
      </c>
      <c r="U36" s="37">
        <f>Leakage!J33</f>
        <v>0</v>
      </c>
      <c r="V36" s="37">
        <f t="shared" si="3"/>
        <v>49007.958189223173</v>
      </c>
      <c r="W36" s="37">
        <v>0</v>
      </c>
    </row>
    <row r="37" spans="10:23">
      <c r="J37" s="3">
        <f>'2019 CA (MAI)'!I37</f>
        <v>29</v>
      </c>
      <c r="K37" s="39" t="str">
        <f>'2019 CA (MAI)'!J38</f>
        <v>01/01/2048 to 31/12/2048</v>
      </c>
      <c r="L37" s="37">
        <f t="shared" si="10"/>
        <v>266.58955923239364</v>
      </c>
      <c r="M37" s="37"/>
      <c r="N37" s="37">
        <f>L37*Overview!$D$30</f>
        <v>29585.14338808056</v>
      </c>
      <c r="O37" s="37">
        <f t="shared" si="5"/>
        <v>51031.413830100151</v>
      </c>
      <c r="P37" s="37">
        <f t="shared" si="6"/>
        <v>2041.2565532040062</v>
      </c>
      <c r="Q37" s="37">
        <f t="shared" si="7"/>
        <v>1020.6282766020031</v>
      </c>
      <c r="R37" s="37">
        <f t="shared" si="2"/>
        <v>54093.298659906155</v>
      </c>
      <c r="S37" s="37">
        <f t="shared" si="8"/>
        <v>5085.3404706829824</v>
      </c>
      <c r="T37" s="37">
        <f>Baseline!J34</f>
        <v>0</v>
      </c>
      <c r="U37" s="37">
        <f>Leakage!J34</f>
        <v>0</v>
      </c>
      <c r="V37" s="37">
        <f t="shared" si="3"/>
        <v>54093.298659906155</v>
      </c>
      <c r="W37" s="37">
        <v>0</v>
      </c>
    </row>
    <row r="38" spans="10:23">
      <c r="J38" s="3">
        <f>'2019 CA (MAI)'!I38</f>
        <v>30</v>
      </c>
      <c r="K38" s="39" t="str">
        <f>'2019 CA (MAI)'!J39</f>
        <v>01/01/2049 to 31/12/2049</v>
      </c>
      <c r="L38" s="37">
        <f t="shared" si="10"/>
        <v>290.16232586819984</v>
      </c>
      <c r="M38" s="37"/>
      <c r="N38" s="37">
        <f>L38*Overview!$D$30</f>
        <v>32201.163621514163</v>
      </c>
      <c r="O38" s="37">
        <f t="shared" si="5"/>
        <v>55543.78713074977</v>
      </c>
      <c r="P38" s="37">
        <f t="shared" si="6"/>
        <v>2221.751485229991</v>
      </c>
      <c r="Q38" s="37">
        <f t="shared" si="7"/>
        <v>1110.8757426149955</v>
      </c>
      <c r="R38" s="37">
        <f t="shared" si="2"/>
        <v>58876.41435859476</v>
      </c>
      <c r="S38" s="37">
        <f t="shared" si="8"/>
        <v>4783.1156986886053</v>
      </c>
      <c r="T38" s="37">
        <f>Baseline!J35</f>
        <v>0</v>
      </c>
      <c r="U38" s="37">
        <f>Leakage!J35</f>
        <v>0</v>
      </c>
      <c r="V38" s="37">
        <f t="shared" si="3"/>
        <v>58876.41435859476</v>
      </c>
      <c r="W38" s="37">
        <v>0</v>
      </c>
    </row>
    <row r="39" spans="10:23">
      <c r="J39" s="3">
        <f>'2019 CA (MAI)'!I39</f>
        <v>31</v>
      </c>
      <c r="K39" s="39" t="str">
        <f>'2019 CA (MAI)'!J40</f>
        <v>01/01/2050 to 31/12/2050</v>
      </c>
      <c r="L39" s="37">
        <v>0</v>
      </c>
      <c r="M39" s="37"/>
      <c r="N39" s="37">
        <f>L39*Overview!$D$30</f>
        <v>0</v>
      </c>
      <c r="O39" s="37">
        <f t="shared" si="5"/>
        <v>0</v>
      </c>
      <c r="P39" s="37">
        <f t="shared" si="6"/>
        <v>0</v>
      </c>
      <c r="Q39" s="37">
        <f t="shared" si="7"/>
        <v>0</v>
      </c>
      <c r="R39" s="37">
        <f t="shared" si="2"/>
        <v>0</v>
      </c>
      <c r="S39" s="37">
        <f t="shared" si="8"/>
        <v>-58876.41435859476</v>
      </c>
      <c r="T39" s="37">
        <f>Baseline!J36</f>
        <v>0</v>
      </c>
      <c r="U39" s="37">
        <f>Leakage!J36</f>
        <v>0</v>
      </c>
      <c r="V39" s="37">
        <f t="shared" si="3"/>
        <v>0</v>
      </c>
      <c r="W39" s="37">
        <v>0</v>
      </c>
    </row>
    <row r="40" spans="10:23">
      <c r="J40" s="3">
        <f>'2019 CA (MAI)'!I40</f>
        <v>32</v>
      </c>
      <c r="K40" s="39" t="str">
        <f>'2019 CA (MAI)'!J41</f>
        <v>01/01/2051 to 31/12/2051</v>
      </c>
      <c r="L40" s="37">
        <v>0</v>
      </c>
      <c r="M40" s="37"/>
      <c r="N40" s="37">
        <f>L40*Overview!$D$30</f>
        <v>0</v>
      </c>
      <c r="O40" s="37">
        <f t="shared" si="5"/>
        <v>0</v>
      </c>
      <c r="P40" s="37">
        <f t="shared" si="6"/>
        <v>0</v>
      </c>
      <c r="Q40" s="37">
        <f t="shared" si="7"/>
        <v>0</v>
      </c>
      <c r="R40" s="37">
        <f t="shared" si="2"/>
        <v>0</v>
      </c>
      <c r="S40" s="37">
        <f t="shared" si="8"/>
        <v>0</v>
      </c>
      <c r="T40" s="37">
        <f>Baseline!J37</f>
        <v>0</v>
      </c>
      <c r="U40" s="37">
        <f>Leakage!J37</f>
        <v>0</v>
      </c>
      <c r="V40" s="37">
        <f t="shared" si="3"/>
        <v>0</v>
      </c>
      <c r="W40" s="37">
        <v>0</v>
      </c>
    </row>
    <row r="41" spans="10:23">
      <c r="J41" s="3">
        <v>32.46</v>
      </c>
      <c r="K41" s="39" t="str">
        <f>'2019 CA (MAI)'!J42</f>
        <v>01/01/2052 to 17/06/2052</v>
      </c>
      <c r="L41" s="37">
        <v>0</v>
      </c>
      <c r="M41" s="36"/>
      <c r="N41" s="37">
        <f>L41*Overview!$D$30</f>
        <v>0</v>
      </c>
      <c r="O41" s="37">
        <f t="shared" ref="O41" si="11">N41*$N$2*3.67</f>
        <v>0</v>
      </c>
      <c r="P41" s="37">
        <f t="shared" ref="P41" si="12">O41*$O$2</f>
        <v>0</v>
      </c>
      <c r="Q41" s="37">
        <f t="shared" ref="Q41" si="13">O41*$P$2</f>
        <v>0</v>
      </c>
      <c r="R41" s="37">
        <f t="shared" ref="R41" si="14">SUM(O41:Q41)</f>
        <v>0</v>
      </c>
      <c r="S41" s="37">
        <f t="shared" si="8"/>
        <v>0</v>
      </c>
      <c r="T41" s="37">
        <f>Baseline!J38</f>
        <v>0</v>
      </c>
      <c r="U41" s="37">
        <f>Leakage!J38</f>
        <v>0</v>
      </c>
      <c r="V41" s="37">
        <f t="shared" si="3"/>
        <v>0</v>
      </c>
      <c r="W41" s="37">
        <v>0</v>
      </c>
    </row>
    <row r="42" spans="10:23" ht="15.75">
      <c r="U42" s="67" t="s">
        <v>97</v>
      </c>
      <c r="V42" s="68">
        <f>SUM(V9:V39)</f>
        <v>770406.65302573401</v>
      </c>
    </row>
    <row r="43" spans="10:23" ht="15.75">
      <c r="U43" s="67" t="s">
        <v>98</v>
      </c>
      <c r="V43" s="68">
        <f>V42/30</f>
        <v>25680.221767524468</v>
      </c>
    </row>
  </sheetData>
  <mergeCells count="18">
    <mergeCell ref="M9:M13"/>
    <mergeCell ref="V6:V8"/>
    <mergeCell ref="W6:W8"/>
    <mergeCell ref="U6:U8"/>
    <mergeCell ref="D7:D12"/>
    <mergeCell ref="A5:H5"/>
    <mergeCell ref="T6:T8"/>
    <mergeCell ref="J7:J8"/>
    <mergeCell ref="K7:K8"/>
    <mergeCell ref="L7:L8"/>
    <mergeCell ref="O6:O8"/>
    <mergeCell ref="P6:P8"/>
    <mergeCell ref="Q6:Q8"/>
    <mergeCell ref="R6:R8"/>
    <mergeCell ref="J6:M6"/>
    <mergeCell ref="N6:N8"/>
    <mergeCell ref="S6:S8"/>
    <mergeCell ref="M7:M8"/>
  </mergeCells>
  <phoneticPr fontId="4" type="noConversion"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ksheet" dvAspect="DVASPECT_ICON" shapeId="28683" r:id="rId4">
          <objectPr defaultSize="0" autoPict="0" r:id="rId5">
            <anchor moveWithCells="1">
              <from>
                <xdr:col>3</xdr:col>
                <xdr:colOff>104775</xdr:colOff>
                <xdr:row>6</xdr:row>
                <xdr:rowOff>38100</xdr:rowOff>
              </from>
              <to>
                <xdr:col>3</xdr:col>
                <xdr:colOff>1314450</xdr:colOff>
                <xdr:row>11</xdr:row>
                <xdr:rowOff>38100</xdr:rowOff>
              </to>
            </anchor>
          </objectPr>
        </oleObject>
      </mc:Choice>
      <mc:Fallback>
        <oleObject progId="Worksheet" dvAspect="DVASPECT_ICON" shapeId="28683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74154-4662-404F-A4DB-6E0433D1F0FD}">
  <sheetPr codeName="Sheet9">
    <tabColor theme="1"/>
  </sheetPr>
  <dimension ref="A1:W42"/>
  <sheetViews>
    <sheetView topLeftCell="A12" zoomScale="89" zoomScaleNormal="89" workbookViewId="0">
      <selection activeCell="H23" sqref="H23"/>
    </sheetView>
  </sheetViews>
  <sheetFormatPr defaultRowHeight="15"/>
  <cols>
    <col min="2" max="2" width="24.85546875" customWidth="1"/>
    <col min="3" max="3" width="13" customWidth="1"/>
    <col min="4" max="4" width="19.7109375" customWidth="1"/>
    <col min="6" max="6" width="14" customWidth="1"/>
    <col min="8" max="8" width="12.85546875" customWidth="1"/>
    <col min="11" max="11" width="22.42578125" bestFit="1" customWidth="1"/>
    <col min="12" max="12" width="12.5703125" customWidth="1"/>
    <col min="13" max="13" width="14" customWidth="1"/>
    <col min="14" max="14" width="16" customWidth="1"/>
    <col min="15" max="15" width="16.5703125" bestFit="1" customWidth="1"/>
    <col min="16" max="16" width="15.5703125" bestFit="1" customWidth="1"/>
    <col min="17" max="17" width="14.42578125" bestFit="1" customWidth="1"/>
    <col min="18" max="18" width="20.140625" customWidth="1"/>
    <col min="19" max="19" width="20.5703125" customWidth="1"/>
    <col min="20" max="20" width="24.85546875" customWidth="1"/>
    <col min="21" max="21" width="23" customWidth="1"/>
    <col min="22" max="22" width="27.42578125" customWidth="1"/>
    <col min="23" max="23" width="17.85546875" customWidth="1"/>
  </cols>
  <sheetData>
    <row r="1" spans="1:23" ht="45">
      <c r="N1" s="81" t="s">
        <v>31</v>
      </c>
      <c r="O1" s="82" t="s">
        <v>32</v>
      </c>
      <c r="P1" s="82" t="s">
        <v>33</v>
      </c>
    </row>
    <row r="2" spans="1:23">
      <c r="N2" s="16">
        <v>0.47</v>
      </c>
      <c r="O2" s="17">
        <v>0.04</v>
      </c>
      <c r="P2" s="17">
        <v>0.02</v>
      </c>
    </row>
    <row r="5" spans="1:23">
      <c r="A5" s="138" t="s">
        <v>34</v>
      </c>
      <c r="B5" s="138"/>
      <c r="C5" s="138"/>
      <c r="D5" s="138"/>
      <c r="E5" s="138"/>
      <c r="F5" s="138"/>
      <c r="G5" s="138"/>
      <c r="H5" s="138"/>
    </row>
    <row r="6" spans="1:23" ht="34.5" customHeight="1">
      <c r="A6" s="50" t="s">
        <v>35</v>
      </c>
      <c r="B6" s="50" t="s">
        <v>36</v>
      </c>
      <c r="C6" s="50" t="s">
        <v>37</v>
      </c>
      <c r="D6" s="79" t="s">
        <v>38</v>
      </c>
      <c r="E6" s="50" t="s">
        <v>122</v>
      </c>
      <c r="F6" s="50" t="s">
        <v>37</v>
      </c>
      <c r="G6" s="50" t="s">
        <v>39</v>
      </c>
      <c r="H6" s="50" t="s">
        <v>37</v>
      </c>
      <c r="J6" s="142" t="s">
        <v>115</v>
      </c>
      <c r="K6" s="142"/>
      <c r="L6" s="142"/>
      <c r="M6" s="142"/>
      <c r="N6" s="122" t="s">
        <v>41</v>
      </c>
      <c r="O6" s="122" t="s">
        <v>100</v>
      </c>
      <c r="P6" s="122" t="s">
        <v>101</v>
      </c>
      <c r="Q6" s="117" t="s">
        <v>102</v>
      </c>
      <c r="R6" s="122" t="s">
        <v>103</v>
      </c>
      <c r="S6" s="122" t="s">
        <v>46</v>
      </c>
      <c r="T6" s="122" t="s">
        <v>47</v>
      </c>
      <c r="U6" s="117" t="s">
        <v>104</v>
      </c>
      <c r="V6" s="122" t="s">
        <v>105</v>
      </c>
      <c r="W6" s="117" t="s">
        <v>50</v>
      </c>
    </row>
    <row r="7" spans="1:23">
      <c r="A7" s="51"/>
      <c r="B7" s="52">
        <v>0</v>
      </c>
      <c r="C7" s="52">
        <v>0</v>
      </c>
      <c r="D7" s="124"/>
      <c r="E7" s="37">
        <v>0.53846153846153799</v>
      </c>
      <c r="F7" s="53">
        <v>0</v>
      </c>
      <c r="G7" s="53">
        <v>0</v>
      </c>
      <c r="H7" s="53">
        <v>0</v>
      </c>
      <c r="J7" s="117" t="s">
        <v>51</v>
      </c>
      <c r="K7" s="132" t="s">
        <v>52</v>
      </c>
      <c r="L7" s="122" t="s">
        <v>53</v>
      </c>
      <c r="M7" s="132" t="s">
        <v>54</v>
      </c>
      <c r="N7" s="122"/>
      <c r="O7" s="122"/>
      <c r="P7" s="122"/>
      <c r="Q7" s="123"/>
      <c r="R7" s="122"/>
      <c r="S7" s="122"/>
      <c r="T7" s="122"/>
      <c r="U7" s="123"/>
      <c r="V7" s="122" t="s">
        <v>55</v>
      </c>
      <c r="W7" s="123"/>
    </row>
    <row r="8" spans="1:23">
      <c r="A8" s="51" t="s">
        <v>56</v>
      </c>
      <c r="B8" s="37">
        <f>'2020 PM (MAI)'!B8</f>
        <v>2.2082191780821914</v>
      </c>
      <c r="C8" s="54">
        <v>9.8368636984050504</v>
      </c>
      <c r="D8" s="125"/>
      <c r="E8" s="37">
        <f>1+E7</f>
        <v>1.5384615384615379</v>
      </c>
      <c r="F8" s="54">
        <v>0</v>
      </c>
      <c r="G8" s="37">
        <v>1</v>
      </c>
      <c r="H8" s="37">
        <v>0</v>
      </c>
      <c r="J8" s="118"/>
      <c r="K8" s="133"/>
      <c r="L8" s="122"/>
      <c r="M8" s="133"/>
      <c r="N8" s="122"/>
      <c r="O8" s="122"/>
      <c r="P8" s="122"/>
      <c r="Q8" s="118"/>
      <c r="R8" s="122"/>
      <c r="S8" s="122"/>
      <c r="T8" s="122"/>
      <c r="U8" s="118"/>
      <c r="V8" s="122"/>
      <c r="W8" s="118"/>
    </row>
    <row r="9" spans="1:23" ht="15" customHeight="1">
      <c r="A9" s="51" t="s">
        <v>57</v>
      </c>
      <c r="B9" s="37">
        <f>'2020 PM (MAI)'!B9</f>
        <v>3.2082191780821914</v>
      </c>
      <c r="C9" s="37">
        <v>24.637416774964301</v>
      </c>
      <c r="D9" s="125"/>
      <c r="E9" s="37">
        <f t="shared" ref="E9" si="0">1+E8</f>
        <v>2.5384615384615379</v>
      </c>
      <c r="F9" s="37">
        <f>TREND(C7:C8,B7:B8,E9,TRUE)</f>
        <v>11.307980840550567</v>
      </c>
      <c r="G9" s="37">
        <v>2</v>
      </c>
      <c r="H9" s="37">
        <v>0</v>
      </c>
      <c r="J9" s="3">
        <f>'2020 PM (MAI)'!J9</f>
        <v>1</v>
      </c>
      <c r="K9" s="3" t="str">
        <f>'2020 PM (MAI)'!K10</f>
        <v>01/01/2021 to 31/12/2021</v>
      </c>
      <c r="L9" s="37">
        <f>H8</f>
        <v>0</v>
      </c>
      <c r="M9" s="143" t="s">
        <v>112</v>
      </c>
      <c r="N9" s="37"/>
      <c r="O9" s="37"/>
      <c r="P9" s="37">
        <f t="shared" ref="P9:P10" si="1">O9*$O$2</f>
        <v>0</v>
      </c>
      <c r="Q9" s="37">
        <f t="shared" ref="Q9:Q10" si="2">O9*$P$2</f>
        <v>0</v>
      </c>
      <c r="R9" s="37">
        <f>SUM(O9:Q9)</f>
        <v>0</v>
      </c>
      <c r="S9" s="37">
        <f>R9</f>
        <v>0</v>
      </c>
      <c r="T9" s="37">
        <f>Baseline!K7</f>
        <v>0</v>
      </c>
      <c r="U9" s="37">
        <f>Leakage!K7</f>
        <v>0</v>
      </c>
      <c r="V9" s="37">
        <f>R9-T9-U9</f>
        <v>0</v>
      </c>
      <c r="W9" s="37">
        <f>V9</f>
        <v>0</v>
      </c>
    </row>
    <row r="10" spans="1:23">
      <c r="A10" s="51" t="s">
        <v>60</v>
      </c>
      <c r="B10" s="37">
        <f>'2020 PM (MAI)'!B10</f>
        <v>4.2082191780821914</v>
      </c>
      <c r="C10" s="37">
        <v>26.234077947684799</v>
      </c>
      <c r="D10" s="125"/>
      <c r="E10" s="37">
        <f>1+E9</f>
        <v>3.5384615384615379</v>
      </c>
      <c r="F10" s="37">
        <f>TREND(C9:C10,B9:B10,E10,TRUE)</f>
        <v>25.164701929369578</v>
      </c>
      <c r="G10" s="37">
        <v>3</v>
      </c>
      <c r="H10" s="37">
        <f>TREND(C8:C9,B8:B9,G10,TRUE)</f>
        <v>21.555657778201279</v>
      </c>
      <c r="J10" s="3">
        <f>'2020 PM (MAI)'!J10</f>
        <v>2</v>
      </c>
      <c r="K10" s="3" t="str">
        <f>'2020 PM (MAI)'!K11</f>
        <v>01/01/2022 to 31/12/2022</v>
      </c>
      <c r="L10" s="37">
        <f t="shared" ref="L10:L23" si="3">H9</f>
        <v>0</v>
      </c>
      <c r="M10" s="143"/>
      <c r="N10" s="37"/>
      <c r="O10" s="37"/>
      <c r="P10" s="37">
        <f t="shared" si="1"/>
        <v>0</v>
      </c>
      <c r="Q10" s="37">
        <f t="shared" si="2"/>
        <v>0</v>
      </c>
      <c r="R10" s="37">
        <f t="shared" ref="R10:R40" si="4">SUM(O10:Q10)</f>
        <v>0</v>
      </c>
      <c r="S10" s="37">
        <f>R10-R9</f>
        <v>0</v>
      </c>
      <c r="T10" s="37">
        <f>Baseline!K8</f>
        <v>0</v>
      </c>
      <c r="U10" s="37">
        <f>Leakage!K8</f>
        <v>0</v>
      </c>
      <c r="V10" s="37">
        <f t="shared" ref="V10:V40" si="5">R10-T10-U10</f>
        <v>0</v>
      </c>
      <c r="W10" s="37">
        <f>V10-V9</f>
        <v>0</v>
      </c>
    </row>
    <row r="11" spans="1:23">
      <c r="A11" s="51" t="s">
        <v>62</v>
      </c>
      <c r="B11" s="37">
        <f>'2020 PM (MAI)'!B11</f>
        <v>5.2082191780821914</v>
      </c>
      <c r="C11" s="37">
        <v>38.666798304946994</v>
      </c>
      <c r="D11" s="125"/>
      <c r="E11" s="37">
        <f t="shared" ref="E11:E21" si="6">1+E10</f>
        <v>4.5384615384615383</v>
      </c>
      <c r="F11" s="37">
        <f>TREND(C10:C11,B10:B11,E11,TRUE)</f>
        <v>30.33988886440342</v>
      </c>
      <c r="G11" s="37">
        <v>4</v>
      </c>
      <c r="H11" s="37">
        <f>TREND(C9:C10,B9:B10,G11,TRUE)</f>
        <v>25.901622470625192</v>
      </c>
      <c r="J11" s="3">
        <f>'2020 PM (MAI)'!J11</f>
        <v>3</v>
      </c>
      <c r="K11" s="3" t="str">
        <f>'2020 PM (MAI)'!K12</f>
        <v>01/01/2023 to 31/12/2023</v>
      </c>
      <c r="L11" s="37">
        <f t="shared" si="3"/>
        <v>21.555657778201279</v>
      </c>
      <c r="M11" s="143"/>
      <c r="N11" s="37">
        <f>L11*Overview!$E$30</f>
        <v>307.38769593710748</v>
      </c>
      <c r="O11" s="37">
        <f t="shared" ref="O11:O40" si="7">N11*$N$2*3.67</f>
        <v>530.21303672191664</v>
      </c>
      <c r="P11" s="37">
        <f>O11*$O$2</f>
        <v>21.208521468876665</v>
      </c>
      <c r="Q11" s="37">
        <f>O11*$P$2</f>
        <v>10.604260734438332</v>
      </c>
      <c r="R11" s="37">
        <f t="shared" si="4"/>
        <v>562.02581892523165</v>
      </c>
      <c r="S11" s="37">
        <f t="shared" ref="S11:S40" si="8">R11-R10</f>
        <v>562.02581892523165</v>
      </c>
      <c r="T11" s="37">
        <f>Baseline!K9</f>
        <v>0</v>
      </c>
      <c r="U11" s="37">
        <f>Leakage!K9</f>
        <v>0</v>
      </c>
      <c r="V11" s="37">
        <f t="shared" si="5"/>
        <v>562.02581892523165</v>
      </c>
      <c r="W11" s="37">
        <f>V11-V10</f>
        <v>562.02581892523165</v>
      </c>
    </row>
    <row r="12" spans="1:23" s="43" customFormat="1" ht="15" customHeight="1">
      <c r="A12" s="51" t="s">
        <v>64</v>
      </c>
      <c r="B12" s="37">
        <f>'2020 PM (MAI)'!B12</f>
        <v>5.7479452054794518</v>
      </c>
      <c r="C12" s="37">
        <v>61.938115801516687</v>
      </c>
      <c r="D12" s="126"/>
      <c r="E12" s="37">
        <f t="shared" si="6"/>
        <v>5.5384615384615383</v>
      </c>
      <c r="F12" s="37">
        <f>TREND(C11:C12,B11:B12,E12,TRUE)</f>
        <v>52.905827792305359</v>
      </c>
      <c r="G12" s="37">
        <v>5</v>
      </c>
      <c r="H12" s="37">
        <f>TREND(C10:C11,B10:B11,G12,TRUE)</f>
        <v>36.078067490832133</v>
      </c>
      <c r="I12"/>
      <c r="J12" s="3">
        <f>'2020 PM (MAI)'!J12</f>
        <v>4</v>
      </c>
      <c r="K12" s="3" t="str">
        <f>'2020 PM (MAI)'!K13</f>
        <v>01/01/2024 to 31/12/2024</v>
      </c>
      <c r="L12" s="37">
        <f t="shared" si="3"/>
        <v>25.901622470625192</v>
      </c>
      <c r="M12" s="143"/>
      <c r="N12" s="37">
        <f>L12*Overview!$E$30</f>
        <v>369.36196214480196</v>
      </c>
      <c r="O12" s="37">
        <f t="shared" si="7"/>
        <v>637.11244850356888</v>
      </c>
      <c r="P12" s="37">
        <f t="shared" ref="P12:P40" si="9">O12*$O$2</f>
        <v>25.484497940142756</v>
      </c>
      <c r="Q12" s="37">
        <f t="shared" ref="Q12:Q40" si="10">O12*$P$2</f>
        <v>12.742248970071378</v>
      </c>
      <c r="R12" s="37">
        <f t="shared" si="4"/>
        <v>675.33919541378305</v>
      </c>
      <c r="S12" s="37">
        <f t="shared" si="8"/>
        <v>113.3133764885514</v>
      </c>
      <c r="T12" s="37">
        <f>Baseline!K10</f>
        <v>0</v>
      </c>
      <c r="U12" s="37">
        <f>Leakage!K10</f>
        <v>0</v>
      </c>
      <c r="V12" s="37">
        <f t="shared" si="5"/>
        <v>675.33919541378305</v>
      </c>
      <c r="W12" s="37">
        <f t="shared" ref="W12:W16" si="11">V12-V11</f>
        <v>113.3133764885514</v>
      </c>
    </row>
    <row r="13" spans="1:23" ht="15" customHeight="1">
      <c r="A13" s="51"/>
      <c r="B13" s="51"/>
      <c r="C13" s="51"/>
      <c r="D13" s="51"/>
      <c r="E13" s="37">
        <f t="shared" si="6"/>
        <v>6.5384615384615383</v>
      </c>
      <c r="F13" s="37">
        <f>TREND(C11:C12,B11:B12,$E$13,TRUE)</f>
        <v>96.022735844325354</v>
      </c>
      <c r="G13" s="37">
        <v>6</v>
      </c>
      <c r="H13" s="37">
        <f>TREND(C11:C12,B11:B12,$G$13,TRUE)</f>
        <v>72.805939200929942</v>
      </c>
      <c r="J13" s="3">
        <f>'2020 PM (MAI)'!J13</f>
        <v>5</v>
      </c>
      <c r="K13" s="3" t="str">
        <f>'2020 PM (MAI)'!K14</f>
        <v>01/01/2025 to 31/12/2025</v>
      </c>
      <c r="L13" s="37">
        <f t="shared" si="3"/>
        <v>36.078067490832133</v>
      </c>
      <c r="M13" s="143"/>
      <c r="N13" s="37">
        <f>L13*Overview!$E$30</f>
        <v>514.47996409951145</v>
      </c>
      <c r="O13" s="37">
        <f t="shared" si="7"/>
        <v>887.42649007524722</v>
      </c>
      <c r="P13" s="37">
        <f t="shared" si="9"/>
        <v>35.497059603009887</v>
      </c>
      <c r="Q13" s="37">
        <f t="shared" si="10"/>
        <v>17.748529801504944</v>
      </c>
      <c r="R13" s="37">
        <f t="shared" si="4"/>
        <v>940.67207947976203</v>
      </c>
      <c r="S13" s="37">
        <f t="shared" si="8"/>
        <v>265.33288406597899</v>
      </c>
      <c r="T13" s="37">
        <f>Baseline!K11</f>
        <v>0</v>
      </c>
      <c r="U13" s="37">
        <f>Leakage!K11</f>
        <v>0</v>
      </c>
      <c r="V13" s="37">
        <f t="shared" si="5"/>
        <v>940.67207947976203</v>
      </c>
      <c r="W13" s="37">
        <f t="shared" si="11"/>
        <v>265.33288406597899</v>
      </c>
    </row>
    <row r="14" spans="1:23">
      <c r="A14" s="51"/>
      <c r="B14" s="51"/>
      <c r="C14" s="51"/>
      <c r="D14" s="51"/>
      <c r="E14" s="37">
        <f t="shared" si="6"/>
        <v>7.5384615384615383</v>
      </c>
      <c r="F14" s="37">
        <f>TREND(F9:F13,E9:E13,E14:$E$22,TRUE)</f>
        <v>102.29941781533644</v>
      </c>
      <c r="G14" s="37">
        <v>7</v>
      </c>
      <c r="H14" s="37">
        <f>TREND(F10:F13,E10:E13,G14:$G$22,TRUE)</f>
        <v>97.231911970336427</v>
      </c>
      <c r="J14" s="3">
        <f>'2020 PM (MAI)'!J14</f>
        <v>6</v>
      </c>
      <c r="K14" s="3" t="str">
        <f>'2020 PM (MAI)'!K15</f>
        <v>01/01/2026 to 31/12/2026</v>
      </c>
      <c r="L14" s="37">
        <f t="shared" si="3"/>
        <v>72.805939200929942</v>
      </c>
      <c r="M14" s="143"/>
      <c r="N14" s="37">
        <f>L14*Overview!$E$30</f>
        <v>1038.2262574303343</v>
      </c>
      <c r="O14" s="37">
        <f t="shared" si="7"/>
        <v>1790.8364714415834</v>
      </c>
      <c r="P14" s="37">
        <f t="shared" si="9"/>
        <v>71.633458857663342</v>
      </c>
      <c r="Q14" s="37">
        <f t="shared" si="10"/>
        <v>35.816729428831671</v>
      </c>
      <c r="R14" s="37">
        <f>SUM(O14:Q14)</f>
        <v>1898.2866597280783</v>
      </c>
      <c r="S14" s="37">
        <f t="shared" si="8"/>
        <v>957.61458024831632</v>
      </c>
      <c r="T14" s="37">
        <f>Baseline!K12</f>
        <v>0</v>
      </c>
      <c r="U14" s="37">
        <f>Leakage!K12</f>
        <v>0</v>
      </c>
      <c r="V14" s="37">
        <f t="shared" si="5"/>
        <v>1898.2866597280783</v>
      </c>
      <c r="W14" s="37">
        <f t="shared" si="11"/>
        <v>957.61458024831632</v>
      </c>
    </row>
    <row r="15" spans="1:23">
      <c r="A15" s="51"/>
      <c r="B15" s="51"/>
      <c r="C15" s="51"/>
      <c r="D15" s="51"/>
      <c r="E15" s="37">
        <f t="shared" si="6"/>
        <v>8.5384615384615383</v>
      </c>
      <c r="F15" s="37">
        <f>TREND(F11:F14,E11:E14,E15:$E$22,TRUE)</f>
        <v>135.14084130529739</v>
      </c>
      <c r="G15" s="37">
        <v>8</v>
      </c>
      <c r="H15" s="37">
        <f>TREND(F11:F14,E11:E14,G15:$G$22,TRUE)</f>
        <v>121.19493004119175</v>
      </c>
      <c r="J15" s="3">
        <f>'2020 PM (MAI)'!J15</f>
        <v>7</v>
      </c>
      <c r="K15" s="3" t="str">
        <f>'2020 PM (MAI)'!K16</f>
        <v>01/01/2027 to 31/12/2027</v>
      </c>
      <c r="L15" s="37">
        <f t="shared" si="3"/>
        <v>97.231911970336427</v>
      </c>
      <c r="M15" s="143"/>
      <c r="N15" s="37">
        <f>L15*Overview!$E$30</f>
        <v>1386.545179908464</v>
      </c>
      <c r="O15" s="37">
        <f t="shared" si="7"/>
        <v>2391.6517808241092</v>
      </c>
      <c r="P15" s="37">
        <f t="shared" si="9"/>
        <v>95.66607123296437</v>
      </c>
      <c r="Q15" s="37">
        <f t="shared" si="10"/>
        <v>47.833035616482185</v>
      </c>
      <c r="R15" s="37">
        <f t="shared" si="4"/>
        <v>2535.1508876735556</v>
      </c>
      <c r="S15" s="37">
        <f t="shared" si="8"/>
        <v>636.8642279454773</v>
      </c>
      <c r="T15" s="37">
        <f>Baseline!K13</f>
        <v>0</v>
      </c>
      <c r="U15" s="37">
        <f>Leakage!K13</f>
        <v>0</v>
      </c>
      <c r="V15" s="37">
        <f t="shared" si="5"/>
        <v>2535.1508876735556</v>
      </c>
      <c r="W15" s="37">
        <f t="shared" si="11"/>
        <v>636.8642279454773</v>
      </c>
    </row>
    <row r="16" spans="1:23">
      <c r="A16" s="51"/>
      <c r="B16" s="51"/>
      <c r="C16" s="51"/>
      <c r="D16" s="51"/>
      <c r="E16" s="37">
        <f t="shared" si="6"/>
        <v>9.5384615384615383</v>
      </c>
      <c r="F16" s="37">
        <f>TREND(F12:F15,E12:E15,E16:$E$22,TRUE)</f>
        <v>159.8376363168129</v>
      </c>
      <c r="G16" s="37">
        <v>9</v>
      </c>
      <c r="H16" s="37">
        <f>TREND(F12:F15,E12:E15,G16:$G$22,TRUE)</f>
        <v>146.21554356627516</v>
      </c>
      <c r="J16" s="3">
        <f>'2020 PM (MAI)'!J16</f>
        <v>8</v>
      </c>
      <c r="K16" s="3" t="str">
        <f>'2020 PM (MAI)'!K17</f>
        <v>01/01/2028 to 31/12/2028</v>
      </c>
      <c r="L16" s="37">
        <f t="shared" si="3"/>
        <v>121.19493004119175</v>
      </c>
      <c r="M16" s="36"/>
      <c r="N16" s="37">
        <f>L16*Overview!$E$30</f>
        <v>1728.262282132479</v>
      </c>
      <c r="O16" s="37">
        <f t="shared" si="7"/>
        <v>2981.0796104503124</v>
      </c>
      <c r="P16" s="37">
        <f t="shared" si="9"/>
        <v>119.2431844180125</v>
      </c>
      <c r="Q16" s="37">
        <f t="shared" si="10"/>
        <v>59.621592209006252</v>
      </c>
      <c r="R16" s="37">
        <f t="shared" si="4"/>
        <v>3159.9443870773312</v>
      </c>
      <c r="S16" s="37">
        <f t="shared" si="8"/>
        <v>624.79349940377551</v>
      </c>
      <c r="T16" s="37">
        <f>Baseline!K14</f>
        <v>0</v>
      </c>
      <c r="U16" s="37">
        <f>Leakage!K14</f>
        <v>0</v>
      </c>
      <c r="V16" s="37">
        <f t="shared" si="5"/>
        <v>3159.9443870773312</v>
      </c>
      <c r="W16" s="37">
        <f t="shared" si="11"/>
        <v>624.79349940377551</v>
      </c>
    </row>
    <row r="17" spans="1:23">
      <c r="A17" s="51"/>
      <c r="B17" s="51"/>
      <c r="C17" s="51"/>
      <c r="D17" s="51"/>
      <c r="E17" s="37">
        <f t="shared" si="6"/>
        <v>10.538461538461538</v>
      </c>
      <c r="F17" s="37">
        <f>TREND(F13:F16,E13:E16,E17:$E$22,TRUE)</f>
        <v>179.39668904729893</v>
      </c>
      <c r="G17" s="37">
        <v>10</v>
      </c>
      <c r="H17" s="37">
        <f>TREND(F13:F16,E13:E16,G17:$G$22,TRUE)</f>
        <v>167.31974385997611</v>
      </c>
      <c r="J17" s="3">
        <f>'2020 PM (MAI)'!J17</f>
        <v>9</v>
      </c>
      <c r="K17" s="3" t="str">
        <f>'2020 PM (MAI)'!K18</f>
        <v>01/01/2029 to 31/12/2029</v>
      </c>
      <c r="L17" s="37">
        <f t="shared" si="3"/>
        <v>146.21554356627516</v>
      </c>
      <c r="M17" s="36"/>
      <c r="N17" s="37">
        <f>L17*Overview!$E$30</f>
        <v>2085.0608925736769</v>
      </c>
      <c r="O17" s="37">
        <f t="shared" si="7"/>
        <v>3596.5215336003348</v>
      </c>
      <c r="P17" s="37">
        <f t="shared" si="9"/>
        <v>143.86086134401339</v>
      </c>
      <c r="Q17" s="37">
        <f t="shared" si="10"/>
        <v>71.930430672006693</v>
      </c>
      <c r="R17" s="37">
        <f t="shared" si="4"/>
        <v>3812.312825616355</v>
      </c>
      <c r="S17" s="37">
        <f t="shared" si="8"/>
        <v>652.36843853902383</v>
      </c>
      <c r="T17" s="37">
        <f>Baseline!K15</f>
        <v>0</v>
      </c>
      <c r="U17" s="37">
        <f>Leakage!K15</f>
        <v>0</v>
      </c>
      <c r="V17" s="37">
        <f t="shared" si="5"/>
        <v>3812.312825616355</v>
      </c>
      <c r="W17" s="37">
        <f>V42-SUM(W9:W16)</f>
        <v>139.89975348213375</v>
      </c>
    </row>
    <row r="18" spans="1:23">
      <c r="A18" s="51"/>
      <c r="B18" s="51"/>
      <c r="C18" s="51"/>
      <c r="D18" s="51"/>
      <c r="E18" s="37">
        <f t="shared" si="6"/>
        <v>11.538461538461538</v>
      </c>
      <c r="F18" s="37">
        <f>TREND(F14:F17,E14:E17,E18:$E$22,TRUE)</f>
        <v>208.16579829803715</v>
      </c>
      <c r="G18" s="37">
        <v>11</v>
      </c>
      <c r="H18" s="37">
        <f>TREND(F14:F17,E14:E17,G18:$G$22,TRUE)</f>
        <v>194.38179629071544</v>
      </c>
      <c r="J18" s="3">
        <f>'2020 PM (MAI)'!J18</f>
        <v>10</v>
      </c>
      <c r="K18" s="3" t="str">
        <f>'2020 PM (MAI)'!K19</f>
        <v>01/01/2030 to 31/12/2030</v>
      </c>
      <c r="L18" s="37">
        <f t="shared" si="3"/>
        <v>167.31974385997611</v>
      </c>
      <c r="M18" s="37"/>
      <c r="N18" s="37">
        <f>L18*Overview!$E$30</f>
        <v>2386.0107206710727</v>
      </c>
      <c r="O18" s="37">
        <f t="shared" si="7"/>
        <v>4115.6298920855324</v>
      </c>
      <c r="P18" s="37">
        <f t="shared" si="9"/>
        <v>164.62519568342131</v>
      </c>
      <c r="Q18" s="37">
        <f t="shared" si="10"/>
        <v>82.312597841710655</v>
      </c>
      <c r="R18" s="37">
        <f t="shared" si="4"/>
        <v>4362.5676856106647</v>
      </c>
      <c r="S18" s="37">
        <f t="shared" si="8"/>
        <v>550.25485999430975</v>
      </c>
      <c r="T18" s="37">
        <f>Baseline!K16</f>
        <v>0</v>
      </c>
      <c r="U18" s="37">
        <f>Leakage!K16</f>
        <v>0</v>
      </c>
      <c r="V18" s="37">
        <f t="shared" si="5"/>
        <v>4362.5676856106647</v>
      </c>
      <c r="W18" s="37">
        <v>0</v>
      </c>
    </row>
    <row r="19" spans="1:23">
      <c r="A19" s="51"/>
      <c r="B19" s="51"/>
      <c r="C19" s="51"/>
      <c r="D19" s="51"/>
      <c r="E19" s="37">
        <f t="shared" si="6"/>
        <v>12.538461538461538</v>
      </c>
      <c r="F19" s="37">
        <f>TREND(F15:F18,E15:E18,E19:$E$22,TRUE)</f>
        <v>230.29372216903795</v>
      </c>
      <c r="G19" s="37">
        <v>12</v>
      </c>
      <c r="H19" s="37">
        <f>TREND(F15:F18,E15:E18,G19:$G$22,TRUE)</f>
        <v>217.44420320010767</v>
      </c>
      <c r="J19" s="3">
        <f>'2020 PM (MAI)'!J19</f>
        <v>11</v>
      </c>
      <c r="K19" s="3" t="str">
        <f>'2020 PM (MAI)'!K20</f>
        <v>01/01/2031 to 31/12/2031</v>
      </c>
      <c r="L19" s="37">
        <f t="shared" si="3"/>
        <v>194.38179629071544</v>
      </c>
      <c r="M19" s="37"/>
      <c r="N19" s="37">
        <f>L19*Overview!$E$30</f>
        <v>2771.9206302460198</v>
      </c>
      <c r="O19" s="37">
        <f t="shared" si="7"/>
        <v>4781.2858951113585</v>
      </c>
      <c r="P19" s="37">
        <f t="shared" si="9"/>
        <v>191.25143580445433</v>
      </c>
      <c r="Q19" s="37">
        <f t="shared" si="10"/>
        <v>95.625717902227166</v>
      </c>
      <c r="R19" s="37">
        <f t="shared" si="4"/>
        <v>5068.1630488180399</v>
      </c>
      <c r="S19" s="37">
        <f t="shared" si="8"/>
        <v>705.59536320737516</v>
      </c>
      <c r="T19" s="37">
        <f>Baseline!K17</f>
        <v>0</v>
      </c>
      <c r="U19" s="37">
        <f>Leakage!K17</f>
        <v>0</v>
      </c>
      <c r="V19" s="37">
        <f t="shared" si="5"/>
        <v>5068.1630488180399</v>
      </c>
      <c r="W19" s="37">
        <v>0</v>
      </c>
    </row>
    <row r="20" spans="1:23">
      <c r="A20" s="51"/>
      <c r="B20" s="51"/>
      <c r="C20" s="51"/>
      <c r="D20" s="51"/>
      <c r="E20" s="37">
        <f t="shared" si="6"/>
        <v>13.538461538461538</v>
      </c>
      <c r="F20" s="37">
        <f>TREND(F16:F19,E16:E19,E20:$E$22,TRUE)</f>
        <v>254.4578031596501</v>
      </c>
      <c r="G20" s="37">
        <v>13</v>
      </c>
      <c r="H20" s="37">
        <f>TREND(F16:F19,E16:E19,G20:$G$22,TRUE)</f>
        <v>241.52732956232785</v>
      </c>
      <c r="J20" s="3">
        <f>'2020 PM (MAI)'!J20</f>
        <v>12</v>
      </c>
      <c r="K20" s="3" t="str">
        <f>'2020 PM (MAI)'!K21</f>
        <v>01/01/2032 to 31/12/2032</v>
      </c>
      <c r="L20" s="37">
        <f t="shared" si="3"/>
        <v>217.44420320010767</v>
      </c>
      <c r="M20" s="37"/>
      <c r="N20" s="37">
        <f>L20*Overview!$E$30</f>
        <v>3100.7948495153169</v>
      </c>
      <c r="O20" s="37">
        <f t="shared" si="7"/>
        <v>5348.5610359289694</v>
      </c>
      <c r="P20" s="37">
        <f t="shared" si="9"/>
        <v>213.94244143715878</v>
      </c>
      <c r="Q20" s="37">
        <f t="shared" si="10"/>
        <v>106.97122071857939</v>
      </c>
      <c r="R20" s="37">
        <f t="shared" si="4"/>
        <v>5669.4746980847076</v>
      </c>
      <c r="S20" s="37">
        <f t="shared" si="8"/>
        <v>601.3116492666677</v>
      </c>
      <c r="T20" s="37">
        <f>Baseline!K18</f>
        <v>0</v>
      </c>
      <c r="U20" s="37">
        <f>Leakage!K18</f>
        <v>0</v>
      </c>
      <c r="V20" s="37">
        <f t="shared" si="5"/>
        <v>5669.4746980847076</v>
      </c>
      <c r="W20" s="37">
        <v>0</v>
      </c>
    </row>
    <row r="21" spans="1:23">
      <c r="A21" s="51"/>
      <c r="B21" s="51"/>
      <c r="C21" s="51"/>
      <c r="D21" s="51"/>
      <c r="E21" s="37">
        <f t="shared" si="6"/>
        <v>14.538461538461538</v>
      </c>
      <c r="F21" s="37">
        <f>TREND(F17:F20,E17:E20,E21:$E$22,TRUE)</f>
        <v>279.9063197205196</v>
      </c>
      <c r="G21" s="37">
        <v>14</v>
      </c>
      <c r="H21" s="37">
        <f>TREND(F17:F20,E17:E20,G21:$G$22,TRUE)</f>
        <v>266.58955923239364</v>
      </c>
      <c r="J21" s="3">
        <f>'2020 PM (MAI)'!J21</f>
        <v>13</v>
      </c>
      <c r="K21" s="3" t="str">
        <f>'2020 PM (MAI)'!K22</f>
        <v>01/01/2033 to 31/12/2033</v>
      </c>
      <c r="L21" s="37">
        <f t="shared" si="3"/>
        <v>241.52732956232785</v>
      </c>
      <c r="M21" s="37"/>
      <c r="N21" s="37">
        <f>L21*Overview!$E$30</f>
        <v>3444.2247183514892</v>
      </c>
      <c r="O21" s="37">
        <f t="shared" si="7"/>
        <v>5940.9432166844836</v>
      </c>
      <c r="P21" s="37">
        <f t="shared" si="9"/>
        <v>237.63772866737935</v>
      </c>
      <c r="Q21" s="37">
        <f t="shared" si="10"/>
        <v>118.81886433368967</v>
      </c>
      <c r="R21" s="37">
        <f t="shared" si="4"/>
        <v>6297.399809685553</v>
      </c>
      <c r="S21" s="37">
        <f t="shared" si="8"/>
        <v>627.92511160084541</v>
      </c>
      <c r="T21" s="37">
        <f>Baseline!K19</f>
        <v>0</v>
      </c>
      <c r="U21" s="37">
        <f>Leakage!K19</f>
        <v>0</v>
      </c>
      <c r="V21" s="37">
        <f t="shared" si="5"/>
        <v>6297.399809685553</v>
      </c>
      <c r="W21" s="37">
        <v>0</v>
      </c>
    </row>
    <row r="22" spans="1:23">
      <c r="A22" s="51"/>
      <c r="B22" s="51"/>
      <c r="C22" s="51"/>
      <c r="D22" s="51"/>
      <c r="E22" s="37">
        <v>15</v>
      </c>
      <c r="F22" s="37">
        <f>TREND(F18:F21,E18:E21,E22:$E$22,TRUE)</f>
        <v>290.16232586819984</v>
      </c>
      <c r="G22" s="37">
        <v>15</v>
      </c>
      <c r="H22" s="37">
        <f>TREND(F18:F21,E18:E21,G22:$G$22,TRUE)</f>
        <v>290.16232586819984</v>
      </c>
      <c r="J22" s="3">
        <f>'2020 PM (MAI)'!J22</f>
        <v>14</v>
      </c>
      <c r="K22" s="3" t="str">
        <f>'2020 PM (MAI)'!K23</f>
        <v>01/01/2034 to 31/12/2034</v>
      </c>
      <c r="L22" s="37">
        <f t="shared" si="3"/>
        <v>266.58955923239364</v>
      </c>
      <c r="M22" s="37"/>
      <c r="N22" s="37">
        <f>L22*Overview!$E$30</f>
        <v>3801.6167827736117</v>
      </c>
      <c r="O22" s="37">
        <f t="shared" si="7"/>
        <v>6557.4087886062025</v>
      </c>
      <c r="P22" s="37">
        <f t="shared" si="9"/>
        <v>262.29635154424813</v>
      </c>
      <c r="Q22" s="37">
        <f t="shared" si="10"/>
        <v>131.14817577212406</v>
      </c>
      <c r="R22" s="37">
        <f t="shared" si="4"/>
        <v>6950.8533159225744</v>
      </c>
      <c r="S22" s="37">
        <f t="shared" si="8"/>
        <v>653.45350623702143</v>
      </c>
      <c r="T22" s="37">
        <f>Baseline!K20</f>
        <v>0</v>
      </c>
      <c r="U22" s="37">
        <f>Leakage!K20</f>
        <v>0</v>
      </c>
      <c r="V22" s="37">
        <f t="shared" si="5"/>
        <v>6950.8533159225744</v>
      </c>
      <c r="W22" s="37">
        <v>0</v>
      </c>
    </row>
    <row r="23" spans="1:23">
      <c r="J23" s="3">
        <f>'2020 PM (MAI)'!J23</f>
        <v>15</v>
      </c>
      <c r="K23" s="3" t="str">
        <f>'2020 PM (MAI)'!K24</f>
        <v>01/01/2035 to 31/12/2035</v>
      </c>
      <c r="L23" s="37">
        <f t="shared" si="3"/>
        <v>290.16232586819984</v>
      </c>
      <c r="M23" s="37"/>
      <c r="N23" s="37">
        <f>L23*Overview!$E$30</f>
        <v>4137.7688268263464</v>
      </c>
      <c r="O23" s="37">
        <f t="shared" si="7"/>
        <v>7137.2374493927637</v>
      </c>
      <c r="P23" s="37">
        <f t="shared" si="9"/>
        <v>285.48949797571055</v>
      </c>
      <c r="Q23" s="37">
        <f t="shared" si="10"/>
        <v>142.74474898785527</v>
      </c>
      <c r="R23" s="37">
        <f t="shared" si="4"/>
        <v>7565.4716963563296</v>
      </c>
      <c r="S23" s="37">
        <f t="shared" si="8"/>
        <v>614.61838043375519</v>
      </c>
      <c r="T23" s="37">
        <f>Baseline!K21</f>
        <v>0</v>
      </c>
      <c r="U23" s="37">
        <f>Leakage!K21</f>
        <v>0</v>
      </c>
      <c r="V23" s="37">
        <f t="shared" si="5"/>
        <v>7565.4716963563296</v>
      </c>
      <c r="W23" s="37">
        <v>0</v>
      </c>
    </row>
    <row r="24" spans="1:23">
      <c r="J24" s="3">
        <f>'2020 PM (MAI)'!J24</f>
        <v>16</v>
      </c>
      <c r="K24" s="3" t="str">
        <f>'2020 PM (MAI)'!K25</f>
        <v>01/01/2036 to 31/12/2036</v>
      </c>
      <c r="L24" s="37">
        <f>L9</f>
        <v>0</v>
      </c>
      <c r="M24" s="37"/>
      <c r="N24" s="37">
        <f>L24*Overview!$E$30</f>
        <v>0</v>
      </c>
      <c r="O24" s="37">
        <f t="shared" si="7"/>
        <v>0</v>
      </c>
      <c r="P24" s="37">
        <f t="shared" si="9"/>
        <v>0</v>
      </c>
      <c r="Q24" s="37">
        <f t="shared" si="10"/>
        <v>0</v>
      </c>
      <c r="R24" s="37">
        <f t="shared" si="4"/>
        <v>0</v>
      </c>
      <c r="S24" s="37">
        <f t="shared" si="8"/>
        <v>-7565.4716963563296</v>
      </c>
      <c r="T24" s="37">
        <f>Baseline!K22</f>
        <v>0</v>
      </c>
      <c r="U24" s="37">
        <f>Leakage!K22</f>
        <v>0</v>
      </c>
      <c r="V24" s="37">
        <f t="shared" si="5"/>
        <v>0</v>
      </c>
      <c r="W24" s="37">
        <v>0</v>
      </c>
    </row>
    <row r="25" spans="1:23">
      <c r="J25" s="3">
        <f>'2020 PM (MAI)'!J25</f>
        <v>17</v>
      </c>
      <c r="K25" s="3" t="str">
        <f>'2020 PM (MAI)'!K26</f>
        <v>01/01/2037 to 31/12/2037</v>
      </c>
      <c r="L25" s="37">
        <f t="shared" ref="L25:L38" si="12">L10</f>
        <v>0</v>
      </c>
      <c r="M25" s="37"/>
      <c r="N25" s="37">
        <f>L25*Overview!$E$30</f>
        <v>0</v>
      </c>
      <c r="O25" s="37">
        <f t="shared" si="7"/>
        <v>0</v>
      </c>
      <c r="P25" s="37">
        <f t="shared" si="9"/>
        <v>0</v>
      </c>
      <c r="Q25" s="37">
        <f t="shared" si="10"/>
        <v>0</v>
      </c>
      <c r="R25" s="37">
        <f t="shared" si="4"/>
        <v>0</v>
      </c>
      <c r="S25" s="37">
        <f t="shared" si="8"/>
        <v>0</v>
      </c>
      <c r="T25" s="37">
        <f>Baseline!K23</f>
        <v>0</v>
      </c>
      <c r="U25" s="37">
        <f>Leakage!K23</f>
        <v>0</v>
      </c>
      <c r="V25" s="37">
        <f t="shared" si="5"/>
        <v>0</v>
      </c>
      <c r="W25" s="37">
        <v>0</v>
      </c>
    </row>
    <row r="26" spans="1:23">
      <c r="J26" s="3">
        <f>'2020 PM (MAI)'!J26</f>
        <v>18</v>
      </c>
      <c r="K26" s="3" t="str">
        <f>'2020 PM (MAI)'!K27</f>
        <v>01/01/2038 to 31/12/2038</v>
      </c>
      <c r="L26" s="37">
        <f t="shared" si="12"/>
        <v>21.555657778201279</v>
      </c>
      <c r="M26" s="37"/>
      <c r="N26" s="37">
        <f>L26*Overview!$E$30</f>
        <v>307.38769593710748</v>
      </c>
      <c r="O26" s="37">
        <f t="shared" si="7"/>
        <v>530.21303672191664</v>
      </c>
      <c r="P26" s="37">
        <f t="shared" si="9"/>
        <v>21.208521468876665</v>
      </c>
      <c r="Q26" s="37">
        <f t="shared" si="10"/>
        <v>10.604260734438332</v>
      </c>
      <c r="R26" s="37">
        <f t="shared" si="4"/>
        <v>562.02581892523165</v>
      </c>
      <c r="S26" s="37">
        <f t="shared" si="8"/>
        <v>562.02581892523165</v>
      </c>
      <c r="T26" s="37">
        <f>Baseline!K24</f>
        <v>0</v>
      </c>
      <c r="U26" s="37">
        <f>Leakage!K24</f>
        <v>0</v>
      </c>
      <c r="V26" s="37">
        <f t="shared" si="5"/>
        <v>562.02581892523165</v>
      </c>
      <c r="W26" s="37">
        <v>0</v>
      </c>
    </row>
    <row r="27" spans="1:23">
      <c r="J27" s="3">
        <f>'2020 PM (MAI)'!J27</f>
        <v>19</v>
      </c>
      <c r="K27" s="3" t="str">
        <f>'2020 PM (MAI)'!K28</f>
        <v>01/01/2039 to 31/12/2039</v>
      </c>
      <c r="L27" s="37">
        <f t="shared" si="12"/>
        <v>25.901622470625192</v>
      </c>
      <c r="M27" s="37"/>
      <c r="N27" s="37">
        <f>L27*Overview!$E$30</f>
        <v>369.36196214480196</v>
      </c>
      <c r="O27" s="37">
        <f t="shared" si="7"/>
        <v>637.11244850356888</v>
      </c>
      <c r="P27" s="37">
        <f t="shared" si="9"/>
        <v>25.484497940142756</v>
      </c>
      <c r="Q27" s="37">
        <f t="shared" si="10"/>
        <v>12.742248970071378</v>
      </c>
      <c r="R27" s="37">
        <f t="shared" si="4"/>
        <v>675.33919541378305</v>
      </c>
      <c r="S27" s="37">
        <f t="shared" si="8"/>
        <v>113.3133764885514</v>
      </c>
      <c r="T27" s="37">
        <f>Baseline!K25</f>
        <v>0</v>
      </c>
      <c r="U27" s="37">
        <f>Leakage!K25</f>
        <v>0</v>
      </c>
      <c r="V27" s="37">
        <f t="shared" si="5"/>
        <v>675.33919541378305</v>
      </c>
      <c r="W27" s="37">
        <v>0</v>
      </c>
    </row>
    <row r="28" spans="1:23">
      <c r="J28" s="3">
        <f>'2020 PM (MAI)'!J28</f>
        <v>20</v>
      </c>
      <c r="K28" s="3" t="str">
        <f>'2020 PM (MAI)'!K29</f>
        <v>01/01/2040 to 31/12/2040</v>
      </c>
      <c r="L28" s="37">
        <f t="shared" si="12"/>
        <v>36.078067490832133</v>
      </c>
      <c r="M28" s="37"/>
      <c r="N28" s="37">
        <f>L28*Overview!$E$30</f>
        <v>514.47996409951145</v>
      </c>
      <c r="O28" s="37">
        <f t="shared" si="7"/>
        <v>887.42649007524722</v>
      </c>
      <c r="P28" s="37">
        <f t="shared" si="9"/>
        <v>35.497059603009887</v>
      </c>
      <c r="Q28" s="37">
        <f t="shared" si="10"/>
        <v>17.748529801504944</v>
      </c>
      <c r="R28" s="37">
        <f t="shared" si="4"/>
        <v>940.67207947976203</v>
      </c>
      <c r="S28" s="37">
        <f t="shared" si="8"/>
        <v>265.33288406597899</v>
      </c>
      <c r="T28" s="37">
        <f>Baseline!K26</f>
        <v>0</v>
      </c>
      <c r="U28" s="37">
        <f>Leakage!K26</f>
        <v>0</v>
      </c>
      <c r="V28" s="37">
        <f t="shared" si="5"/>
        <v>940.67207947976203</v>
      </c>
      <c r="W28" s="37">
        <v>0</v>
      </c>
    </row>
    <row r="29" spans="1:23">
      <c r="J29" s="3">
        <f>'2020 PM (MAI)'!J29</f>
        <v>21</v>
      </c>
      <c r="K29" s="3" t="str">
        <f>'2020 PM (MAI)'!K30</f>
        <v>01/01/2041 to 31/12/2041</v>
      </c>
      <c r="L29" s="37">
        <f t="shared" si="12"/>
        <v>72.805939200929942</v>
      </c>
      <c r="M29" s="37"/>
      <c r="N29" s="37">
        <f>L29*Overview!$E$30</f>
        <v>1038.2262574303343</v>
      </c>
      <c r="O29" s="37">
        <f t="shared" si="7"/>
        <v>1790.8364714415834</v>
      </c>
      <c r="P29" s="37">
        <f t="shared" si="9"/>
        <v>71.633458857663342</v>
      </c>
      <c r="Q29" s="37">
        <f t="shared" si="10"/>
        <v>35.816729428831671</v>
      </c>
      <c r="R29" s="37">
        <f t="shared" si="4"/>
        <v>1898.2866597280783</v>
      </c>
      <c r="S29" s="37">
        <f t="shared" si="8"/>
        <v>957.61458024831632</v>
      </c>
      <c r="T29" s="37">
        <f>Baseline!K27</f>
        <v>0</v>
      </c>
      <c r="U29" s="37">
        <f>Leakage!K27</f>
        <v>0</v>
      </c>
      <c r="V29" s="37">
        <f t="shared" si="5"/>
        <v>1898.2866597280783</v>
      </c>
      <c r="W29" s="37">
        <v>0</v>
      </c>
    </row>
    <row r="30" spans="1:23">
      <c r="J30" s="3">
        <f>'2020 PM (MAI)'!J30</f>
        <v>22</v>
      </c>
      <c r="K30" s="3" t="str">
        <f>'2020 PM (MAI)'!K31</f>
        <v>01/01/2042 to 31/12/2042</v>
      </c>
      <c r="L30" s="37">
        <f t="shared" si="12"/>
        <v>97.231911970336427</v>
      </c>
      <c r="M30" s="37"/>
      <c r="N30" s="37">
        <f>L30*Overview!$E$30</f>
        <v>1386.545179908464</v>
      </c>
      <c r="O30" s="37">
        <f t="shared" si="7"/>
        <v>2391.6517808241092</v>
      </c>
      <c r="P30" s="37">
        <f t="shared" si="9"/>
        <v>95.66607123296437</v>
      </c>
      <c r="Q30" s="37">
        <f t="shared" si="10"/>
        <v>47.833035616482185</v>
      </c>
      <c r="R30" s="37">
        <f t="shared" si="4"/>
        <v>2535.1508876735556</v>
      </c>
      <c r="S30" s="37">
        <f t="shared" si="8"/>
        <v>636.8642279454773</v>
      </c>
      <c r="T30" s="37">
        <f>Baseline!K28</f>
        <v>0</v>
      </c>
      <c r="U30" s="37">
        <f>Leakage!K28</f>
        <v>0</v>
      </c>
      <c r="V30" s="37">
        <f t="shared" si="5"/>
        <v>2535.1508876735556</v>
      </c>
      <c r="W30" s="37">
        <v>0</v>
      </c>
    </row>
    <row r="31" spans="1:23">
      <c r="J31" s="3">
        <f>'2020 PM (MAI)'!J31</f>
        <v>23</v>
      </c>
      <c r="K31" s="3" t="str">
        <f>'2020 PM (MAI)'!K32</f>
        <v>01/01/2043 to 31/12/2043</v>
      </c>
      <c r="L31" s="37">
        <f t="shared" si="12"/>
        <v>121.19493004119175</v>
      </c>
      <c r="M31" s="37"/>
      <c r="N31" s="37">
        <f>L31*Overview!$E$30</f>
        <v>1728.262282132479</v>
      </c>
      <c r="O31" s="37">
        <f t="shared" si="7"/>
        <v>2981.0796104503124</v>
      </c>
      <c r="P31" s="37">
        <f t="shared" si="9"/>
        <v>119.2431844180125</v>
      </c>
      <c r="Q31" s="37">
        <f t="shared" si="10"/>
        <v>59.621592209006252</v>
      </c>
      <c r="R31" s="37">
        <f t="shared" si="4"/>
        <v>3159.9443870773312</v>
      </c>
      <c r="S31" s="37">
        <f t="shared" si="8"/>
        <v>624.79349940377551</v>
      </c>
      <c r="T31" s="37">
        <f>Baseline!K29</f>
        <v>0</v>
      </c>
      <c r="U31" s="37">
        <f>Leakage!K29</f>
        <v>0</v>
      </c>
      <c r="V31" s="37">
        <f t="shared" si="5"/>
        <v>3159.9443870773312</v>
      </c>
      <c r="W31" s="37">
        <v>0</v>
      </c>
    </row>
    <row r="32" spans="1:23">
      <c r="J32" s="3">
        <f>'2020 PM (MAI)'!J32</f>
        <v>24</v>
      </c>
      <c r="K32" s="3" t="str">
        <f>'2020 PM (MAI)'!K33</f>
        <v>01/01/2044 to 31/12/2044</v>
      </c>
      <c r="L32" s="37">
        <f t="shared" si="12"/>
        <v>146.21554356627516</v>
      </c>
      <c r="M32" s="37"/>
      <c r="N32" s="37">
        <f>L32*Overview!$E$30</f>
        <v>2085.0608925736769</v>
      </c>
      <c r="O32" s="37">
        <f t="shared" si="7"/>
        <v>3596.5215336003348</v>
      </c>
      <c r="P32" s="37">
        <f t="shared" si="9"/>
        <v>143.86086134401339</v>
      </c>
      <c r="Q32" s="37">
        <f t="shared" si="10"/>
        <v>71.930430672006693</v>
      </c>
      <c r="R32" s="37">
        <f t="shared" si="4"/>
        <v>3812.312825616355</v>
      </c>
      <c r="S32" s="37">
        <f t="shared" si="8"/>
        <v>652.36843853902383</v>
      </c>
      <c r="T32" s="37">
        <f>Baseline!K30</f>
        <v>0</v>
      </c>
      <c r="U32" s="37">
        <f>Leakage!K30</f>
        <v>0</v>
      </c>
      <c r="V32" s="37">
        <f t="shared" si="5"/>
        <v>3812.312825616355</v>
      </c>
      <c r="W32" s="37">
        <v>0</v>
      </c>
    </row>
    <row r="33" spans="10:23">
      <c r="J33" s="3">
        <f>'2020 PM (MAI)'!J33</f>
        <v>25</v>
      </c>
      <c r="K33" s="3" t="str">
        <f>'2020 PM (MAI)'!K34</f>
        <v>01/01/2045 to 31/12/2045</v>
      </c>
      <c r="L33" s="37">
        <f t="shared" si="12"/>
        <v>167.31974385997611</v>
      </c>
      <c r="M33" s="37"/>
      <c r="N33" s="37">
        <f>L33*Overview!$E$30</f>
        <v>2386.0107206710727</v>
      </c>
      <c r="O33" s="37">
        <f t="shared" si="7"/>
        <v>4115.6298920855324</v>
      </c>
      <c r="P33" s="37">
        <f t="shared" si="9"/>
        <v>164.62519568342131</v>
      </c>
      <c r="Q33" s="37">
        <f t="shared" si="10"/>
        <v>82.312597841710655</v>
      </c>
      <c r="R33" s="37">
        <f t="shared" si="4"/>
        <v>4362.5676856106647</v>
      </c>
      <c r="S33" s="37">
        <f t="shared" si="8"/>
        <v>550.25485999430975</v>
      </c>
      <c r="T33" s="37">
        <f>Baseline!K31</f>
        <v>0</v>
      </c>
      <c r="U33" s="37">
        <f>Leakage!K31</f>
        <v>0</v>
      </c>
      <c r="V33" s="37">
        <f t="shared" si="5"/>
        <v>4362.5676856106647</v>
      </c>
      <c r="W33" s="37">
        <v>0</v>
      </c>
    </row>
    <row r="34" spans="10:23">
      <c r="J34" s="3">
        <f>'2020 PM (MAI)'!J34</f>
        <v>26</v>
      </c>
      <c r="K34" s="3" t="str">
        <f>'2020 PM (MAI)'!K35</f>
        <v>01/01/2046 to 31/12/2046</v>
      </c>
      <c r="L34" s="37">
        <f t="shared" si="12"/>
        <v>194.38179629071544</v>
      </c>
      <c r="M34" s="37"/>
      <c r="N34" s="37">
        <f>L34*Overview!$E$30</f>
        <v>2771.9206302460198</v>
      </c>
      <c r="O34" s="37">
        <f t="shared" si="7"/>
        <v>4781.2858951113585</v>
      </c>
      <c r="P34" s="37">
        <f t="shared" si="9"/>
        <v>191.25143580445433</v>
      </c>
      <c r="Q34" s="37">
        <f t="shared" si="10"/>
        <v>95.625717902227166</v>
      </c>
      <c r="R34" s="37">
        <f t="shared" si="4"/>
        <v>5068.1630488180399</v>
      </c>
      <c r="S34" s="37">
        <f t="shared" si="8"/>
        <v>705.59536320737516</v>
      </c>
      <c r="T34" s="37">
        <f>Baseline!K32</f>
        <v>0</v>
      </c>
      <c r="U34" s="37">
        <f>Leakage!K32</f>
        <v>0</v>
      </c>
      <c r="V34" s="37">
        <f t="shared" si="5"/>
        <v>5068.1630488180399</v>
      </c>
      <c r="W34" s="37">
        <v>0</v>
      </c>
    </row>
    <row r="35" spans="10:23">
      <c r="J35" s="3">
        <f>'2020 PM (MAI)'!J35</f>
        <v>27</v>
      </c>
      <c r="K35" s="3" t="str">
        <f>'2020 PM (MAI)'!K36</f>
        <v>01/01/2047 to 31/12/2047</v>
      </c>
      <c r="L35" s="37">
        <f t="shared" si="12"/>
        <v>217.44420320010767</v>
      </c>
      <c r="M35" s="37"/>
      <c r="N35" s="37">
        <f>L35*Overview!$E$30</f>
        <v>3100.7948495153169</v>
      </c>
      <c r="O35" s="37">
        <f t="shared" si="7"/>
        <v>5348.5610359289694</v>
      </c>
      <c r="P35" s="37">
        <f t="shared" si="9"/>
        <v>213.94244143715878</v>
      </c>
      <c r="Q35" s="37">
        <f t="shared" si="10"/>
        <v>106.97122071857939</v>
      </c>
      <c r="R35" s="37">
        <f t="shared" si="4"/>
        <v>5669.4746980847076</v>
      </c>
      <c r="S35" s="37">
        <f t="shared" si="8"/>
        <v>601.3116492666677</v>
      </c>
      <c r="T35" s="37">
        <f>Baseline!K33</f>
        <v>0</v>
      </c>
      <c r="U35" s="37">
        <f>Leakage!K33</f>
        <v>0</v>
      </c>
      <c r="V35" s="37">
        <f t="shared" si="5"/>
        <v>5669.4746980847076</v>
      </c>
      <c r="W35" s="37">
        <v>0</v>
      </c>
    </row>
    <row r="36" spans="10:23">
      <c r="J36" s="3">
        <f>'2020 PM (MAI)'!J36</f>
        <v>28</v>
      </c>
      <c r="K36" s="3" t="str">
        <f>'2020 PM (MAI)'!K37</f>
        <v>01/01/2048 to 31/12/2048</v>
      </c>
      <c r="L36" s="37">
        <f t="shared" si="12"/>
        <v>241.52732956232785</v>
      </c>
      <c r="M36" s="37"/>
      <c r="N36" s="37">
        <f>L36*Overview!$E$30</f>
        <v>3444.2247183514892</v>
      </c>
      <c r="O36" s="37">
        <f t="shared" si="7"/>
        <v>5940.9432166844836</v>
      </c>
      <c r="P36" s="37">
        <f t="shared" si="9"/>
        <v>237.63772866737935</v>
      </c>
      <c r="Q36" s="37">
        <f t="shared" si="10"/>
        <v>118.81886433368967</v>
      </c>
      <c r="R36" s="37">
        <f t="shared" si="4"/>
        <v>6297.399809685553</v>
      </c>
      <c r="S36" s="37">
        <f t="shared" si="8"/>
        <v>627.92511160084541</v>
      </c>
      <c r="T36" s="37">
        <f>Baseline!K34</f>
        <v>0</v>
      </c>
      <c r="U36" s="37">
        <f>Leakage!K34</f>
        <v>0</v>
      </c>
      <c r="V36" s="37">
        <f t="shared" si="5"/>
        <v>6297.399809685553</v>
      </c>
      <c r="W36" s="37">
        <v>0</v>
      </c>
    </row>
    <row r="37" spans="10:23">
      <c r="J37" s="3">
        <f>'2020 PM (MAI)'!J37</f>
        <v>29</v>
      </c>
      <c r="K37" s="3" t="str">
        <f>'2020 PM (MAI)'!K38</f>
        <v>01/01/2049 to 31/12/2049</v>
      </c>
      <c r="L37" s="37">
        <f t="shared" si="12"/>
        <v>266.58955923239364</v>
      </c>
      <c r="M37" s="37"/>
      <c r="N37" s="37">
        <f>L37*Overview!$E$30</f>
        <v>3801.6167827736117</v>
      </c>
      <c r="O37" s="37">
        <f t="shared" si="7"/>
        <v>6557.4087886062025</v>
      </c>
      <c r="P37" s="37">
        <f t="shared" si="9"/>
        <v>262.29635154424813</v>
      </c>
      <c r="Q37" s="37">
        <f t="shared" si="10"/>
        <v>131.14817577212406</v>
      </c>
      <c r="R37" s="37">
        <f t="shared" si="4"/>
        <v>6950.8533159225744</v>
      </c>
      <c r="S37" s="37">
        <f t="shared" si="8"/>
        <v>653.45350623702143</v>
      </c>
      <c r="T37" s="37">
        <f>Baseline!K35</f>
        <v>0</v>
      </c>
      <c r="U37" s="37">
        <f>Leakage!K35</f>
        <v>0</v>
      </c>
      <c r="V37" s="37">
        <f t="shared" si="5"/>
        <v>6950.8533159225744</v>
      </c>
      <c r="W37" s="37">
        <v>0</v>
      </c>
    </row>
    <row r="38" spans="10:23">
      <c r="J38" s="3">
        <f>'2020 PM (MAI)'!J38</f>
        <v>30</v>
      </c>
      <c r="K38" s="3" t="str">
        <f>'2020 PM (MAI)'!K39</f>
        <v>01/01/2050 to 31/12/2050</v>
      </c>
      <c r="L38" s="37">
        <f t="shared" si="12"/>
        <v>290.16232586819984</v>
      </c>
      <c r="M38" s="37"/>
      <c r="N38" s="37">
        <f>L38*Overview!$E$30</f>
        <v>4137.7688268263464</v>
      </c>
      <c r="O38" s="37">
        <f t="shared" si="7"/>
        <v>7137.2374493927637</v>
      </c>
      <c r="P38" s="37">
        <f t="shared" si="9"/>
        <v>285.48949797571055</v>
      </c>
      <c r="Q38" s="37">
        <f t="shared" si="10"/>
        <v>142.74474898785527</v>
      </c>
      <c r="R38" s="37">
        <f t="shared" si="4"/>
        <v>7565.4716963563296</v>
      </c>
      <c r="S38" s="37">
        <f t="shared" si="8"/>
        <v>614.61838043375519</v>
      </c>
      <c r="T38" s="37">
        <f>Baseline!K36</f>
        <v>0</v>
      </c>
      <c r="U38" s="37">
        <f>Leakage!K36</f>
        <v>0</v>
      </c>
      <c r="V38" s="37">
        <f t="shared" si="5"/>
        <v>7565.4716963563296</v>
      </c>
      <c r="W38" s="37">
        <v>0</v>
      </c>
    </row>
    <row r="39" spans="10:23">
      <c r="J39" s="3">
        <f>'2020 PM (MAI)'!J39</f>
        <v>31</v>
      </c>
      <c r="K39" s="3" t="str">
        <f>'2020 PM (MAI)'!K40</f>
        <v>01/01/2051 to 31/12/2051</v>
      </c>
      <c r="L39" s="37">
        <v>0</v>
      </c>
      <c r="M39" s="37"/>
      <c r="N39" s="37">
        <f>L39*Overview!$E$30</f>
        <v>0</v>
      </c>
      <c r="O39" s="37">
        <f t="shared" si="7"/>
        <v>0</v>
      </c>
      <c r="P39" s="37">
        <f t="shared" si="9"/>
        <v>0</v>
      </c>
      <c r="Q39" s="37">
        <f t="shared" si="10"/>
        <v>0</v>
      </c>
      <c r="R39" s="37">
        <f t="shared" si="4"/>
        <v>0</v>
      </c>
      <c r="S39" s="37">
        <f t="shared" si="8"/>
        <v>-7565.4716963563296</v>
      </c>
      <c r="T39" s="37">
        <f>Baseline!K37</f>
        <v>0</v>
      </c>
      <c r="U39" s="37">
        <f>Leakage!K37</f>
        <v>0</v>
      </c>
      <c r="V39" s="37">
        <f t="shared" si="5"/>
        <v>0</v>
      </c>
      <c r="W39" s="37">
        <v>0</v>
      </c>
    </row>
    <row r="40" spans="10:23">
      <c r="J40" s="3">
        <v>31.46</v>
      </c>
      <c r="K40" s="3" t="str">
        <f>'2020 PM (MAI)'!K41</f>
        <v>01/01/2052 to 17/06/2052</v>
      </c>
      <c r="L40" s="37">
        <v>0</v>
      </c>
      <c r="M40" s="37"/>
      <c r="N40" s="37">
        <f>L40*Overview!$E$30</f>
        <v>0</v>
      </c>
      <c r="O40" s="37">
        <f t="shared" si="7"/>
        <v>0</v>
      </c>
      <c r="P40" s="37">
        <f t="shared" si="9"/>
        <v>0</v>
      </c>
      <c r="Q40" s="37">
        <f t="shared" si="10"/>
        <v>0</v>
      </c>
      <c r="R40" s="37">
        <f t="shared" si="4"/>
        <v>0</v>
      </c>
      <c r="S40" s="37">
        <f t="shared" si="8"/>
        <v>0</v>
      </c>
      <c r="T40" s="37">
        <f>Baseline!K38</f>
        <v>0</v>
      </c>
      <c r="U40" s="37">
        <f>Leakage!K38</f>
        <v>0</v>
      </c>
      <c r="V40" s="37">
        <f t="shared" si="5"/>
        <v>0</v>
      </c>
      <c r="W40" s="37">
        <v>0</v>
      </c>
    </row>
    <row r="41" spans="10:23" ht="15.75">
      <c r="U41" s="67" t="s">
        <v>97</v>
      </c>
      <c r="V41" s="68">
        <f>SUM(V9:V39)</f>
        <v>98995.324216783949</v>
      </c>
    </row>
    <row r="42" spans="10:23" ht="15.75">
      <c r="U42" s="67" t="s">
        <v>98</v>
      </c>
      <c r="V42" s="68">
        <f>V41/30</f>
        <v>3299.8441405594649</v>
      </c>
    </row>
  </sheetData>
  <mergeCells count="18">
    <mergeCell ref="M9:M15"/>
    <mergeCell ref="V6:V8"/>
    <mergeCell ref="W6:W8"/>
    <mergeCell ref="U6:U8"/>
    <mergeCell ref="D7:D12"/>
    <mergeCell ref="A5:H5"/>
    <mergeCell ref="T6:T8"/>
    <mergeCell ref="J7:J8"/>
    <mergeCell ref="K7:K8"/>
    <mergeCell ref="L7:L8"/>
    <mergeCell ref="J6:M6"/>
    <mergeCell ref="N6:N8"/>
    <mergeCell ref="O6:O8"/>
    <mergeCell ref="P6:P8"/>
    <mergeCell ref="Q6:Q8"/>
    <mergeCell ref="R6:R8"/>
    <mergeCell ref="S6:S8"/>
    <mergeCell ref="M7:M8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ksheet" dvAspect="DVASPECT_ICON" shapeId="29707" r:id="rId3">
          <objectPr defaultSize="0" autoPict="0" r:id="rId4">
            <anchor moveWithCells="1">
              <from>
                <xdr:col>3</xdr:col>
                <xdr:colOff>114300</xdr:colOff>
                <xdr:row>6</xdr:row>
                <xdr:rowOff>95250</xdr:rowOff>
              </from>
              <to>
                <xdr:col>3</xdr:col>
                <xdr:colOff>1238250</xdr:colOff>
                <xdr:row>11</xdr:row>
                <xdr:rowOff>0</xdr:rowOff>
              </to>
            </anchor>
          </objectPr>
        </oleObject>
      </mc:Choice>
      <mc:Fallback>
        <oleObject progId="Worksheet" dvAspect="DVASPECT_ICON" shapeId="29707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Sahil Pathan</dc:creator>
  <cp:keywords/>
  <dc:description/>
  <cp:lastModifiedBy>Guest User</cp:lastModifiedBy>
  <cp:revision/>
  <dcterms:created xsi:type="dcterms:W3CDTF">2024-01-17T04:57:11Z</dcterms:created>
  <dcterms:modified xsi:type="dcterms:W3CDTF">2025-08-08T12:24:23Z</dcterms:modified>
  <cp:category/>
  <cp:contentStatus/>
</cp:coreProperties>
</file>