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akand\Documents\KB\Prj\Akbuk\LE-Gelen-20230809\Akbük WFP_Sustain Cert documents_clean\"/>
    </mc:Choice>
  </mc:AlternateContent>
  <bookViews>
    <workbookView xWindow="32760" yWindow="32760" windowWidth="23040" windowHeight="9735" tabRatio="874"/>
  </bookViews>
  <sheets>
    <sheet name="ER of Akbük WFP" sheetId="1" r:id="rId1"/>
    <sheet name="Monitoring Plan" sheetId="2" r:id="rId2"/>
    <sheet name="Trainings" sheetId="5" r:id="rId3"/>
    <sheet name="Generation Values" sheetId="6" r:id="rId4"/>
  </sheets>
  <calcPr calcId="977461"/>
</workbook>
</file>

<file path=xl/calcChain.xml><?xml version="1.0" encoding="utf-8"?>
<calcChain xmlns="http://schemas.openxmlformats.org/spreadsheetml/2006/main">
  <c r="D51" i="1" l="1"/>
  <c r="D49" i="1"/>
  <c r="E49" i="1"/>
  <c r="F49" i="1"/>
  <c r="I49" i="1"/>
  <c r="D48" i="1"/>
  <c r="D47" i="1"/>
  <c r="D46" i="1"/>
  <c r="D33" i="1"/>
  <c r="D36" i="1"/>
  <c r="D37" i="1"/>
  <c r="D38" i="1"/>
  <c r="D39" i="1"/>
  <c r="D40" i="1"/>
  <c r="D41" i="1"/>
  <c r="E41" i="1"/>
  <c r="F41" i="1"/>
  <c r="I41" i="1"/>
  <c r="D42" i="1"/>
  <c r="D43" i="1"/>
  <c r="D44" i="1"/>
  <c r="D45" i="1"/>
  <c r="D35" i="1"/>
  <c r="E35" i="1"/>
  <c r="F35" i="1"/>
  <c r="I35" i="1"/>
  <c r="D34" i="1"/>
  <c r="D32" i="1"/>
  <c r="D31" i="1"/>
  <c r="D30" i="1"/>
  <c r="C51" i="1"/>
  <c r="C50" i="1"/>
  <c r="C46" i="1"/>
  <c r="C33" i="1"/>
  <c r="C34" i="1"/>
  <c r="C35" i="1"/>
  <c r="C36" i="1"/>
  <c r="C37" i="1"/>
  <c r="C38" i="1"/>
  <c r="E38" i="1"/>
  <c r="F38" i="1"/>
  <c r="I38" i="1"/>
  <c r="C39" i="1"/>
  <c r="E39" i="1"/>
  <c r="F39" i="1"/>
  <c r="I39" i="1"/>
  <c r="C40" i="1"/>
  <c r="E40" i="1"/>
  <c r="F40" i="1"/>
  <c r="I40" i="1"/>
  <c r="C41" i="1"/>
  <c r="C42" i="1"/>
  <c r="C43" i="1"/>
  <c r="C44" i="1"/>
  <c r="C45" i="1"/>
  <c r="C47" i="1"/>
  <c r="E47" i="1"/>
  <c r="C48" i="1"/>
  <c r="C49" i="1"/>
  <c r="C32" i="1"/>
  <c r="C31" i="1"/>
  <c r="C30" i="1"/>
  <c r="H50" i="1"/>
  <c r="G50" i="1"/>
  <c r="H46" i="1"/>
  <c r="G46" i="1"/>
  <c r="E44" i="1"/>
  <c r="F44" i="1"/>
  <c r="I44" i="1"/>
  <c r="E43" i="1"/>
  <c r="F43" i="1"/>
  <c r="I43" i="1"/>
  <c r="E42" i="1"/>
  <c r="F42" i="1"/>
  <c r="I42" i="1"/>
  <c r="E36" i="1"/>
  <c r="F36" i="1"/>
  <c r="I36" i="1"/>
  <c r="H33" i="1"/>
  <c r="H51" i="1"/>
  <c r="G33" i="1"/>
  <c r="E32" i="1"/>
  <c r="F32" i="1"/>
  <c r="I32" i="1"/>
  <c r="D30" i="6"/>
  <c r="D31" i="6"/>
  <c r="D32" i="6"/>
  <c r="D33" i="6"/>
  <c r="D34" i="6"/>
  <c r="D35" i="6"/>
  <c r="C59" i="6"/>
  <c r="D36" i="6"/>
  <c r="D37" i="6"/>
  <c r="C61" i="6"/>
  <c r="D38" i="6"/>
  <c r="D39" i="6"/>
  <c r="C63" i="6"/>
  <c r="D40" i="6"/>
  <c r="D41" i="6"/>
  <c r="D42" i="6"/>
  <c r="D43" i="6"/>
  <c r="D44" i="6"/>
  <c r="D45" i="6"/>
  <c r="C68" i="6"/>
  <c r="D46" i="6"/>
  <c r="D47" i="6"/>
  <c r="C46" i="6"/>
  <c r="C47" i="6"/>
  <c r="B46" i="6"/>
  <c r="B47" i="6"/>
  <c r="C22" i="6"/>
  <c r="C23" i="6"/>
  <c r="B22" i="6"/>
  <c r="C23" i="1"/>
  <c r="C27" i="6"/>
  <c r="C30" i="6"/>
  <c r="B27" i="6"/>
  <c r="B30" i="6"/>
  <c r="C3" i="6"/>
  <c r="D4" i="1"/>
  <c r="B3" i="6"/>
  <c r="B6" i="6"/>
  <c r="E13" i="2"/>
  <c r="G24" i="1"/>
  <c r="H24" i="1"/>
  <c r="B23" i="6"/>
  <c r="D23" i="6"/>
  <c r="F61" i="1"/>
  <c r="H61" i="1"/>
  <c r="D21" i="1"/>
  <c r="D22" i="1"/>
  <c r="D8" i="1"/>
  <c r="D9" i="1"/>
  <c r="D10" i="1"/>
  <c r="D11" i="1"/>
  <c r="D12" i="1"/>
  <c r="D13" i="1"/>
  <c r="D14" i="1"/>
  <c r="D15" i="1"/>
  <c r="D16" i="1"/>
  <c r="D17" i="1"/>
  <c r="D18" i="1"/>
  <c r="D19" i="1"/>
  <c r="D5" i="1"/>
  <c r="D6" i="1"/>
  <c r="C22" i="1"/>
  <c r="C21" i="1"/>
  <c r="C9" i="1"/>
  <c r="C10" i="1"/>
  <c r="C11" i="1"/>
  <c r="C12" i="1"/>
  <c r="C13" i="1"/>
  <c r="C14" i="1"/>
  <c r="C15" i="1"/>
  <c r="C16" i="1"/>
  <c r="C17" i="1"/>
  <c r="C18" i="1"/>
  <c r="C19" i="1"/>
  <c r="C8" i="1"/>
  <c r="C4" i="1"/>
  <c r="C5" i="1"/>
  <c r="C6" i="1"/>
  <c r="C56" i="6"/>
  <c r="C57" i="6"/>
  <c r="C58" i="6"/>
  <c r="C60" i="6"/>
  <c r="C62" i="6"/>
  <c r="C64" i="6"/>
  <c r="C65" i="6"/>
  <c r="C66" i="6"/>
  <c r="D28" i="6"/>
  <c r="C53" i="6"/>
  <c r="D29" i="6"/>
  <c r="C54" i="6"/>
  <c r="D4" i="6"/>
  <c r="B53" i="6"/>
  <c r="D5" i="6"/>
  <c r="B54" i="6"/>
  <c r="D7" i="6"/>
  <c r="B55" i="6"/>
  <c r="D8" i="6"/>
  <c r="B56" i="6"/>
  <c r="D56" i="6"/>
  <c r="D9" i="6"/>
  <c r="B57" i="6"/>
  <c r="D10" i="6"/>
  <c r="B58" i="6"/>
  <c r="D11" i="6"/>
  <c r="B59" i="6"/>
  <c r="D12" i="6"/>
  <c r="B60" i="6"/>
  <c r="D13" i="6"/>
  <c r="B61" i="6"/>
  <c r="D14" i="6"/>
  <c r="B62" i="6"/>
  <c r="D15" i="6"/>
  <c r="B63" i="6"/>
  <c r="D16" i="6"/>
  <c r="B64" i="6"/>
  <c r="D17" i="6"/>
  <c r="B65" i="6"/>
  <c r="D18" i="6"/>
  <c r="B66" i="6"/>
  <c r="D20" i="6"/>
  <c r="B67" i="6"/>
  <c r="D21" i="6"/>
  <c r="B68" i="6"/>
  <c r="C43" i="6"/>
  <c r="B43" i="6"/>
  <c r="F63" i="1"/>
  <c r="H63" i="1"/>
  <c r="G20" i="1"/>
  <c r="H20" i="1"/>
  <c r="G7" i="1"/>
  <c r="H7" i="1"/>
  <c r="C19" i="6"/>
  <c r="B19" i="6"/>
  <c r="F68" i="1"/>
  <c r="F70" i="1"/>
  <c r="F62" i="1"/>
  <c r="H62" i="1"/>
  <c r="D23" i="1"/>
  <c r="E48" i="1"/>
  <c r="F48" i="1"/>
  <c r="I48" i="1"/>
  <c r="E45" i="1"/>
  <c r="F45" i="1"/>
  <c r="I45" i="1"/>
  <c r="E37" i="1"/>
  <c r="F37" i="1"/>
  <c r="I37" i="1"/>
  <c r="E30" i="1"/>
  <c r="F30" i="1"/>
  <c r="I30" i="1"/>
  <c r="G51" i="1"/>
  <c r="D50" i="1"/>
  <c r="F47" i="1"/>
  <c r="I47" i="1"/>
  <c r="E31" i="1"/>
  <c r="F31" i="1"/>
  <c r="I31" i="1"/>
  <c r="E34" i="1"/>
  <c r="E16" i="1"/>
  <c r="F16" i="1"/>
  <c r="I16" i="1"/>
  <c r="H64" i="1"/>
  <c r="E22" i="1"/>
  <c r="F22" i="1"/>
  <c r="I22" i="1"/>
  <c r="G25" i="1"/>
  <c r="E15" i="1"/>
  <c r="F15" i="1"/>
  <c r="I15" i="1"/>
  <c r="H25" i="1"/>
  <c r="F64" i="1"/>
  <c r="E17" i="1"/>
  <c r="F17" i="1"/>
  <c r="I17" i="1"/>
  <c r="E9" i="1"/>
  <c r="F9" i="1"/>
  <c r="I9" i="1"/>
  <c r="E10" i="1"/>
  <c r="F10" i="1"/>
  <c r="I10" i="1"/>
  <c r="D19" i="6"/>
  <c r="E13" i="1"/>
  <c r="F13" i="1"/>
  <c r="I13" i="1"/>
  <c r="E19" i="1"/>
  <c r="F19" i="1"/>
  <c r="I19" i="1"/>
  <c r="E18" i="1"/>
  <c r="F18" i="1"/>
  <c r="I18" i="1"/>
  <c r="D24" i="1"/>
  <c r="C69" i="6"/>
  <c r="D59" i="6"/>
  <c r="E14" i="1"/>
  <c r="F14" i="1"/>
  <c r="I14" i="1"/>
  <c r="E12" i="1"/>
  <c r="F12" i="1"/>
  <c r="I12" i="1"/>
  <c r="D20" i="1"/>
  <c r="E11" i="1"/>
  <c r="F11" i="1"/>
  <c r="I11" i="1"/>
  <c r="C6" i="6"/>
  <c r="D6" i="6"/>
  <c r="E21" i="1"/>
  <c r="F21" i="1"/>
  <c r="I21" i="1"/>
  <c r="E4" i="1"/>
  <c r="F4" i="1"/>
  <c r="E5" i="1"/>
  <c r="F5" i="1"/>
  <c r="I5" i="1"/>
  <c r="D68" i="6"/>
  <c r="D60" i="6"/>
  <c r="E6" i="1"/>
  <c r="F6" i="1"/>
  <c r="I6" i="1"/>
  <c r="D62" i="6"/>
  <c r="C20" i="1"/>
  <c r="D7" i="1"/>
  <c r="D57" i="6"/>
  <c r="D61" i="6"/>
  <c r="D66" i="6"/>
  <c r="D65" i="6"/>
  <c r="D54" i="6"/>
  <c r="C7" i="1"/>
  <c r="D58" i="6"/>
  <c r="D3" i="6"/>
  <c r="B52" i="6"/>
  <c r="D64" i="6"/>
  <c r="D53" i="6"/>
  <c r="C24" i="1"/>
  <c r="E23" i="1"/>
  <c r="F23" i="1"/>
  <c r="I23" i="1"/>
  <c r="D63" i="6"/>
  <c r="C55" i="6"/>
  <c r="D55" i="6"/>
  <c r="C67" i="6"/>
  <c r="D67" i="6"/>
  <c r="E8" i="1"/>
  <c r="D27" i="6"/>
  <c r="D22" i="6"/>
  <c r="B69" i="6"/>
  <c r="E50" i="1"/>
  <c r="I50" i="1"/>
  <c r="F50" i="1"/>
  <c r="E33" i="1"/>
  <c r="I33" i="1"/>
  <c r="F33" i="1"/>
  <c r="E46" i="1"/>
  <c r="F34" i="1"/>
  <c r="D24" i="6"/>
  <c r="D69" i="6"/>
  <c r="D25" i="1"/>
  <c r="E7" i="1"/>
  <c r="E24" i="1"/>
  <c r="C25" i="1"/>
  <c r="I4" i="1"/>
  <c r="I7" i="1"/>
  <c r="F7" i="1"/>
  <c r="I24" i="1"/>
  <c r="G63" i="1"/>
  <c r="I63" i="1"/>
  <c r="F24" i="1"/>
  <c r="D48" i="6"/>
  <c r="C52" i="6"/>
  <c r="D52" i="6"/>
  <c r="E20" i="1"/>
  <c r="F8" i="1"/>
  <c r="E51" i="1"/>
  <c r="F46" i="1"/>
  <c r="F51" i="1"/>
  <c r="I34" i="1"/>
  <c r="I46" i="1"/>
  <c r="I51" i="1"/>
  <c r="E25" i="1"/>
  <c r="F4" i="2"/>
  <c r="C13" i="2"/>
  <c r="D13" i="2"/>
  <c r="F13" i="2"/>
  <c r="G61" i="1"/>
  <c r="F20" i="1"/>
  <c r="F25" i="1"/>
  <c r="I8" i="1"/>
  <c r="I20" i="1"/>
  <c r="G62" i="1"/>
  <c r="I62" i="1"/>
  <c r="G64" i="1"/>
  <c r="I64" i="1"/>
  <c r="I61" i="1"/>
  <c r="I25" i="1"/>
  <c r="F71" i="1"/>
</calcChain>
</file>

<file path=xl/sharedStrings.xml><?xml version="1.0" encoding="utf-8"?>
<sst xmlns="http://schemas.openxmlformats.org/spreadsheetml/2006/main" count="213" uniqueCount="101">
  <si>
    <t>Electricity supplied to the grid (MWh) (1)</t>
  </si>
  <si>
    <t>Electricity consumption from the grid (MWh) (2)</t>
  </si>
  <si>
    <t>EF</t>
  </si>
  <si>
    <t>tCO2/MWh.</t>
  </si>
  <si>
    <t xml:space="preserve">Net electricity supplied to the grid[MWh] (3) =(1)-(2)  </t>
  </si>
  <si>
    <t>Project emissions or actual net GHG removals by sinks (tCO2e)</t>
  </si>
  <si>
    <t>Leakage (tCO2e)</t>
  </si>
  <si>
    <t>Emission reductions or net anthropogenic GHG removals by sinks (tCO2e)</t>
  </si>
  <si>
    <t>Months</t>
  </si>
  <si>
    <t>Baseline emissions or baseline net GHG removals by sinks (tCO2e)</t>
  </si>
  <si>
    <t>Vintage</t>
  </si>
  <si>
    <t>Total</t>
  </si>
  <si>
    <t>Monitoring Start Date</t>
  </si>
  <si>
    <t>Monitoring End Date</t>
  </si>
  <si>
    <t>Monitoring Duration (days)</t>
  </si>
  <si>
    <t>Estimated ER Amount (during monitoring duration)</t>
  </si>
  <si>
    <t>Name and Surname</t>
  </si>
  <si>
    <t>actual ERy (tCO2e)</t>
  </si>
  <si>
    <t>estimated ERy (tCO2e)</t>
  </si>
  <si>
    <t>% by year</t>
  </si>
  <si>
    <t>n of days</t>
  </si>
  <si>
    <t xml:space="preserve">Total Sum </t>
  </si>
  <si>
    <t xml:space="preserve">Annual Estimated ER Amount (tCO2e/yr) </t>
  </si>
  <si>
    <t>Position</t>
  </si>
  <si>
    <t>MWh/MP</t>
  </si>
  <si>
    <t>Date</t>
  </si>
  <si>
    <t>Transfer Date</t>
  </si>
  <si>
    <t>Type</t>
  </si>
  <si>
    <t>Amount</t>
  </si>
  <si>
    <t>Oct.21</t>
  </si>
  <si>
    <t>Nov.21</t>
  </si>
  <si>
    <t>Dec.21</t>
  </si>
  <si>
    <t>Sum 2021</t>
  </si>
  <si>
    <t>Sum 2022</t>
  </si>
  <si>
    <t>Monthly Meter Reading Values (EPIAS Screen Shots)</t>
  </si>
  <si>
    <t>Difference</t>
  </si>
  <si>
    <t>Net Supply (EPIAS)
(Total Supplied - Consumed)</t>
  </si>
  <si>
    <t>Mar.22</t>
  </si>
  <si>
    <t>Security</t>
  </si>
  <si>
    <t>Calculation of Avoidance of  Wastewater Discharge Amount for Water Quality and Quantity Indicator of Sustainable Development Matrix</t>
  </si>
  <si>
    <t>Amount of Avoided Wastewater Discharge per year by Project Activity (x1000 m3/MP)</t>
  </si>
  <si>
    <t>GS4GG MONITORING PLAN, TABLE NO: 1</t>
  </si>
  <si>
    <t>Apr.22</t>
  </si>
  <si>
    <t>May.22</t>
  </si>
  <si>
    <t>Jun.22</t>
  </si>
  <si>
    <t>Jul.22</t>
  </si>
  <si>
    <t>Aug.22</t>
  </si>
  <si>
    <t>Sep.22</t>
  </si>
  <si>
    <t>Oct.22</t>
  </si>
  <si>
    <t>Nov.22</t>
  </si>
  <si>
    <t>Dec.22</t>
  </si>
  <si>
    <t>Jan.22</t>
  </si>
  <si>
    <t>Feb.22</t>
  </si>
  <si>
    <t>Jan.23</t>
  </si>
  <si>
    <t>Feb.23</t>
  </si>
  <si>
    <t>Sum 2023</t>
  </si>
  <si>
    <t>Actual Emission Reduction during Monitoring Period (in tCO2/y)(Avarage per year)</t>
  </si>
  <si>
    <t>Total Energy Generation</t>
  </si>
  <si>
    <t>Average Amount of Waste Water Discharged per each GWh Electricity Generation in 2012** (x1000 m3/GWh) (3)</t>
  </si>
  <si>
    <t>Electricity Generation of Project Activity (GWh/MP)</t>
  </si>
  <si>
    <t xml:space="preserve">Amount of Wastewater Discharged by Project Activity per year (x1000 m3/MP) </t>
  </si>
  <si>
    <t>Amount of Avoided Wastewater Discharge by Project Activity per year (x1000 m3/MP) (3)</t>
  </si>
  <si>
    <t>**Reference: Approved Transition &amp; PDD</t>
  </si>
  <si>
    <t>Trainings</t>
  </si>
  <si>
    <t>Plant Manager</t>
  </si>
  <si>
    <t>Total Supplied KWh</t>
  </si>
  <si>
    <t>Total Consumed KWh</t>
  </si>
  <si>
    <t>Total Net Supplied MWh</t>
  </si>
  <si>
    <t>Net Supply (Crosscheck Data)
(Total Supplied - Consumed)</t>
  </si>
  <si>
    <t>Controller Operator</t>
  </si>
  <si>
    <t>Mar.23</t>
  </si>
  <si>
    <t>Monthly Meter Reading Values (TEIAS Values)</t>
  </si>
  <si>
    <t>Jan. 23</t>
  </si>
  <si>
    <t>Feb. 23</t>
  </si>
  <si>
    <t>Electricity Generation of Akbük WFP for the second verification period of the first crediting period:</t>
  </si>
  <si>
    <t>Calculation of Emission Reduction of Akbük WFP</t>
  </si>
  <si>
    <t>(2) Water will be used only for daily consumption. 10 workers were employed during operation. Daily water usage per worker is 0.228 m3 (228 liters)</t>
  </si>
  <si>
    <t>https://data.tuik.gov.tr/Bulten/Index?p=Su-ve-Atiksu-Istatistikleri-2020-37197</t>
  </si>
  <si>
    <t>(1) For 2020 Wastewater Discharged:</t>
  </si>
  <si>
    <t xml:space="preserve">Hence total wastewater production in power plant per year becomes:10*0.228*531 = 1211 m3/MP </t>
  </si>
  <si>
    <t>Erdinç Akay</t>
  </si>
  <si>
    <t>Serdar Gümrükçü</t>
  </si>
  <si>
    <t>Oğuz Erçakır</t>
  </si>
  <si>
    <t>Yusuf Selvioğlu</t>
  </si>
  <si>
    <t>Hakan Öz</t>
  </si>
  <si>
    <t>Ahmet Demir</t>
  </si>
  <si>
    <t>Kağan Turan</t>
  </si>
  <si>
    <t>Nuri Soydan</t>
  </si>
  <si>
    <t>Öznur Yamankaçar</t>
  </si>
  <si>
    <t>Onur Kalyoncu</t>
  </si>
  <si>
    <t>Mustafa S. Vural</t>
  </si>
  <si>
    <t>Maintanence Tech.</t>
  </si>
  <si>
    <t>Electrical Technian</t>
  </si>
  <si>
    <t>Emergency Training 13/10/2021
HSE Training 14-30/10/2021
Fire Figting Training 18/10/2021</t>
  </si>
  <si>
    <t>Halogen-free processing emulsions and solutions</t>
  </si>
  <si>
    <t>420 kg</t>
  </si>
  <si>
    <t>Contaminated waste</t>
  </si>
  <si>
    <t>250 kg</t>
  </si>
  <si>
    <t>Emergency Training 13/10/2021
Fire Figting Training 18/10/2021</t>
  </si>
  <si>
    <t>Akbük WFP EMISSION REDUCTION AMOUNT (04/10/2021-18/03/2023) based on EPIAS data</t>
  </si>
  <si>
    <t>Akbük WFP EMISSION REDUCTION AMOUNT (04/10/2021-18/03/2023) based on TEIAS data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</si>
</sst>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3" formatCode="_-* #,##0.00_-;\-* #,##0.00_-;_-* &quot;-&quot;??_-;_-@_-"/>
    <numFmt numFmtId="181" formatCode="_-* #,##0.00\ _T_L_-;\-* #,##0.00\ _T_L_-;_-* &quot;-&quot;??\ _T_L_-;_-@_-"/>
    <numFmt numFmtId="182" formatCode="#,##0.000"/>
    <numFmt numFmtId="183" formatCode="0.000"/>
    <numFmt numFmtId="184" formatCode="#,##0.0"/>
    <numFmt numFmtId="185" formatCode="0.0"/>
    <numFmt numFmtId="211" formatCode="_-* #,##0.0000\ _T_L_-;\-* #,##0.0000\ _T_L_-;_-* &quot;-&quot;??\ _T_L_-;_-@_-"/>
    <numFmt numFmtId="215" formatCode="#,##0.00_ ;\-#,##0.00\ "/>
    <numFmt numFmtId="217" formatCode="#,##0_ ;\-#,##0\ "/>
    <numFmt numFmtId="222" formatCode="_-* #,##0.00000\ _T_L_-;\-* #,##0.00000\ _T_L_-;_-* &quot;-&quot;??\ _T_L_-;_-@_-"/>
  </numFmts>
  <fonts count="27" x14ac:knownFonts="1">
    <font>
      <sz val="10"/>
      <name val="Arial"/>
      <charset val="162"/>
    </font>
    <font>
      <sz val="10"/>
      <name val="Arial"/>
      <charset val="162"/>
    </font>
    <font>
      <sz val="8"/>
      <name val="Arial"/>
      <family val="2"/>
      <charset val="162"/>
    </font>
    <font>
      <sz val="10"/>
      <name val="Arial"/>
      <family val="2"/>
      <charset val="162"/>
    </font>
    <font>
      <b/>
      <sz val="12"/>
      <name val="Arial Tur"/>
      <charset val="162"/>
    </font>
    <font>
      <b/>
      <sz val="10"/>
      <name val="Arial Tur"/>
      <charset val="162"/>
    </font>
    <font>
      <b/>
      <u/>
      <sz val="12"/>
      <name val="Arial Tur"/>
      <charset val="162"/>
    </font>
    <font>
      <b/>
      <sz val="10"/>
      <name val="Arial"/>
      <family val="2"/>
      <charset val="162"/>
    </font>
    <font>
      <b/>
      <i/>
      <sz val="10"/>
      <name val="Arial"/>
      <family val="2"/>
      <charset val="162"/>
    </font>
    <font>
      <b/>
      <sz val="11"/>
      <name val="Arial"/>
      <family val="2"/>
      <charset val="162"/>
    </font>
    <font>
      <b/>
      <sz val="12"/>
      <name val="Arial"/>
      <family val="2"/>
      <charset val="162"/>
    </font>
    <font>
      <b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0"/>
      <name val="Arial"/>
      <charset val="162"/>
    </font>
    <font>
      <sz val="11"/>
      <color theme="1"/>
      <name val="Calibri"/>
      <family val="2"/>
      <charset val="162"/>
      <scheme val="minor"/>
    </font>
    <font>
      <u/>
      <sz val="10"/>
      <color theme="10"/>
      <name val="Arial"/>
      <family val="2"/>
      <charset val="162"/>
    </font>
    <font>
      <sz val="11"/>
      <color rgb="FF000000"/>
      <name val="Calibri"/>
      <family val="2"/>
      <charset val="162"/>
    </font>
    <font>
      <sz val="11"/>
      <color theme="1"/>
      <name val="Calibri"/>
      <family val="2"/>
      <scheme val="minor"/>
    </font>
    <font>
      <b/>
      <sz val="11"/>
      <color theme="1"/>
      <name val="Arial"/>
      <family val="2"/>
      <charset val="162"/>
    </font>
    <font>
      <b/>
      <sz val="9"/>
      <color rgb="FF000000"/>
      <name val="Arial"/>
      <family val="2"/>
      <charset val="162"/>
    </font>
    <font>
      <sz val="9"/>
      <color theme="1"/>
      <name val="Calibri"/>
      <family val="2"/>
      <charset val="162"/>
      <scheme val="minor"/>
    </font>
    <font>
      <sz val="8"/>
      <color theme="1"/>
      <name val="Arial"/>
      <family val="2"/>
      <charset val="162"/>
    </font>
    <font>
      <sz val="10"/>
      <color theme="1"/>
      <name val="Arial"/>
      <family val="2"/>
      <charset val="162"/>
    </font>
    <font>
      <sz val="10"/>
      <color rgb="FF000000"/>
      <name val="Arial"/>
      <family val="2"/>
      <charset val="162"/>
    </font>
  </fonts>
  <fills count="12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6">
    <xf numFmtId="0" fontId="0" fillId="0" borderId="0"/>
    <xf numFmtId="181" fontId="1" fillId="0" borderId="0" applyFont="0" applyFill="0" applyBorder="0" applyAlignment="0" applyProtection="0"/>
    <xf numFmtId="181" fontId="3" fillId="0" borderId="0" applyFont="0" applyFill="0" applyBorder="0" applyAlignment="0" applyProtection="0"/>
    <xf numFmtId="0" fontId="18" fillId="0" borderId="0" applyNumberFormat="0" applyFill="0" applyBorder="0" applyAlignment="0" applyProtection="0">
      <alignment vertical="top"/>
      <protection locked="0"/>
    </xf>
    <xf numFmtId="0" fontId="19" fillId="0" borderId="0"/>
    <xf numFmtId="0" fontId="3" fillId="0" borderId="0"/>
    <xf numFmtId="0" fontId="20" fillId="0" borderId="0"/>
    <xf numFmtId="0" fontId="3" fillId="0" borderId="0"/>
    <xf numFmtId="0" fontId="17" fillId="0" borderId="0"/>
    <xf numFmtId="0" fontId="3" fillId="0" borderId="0"/>
    <xf numFmtId="0" fontId="17" fillId="0" borderId="0"/>
    <xf numFmtId="0" fontId="3" fillId="0" borderId="0"/>
    <xf numFmtId="0" fontId="12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181" fontId="17" fillId="0" borderId="0" applyFont="0" applyFill="0" applyBorder="0" applyAlignment="0" applyProtection="0"/>
  </cellStyleXfs>
  <cellXfs count="119">
    <xf numFmtId="0" fontId="0" fillId="0" borderId="0" xfId="0"/>
    <xf numFmtId="0" fontId="4" fillId="0" borderId="0" xfId="0" applyFont="1"/>
    <xf numFmtId="0" fontId="6" fillId="0" borderId="0" xfId="0" applyFont="1"/>
    <xf numFmtId="4" fontId="5" fillId="0" borderId="1" xfId="0" applyNumberFormat="1" applyFont="1" applyBorder="1" applyAlignment="1">
      <alignment horizontal="center" vertical="center" wrapText="1"/>
    </xf>
    <xf numFmtId="0" fontId="18" fillId="0" borderId="0" xfId="3" applyAlignment="1" applyProtection="1"/>
    <xf numFmtId="0" fontId="7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1" xfId="0" applyFont="1" applyBorder="1" applyAlignment="1">
      <alignment horizontal="center"/>
    </xf>
    <xf numFmtId="182" fontId="8" fillId="0" borderId="0" xfId="0" applyNumberFormat="1" applyFont="1" applyBorder="1" applyAlignment="1">
      <alignment horizontal="right" vertical="center"/>
    </xf>
    <xf numFmtId="182" fontId="8" fillId="0" borderId="2" xfId="0" applyNumberFormat="1" applyFont="1" applyBorder="1" applyAlignment="1">
      <alignment horizontal="right" vertical="center"/>
    </xf>
    <xf numFmtId="0" fontId="3" fillId="0" borderId="0" xfId="0" applyFont="1" applyBorder="1" applyAlignment="1">
      <alignment horizontal="center"/>
    </xf>
    <xf numFmtId="0" fontId="21" fillId="0" borderId="1" xfId="0" applyFont="1" applyBorder="1" applyAlignment="1">
      <alignment horizontal="center"/>
    </xf>
    <xf numFmtId="0" fontId="3" fillId="0" borderId="1" xfId="0" applyFont="1" applyBorder="1"/>
    <xf numFmtId="3" fontId="3" fillId="0" borderId="1" xfId="0" applyNumberFormat="1" applyFont="1" applyBorder="1"/>
    <xf numFmtId="14" fontId="3" fillId="0" borderId="1" xfId="0" applyNumberFormat="1" applyFont="1" applyBorder="1"/>
    <xf numFmtId="0" fontId="22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/>
    </xf>
    <xf numFmtId="183" fontId="7" fillId="0" borderId="0" xfId="0" applyNumberFormat="1" applyFont="1" applyAlignment="1">
      <alignment horizontal="center"/>
    </xf>
    <xf numFmtId="0" fontId="9" fillId="0" borderId="1" xfId="0" applyFont="1" applyBorder="1" applyAlignment="1">
      <alignment horizontal="center"/>
    </xf>
    <xf numFmtId="14" fontId="3" fillId="0" borderId="1" xfId="0" applyNumberFormat="1" applyFont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7" fillId="0" borderId="0" xfId="0" applyFont="1" applyFill="1" applyBorder="1" applyAlignment="1">
      <alignment horizontal="center"/>
    </xf>
    <xf numFmtId="0" fontId="21" fillId="0" borderId="3" xfId="0" applyFont="1" applyBorder="1" applyAlignment="1">
      <alignment horizontal="left"/>
    </xf>
    <xf numFmtId="0" fontId="21" fillId="0" borderId="4" xfId="0" applyFont="1" applyBorder="1" applyAlignment="1">
      <alignment horizontal="left"/>
    </xf>
    <xf numFmtId="0" fontId="3" fillId="0" borderId="0" xfId="0" applyFont="1" applyAlignment="1">
      <alignment horizontal="left"/>
    </xf>
    <xf numFmtId="182" fontId="8" fillId="2" borderId="1" xfId="0" applyNumberFormat="1" applyFont="1" applyFill="1" applyBorder="1" applyAlignment="1">
      <alignment horizontal="center" vertical="center"/>
    </xf>
    <xf numFmtId="9" fontId="3" fillId="0" borderId="1" xfId="14" applyFont="1" applyBorder="1"/>
    <xf numFmtId="0" fontId="19" fillId="0" borderId="0" xfId="4"/>
    <xf numFmtId="4" fontId="5" fillId="0" borderId="1" xfId="0" applyNumberFormat="1" applyFont="1" applyBorder="1" applyAlignment="1"/>
    <xf numFmtId="3" fontId="21" fillId="0" borderId="5" xfId="0" applyNumberFormat="1" applyFont="1" applyBorder="1"/>
    <xf numFmtId="9" fontId="3" fillId="0" borderId="1" xfId="14" applyNumberFormat="1" applyFont="1" applyBorder="1"/>
    <xf numFmtId="0" fontId="9" fillId="2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vertical="center"/>
    </xf>
    <xf numFmtId="0" fontId="7" fillId="3" borderId="6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/>
    </xf>
    <xf numFmtId="17" fontId="8" fillId="0" borderId="7" xfId="0" applyNumberFormat="1" applyFont="1" applyFill="1" applyBorder="1" applyAlignment="1">
      <alignment horizontal="center"/>
    </xf>
    <xf numFmtId="181" fontId="0" fillId="0" borderId="1" xfId="1" applyFont="1" applyBorder="1"/>
    <xf numFmtId="0" fontId="7" fillId="3" borderId="8" xfId="0" applyFont="1" applyFill="1" applyBorder="1" applyAlignment="1">
      <alignment horizontal="center" vertical="center" wrapText="1"/>
    </xf>
    <xf numFmtId="0" fontId="7" fillId="3" borderId="9" xfId="0" applyFont="1" applyFill="1" applyBorder="1" applyAlignment="1">
      <alignment horizontal="center" vertical="center" wrapText="1"/>
    </xf>
    <xf numFmtId="0" fontId="7" fillId="3" borderId="10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vertical="center"/>
    </xf>
    <xf numFmtId="0" fontId="9" fillId="2" borderId="1" xfId="0" applyFont="1" applyFill="1" applyBorder="1" applyAlignment="1">
      <alignment horizontal="center" vertical="center"/>
    </xf>
    <xf numFmtId="14" fontId="3" fillId="0" borderId="1" xfId="0" applyNumberFormat="1" applyFont="1" applyFill="1" applyBorder="1" applyAlignment="1">
      <alignment vertical="center" wrapText="1"/>
    </xf>
    <xf numFmtId="0" fontId="0" fillId="0" borderId="0" xfId="0" applyAlignment="1">
      <alignment horizontal="center"/>
    </xf>
    <xf numFmtId="1" fontId="3" fillId="0" borderId="1" xfId="0" applyNumberFormat="1" applyFont="1" applyBorder="1" applyAlignment="1">
      <alignment horizontal="center" vertical="center"/>
    </xf>
    <xf numFmtId="1" fontId="3" fillId="4" borderId="1" xfId="0" applyNumberFormat="1" applyFont="1" applyFill="1" applyBorder="1" applyAlignment="1">
      <alignment horizontal="center" vertical="center"/>
    </xf>
    <xf numFmtId="0" fontId="20" fillId="0" borderId="0" xfId="6"/>
    <xf numFmtId="0" fontId="4" fillId="0" borderId="0" xfId="6" applyFont="1"/>
    <xf numFmtId="0" fontId="23" fillId="0" borderId="0" xfId="0" applyFont="1"/>
    <xf numFmtId="0" fontId="2" fillId="0" borderId="0" xfId="0" applyFont="1"/>
    <xf numFmtId="0" fontId="24" fillId="0" borderId="0" xfId="0" applyFont="1"/>
    <xf numFmtId="0" fontId="9" fillId="2" borderId="1" xfId="0" applyFont="1" applyFill="1" applyBorder="1" applyAlignment="1">
      <alignment horizontal="center" vertical="center"/>
    </xf>
    <xf numFmtId="215" fontId="0" fillId="0" borderId="1" xfId="1" applyNumberFormat="1" applyFont="1" applyBorder="1"/>
    <xf numFmtId="215" fontId="0" fillId="0" borderId="11" xfId="1" applyNumberFormat="1" applyFont="1" applyBorder="1"/>
    <xf numFmtId="215" fontId="14" fillId="5" borderId="1" xfId="1" applyNumberFormat="1" applyFont="1" applyFill="1" applyBorder="1"/>
    <xf numFmtId="14" fontId="3" fillId="0" borderId="4" xfId="0" applyNumberFormat="1" applyFont="1" applyBorder="1" applyAlignment="1">
      <alignment horizontal="center"/>
    </xf>
    <xf numFmtId="3" fontId="11" fillId="0" borderId="1" xfId="0" applyNumberFormat="1" applyFont="1" applyBorder="1"/>
    <xf numFmtId="9" fontId="11" fillId="0" borderId="1" xfId="14" applyNumberFormat="1" applyFont="1" applyBorder="1"/>
    <xf numFmtId="217" fontId="3" fillId="0" borderId="1" xfId="1" applyNumberFormat="1" applyFont="1" applyBorder="1" applyAlignment="1">
      <alignment horizontal="right" vertical="center"/>
    </xf>
    <xf numFmtId="184" fontId="0" fillId="0" borderId="1" xfId="0" applyNumberFormat="1" applyBorder="1" applyAlignment="1">
      <alignment horizontal="center" vertical="center"/>
    </xf>
    <xf numFmtId="185" fontId="0" fillId="0" borderId="1" xfId="0" applyNumberFormat="1" applyBorder="1" applyAlignment="1">
      <alignment horizontal="center"/>
    </xf>
    <xf numFmtId="182" fontId="0" fillId="0" borderId="1" xfId="0" applyNumberFormat="1" applyBorder="1" applyAlignment="1">
      <alignment horizontal="center" vertical="center"/>
    </xf>
    <xf numFmtId="0" fontId="12" fillId="0" borderId="0" xfId="0" applyFont="1"/>
    <xf numFmtId="0" fontId="18" fillId="0" borderId="0" xfId="3" applyAlignment="1" applyProtection="1"/>
    <xf numFmtId="182" fontId="0" fillId="6" borderId="1" xfId="0" applyNumberFormat="1" applyFill="1" applyBorder="1" applyAlignment="1">
      <alignment horizontal="center"/>
    </xf>
    <xf numFmtId="43" fontId="0" fillId="0" borderId="0" xfId="0" applyNumberFormat="1"/>
    <xf numFmtId="43" fontId="0" fillId="0" borderId="1" xfId="0" applyNumberFormat="1" applyBorder="1"/>
    <xf numFmtId="215" fontId="12" fillId="0" borderId="1" xfId="1" applyNumberFormat="1" applyFont="1" applyBorder="1"/>
    <xf numFmtId="215" fontId="14" fillId="0" borderId="1" xfId="1" applyNumberFormat="1" applyFont="1" applyFill="1" applyBorder="1"/>
    <xf numFmtId="1" fontId="3" fillId="0" borderId="1" xfId="0" applyNumberFormat="1" applyFont="1" applyFill="1" applyBorder="1" applyAlignment="1">
      <alignment horizontal="center" vertical="center"/>
    </xf>
    <xf numFmtId="222" fontId="0" fillId="0" borderId="0" xfId="1" applyNumberFormat="1" applyFont="1"/>
    <xf numFmtId="0" fontId="11" fillId="0" borderId="12" xfId="0" applyFont="1" applyBorder="1" applyAlignment="1"/>
    <xf numFmtId="0" fontId="11" fillId="0" borderId="13" xfId="0" applyFont="1" applyBorder="1" applyAlignment="1"/>
    <xf numFmtId="0" fontId="7" fillId="3" borderId="7" xfId="0" applyFont="1" applyFill="1" applyBorder="1" applyAlignment="1">
      <alignment horizontal="center" vertical="center" wrapText="1"/>
    </xf>
    <xf numFmtId="215" fontId="14" fillId="5" borderId="11" xfId="1" applyNumberFormat="1" applyFont="1" applyFill="1" applyBorder="1"/>
    <xf numFmtId="0" fontId="11" fillId="0" borderId="14" xfId="0" applyFont="1" applyBorder="1" applyAlignment="1"/>
    <xf numFmtId="0" fontId="11" fillId="0" borderId="15" xfId="0" applyFont="1" applyBorder="1" applyAlignment="1"/>
    <xf numFmtId="181" fontId="11" fillId="0" borderId="16" xfId="0" applyNumberFormat="1" applyFont="1" applyBorder="1"/>
    <xf numFmtId="0" fontId="8" fillId="0" borderId="6" xfId="0" applyFont="1" applyFill="1" applyBorder="1" applyAlignment="1">
      <alignment horizontal="center"/>
    </xf>
    <xf numFmtId="181" fontId="3" fillId="0" borderId="0" xfId="1" applyFont="1" applyAlignment="1">
      <alignment horizontal="center"/>
    </xf>
    <xf numFmtId="0" fontId="3" fillId="0" borderId="1" xfId="0" applyFont="1" applyFill="1" applyBorder="1" applyAlignment="1">
      <alignment horizontal="left" vertical="center"/>
    </xf>
    <xf numFmtId="0" fontId="12" fillId="0" borderId="1" xfId="0" applyNumberFormat="1" applyFont="1" applyBorder="1" applyAlignment="1">
      <alignment horizontal="right" vertical="center" wrapText="1"/>
    </xf>
    <xf numFmtId="0" fontId="12" fillId="0" borderId="1" xfId="0" applyNumberFormat="1" applyFont="1" applyBorder="1" applyAlignment="1">
      <alignment horizontal="right" vertical="center"/>
    </xf>
    <xf numFmtId="0" fontId="21" fillId="0" borderId="5" xfId="0" applyFont="1" applyBorder="1" applyAlignment="1">
      <alignment horizontal="center"/>
    </xf>
    <xf numFmtId="181" fontId="0" fillId="0" borderId="1" xfId="1" applyFont="1" applyFill="1" applyBorder="1"/>
    <xf numFmtId="43" fontId="0" fillId="0" borderId="1" xfId="0" applyNumberFormat="1" applyFill="1" applyBorder="1"/>
    <xf numFmtId="181" fontId="16" fillId="0" borderId="1" xfId="1" applyFont="1" applyFill="1" applyBorder="1"/>
    <xf numFmtId="215" fontId="16" fillId="0" borderId="11" xfId="1" applyNumberFormat="1" applyFont="1" applyFill="1" applyBorder="1"/>
    <xf numFmtId="3" fontId="3" fillId="0" borderId="5" xfId="0" applyNumberFormat="1" applyFont="1" applyFill="1" applyBorder="1"/>
    <xf numFmtId="0" fontId="12" fillId="0" borderId="0" xfId="0" applyFont="1" applyFill="1"/>
    <xf numFmtId="211" fontId="3" fillId="0" borderId="0" xfId="1" applyNumberFormat="1" applyFont="1" applyAlignment="1">
      <alignment horizontal="center"/>
    </xf>
    <xf numFmtId="2" fontId="25" fillId="0" borderId="1" xfId="6" applyNumberFormat="1" applyFont="1" applyFill="1" applyBorder="1" applyAlignment="1">
      <alignment horizontal="center" vertical="center"/>
    </xf>
    <xf numFmtId="2" fontId="3" fillId="4" borderId="1" xfId="0" applyNumberFormat="1" applyFont="1" applyFill="1" applyBorder="1" applyAlignment="1">
      <alignment horizontal="center" vertical="center"/>
    </xf>
    <xf numFmtId="2" fontId="26" fillId="0" borderId="1" xfId="0" applyNumberFormat="1" applyFont="1" applyBorder="1" applyAlignment="1">
      <alignment horizontal="center" vertical="center"/>
    </xf>
    <xf numFmtId="2" fontId="26" fillId="0" borderId="1" xfId="0" applyNumberFormat="1" applyFont="1" applyFill="1" applyBorder="1" applyAlignment="1">
      <alignment horizontal="center" vertical="center"/>
    </xf>
    <xf numFmtId="2" fontId="3" fillId="0" borderId="1" xfId="0" applyNumberFormat="1" applyFont="1" applyBorder="1" applyAlignment="1">
      <alignment horizontal="center" vertical="center"/>
    </xf>
    <xf numFmtId="2" fontId="3" fillId="0" borderId="1" xfId="0" applyNumberFormat="1" applyFont="1" applyFill="1" applyBorder="1" applyAlignment="1">
      <alignment horizontal="center" vertical="center"/>
    </xf>
    <xf numFmtId="2" fontId="19" fillId="0" borderId="0" xfId="4" applyNumberFormat="1"/>
    <xf numFmtId="182" fontId="8" fillId="7" borderId="1" xfId="0" applyNumberFormat="1" applyFont="1" applyFill="1" applyBorder="1" applyAlignment="1">
      <alignment horizontal="center" vertical="center"/>
    </xf>
    <xf numFmtId="0" fontId="8" fillId="8" borderId="1" xfId="0" applyFont="1" applyFill="1" applyBorder="1" applyAlignment="1">
      <alignment horizontal="center"/>
    </xf>
    <xf numFmtId="17" fontId="8" fillId="8" borderId="1" xfId="0" applyNumberFormat="1" applyFont="1" applyFill="1" applyBorder="1" applyAlignment="1">
      <alignment horizontal="center"/>
    </xf>
    <xf numFmtId="2" fontId="3" fillId="9" borderId="1" xfId="0" applyNumberFormat="1" applyFont="1" applyFill="1" applyBorder="1" applyAlignment="1">
      <alignment horizontal="center" vertical="center"/>
    </xf>
    <xf numFmtId="2" fontId="3" fillId="10" borderId="1" xfId="0" applyNumberFormat="1" applyFont="1" applyFill="1" applyBorder="1" applyAlignment="1">
      <alignment horizontal="center" vertical="center"/>
    </xf>
    <xf numFmtId="2" fontId="3" fillId="11" borderId="1" xfId="0" applyNumberFormat="1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21" fillId="0" borderId="3" xfId="0" applyFont="1" applyBorder="1"/>
    <xf numFmtId="0" fontId="21" fillId="0" borderId="5" xfId="0" applyFont="1" applyBorder="1"/>
    <xf numFmtId="0" fontId="5" fillId="0" borderId="0" xfId="0" applyFont="1" applyAlignment="1">
      <alignment horizontal="left"/>
    </xf>
    <xf numFmtId="0" fontId="5" fillId="0" borderId="17" xfId="0" applyFont="1" applyBorder="1" applyAlignment="1">
      <alignment horizontal="left"/>
    </xf>
    <xf numFmtId="0" fontId="10" fillId="0" borderId="12" xfId="0" applyFont="1" applyBorder="1" applyAlignment="1">
      <alignment horizontal="center"/>
    </xf>
    <xf numFmtId="0" fontId="10" fillId="0" borderId="18" xfId="0" applyFont="1" applyBorder="1" applyAlignment="1">
      <alignment horizontal="center"/>
    </xf>
    <xf numFmtId="0" fontId="10" fillId="0" borderId="19" xfId="0" applyFont="1" applyBorder="1" applyAlignment="1">
      <alignment horizontal="center"/>
    </xf>
  </cellXfs>
  <cellStyles count="16">
    <cellStyle name="Comma 2" xfId="2"/>
    <cellStyle name="Köprü" xfId="3" builtinId="8"/>
    <cellStyle name="Normal" xfId="0" builtinId="0"/>
    <cellStyle name="Normal 11" xfId="4"/>
    <cellStyle name="Normal 13" xfId="5"/>
    <cellStyle name="Normal 2" xfId="6"/>
    <cellStyle name="Normal 2 2" xfId="7"/>
    <cellStyle name="Normal 3" xfId="8"/>
    <cellStyle name="Normal 3 2" xfId="9"/>
    <cellStyle name="Normal 3 2 2" xfId="10"/>
    <cellStyle name="Normal 4" xfId="11"/>
    <cellStyle name="Normal 5" xfId="12"/>
    <cellStyle name="Per cent 2" xfId="13"/>
    <cellStyle name="Virgül" xfId="1" builtinId="3"/>
    <cellStyle name="Virgül 2" xfId="15"/>
    <cellStyle name="Yüzde" xfId="14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371475</xdr:colOff>
      <xdr:row>52</xdr:row>
      <xdr:rowOff>47202</xdr:rowOff>
    </xdr:from>
    <xdr:ext cx="184731" cy="264560"/>
    <xdr:sp macro="" textlink="">
      <xdr:nvSpPr>
        <xdr:cNvPr id="2" name="TextBox 1"/>
        <xdr:cNvSpPr txBox="1"/>
      </xdr:nvSpPr>
      <xdr:spPr>
        <a:xfrm>
          <a:off x="14700250" y="1062947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tr-TR"/>
        </a:p>
      </xdr:txBody>
    </xdr:sp>
    <xdr:clientData/>
  </xdr:oneCellAnchor>
  <xdr:oneCellAnchor>
    <xdr:from>
      <xdr:col>9</xdr:col>
      <xdr:colOff>536151</xdr:colOff>
      <xdr:row>52</xdr:row>
      <xdr:rowOff>125095</xdr:rowOff>
    </xdr:from>
    <xdr:ext cx="184731" cy="264560"/>
    <xdr:sp macro="" textlink="">
      <xdr:nvSpPr>
        <xdr:cNvPr id="3" name="TextBox 2"/>
        <xdr:cNvSpPr txBox="1"/>
      </xdr:nvSpPr>
      <xdr:spPr>
        <a:xfrm>
          <a:off x="13595984" y="1064492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tr-TR"/>
        </a:p>
      </xdr:txBody>
    </xdr:sp>
    <xdr:clientData/>
  </xdr:oneCellAnchor>
</xdr:wsDr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data.tuik.gov.tr/Bulten/Index?p=Su-ve-Atiksu-Istatistikleri-2020-37197" TargetMode="External"/><Relationship Id="rId1" Type="http://schemas.openxmlformats.org/officeDocument/2006/relationships/hyperlink" Target="https://data.tuik.gov.tr/Bulten/Index?p=Su-ve-Atiksu-Istatistikleri-2020-37197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12"/>
  <sheetViews>
    <sheetView tabSelected="1" zoomScale="90" zoomScaleNormal="90" workbookViewId="0">
      <selection activeCell="K56" sqref="K56"/>
    </sheetView>
  </sheetViews>
  <sheetFormatPr defaultColWidth="25.7109375" defaultRowHeight="12.75" x14ac:dyDescent="0.2"/>
  <cols>
    <col min="1" max="1" width="5.5703125" style="6" customWidth="1"/>
    <col min="2" max="2" width="22.140625" style="5" bestFit="1" customWidth="1"/>
    <col min="3" max="3" width="21.140625" style="6" customWidth="1"/>
    <col min="4" max="4" width="24.7109375" style="6" bestFit="1" customWidth="1"/>
    <col min="5" max="5" width="30.42578125" style="6" customWidth="1"/>
    <col min="6" max="6" width="25.7109375" style="6" customWidth="1"/>
    <col min="7" max="7" width="25.28515625" style="6" bestFit="1" customWidth="1"/>
    <col min="8" max="8" width="24.28515625" style="6" bestFit="1" customWidth="1"/>
    <col min="9" max="9" width="16.42578125" style="6" bestFit="1" customWidth="1"/>
    <col min="10" max="10" width="13" style="6" bestFit="1" customWidth="1"/>
    <col min="11" max="11" width="11.140625" style="6" bestFit="1" customWidth="1"/>
    <col min="12" max="12" width="24.7109375" style="6" bestFit="1" customWidth="1"/>
    <col min="13" max="13" width="24.85546875" style="6" bestFit="1" customWidth="1"/>
    <col min="14" max="14" width="25.5703125" style="6" bestFit="1" customWidth="1"/>
    <col min="15" max="15" width="25.28515625" style="6" bestFit="1" customWidth="1"/>
    <col min="16" max="16" width="14.7109375" style="6" bestFit="1" customWidth="1"/>
    <col min="17" max="17" width="25" style="6" bestFit="1" customWidth="1"/>
    <col min="18" max="16384" width="25.7109375" style="6"/>
  </cols>
  <sheetData>
    <row r="1" spans="1:18" x14ac:dyDescent="0.2">
      <c r="A1" s="22"/>
      <c r="B1" s="24"/>
      <c r="C1" s="22"/>
      <c r="D1" s="22"/>
      <c r="E1" s="22"/>
      <c r="F1" s="22"/>
      <c r="G1" s="22"/>
      <c r="H1" s="22"/>
      <c r="I1" s="22"/>
    </row>
    <row r="2" spans="1:18" s="5" customFormat="1" ht="27.2" customHeight="1" x14ac:dyDescent="0.2">
      <c r="A2" s="24"/>
      <c r="B2" s="109" t="s">
        <v>99</v>
      </c>
      <c r="C2" s="109"/>
      <c r="D2" s="109"/>
      <c r="E2" s="109"/>
      <c r="F2" s="109"/>
      <c r="G2" s="109"/>
      <c r="H2" s="109"/>
      <c r="I2" s="109"/>
      <c r="R2" s="6"/>
    </row>
    <row r="3" spans="1:18" s="5" customFormat="1" ht="61.5" customHeight="1" x14ac:dyDescent="0.2">
      <c r="A3" s="24"/>
      <c r="B3" s="15" t="s">
        <v>8</v>
      </c>
      <c r="C3" s="15" t="s">
        <v>0</v>
      </c>
      <c r="D3" s="15" t="s">
        <v>1</v>
      </c>
      <c r="E3" s="15" t="s">
        <v>4</v>
      </c>
      <c r="F3" s="15" t="s">
        <v>9</v>
      </c>
      <c r="G3" s="15" t="s">
        <v>5</v>
      </c>
      <c r="H3" s="15" t="s">
        <v>6</v>
      </c>
      <c r="I3" s="15" t="s">
        <v>7</v>
      </c>
    </row>
    <row r="4" spans="1:18" ht="15" x14ac:dyDescent="0.25">
      <c r="A4" s="22"/>
      <c r="B4" s="102" t="s">
        <v>29</v>
      </c>
      <c r="C4" s="94">
        <f>'Generation Values'!B3</f>
        <v>6290.9189677419354</v>
      </c>
      <c r="D4" s="94">
        <f>'Generation Values'!C3</f>
        <v>30.077419354838707</v>
      </c>
      <c r="E4" s="96">
        <f t="shared" ref="E4:E21" si="0">C4-D4</f>
        <v>6260.8415483870967</v>
      </c>
      <c r="F4" s="96">
        <f>E4*$E$54</f>
        <v>4058.2774916645162</v>
      </c>
      <c r="G4" s="47">
        <v>0</v>
      </c>
      <c r="H4" s="47">
        <v>0</v>
      </c>
      <c r="I4" s="98">
        <f>F4-G4-H4</f>
        <v>4058.2774916645162</v>
      </c>
      <c r="L4" s="100"/>
      <c r="M4" s="30"/>
      <c r="N4" s="30"/>
      <c r="O4" s="30"/>
    </row>
    <row r="5" spans="1:18" ht="15" x14ac:dyDescent="0.25">
      <c r="A5" s="22"/>
      <c r="B5" s="102" t="s">
        <v>30</v>
      </c>
      <c r="C5" s="94">
        <f>'Generation Values'!B4</f>
        <v>5664.8980000000001</v>
      </c>
      <c r="D5" s="94">
        <f>'Generation Values'!C4</f>
        <v>38.47</v>
      </c>
      <c r="E5" s="96">
        <f t="shared" si="0"/>
        <v>5626.4279999999999</v>
      </c>
      <c r="F5" s="96">
        <f>E5*$E$54</f>
        <v>3647.0506295999999</v>
      </c>
      <c r="G5" s="47">
        <v>0</v>
      </c>
      <c r="H5" s="47">
        <v>0</v>
      </c>
      <c r="I5" s="98">
        <f>F5-G5-H5</f>
        <v>3647.0506295999999</v>
      </c>
      <c r="L5" s="100"/>
      <c r="M5" s="30"/>
      <c r="N5" s="30"/>
      <c r="O5" s="30"/>
    </row>
    <row r="6" spans="1:18" ht="15" x14ac:dyDescent="0.25">
      <c r="A6" s="22"/>
      <c r="B6" s="102" t="s">
        <v>31</v>
      </c>
      <c r="C6" s="94">
        <f>'Generation Values'!B5</f>
        <v>10806.968000000001</v>
      </c>
      <c r="D6" s="94">
        <f>'Generation Values'!C5</f>
        <v>13.585000000000001</v>
      </c>
      <c r="E6" s="96">
        <f t="shared" si="0"/>
        <v>10793.383000000002</v>
      </c>
      <c r="F6" s="96">
        <f>E6*$E$54</f>
        <v>6996.2708606000015</v>
      </c>
      <c r="G6" s="47">
        <v>0</v>
      </c>
      <c r="H6" s="47">
        <v>0</v>
      </c>
      <c r="I6" s="98">
        <f>F6-G6-H6</f>
        <v>6996.2708606000015</v>
      </c>
      <c r="L6" s="100"/>
      <c r="M6" s="30"/>
      <c r="N6" s="30"/>
      <c r="O6" s="30"/>
    </row>
    <row r="7" spans="1:18" ht="15" x14ac:dyDescent="0.25">
      <c r="A7" s="22"/>
      <c r="B7" s="16" t="s">
        <v>32</v>
      </c>
      <c r="C7" s="95">
        <f>SUM(C4:C6)</f>
        <v>22762.784967741936</v>
      </c>
      <c r="D7" s="95">
        <f>SUM(D4:D6)</f>
        <v>82.132419354838703</v>
      </c>
      <c r="E7" s="95">
        <f>SUM(E4:E6)</f>
        <v>22680.652548387097</v>
      </c>
      <c r="F7" s="105">
        <f>ROUNDDOWN(SUM(F4:F6),0)</f>
        <v>14701</v>
      </c>
      <c r="G7" s="48">
        <f>ROUNDDOWN(SUM(G4:G6),0)</f>
        <v>0</v>
      </c>
      <c r="H7" s="48">
        <f>ROUNDDOWN(SUM(H4:H6),0)</f>
        <v>0</v>
      </c>
      <c r="I7" s="95">
        <f>ROUNDDOWN(SUM(I4:I6),0)</f>
        <v>14701</v>
      </c>
      <c r="L7" s="100"/>
      <c r="M7" s="30"/>
      <c r="N7" s="30"/>
      <c r="O7" s="30"/>
    </row>
    <row r="8" spans="1:18" ht="15" x14ac:dyDescent="0.25">
      <c r="A8" s="22"/>
      <c r="B8" s="102" t="s">
        <v>51</v>
      </c>
      <c r="C8" s="94">
        <f>'Generation Values'!B7</f>
        <v>10453.168</v>
      </c>
      <c r="D8" s="94">
        <f>'Generation Values'!C7</f>
        <v>15.984999999999999</v>
      </c>
      <c r="E8" s="96">
        <f t="shared" si="0"/>
        <v>10437.182999999999</v>
      </c>
      <c r="F8" s="96">
        <f t="shared" ref="F8:F19" si="1">E8*$E$54</f>
        <v>6765.3820205999991</v>
      </c>
      <c r="G8" s="47">
        <v>0</v>
      </c>
      <c r="H8" s="47">
        <v>0</v>
      </c>
      <c r="I8" s="98">
        <f t="shared" ref="I8:I19" si="2">F8-G8-H8</f>
        <v>6765.3820205999991</v>
      </c>
      <c r="L8" s="100"/>
      <c r="M8" s="30"/>
      <c r="N8" s="30"/>
      <c r="O8" s="30"/>
    </row>
    <row r="9" spans="1:18" ht="15" x14ac:dyDescent="0.25">
      <c r="A9" s="22"/>
      <c r="B9" s="102" t="s">
        <v>52</v>
      </c>
      <c r="C9" s="94">
        <f>'Generation Values'!B8</f>
        <v>8913.4290000000001</v>
      </c>
      <c r="D9" s="94">
        <f>'Generation Values'!C8</f>
        <v>21.643999999999998</v>
      </c>
      <c r="E9" s="96">
        <f t="shared" si="0"/>
        <v>8891.7849999999999</v>
      </c>
      <c r="F9" s="96">
        <f t="shared" si="1"/>
        <v>5763.6550369999995</v>
      </c>
      <c r="G9" s="47">
        <v>0</v>
      </c>
      <c r="H9" s="47">
        <v>0</v>
      </c>
      <c r="I9" s="98">
        <f t="shared" si="2"/>
        <v>5763.6550369999995</v>
      </c>
      <c r="L9" s="100"/>
      <c r="M9" s="30"/>
      <c r="N9" s="30"/>
      <c r="O9" s="30"/>
    </row>
    <row r="10" spans="1:18" ht="15" x14ac:dyDescent="0.25">
      <c r="A10" s="22"/>
      <c r="B10" s="103" t="s">
        <v>37</v>
      </c>
      <c r="C10" s="94">
        <f>'Generation Values'!B9</f>
        <v>10817.206</v>
      </c>
      <c r="D10" s="94">
        <f>'Generation Values'!C9</f>
        <v>15.981999999999999</v>
      </c>
      <c r="E10" s="96">
        <f t="shared" si="0"/>
        <v>10801.224</v>
      </c>
      <c r="F10" s="96">
        <f t="shared" si="1"/>
        <v>7001.3533968000002</v>
      </c>
      <c r="G10" s="47">
        <v>0</v>
      </c>
      <c r="H10" s="47">
        <v>0</v>
      </c>
      <c r="I10" s="98">
        <f t="shared" si="2"/>
        <v>7001.3533968000002</v>
      </c>
      <c r="L10" s="100"/>
      <c r="M10" s="30"/>
      <c r="N10" s="30"/>
      <c r="O10" s="30"/>
    </row>
    <row r="11" spans="1:18" ht="15" x14ac:dyDescent="0.25">
      <c r="A11" s="22"/>
      <c r="B11" s="102" t="s">
        <v>42</v>
      </c>
      <c r="C11" s="94">
        <f>'Generation Values'!B10</f>
        <v>5619.0870000000004</v>
      </c>
      <c r="D11" s="94">
        <f>'Generation Values'!C10</f>
        <v>33.927</v>
      </c>
      <c r="E11" s="96">
        <f t="shared" si="0"/>
        <v>5585.1600000000008</v>
      </c>
      <c r="F11" s="96">
        <f t="shared" si="1"/>
        <v>3620.3007120000007</v>
      </c>
      <c r="G11" s="47">
        <v>0</v>
      </c>
      <c r="H11" s="47">
        <v>0</v>
      </c>
      <c r="I11" s="98">
        <f t="shared" si="2"/>
        <v>3620.3007120000007</v>
      </c>
      <c r="L11" s="100"/>
      <c r="M11" s="30"/>
      <c r="N11" s="30"/>
      <c r="O11" s="30"/>
    </row>
    <row r="12" spans="1:18" ht="15" x14ac:dyDescent="0.25">
      <c r="A12" s="22"/>
      <c r="B12" s="103" t="s">
        <v>43</v>
      </c>
      <c r="C12" s="94">
        <f>'Generation Values'!B11</f>
        <v>5279.9110000000001</v>
      </c>
      <c r="D12" s="94">
        <f>'Generation Values'!C11</f>
        <v>37.177</v>
      </c>
      <c r="E12" s="96">
        <f t="shared" si="0"/>
        <v>5242.7340000000004</v>
      </c>
      <c r="F12" s="96">
        <f t="shared" si="1"/>
        <v>3398.3401788000001</v>
      </c>
      <c r="G12" s="47">
        <v>0</v>
      </c>
      <c r="H12" s="47">
        <v>0</v>
      </c>
      <c r="I12" s="98">
        <f t="shared" si="2"/>
        <v>3398.3401788000001</v>
      </c>
      <c r="L12" s="100"/>
      <c r="M12" s="30"/>
      <c r="N12" s="30"/>
      <c r="O12" s="30"/>
    </row>
    <row r="13" spans="1:18" ht="15" x14ac:dyDescent="0.25">
      <c r="A13" s="22"/>
      <c r="B13" s="102" t="s">
        <v>44</v>
      </c>
      <c r="C13" s="94">
        <f>'Generation Values'!B12</f>
        <v>8622.0889999999999</v>
      </c>
      <c r="D13" s="94">
        <f>'Generation Values'!C12</f>
        <v>16.998999999999999</v>
      </c>
      <c r="E13" s="96">
        <f t="shared" si="0"/>
        <v>8605.09</v>
      </c>
      <c r="F13" s="96">
        <f t="shared" si="1"/>
        <v>5577.8193380000002</v>
      </c>
      <c r="G13" s="47">
        <v>0</v>
      </c>
      <c r="H13" s="47">
        <v>0</v>
      </c>
      <c r="I13" s="98">
        <f t="shared" si="2"/>
        <v>5577.8193380000002</v>
      </c>
      <c r="L13" s="100"/>
      <c r="M13" s="30"/>
      <c r="N13" s="30"/>
      <c r="O13" s="30"/>
    </row>
    <row r="14" spans="1:18" ht="15" x14ac:dyDescent="0.25">
      <c r="A14" s="22"/>
      <c r="B14" s="102" t="s">
        <v>45</v>
      </c>
      <c r="C14" s="94">
        <f>'Generation Values'!B13</f>
        <v>13934.778</v>
      </c>
      <c r="D14" s="94">
        <f>'Generation Values'!C13</f>
        <v>7.9020000000000001</v>
      </c>
      <c r="E14" s="96">
        <f t="shared" si="0"/>
        <v>13926.876</v>
      </c>
      <c r="F14" s="96">
        <f t="shared" si="1"/>
        <v>9027.4010232000001</v>
      </c>
      <c r="G14" s="47">
        <v>0</v>
      </c>
      <c r="H14" s="47">
        <v>0</v>
      </c>
      <c r="I14" s="98">
        <f t="shared" si="2"/>
        <v>9027.4010232000001</v>
      </c>
      <c r="L14" s="100"/>
      <c r="M14" s="30"/>
      <c r="N14" s="30"/>
      <c r="O14" s="30"/>
    </row>
    <row r="15" spans="1:18" ht="15" x14ac:dyDescent="0.25">
      <c r="A15" s="22"/>
      <c r="B15" s="102" t="s">
        <v>46</v>
      </c>
      <c r="C15" s="94">
        <f>'Generation Values'!B14</f>
        <v>5343.8109999999997</v>
      </c>
      <c r="D15" s="94">
        <f>'Generation Values'!C14</f>
        <v>41.796999999999997</v>
      </c>
      <c r="E15" s="96">
        <f t="shared" si="0"/>
        <v>5302.0140000000001</v>
      </c>
      <c r="F15" s="96">
        <f t="shared" si="1"/>
        <v>3436.7654748</v>
      </c>
      <c r="G15" s="47">
        <v>0</v>
      </c>
      <c r="H15" s="47">
        <v>0</v>
      </c>
      <c r="I15" s="98">
        <f t="shared" si="2"/>
        <v>3436.7654748</v>
      </c>
      <c r="L15" s="100"/>
      <c r="M15" s="30"/>
      <c r="N15" s="30"/>
      <c r="O15" s="30"/>
    </row>
    <row r="16" spans="1:18" ht="15" x14ac:dyDescent="0.25">
      <c r="A16" s="22"/>
      <c r="B16" s="102" t="s">
        <v>47</v>
      </c>
      <c r="C16" s="94">
        <f>'Generation Values'!B15</f>
        <v>7910.884</v>
      </c>
      <c r="D16" s="94">
        <f>'Generation Values'!C15</f>
        <v>25.765000000000001</v>
      </c>
      <c r="E16" s="96">
        <f t="shared" si="0"/>
        <v>7885.1189999999997</v>
      </c>
      <c r="F16" s="96">
        <f t="shared" si="1"/>
        <v>5111.1341358</v>
      </c>
      <c r="G16" s="47">
        <v>0</v>
      </c>
      <c r="H16" s="47">
        <v>0</v>
      </c>
      <c r="I16" s="98">
        <f t="shared" si="2"/>
        <v>5111.1341358</v>
      </c>
      <c r="L16" s="100"/>
      <c r="M16" s="30"/>
      <c r="N16" s="30"/>
      <c r="O16" s="30"/>
    </row>
    <row r="17" spans="1:15" ht="15" x14ac:dyDescent="0.25">
      <c r="A17" s="22"/>
      <c r="B17" s="102" t="s">
        <v>48</v>
      </c>
      <c r="C17" s="94">
        <f>'Generation Values'!B16</f>
        <v>9885.0380000000005</v>
      </c>
      <c r="D17" s="94">
        <f>'Generation Values'!C16</f>
        <v>21.064</v>
      </c>
      <c r="E17" s="96">
        <f t="shared" si="0"/>
        <v>9863.9740000000002</v>
      </c>
      <c r="F17" s="96">
        <f t="shared" si="1"/>
        <v>6393.8279468000001</v>
      </c>
      <c r="G17" s="47">
        <v>0</v>
      </c>
      <c r="H17" s="47">
        <v>0</v>
      </c>
      <c r="I17" s="98">
        <f t="shared" si="2"/>
        <v>6393.8279468000001</v>
      </c>
      <c r="L17" s="100"/>
      <c r="M17" s="30"/>
      <c r="N17" s="30"/>
      <c r="O17" s="30"/>
    </row>
    <row r="18" spans="1:15" ht="15" x14ac:dyDescent="0.25">
      <c r="A18" s="22"/>
      <c r="B18" s="102" t="s">
        <v>49</v>
      </c>
      <c r="C18" s="94">
        <f>'Generation Values'!B17</f>
        <v>8178.7449999999999</v>
      </c>
      <c r="D18" s="94">
        <f>'Generation Values'!C17</f>
        <v>27.423999999999999</v>
      </c>
      <c r="E18" s="96">
        <f t="shared" si="0"/>
        <v>8151.3209999999999</v>
      </c>
      <c r="F18" s="96">
        <f t="shared" si="1"/>
        <v>5283.6862721999996</v>
      </c>
      <c r="G18" s="47">
        <v>0</v>
      </c>
      <c r="H18" s="47">
        <v>0</v>
      </c>
      <c r="I18" s="98">
        <f t="shared" si="2"/>
        <v>5283.6862721999996</v>
      </c>
      <c r="L18" s="100"/>
      <c r="M18" s="30"/>
      <c r="N18" s="30"/>
      <c r="O18" s="30"/>
    </row>
    <row r="19" spans="1:15" ht="15" x14ac:dyDescent="0.25">
      <c r="A19" s="22"/>
      <c r="B19" s="102" t="s">
        <v>50</v>
      </c>
      <c r="C19" s="94">
        <f>'Generation Values'!B18</f>
        <v>7887.1769999999997</v>
      </c>
      <c r="D19" s="94">
        <f>'Generation Values'!C18</f>
        <v>30.02</v>
      </c>
      <c r="E19" s="96">
        <f t="shared" si="0"/>
        <v>7857.1569999999992</v>
      </c>
      <c r="F19" s="96">
        <f t="shared" si="1"/>
        <v>5093.0091673999996</v>
      </c>
      <c r="G19" s="47">
        <v>0</v>
      </c>
      <c r="H19" s="47">
        <v>0</v>
      </c>
      <c r="I19" s="98">
        <f t="shared" si="2"/>
        <v>5093.0091673999996</v>
      </c>
      <c r="L19" s="100"/>
      <c r="M19" s="30"/>
      <c r="N19" s="30"/>
      <c r="O19" s="30"/>
    </row>
    <row r="20" spans="1:15" ht="15" x14ac:dyDescent="0.25">
      <c r="A20" s="22"/>
      <c r="B20" s="16" t="s">
        <v>33</v>
      </c>
      <c r="C20" s="95">
        <f>SUM(C8:C19)</f>
        <v>102845.32299999999</v>
      </c>
      <c r="D20" s="95">
        <f>SUM(D8:D19)</f>
        <v>295.68599999999998</v>
      </c>
      <c r="E20" s="95">
        <f>SUM(E8:E19)</f>
        <v>102549.63700000002</v>
      </c>
      <c r="F20" s="104">
        <f>ROUNDDOWN(SUM(F8:F19),0)</f>
        <v>66472</v>
      </c>
      <c r="G20" s="48">
        <f>ROUNDDOWN(SUM(G8:G19),0)</f>
        <v>0</v>
      </c>
      <c r="H20" s="48">
        <f>ROUNDDOWN(SUM(H8:H19),0)</f>
        <v>0</v>
      </c>
      <c r="I20" s="95">
        <f>ROUNDDOWN(SUM(I8:I19),0)</f>
        <v>66472</v>
      </c>
      <c r="L20" s="100"/>
      <c r="M20" s="30"/>
      <c r="N20" s="30"/>
      <c r="O20" s="30"/>
    </row>
    <row r="21" spans="1:15" ht="15" x14ac:dyDescent="0.25">
      <c r="A21" s="22"/>
      <c r="B21" s="102" t="s">
        <v>72</v>
      </c>
      <c r="C21" s="94">
        <f>'Generation Values'!B20</f>
        <v>7482.817</v>
      </c>
      <c r="D21" s="94">
        <f>'Generation Values'!C20</f>
        <v>31.696000000000002</v>
      </c>
      <c r="E21" s="97">
        <f t="shared" si="0"/>
        <v>7451.1210000000001</v>
      </c>
      <c r="F21" s="97">
        <f>E21*$E$54</f>
        <v>4829.8166321999997</v>
      </c>
      <c r="G21" s="72">
        <v>0</v>
      </c>
      <c r="H21" s="72">
        <v>0</v>
      </c>
      <c r="I21" s="99">
        <f>F21-G21-H21</f>
        <v>4829.8166321999997</v>
      </c>
      <c r="L21" s="100"/>
      <c r="M21" s="30"/>
      <c r="N21" s="30"/>
      <c r="O21" s="30"/>
    </row>
    <row r="22" spans="1:15" ht="15" x14ac:dyDescent="0.25">
      <c r="A22" s="22"/>
      <c r="B22" s="102" t="s">
        <v>73</v>
      </c>
      <c r="C22" s="94">
        <f>'Generation Values'!B21</f>
        <v>8492.3729999999996</v>
      </c>
      <c r="D22" s="94">
        <f>'Generation Values'!C21</f>
        <v>21.52</v>
      </c>
      <c r="E22" s="97">
        <f>C22-D22</f>
        <v>8470.8529999999992</v>
      </c>
      <c r="F22" s="97">
        <f>E22*$E$54</f>
        <v>5490.8069145999998</v>
      </c>
      <c r="G22" s="72">
        <v>0</v>
      </c>
      <c r="H22" s="72">
        <v>0</v>
      </c>
      <c r="I22" s="99">
        <f>F22-G22-H22</f>
        <v>5490.8069145999998</v>
      </c>
      <c r="L22" s="100"/>
      <c r="M22" s="30"/>
      <c r="N22" s="30"/>
      <c r="O22" s="30"/>
    </row>
    <row r="23" spans="1:15" ht="15" x14ac:dyDescent="0.25">
      <c r="A23" s="22"/>
      <c r="B23" s="102" t="s">
        <v>70</v>
      </c>
      <c r="C23" s="94">
        <f>'Generation Values'!B22</f>
        <v>4720.8553548387099</v>
      </c>
      <c r="D23" s="94">
        <f>'Generation Values'!C22</f>
        <v>15.059032258064516</v>
      </c>
      <c r="E23" s="97">
        <f>C23-D23</f>
        <v>4705.7963225806452</v>
      </c>
      <c r="F23" s="97">
        <f>E23*$E$54</f>
        <v>3050.2971762967741</v>
      </c>
      <c r="G23" s="72">
        <v>0</v>
      </c>
      <c r="H23" s="72">
        <v>0</v>
      </c>
      <c r="I23" s="99">
        <f>F23-G23-H23</f>
        <v>3050.2971762967741</v>
      </c>
      <c r="L23" s="100"/>
      <c r="M23" s="30"/>
      <c r="N23" s="30"/>
      <c r="O23" s="30"/>
    </row>
    <row r="24" spans="1:15" ht="15" x14ac:dyDescent="0.25">
      <c r="A24" s="22"/>
      <c r="B24" s="16" t="s">
        <v>55</v>
      </c>
      <c r="C24" s="95">
        <f>SUM(C21:C23)</f>
        <v>20696.045354838709</v>
      </c>
      <c r="D24" s="95">
        <f>SUM(D21:D23)</f>
        <v>68.275032258064513</v>
      </c>
      <c r="E24" s="95">
        <f>SUM(E21:E23)</f>
        <v>20627.770322580644</v>
      </c>
      <c r="F24" s="106">
        <f>ROUNDDOWN(SUM(F21:F23),0)</f>
        <v>13370</v>
      </c>
      <c r="G24" s="48">
        <f>ROUNDDOWN(SUM(G21:G23),0)</f>
        <v>0</v>
      </c>
      <c r="H24" s="48">
        <f>ROUNDDOWN(SUM(H21:H23),0)</f>
        <v>0</v>
      </c>
      <c r="I24" s="95">
        <f>ROUNDDOWN(SUM(I21:I23),0)</f>
        <v>13370</v>
      </c>
      <c r="L24" s="100"/>
      <c r="M24" s="30"/>
      <c r="N24" s="30"/>
      <c r="O24" s="30"/>
    </row>
    <row r="25" spans="1:15" ht="15" x14ac:dyDescent="0.25">
      <c r="A25" s="22"/>
      <c r="B25" s="17" t="s">
        <v>21</v>
      </c>
      <c r="C25" s="28">
        <f t="shared" ref="C25:I25" si="3">C7+C20+C24</f>
        <v>146304.15332258065</v>
      </c>
      <c r="D25" s="28">
        <f t="shared" si="3"/>
        <v>446.09345161290321</v>
      </c>
      <c r="E25" s="28">
        <f t="shared" si="3"/>
        <v>145858.05987096776</v>
      </c>
      <c r="F25" s="28">
        <f t="shared" si="3"/>
        <v>94543</v>
      </c>
      <c r="G25" s="28">
        <f t="shared" si="3"/>
        <v>0</v>
      </c>
      <c r="H25" s="28">
        <f t="shared" si="3"/>
        <v>0</v>
      </c>
      <c r="I25" s="101">
        <f t="shared" si="3"/>
        <v>94543</v>
      </c>
      <c r="L25" s="100"/>
      <c r="M25" s="30"/>
      <c r="N25" s="30"/>
      <c r="O25" s="30"/>
    </row>
    <row r="26" spans="1:15" x14ac:dyDescent="0.2">
      <c r="A26" s="5"/>
    </row>
    <row r="27" spans="1:15" x14ac:dyDescent="0.2">
      <c r="A27" s="5"/>
    </row>
    <row r="28" spans="1:15" ht="25.15" customHeight="1" x14ac:dyDescent="0.2">
      <c r="A28" s="5"/>
      <c r="B28" s="109" t="s">
        <v>100</v>
      </c>
      <c r="C28" s="109"/>
      <c r="D28" s="109"/>
      <c r="E28" s="109"/>
      <c r="F28" s="109"/>
      <c r="G28" s="109"/>
      <c r="H28" s="109"/>
      <c r="I28" s="109"/>
    </row>
    <row r="29" spans="1:15" ht="60" x14ac:dyDescent="0.2">
      <c r="A29" s="5"/>
      <c r="B29" s="15" t="s">
        <v>8</v>
      </c>
      <c r="C29" s="15" t="s">
        <v>0</v>
      </c>
      <c r="D29" s="15" t="s">
        <v>1</v>
      </c>
      <c r="E29" s="15" t="s">
        <v>4</v>
      </c>
      <c r="F29" s="15" t="s">
        <v>9</v>
      </c>
      <c r="G29" s="15" t="s">
        <v>5</v>
      </c>
      <c r="H29" s="15" t="s">
        <v>6</v>
      </c>
      <c r="I29" s="15" t="s">
        <v>7</v>
      </c>
    </row>
    <row r="30" spans="1:15" x14ac:dyDescent="0.2">
      <c r="A30" s="5"/>
      <c r="B30" s="102" t="s">
        <v>29</v>
      </c>
      <c r="C30" s="94">
        <f>'Generation Values'!B27</f>
        <v>6290.9225806451614</v>
      </c>
      <c r="D30" s="94">
        <f>'Generation Values'!C27</f>
        <v>30.077419354838707</v>
      </c>
      <c r="E30" s="96">
        <f>C30-D30</f>
        <v>6260.8451612903227</v>
      </c>
      <c r="F30" s="96">
        <f>E30*$E$54</f>
        <v>4058.2798335483872</v>
      </c>
      <c r="G30" s="47">
        <v>0</v>
      </c>
      <c r="H30" s="47">
        <v>0</v>
      </c>
      <c r="I30" s="98">
        <f>F30-G30-H30</f>
        <v>4058.2798335483872</v>
      </c>
    </row>
    <row r="31" spans="1:15" x14ac:dyDescent="0.2">
      <c r="A31" s="5"/>
      <c r="B31" s="102" t="s">
        <v>30</v>
      </c>
      <c r="C31" s="94">
        <f>'Generation Values'!B28</f>
        <v>5664.89</v>
      </c>
      <c r="D31" s="94">
        <f>'Generation Values'!C28</f>
        <v>38.409999999999997</v>
      </c>
      <c r="E31" s="96">
        <f>C31-D31</f>
        <v>5626.4800000000005</v>
      </c>
      <c r="F31" s="96">
        <f>E31*$E$54</f>
        <v>3647.0843360000003</v>
      </c>
      <c r="G31" s="47">
        <v>0</v>
      </c>
      <c r="H31" s="47">
        <v>0</v>
      </c>
      <c r="I31" s="98">
        <f>F31-G31-H31</f>
        <v>3647.0843360000003</v>
      </c>
    </row>
    <row r="32" spans="1:15" x14ac:dyDescent="0.2">
      <c r="A32" s="5"/>
      <c r="B32" s="102" t="s">
        <v>31</v>
      </c>
      <c r="C32" s="94">
        <f>'Generation Values'!B29</f>
        <v>10806.98</v>
      </c>
      <c r="D32" s="94">
        <f>'Generation Values'!C29</f>
        <v>13.58</v>
      </c>
      <c r="E32" s="96">
        <f>C32-D32</f>
        <v>10793.4</v>
      </c>
      <c r="F32" s="96">
        <f>E32*$E$54</f>
        <v>6996.2818799999995</v>
      </c>
      <c r="G32" s="47">
        <v>0</v>
      </c>
      <c r="H32" s="47">
        <v>0</v>
      </c>
      <c r="I32" s="98">
        <f>F32-G32-H32</f>
        <v>6996.2818799999995</v>
      </c>
    </row>
    <row r="33" spans="1:9" x14ac:dyDescent="0.2">
      <c r="A33" s="5"/>
      <c r="B33" s="16" t="s">
        <v>32</v>
      </c>
      <c r="C33" s="95">
        <f>SUM(C30:C32)</f>
        <v>22762.79258064516</v>
      </c>
      <c r="D33" s="95">
        <f>SUM(D30:D32)</f>
        <v>82.067419354838705</v>
      </c>
      <c r="E33" s="95">
        <f>SUM(E30:E32)</f>
        <v>22680.72516129032</v>
      </c>
      <c r="F33" s="105">
        <f>ROUNDDOWN(SUM(F30:F32),0)</f>
        <v>14701</v>
      </c>
      <c r="G33" s="48">
        <f>ROUNDDOWN(SUM(G30:G32),0)</f>
        <v>0</v>
      </c>
      <c r="H33" s="48">
        <f>ROUNDDOWN(SUM(H30:H32),0)</f>
        <v>0</v>
      </c>
      <c r="I33" s="95">
        <f>ROUNDDOWN(SUM(I30:I32),0)</f>
        <v>14701</v>
      </c>
    </row>
    <row r="34" spans="1:9" x14ac:dyDescent="0.2">
      <c r="A34" s="5"/>
      <c r="B34" s="102" t="s">
        <v>51</v>
      </c>
      <c r="C34" s="94">
        <f>'Generation Values'!B31</f>
        <v>10453.17</v>
      </c>
      <c r="D34" s="94">
        <f>'Generation Values'!C31</f>
        <v>15.99</v>
      </c>
      <c r="E34" s="96">
        <f t="shared" ref="E34:E45" si="4">C34-D34</f>
        <v>10437.18</v>
      </c>
      <c r="F34" s="96">
        <f t="shared" ref="F34:F45" si="5">E34*$E$54</f>
        <v>6765.3800760000004</v>
      </c>
      <c r="G34" s="47">
        <v>0</v>
      </c>
      <c r="H34" s="47">
        <v>0</v>
      </c>
      <c r="I34" s="98">
        <f t="shared" ref="I34:I45" si="6">F34-G34-H34</f>
        <v>6765.3800760000004</v>
      </c>
    </row>
    <row r="35" spans="1:9" x14ac:dyDescent="0.2">
      <c r="A35" s="5"/>
      <c r="B35" s="102" t="s">
        <v>52</v>
      </c>
      <c r="C35" s="94">
        <f>'Generation Values'!B32</f>
        <v>8913.42</v>
      </c>
      <c r="D35" s="94">
        <f>'Generation Values'!C32</f>
        <v>21.64</v>
      </c>
      <c r="E35" s="96">
        <f t="shared" si="4"/>
        <v>8891.7800000000007</v>
      </c>
      <c r="F35" s="96">
        <f t="shared" si="5"/>
        <v>5763.6517960000001</v>
      </c>
      <c r="G35" s="47">
        <v>0</v>
      </c>
      <c r="H35" s="47">
        <v>0</v>
      </c>
      <c r="I35" s="98">
        <f t="shared" si="6"/>
        <v>5763.6517960000001</v>
      </c>
    </row>
    <row r="36" spans="1:9" x14ac:dyDescent="0.2">
      <c r="A36" s="5"/>
      <c r="B36" s="103" t="s">
        <v>37</v>
      </c>
      <c r="C36" s="94">
        <f>'Generation Values'!B33</f>
        <v>10817.2</v>
      </c>
      <c r="D36" s="94">
        <f>'Generation Values'!C33</f>
        <v>15.98</v>
      </c>
      <c r="E36" s="96">
        <f t="shared" si="4"/>
        <v>10801.220000000001</v>
      </c>
      <c r="F36" s="96">
        <f t="shared" si="5"/>
        <v>7001.3508040000006</v>
      </c>
      <c r="G36" s="47">
        <v>0</v>
      </c>
      <c r="H36" s="47">
        <v>0</v>
      </c>
      <c r="I36" s="98">
        <f t="shared" si="6"/>
        <v>7001.3508040000006</v>
      </c>
    </row>
    <row r="37" spans="1:9" x14ac:dyDescent="0.2">
      <c r="A37" s="5"/>
      <c r="B37" s="102" t="s">
        <v>42</v>
      </c>
      <c r="C37" s="94">
        <f>'Generation Values'!B34</f>
        <v>5619.09</v>
      </c>
      <c r="D37" s="94">
        <f>'Generation Values'!C34</f>
        <v>33.880000000000003</v>
      </c>
      <c r="E37" s="96">
        <f t="shared" si="4"/>
        <v>5585.21</v>
      </c>
      <c r="F37" s="96">
        <f t="shared" si="5"/>
        <v>3620.333122</v>
      </c>
      <c r="G37" s="47">
        <v>0</v>
      </c>
      <c r="H37" s="47">
        <v>0</v>
      </c>
      <c r="I37" s="98">
        <f t="shared" si="6"/>
        <v>3620.333122</v>
      </c>
    </row>
    <row r="38" spans="1:9" x14ac:dyDescent="0.2">
      <c r="A38" s="5"/>
      <c r="B38" s="103" t="s">
        <v>43</v>
      </c>
      <c r="C38" s="94">
        <f>'Generation Values'!B35</f>
        <v>5279.91</v>
      </c>
      <c r="D38" s="94">
        <f>'Generation Values'!C35</f>
        <v>37.18</v>
      </c>
      <c r="E38" s="96">
        <f t="shared" si="4"/>
        <v>5242.7299999999996</v>
      </c>
      <c r="F38" s="96">
        <f t="shared" si="5"/>
        <v>3398.3375859999996</v>
      </c>
      <c r="G38" s="47">
        <v>0</v>
      </c>
      <c r="H38" s="47">
        <v>0</v>
      </c>
      <c r="I38" s="98">
        <f t="shared" si="6"/>
        <v>3398.3375859999996</v>
      </c>
    </row>
    <row r="39" spans="1:9" x14ac:dyDescent="0.2">
      <c r="A39" s="5"/>
      <c r="B39" s="102" t="s">
        <v>44</v>
      </c>
      <c r="C39" s="94">
        <f>'Generation Values'!B36</f>
        <v>8622.09</v>
      </c>
      <c r="D39" s="94">
        <f>'Generation Values'!C36</f>
        <v>17</v>
      </c>
      <c r="E39" s="96">
        <f t="shared" si="4"/>
        <v>8605.09</v>
      </c>
      <c r="F39" s="96">
        <f t="shared" si="5"/>
        <v>5577.8193380000002</v>
      </c>
      <c r="G39" s="47">
        <v>0</v>
      </c>
      <c r="H39" s="47">
        <v>0</v>
      </c>
      <c r="I39" s="98">
        <f t="shared" si="6"/>
        <v>5577.8193380000002</v>
      </c>
    </row>
    <row r="40" spans="1:9" x14ac:dyDescent="0.2">
      <c r="A40" s="5"/>
      <c r="B40" s="102" t="s">
        <v>45</v>
      </c>
      <c r="C40" s="94">
        <f>'Generation Values'!B37</f>
        <v>13934.78</v>
      </c>
      <c r="D40" s="94">
        <f>'Generation Values'!C37</f>
        <v>7.9</v>
      </c>
      <c r="E40" s="96">
        <f t="shared" si="4"/>
        <v>13926.880000000001</v>
      </c>
      <c r="F40" s="96">
        <f t="shared" si="5"/>
        <v>9027.4036160000014</v>
      </c>
      <c r="G40" s="47">
        <v>0</v>
      </c>
      <c r="H40" s="47">
        <v>0</v>
      </c>
      <c r="I40" s="98">
        <f t="shared" si="6"/>
        <v>9027.4036160000014</v>
      </c>
    </row>
    <row r="41" spans="1:9" x14ac:dyDescent="0.2">
      <c r="A41" s="5"/>
      <c r="B41" s="102" t="s">
        <v>46</v>
      </c>
      <c r="C41" s="94">
        <f>'Generation Values'!B38</f>
        <v>5343.82</v>
      </c>
      <c r="D41" s="94">
        <f>'Generation Values'!C38</f>
        <v>41.79</v>
      </c>
      <c r="E41" s="96">
        <f t="shared" si="4"/>
        <v>5302.03</v>
      </c>
      <c r="F41" s="96">
        <f t="shared" si="5"/>
        <v>3436.775846</v>
      </c>
      <c r="G41" s="47">
        <v>0</v>
      </c>
      <c r="H41" s="47">
        <v>0</v>
      </c>
      <c r="I41" s="98">
        <f t="shared" si="6"/>
        <v>3436.775846</v>
      </c>
    </row>
    <row r="42" spans="1:9" x14ac:dyDescent="0.2">
      <c r="A42" s="5"/>
      <c r="B42" s="102" t="s">
        <v>47</v>
      </c>
      <c r="C42" s="94">
        <f>'Generation Values'!B39</f>
        <v>7910.88</v>
      </c>
      <c r="D42" s="94">
        <f>'Generation Values'!C39</f>
        <v>25.77</v>
      </c>
      <c r="E42" s="96">
        <f t="shared" si="4"/>
        <v>7885.11</v>
      </c>
      <c r="F42" s="96">
        <f t="shared" si="5"/>
        <v>5111.1283020000001</v>
      </c>
      <c r="G42" s="47">
        <v>0</v>
      </c>
      <c r="H42" s="47">
        <v>0</v>
      </c>
      <c r="I42" s="98">
        <f t="shared" si="6"/>
        <v>5111.1283020000001</v>
      </c>
    </row>
    <row r="43" spans="1:9" x14ac:dyDescent="0.2">
      <c r="A43" s="5"/>
      <c r="B43" s="102" t="s">
        <v>48</v>
      </c>
      <c r="C43" s="94">
        <f>'Generation Values'!B40</f>
        <v>9885.0400000000009</v>
      </c>
      <c r="D43" s="94">
        <f>'Generation Values'!C40</f>
        <v>21.06</v>
      </c>
      <c r="E43" s="96">
        <f t="shared" si="4"/>
        <v>9863.9800000000014</v>
      </c>
      <c r="F43" s="96">
        <f t="shared" si="5"/>
        <v>6393.8318360000012</v>
      </c>
      <c r="G43" s="47">
        <v>0</v>
      </c>
      <c r="H43" s="47">
        <v>0</v>
      </c>
      <c r="I43" s="98">
        <f t="shared" si="6"/>
        <v>6393.8318360000012</v>
      </c>
    </row>
    <row r="44" spans="1:9" x14ac:dyDescent="0.2">
      <c r="A44" s="5"/>
      <c r="B44" s="102" t="s">
        <v>49</v>
      </c>
      <c r="C44" s="94">
        <f>'Generation Values'!B41</f>
        <v>8181.18</v>
      </c>
      <c r="D44" s="94">
        <f>'Generation Values'!C41</f>
        <v>30.03</v>
      </c>
      <c r="E44" s="96">
        <f t="shared" si="4"/>
        <v>8151.1500000000005</v>
      </c>
      <c r="F44" s="96">
        <f t="shared" si="5"/>
        <v>5283.5754300000008</v>
      </c>
      <c r="G44" s="47">
        <v>0</v>
      </c>
      <c r="H44" s="47">
        <v>0</v>
      </c>
      <c r="I44" s="98">
        <f t="shared" si="6"/>
        <v>5283.5754300000008</v>
      </c>
    </row>
    <row r="45" spans="1:9" x14ac:dyDescent="0.2">
      <c r="A45" s="5"/>
      <c r="B45" s="102" t="s">
        <v>50</v>
      </c>
      <c r="C45" s="94">
        <f>'Generation Values'!B42</f>
        <v>7887.19</v>
      </c>
      <c r="D45" s="94">
        <f>'Generation Values'!C42</f>
        <v>30.02</v>
      </c>
      <c r="E45" s="96">
        <f t="shared" si="4"/>
        <v>7857.1699999999992</v>
      </c>
      <c r="F45" s="96">
        <f t="shared" si="5"/>
        <v>5093.017593999999</v>
      </c>
      <c r="G45" s="47">
        <v>0</v>
      </c>
      <c r="H45" s="47">
        <v>0</v>
      </c>
      <c r="I45" s="98">
        <f t="shared" si="6"/>
        <v>5093.017593999999</v>
      </c>
    </row>
    <row r="46" spans="1:9" x14ac:dyDescent="0.2">
      <c r="A46" s="5"/>
      <c r="B46" s="16" t="s">
        <v>33</v>
      </c>
      <c r="C46" s="95">
        <f>SUM(C34:C45)</f>
        <v>102847.77000000002</v>
      </c>
      <c r="D46" s="95">
        <f>SUM(D34:D45)</f>
        <v>298.24</v>
      </c>
      <c r="E46" s="95">
        <f>SUM(E34:E45)</f>
        <v>102549.52999999998</v>
      </c>
      <c r="F46" s="104">
        <f>ROUNDDOWN(SUM(F34:F45),0)</f>
        <v>66472</v>
      </c>
      <c r="G46" s="48">
        <f>ROUNDDOWN(SUM(G34:G45),0)</f>
        <v>0</v>
      </c>
      <c r="H46" s="48">
        <f>ROUNDDOWN(SUM(H34:H45),0)</f>
        <v>0</v>
      </c>
      <c r="I46" s="95">
        <f>ROUNDDOWN(SUM(I34:I45),0)</f>
        <v>66472</v>
      </c>
    </row>
    <row r="47" spans="1:9" x14ac:dyDescent="0.2">
      <c r="A47" s="5"/>
      <c r="B47" s="102" t="s">
        <v>72</v>
      </c>
      <c r="C47" s="94">
        <f>'Generation Values'!B44</f>
        <v>7482.81</v>
      </c>
      <c r="D47" s="94">
        <f>'Generation Values'!C44</f>
        <v>31.69</v>
      </c>
      <c r="E47" s="97">
        <f>C47-D47</f>
        <v>7451.1200000000008</v>
      </c>
      <c r="F47" s="97">
        <f>E47*$E$54</f>
        <v>4829.8159840000008</v>
      </c>
      <c r="G47" s="72">
        <v>0</v>
      </c>
      <c r="H47" s="72">
        <v>0</v>
      </c>
      <c r="I47" s="99">
        <f>F47-G47-H47</f>
        <v>4829.8159840000008</v>
      </c>
    </row>
    <row r="48" spans="1:9" x14ac:dyDescent="0.2">
      <c r="A48" s="5"/>
      <c r="B48" s="102" t="s">
        <v>73</v>
      </c>
      <c r="C48" s="94">
        <f>'Generation Values'!B45</f>
        <v>8492.3799999999992</v>
      </c>
      <c r="D48" s="94">
        <f>'Generation Values'!C45</f>
        <v>21.52</v>
      </c>
      <c r="E48" s="97">
        <f>C48-D48</f>
        <v>8470.8599999999988</v>
      </c>
      <c r="F48" s="97">
        <f>E48*$E$54</f>
        <v>5490.811451999999</v>
      </c>
      <c r="G48" s="72">
        <v>0</v>
      </c>
      <c r="H48" s="72">
        <v>0</v>
      </c>
      <c r="I48" s="99">
        <f>F48-G48-H48</f>
        <v>5490.811451999999</v>
      </c>
    </row>
    <row r="49" spans="1:14" x14ac:dyDescent="0.2">
      <c r="A49" s="5"/>
      <c r="B49" s="102" t="s">
        <v>70</v>
      </c>
      <c r="C49" s="94">
        <f>'Generation Values'!B46</f>
        <v>4720.8541935483872</v>
      </c>
      <c r="D49" s="94">
        <f>'Generation Values'!C46</f>
        <v>15.06193548387097</v>
      </c>
      <c r="E49" s="97">
        <f>C49-D49</f>
        <v>4705.7922580645163</v>
      </c>
      <c r="F49" s="97">
        <f>E49*$E$54</f>
        <v>3050.2945416774196</v>
      </c>
      <c r="G49" s="72">
        <v>0</v>
      </c>
      <c r="H49" s="72">
        <v>0</v>
      </c>
      <c r="I49" s="99">
        <f>F49-G49-H49</f>
        <v>3050.2945416774196</v>
      </c>
    </row>
    <row r="50" spans="1:14" x14ac:dyDescent="0.2">
      <c r="A50" s="5"/>
      <c r="B50" s="16" t="s">
        <v>55</v>
      </c>
      <c r="C50" s="95">
        <f>SUM(C47:C49)</f>
        <v>20696.044193548387</v>
      </c>
      <c r="D50" s="95">
        <f>SUM(D47:D49)</f>
        <v>68.271935483870976</v>
      </c>
      <c r="E50" s="95">
        <f>SUM(E47:E49)</f>
        <v>20627.772258064517</v>
      </c>
      <c r="F50" s="106">
        <f>ROUNDDOWN(SUM(F47:F49),0)</f>
        <v>13370</v>
      </c>
      <c r="G50" s="48">
        <f>ROUNDDOWN(SUM(G47:G49),0)</f>
        <v>0</v>
      </c>
      <c r="H50" s="48">
        <f>ROUNDDOWN(SUM(H47:H49),0)</f>
        <v>0</v>
      </c>
      <c r="I50" s="95">
        <f>ROUNDDOWN(SUM(I47:I49),0)</f>
        <v>13370</v>
      </c>
    </row>
    <row r="51" spans="1:14" x14ac:dyDescent="0.2">
      <c r="A51" s="5"/>
      <c r="B51" s="17" t="s">
        <v>21</v>
      </c>
      <c r="C51" s="28">
        <f>SUM(C33,C46,C50)</f>
        <v>146306.60677419355</v>
      </c>
      <c r="D51" s="28">
        <f>SUM(D33,D46,D50)</f>
        <v>448.57935483870972</v>
      </c>
      <c r="E51" s="28">
        <f>E33+E46+E50</f>
        <v>145858.02741935482</v>
      </c>
      <c r="F51" s="28">
        <f>F33+F46+F50</f>
        <v>94543</v>
      </c>
      <c r="G51" s="28">
        <f>G33+G46+G50</f>
        <v>0</v>
      </c>
      <c r="H51" s="28">
        <f>H33+H46+H50</f>
        <v>0</v>
      </c>
      <c r="I51" s="101">
        <f>I33+I46+I50</f>
        <v>94543</v>
      </c>
    </row>
    <row r="52" spans="1:14" x14ac:dyDescent="0.2">
      <c r="A52" s="5"/>
    </row>
    <row r="53" spans="1:14" x14ac:dyDescent="0.2">
      <c r="A53" s="5"/>
      <c r="C53" s="8"/>
      <c r="D53" s="9"/>
      <c r="E53" s="9"/>
      <c r="G53" s="93"/>
    </row>
    <row r="54" spans="1:14" x14ac:dyDescent="0.2">
      <c r="A54" s="5"/>
      <c r="D54" s="18" t="s">
        <v>2</v>
      </c>
      <c r="E54" s="7">
        <v>0.6482</v>
      </c>
      <c r="F54" s="7" t="s">
        <v>3</v>
      </c>
      <c r="G54" s="93"/>
    </row>
    <row r="55" spans="1:14" x14ac:dyDescent="0.2">
      <c r="A55" s="5"/>
    </row>
    <row r="56" spans="1:14" x14ac:dyDescent="0.2">
      <c r="A56" s="5"/>
      <c r="K56"/>
      <c r="L56"/>
      <c r="M56"/>
      <c r="N56"/>
    </row>
    <row r="57" spans="1:14" x14ac:dyDescent="0.2">
      <c r="A57" s="5"/>
      <c r="B57" s="19"/>
      <c r="E57" s="10"/>
      <c r="F57" s="10"/>
      <c r="G57" s="10"/>
    </row>
    <row r="58" spans="1:14" x14ac:dyDescent="0.2">
      <c r="E58" s="10"/>
      <c r="F58" s="8"/>
      <c r="G58" s="10"/>
    </row>
    <row r="59" spans="1:14" x14ac:dyDescent="0.2">
      <c r="E59" s="10"/>
      <c r="F59" s="10"/>
      <c r="G59" s="10"/>
    </row>
    <row r="60" spans="1:14" ht="15" x14ac:dyDescent="0.25">
      <c r="D60" s="112" t="s">
        <v>10</v>
      </c>
      <c r="E60" s="113"/>
      <c r="F60" s="20" t="s">
        <v>20</v>
      </c>
      <c r="G60" s="11" t="s">
        <v>17</v>
      </c>
      <c r="H60" s="20" t="s">
        <v>18</v>
      </c>
      <c r="I60" s="20" t="s">
        <v>19</v>
      </c>
    </row>
    <row r="61" spans="1:14" x14ac:dyDescent="0.2">
      <c r="D61" s="21">
        <v>44473</v>
      </c>
      <c r="E61" s="21">
        <v>44561</v>
      </c>
      <c r="F61" s="7">
        <f>E61-D61+1</f>
        <v>89</v>
      </c>
      <c r="G61" s="13">
        <f>I7</f>
        <v>14701</v>
      </c>
      <c r="H61" s="13">
        <f>F61/365*$F$69</f>
        <v>19355.671232876713</v>
      </c>
      <c r="I61" s="33">
        <f>(G61-H61)/H61</f>
        <v>-0.24048100305457185</v>
      </c>
    </row>
    <row r="62" spans="1:14" ht="15" customHeight="1" x14ac:dyDescent="0.2">
      <c r="D62" s="21">
        <v>44562</v>
      </c>
      <c r="E62" s="21">
        <v>44926</v>
      </c>
      <c r="F62" s="7">
        <f>E62-D62+1</f>
        <v>365</v>
      </c>
      <c r="G62" s="13">
        <f>I20</f>
        <v>66472</v>
      </c>
      <c r="H62" s="13">
        <f>F62/365*$F$69</f>
        <v>79380</v>
      </c>
      <c r="I62" s="29">
        <f>(G62-H62)/H62</f>
        <v>-0.16261022927689595</v>
      </c>
    </row>
    <row r="63" spans="1:14" ht="15" customHeight="1" x14ac:dyDescent="0.2">
      <c r="D63" s="21">
        <v>44927</v>
      </c>
      <c r="E63" s="58">
        <v>45003</v>
      </c>
      <c r="F63" s="7">
        <f>E63-D63+1</f>
        <v>77</v>
      </c>
      <c r="G63" s="91">
        <f>I24</f>
        <v>13370</v>
      </c>
      <c r="H63" s="13">
        <f>F63/365*$F$69</f>
        <v>16745.917808219179</v>
      </c>
      <c r="I63" s="29">
        <f>(G63-H63)/H63</f>
        <v>-0.20159646350122545</v>
      </c>
    </row>
    <row r="64" spans="1:14" ht="15" x14ac:dyDescent="0.25">
      <c r="D64" s="25" t="s">
        <v>11</v>
      </c>
      <c r="E64" s="26"/>
      <c r="F64" s="86">
        <f>SUM(F61:F63)</f>
        <v>531</v>
      </c>
      <c r="G64" s="32">
        <f>SUM(G61:G63)</f>
        <v>94543</v>
      </c>
      <c r="H64" s="59">
        <f>SUM(H61:H63)</f>
        <v>115481.5890410959</v>
      </c>
      <c r="I64" s="60">
        <f>(G64-H64)/H64</f>
        <v>-0.18131538728346194</v>
      </c>
    </row>
    <row r="66" spans="4:8" x14ac:dyDescent="0.2">
      <c r="D66" s="110" t="s">
        <v>12</v>
      </c>
      <c r="E66" s="111"/>
      <c r="F66" s="14">
        <v>44473</v>
      </c>
    </row>
    <row r="67" spans="4:8" x14ac:dyDescent="0.2">
      <c r="D67" s="110" t="s">
        <v>13</v>
      </c>
      <c r="E67" s="111"/>
      <c r="F67" s="14">
        <v>45003</v>
      </c>
    </row>
    <row r="68" spans="4:8" x14ac:dyDescent="0.2">
      <c r="D68" s="110" t="s">
        <v>14</v>
      </c>
      <c r="E68" s="111"/>
      <c r="F68" s="12">
        <f>F67-F66+1</f>
        <v>531</v>
      </c>
    </row>
    <row r="69" spans="4:8" x14ac:dyDescent="0.2">
      <c r="D69" s="110" t="s">
        <v>22</v>
      </c>
      <c r="E69" s="111"/>
      <c r="F69" s="13">
        <v>79380</v>
      </c>
    </row>
    <row r="70" spans="4:8" x14ac:dyDescent="0.2">
      <c r="D70" s="110" t="s">
        <v>15</v>
      </c>
      <c r="E70" s="111"/>
      <c r="F70" s="13">
        <f>F69/365*F68</f>
        <v>115481.58904109588</v>
      </c>
    </row>
    <row r="71" spans="4:8" ht="24.6" customHeight="1" x14ac:dyDescent="0.2">
      <c r="D71" s="107" t="s">
        <v>56</v>
      </c>
      <c r="E71" s="108"/>
      <c r="F71" s="61">
        <f>I25*365/F68</f>
        <v>64987.184557438792</v>
      </c>
    </row>
    <row r="72" spans="4:8" x14ac:dyDescent="0.2">
      <c r="H72" s="82"/>
    </row>
    <row r="112" ht="18.75" customHeight="1" x14ac:dyDescent="0.2"/>
  </sheetData>
  <mergeCells count="9">
    <mergeCell ref="D71:E71"/>
    <mergeCell ref="B2:I2"/>
    <mergeCell ref="D68:E68"/>
    <mergeCell ref="D69:E69"/>
    <mergeCell ref="D70:E70"/>
    <mergeCell ref="D60:E60"/>
    <mergeCell ref="D66:E66"/>
    <mergeCell ref="D67:E67"/>
    <mergeCell ref="B28:I28"/>
  </mergeCells>
  <phoneticPr fontId="2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2:L18"/>
  <sheetViews>
    <sheetView zoomScale="70" zoomScaleNormal="70" workbookViewId="0">
      <selection activeCell="E36" sqref="E36"/>
    </sheetView>
  </sheetViews>
  <sheetFormatPr defaultRowHeight="12.75" x14ac:dyDescent="0.2"/>
  <cols>
    <col min="2" max="2" width="24.42578125" customWidth="1"/>
    <col min="3" max="4" width="20.140625" customWidth="1"/>
    <col min="5" max="5" width="31.7109375" bestFit="1" customWidth="1"/>
    <col min="6" max="6" width="24.42578125" customWidth="1"/>
    <col min="7" max="7" width="20.140625" customWidth="1"/>
    <col min="8" max="8" width="35.140625" customWidth="1"/>
    <col min="9" max="9" width="24.7109375" customWidth="1"/>
    <col min="10" max="10" width="16.42578125" bestFit="1" customWidth="1"/>
    <col min="14" max="14" width="23.140625" customWidth="1"/>
    <col min="15" max="15" width="17.28515625" customWidth="1"/>
  </cols>
  <sheetData>
    <row r="2" spans="2:12" ht="15.75" x14ac:dyDescent="0.25">
      <c r="B2" s="1" t="s">
        <v>75</v>
      </c>
    </row>
    <row r="4" spans="2:12" x14ac:dyDescent="0.2">
      <c r="B4" s="114" t="s">
        <v>74</v>
      </c>
      <c r="C4" s="114"/>
      <c r="D4" s="114"/>
      <c r="E4" s="115"/>
      <c r="F4" s="31">
        <f>'Generation Values'!D24</f>
        <v>145858.05987096773</v>
      </c>
      <c r="G4" s="27" t="s">
        <v>24</v>
      </c>
    </row>
    <row r="6" spans="2:12" ht="15" x14ac:dyDescent="0.25">
      <c r="C6" s="4"/>
      <c r="D6" s="49"/>
      <c r="E6" s="49"/>
      <c r="F6" s="49"/>
      <c r="G6" s="49"/>
      <c r="I6" s="68"/>
      <c r="J6" s="68"/>
    </row>
    <row r="7" spans="2:12" ht="15" x14ac:dyDescent="0.25">
      <c r="B7" s="49"/>
      <c r="C7" s="49"/>
      <c r="D7" s="49"/>
      <c r="E7" s="49"/>
      <c r="F7" s="49"/>
      <c r="G7" s="49"/>
      <c r="I7" s="68"/>
      <c r="J7" s="68"/>
    </row>
    <row r="8" spans="2:12" ht="15.75" x14ac:dyDescent="0.25">
      <c r="B8" s="2" t="s">
        <v>41</v>
      </c>
      <c r="I8" s="68"/>
      <c r="J8" s="68"/>
    </row>
    <row r="10" spans="2:12" ht="15.75" x14ac:dyDescent="0.25">
      <c r="B10" s="50" t="s">
        <v>39</v>
      </c>
      <c r="C10" s="49"/>
      <c r="D10" s="49"/>
      <c r="E10" s="49"/>
      <c r="F10" s="49"/>
      <c r="G10" s="49"/>
      <c r="H10" s="49"/>
    </row>
    <row r="11" spans="2:12" ht="15" x14ac:dyDescent="0.25">
      <c r="B11" s="49"/>
      <c r="C11" s="49"/>
      <c r="D11" s="49"/>
      <c r="E11" s="49"/>
      <c r="F11" s="49"/>
      <c r="G11" s="49"/>
      <c r="H11" s="49"/>
    </row>
    <row r="12" spans="2:12" ht="88.9" customHeight="1" x14ac:dyDescent="0.2">
      <c r="B12" s="3" t="s">
        <v>58</v>
      </c>
      <c r="C12" s="3" t="s">
        <v>59</v>
      </c>
      <c r="D12" s="3" t="s">
        <v>40</v>
      </c>
      <c r="E12" s="3" t="s">
        <v>60</v>
      </c>
      <c r="F12" s="3" t="s">
        <v>61</v>
      </c>
      <c r="H12" s="73"/>
      <c r="J12" s="68"/>
      <c r="K12" s="68"/>
      <c r="L12" s="68"/>
    </row>
    <row r="13" spans="2:12" x14ac:dyDescent="0.2">
      <c r="B13" s="62">
        <v>24.8</v>
      </c>
      <c r="C13" s="63">
        <f>F4*0.001</f>
        <v>145.85805987096774</v>
      </c>
      <c r="D13" s="62">
        <f>B13*C13</f>
        <v>3617.2798847999998</v>
      </c>
      <c r="E13" s="64">
        <f>10*0.228*531/1000</f>
        <v>1.21068</v>
      </c>
      <c r="F13" s="67">
        <f>D13-E13</f>
        <v>3616.0692047999996</v>
      </c>
    </row>
    <row r="15" spans="2:12" x14ac:dyDescent="0.2">
      <c r="B15" s="65" t="s">
        <v>62</v>
      </c>
    </row>
    <row r="16" spans="2:12" x14ac:dyDescent="0.2">
      <c r="B16" s="92" t="s">
        <v>78</v>
      </c>
      <c r="C16" s="66" t="s">
        <v>77</v>
      </c>
      <c r="E16" s="51"/>
      <c r="F16" s="52"/>
      <c r="G16" s="53"/>
    </row>
    <row r="17" spans="2:7" ht="15" x14ac:dyDescent="0.25">
      <c r="B17" s="92" t="s">
        <v>76</v>
      </c>
      <c r="C17" s="4"/>
      <c r="D17" s="49"/>
      <c r="E17" s="49"/>
      <c r="F17" s="49"/>
      <c r="G17" s="66" t="s">
        <v>77</v>
      </c>
    </row>
    <row r="18" spans="2:7" ht="15" x14ac:dyDescent="0.25">
      <c r="B18" s="92" t="s">
        <v>79</v>
      </c>
      <c r="C18" s="49"/>
      <c r="D18" s="49"/>
      <c r="E18" s="49"/>
      <c r="F18" s="49"/>
      <c r="G18" s="49"/>
    </row>
  </sheetData>
  <mergeCells count="1">
    <mergeCell ref="B4:E4"/>
  </mergeCells>
  <phoneticPr fontId="2" type="noConversion"/>
  <hyperlinks>
    <hyperlink ref="G17" r:id="rId1"/>
    <hyperlink ref="C16" r:id="rId2"/>
  </hyperlinks>
  <pageMargins left="0.75" right="0.75" top="1" bottom="1" header="0.5" footer="0.5"/>
  <pageSetup paperSize="9" orientation="portrait" horizontalDpi="300" verticalDpi="300" r:id="rId3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opLeftCell="A12" zoomScaleNormal="100" workbookViewId="0">
      <selection activeCell="C4" sqref="C4"/>
    </sheetView>
  </sheetViews>
  <sheetFormatPr defaultRowHeight="12.75" x14ac:dyDescent="0.2"/>
  <cols>
    <col min="1" max="1" width="18.85546875" bestFit="1" customWidth="1"/>
    <col min="2" max="2" width="19" style="46" customWidth="1"/>
    <col min="3" max="3" width="27.140625" customWidth="1"/>
    <col min="4" max="4" width="11.5703125" customWidth="1"/>
    <col min="5" max="5" width="14.42578125" bestFit="1" customWidth="1"/>
    <col min="8" max="8" width="40.85546875" customWidth="1"/>
    <col min="10" max="10" width="13.5703125" bestFit="1" customWidth="1"/>
  </cols>
  <sheetData>
    <row r="1" spans="1:10" ht="30" x14ac:dyDescent="0.2">
      <c r="A1" s="34" t="s">
        <v>16</v>
      </c>
      <c r="B1" s="44" t="s">
        <v>23</v>
      </c>
      <c r="C1" s="54" t="s">
        <v>63</v>
      </c>
    </row>
    <row r="2" spans="1:10" ht="40.15" customHeight="1" x14ac:dyDescent="0.2">
      <c r="A2" s="83" t="s">
        <v>80</v>
      </c>
      <c r="B2" s="23" t="s">
        <v>64</v>
      </c>
      <c r="C2" s="45" t="s">
        <v>93</v>
      </c>
      <c r="H2" s="35" t="s">
        <v>27</v>
      </c>
      <c r="I2" s="35" t="s">
        <v>28</v>
      </c>
      <c r="J2" s="35" t="s">
        <v>26</v>
      </c>
    </row>
    <row r="3" spans="1:10" ht="40.15" customHeight="1" x14ac:dyDescent="0.2">
      <c r="A3" s="83" t="s">
        <v>81</v>
      </c>
      <c r="B3" s="23" t="s">
        <v>91</v>
      </c>
      <c r="C3" s="45" t="s">
        <v>93</v>
      </c>
      <c r="H3" s="43" t="s">
        <v>94</v>
      </c>
      <c r="I3" s="43" t="s">
        <v>95</v>
      </c>
      <c r="J3" s="84">
        <v>2022</v>
      </c>
    </row>
    <row r="4" spans="1:10" ht="40.15" customHeight="1" x14ac:dyDescent="0.2">
      <c r="A4" s="83" t="s">
        <v>82</v>
      </c>
      <c r="B4" s="23" t="s">
        <v>38</v>
      </c>
      <c r="C4" s="45" t="s">
        <v>98</v>
      </c>
      <c r="H4" s="43" t="s">
        <v>96</v>
      </c>
      <c r="I4" s="43" t="s">
        <v>97</v>
      </c>
      <c r="J4" s="85">
        <v>2022</v>
      </c>
    </row>
    <row r="5" spans="1:10" ht="40.15" customHeight="1" x14ac:dyDescent="0.2">
      <c r="A5" s="83" t="s">
        <v>83</v>
      </c>
      <c r="B5" s="23" t="s">
        <v>38</v>
      </c>
      <c r="C5" s="45" t="s">
        <v>93</v>
      </c>
      <c r="H5" s="43" t="s">
        <v>96</v>
      </c>
      <c r="I5" s="43" t="s">
        <v>97</v>
      </c>
      <c r="J5" s="85">
        <v>2022</v>
      </c>
    </row>
    <row r="6" spans="1:10" ht="40.15" customHeight="1" x14ac:dyDescent="0.2">
      <c r="A6" s="83" t="s">
        <v>84</v>
      </c>
      <c r="B6" s="23" t="s">
        <v>69</v>
      </c>
      <c r="C6" s="45" t="s">
        <v>93</v>
      </c>
    </row>
    <row r="7" spans="1:10" ht="40.15" customHeight="1" x14ac:dyDescent="0.2">
      <c r="A7" s="83" t="s">
        <v>85</v>
      </c>
      <c r="B7" s="23" t="s">
        <v>92</v>
      </c>
      <c r="C7" s="45" t="s">
        <v>93</v>
      </c>
    </row>
    <row r="8" spans="1:10" ht="40.15" customHeight="1" x14ac:dyDescent="0.2">
      <c r="A8" s="83" t="s">
        <v>86</v>
      </c>
      <c r="B8" s="23" t="s">
        <v>69</v>
      </c>
      <c r="C8" s="45" t="s">
        <v>93</v>
      </c>
    </row>
    <row r="9" spans="1:10" ht="40.15" customHeight="1" x14ac:dyDescent="0.2">
      <c r="A9" s="83" t="s">
        <v>87</v>
      </c>
      <c r="B9" s="23" t="s">
        <v>69</v>
      </c>
      <c r="C9" s="45" t="s">
        <v>93</v>
      </c>
    </row>
    <row r="10" spans="1:10" ht="40.15" customHeight="1" x14ac:dyDescent="0.2">
      <c r="A10" s="83" t="s">
        <v>88</v>
      </c>
      <c r="B10" s="23" t="s">
        <v>38</v>
      </c>
      <c r="C10" s="45" t="s">
        <v>93</v>
      </c>
    </row>
    <row r="11" spans="1:10" ht="40.15" customHeight="1" x14ac:dyDescent="0.2">
      <c r="A11" s="83" t="s">
        <v>89</v>
      </c>
      <c r="B11" s="23" t="s">
        <v>38</v>
      </c>
      <c r="C11" s="45" t="s">
        <v>93</v>
      </c>
    </row>
    <row r="12" spans="1:10" ht="44.45" customHeight="1" x14ac:dyDescent="0.2">
      <c r="A12" s="83" t="s">
        <v>90</v>
      </c>
      <c r="B12" s="23" t="s">
        <v>92</v>
      </c>
      <c r="C12" s="45" t="s">
        <v>93</v>
      </c>
    </row>
    <row r="13" spans="1:10" ht="13.15" customHeight="1" x14ac:dyDescent="0.2">
      <c r="B13"/>
    </row>
    <row r="14" spans="1:10" ht="13.15" customHeight="1" x14ac:dyDescent="0.2">
      <c r="B14"/>
    </row>
    <row r="15" spans="1:10" ht="13.15" customHeight="1" x14ac:dyDescent="0.2">
      <c r="B15"/>
    </row>
    <row r="16" spans="1:10" ht="13.15" customHeight="1" x14ac:dyDescent="0.2">
      <c r="B16"/>
    </row>
    <row r="17" spans="2:2" ht="13.15" customHeight="1" x14ac:dyDescent="0.2">
      <c r="B17"/>
    </row>
    <row r="18" spans="2:2" ht="13.5" customHeight="1" x14ac:dyDescent="0.2">
      <c r="B18"/>
    </row>
    <row r="19" spans="2:2" ht="13.15" customHeight="1" x14ac:dyDescent="0.2">
      <c r="B19"/>
    </row>
    <row r="20" spans="2:2" ht="13.15" customHeight="1" x14ac:dyDescent="0.2">
      <c r="B20"/>
    </row>
    <row r="21" spans="2:2" ht="13.15" customHeight="1" x14ac:dyDescent="0.2">
      <c r="B21"/>
    </row>
  </sheetData>
  <phoneticPr fontId="13" type="noConversion"/>
  <pageMargins left="0.7" right="0.7" top="0.75" bottom="0.75" header="0.3" footer="0.3"/>
  <pageSetup paperSize="9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9"/>
  <sheetViews>
    <sheetView topLeftCell="A76" zoomScaleNormal="100" workbookViewId="0">
      <selection activeCell="D46" sqref="D46"/>
    </sheetView>
  </sheetViews>
  <sheetFormatPr defaultRowHeight="12.75" x14ac:dyDescent="0.2"/>
  <cols>
    <col min="1" max="1" width="10" customWidth="1"/>
    <col min="2" max="2" width="26.28515625" customWidth="1"/>
    <col min="3" max="3" width="25.7109375" customWidth="1"/>
    <col min="4" max="4" width="26.85546875" customWidth="1"/>
  </cols>
  <sheetData>
    <row r="1" spans="1:4" ht="31.15" customHeight="1" thickBot="1" x14ac:dyDescent="0.3">
      <c r="A1" s="116" t="s">
        <v>34</v>
      </c>
      <c r="B1" s="117"/>
      <c r="C1" s="117"/>
      <c r="D1" s="118"/>
    </row>
    <row r="2" spans="1:4" ht="46.9" customHeight="1" x14ac:dyDescent="0.2">
      <c r="A2" s="40" t="s">
        <v>25</v>
      </c>
      <c r="B2" s="41" t="s">
        <v>65</v>
      </c>
      <c r="C2" s="41" t="s">
        <v>66</v>
      </c>
      <c r="D2" s="42" t="s">
        <v>67</v>
      </c>
    </row>
    <row r="3" spans="1:4" x14ac:dyDescent="0.2">
      <c r="A3" s="37" t="s">
        <v>29</v>
      </c>
      <c r="B3" s="55">
        <f>28/31*6964.946</f>
        <v>6290.9189677419354</v>
      </c>
      <c r="C3" s="55">
        <f>28/31*33.3</f>
        <v>30.077419354838707</v>
      </c>
      <c r="D3" s="56">
        <f t="shared" ref="D3:D23" si="0">B3-C3</f>
        <v>6260.8415483870967</v>
      </c>
    </row>
    <row r="4" spans="1:4" x14ac:dyDescent="0.2">
      <c r="A4" s="37" t="s">
        <v>30</v>
      </c>
      <c r="B4" s="55">
        <v>5664.8980000000001</v>
      </c>
      <c r="C4" s="55">
        <v>38.47</v>
      </c>
      <c r="D4" s="56">
        <f t="shared" si="0"/>
        <v>5626.4279999999999</v>
      </c>
    </row>
    <row r="5" spans="1:4" x14ac:dyDescent="0.2">
      <c r="A5" s="37" t="s">
        <v>31</v>
      </c>
      <c r="B5" s="55">
        <v>10806.968000000001</v>
      </c>
      <c r="C5" s="55">
        <v>13.585000000000001</v>
      </c>
      <c r="D5" s="56">
        <f t="shared" si="0"/>
        <v>10793.383000000002</v>
      </c>
    </row>
    <row r="6" spans="1:4" x14ac:dyDescent="0.2">
      <c r="A6" s="76" t="s">
        <v>32</v>
      </c>
      <c r="B6" s="57">
        <f>SUM(B3:B5)</f>
        <v>22762.784967741936</v>
      </c>
      <c r="C6" s="57">
        <f>SUM(C3:C5)</f>
        <v>82.132419354838703</v>
      </c>
      <c r="D6" s="77">
        <f t="shared" si="0"/>
        <v>22680.652548387097</v>
      </c>
    </row>
    <row r="7" spans="1:4" x14ac:dyDescent="0.2">
      <c r="A7" s="37" t="s">
        <v>51</v>
      </c>
      <c r="B7" s="55">
        <v>10453.168</v>
      </c>
      <c r="C7" s="55">
        <v>15.984999999999999</v>
      </c>
      <c r="D7" s="56">
        <f t="shared" si="0"/>
        <v>10437.182999999999</v>
      </c>
    </row>
    <row r="8" spans="1:4" x14ac:dyDescent="0.2">
      <c r="A8" s="37" t="s">
        <v>52</v>
      </c>
      <c r="B8" s="55">
        <v>8913.4290000000001</v>
      </c>
      <c r="C8" s="55">
        <v>21.643999999999998</v>
      </c>
      <c r="D8" s="56">
        <f t="shared" si="0"/>
        <v>8891.7849999999999</v>
      </c>
    </row>
    <row r="9" spans="1:4" x14ac:dyDescent="0.2">
      <c r="A9" s="38" t="s">
        <v>37</v>
      </c>
      <c r="B9" s="55">
        <v>10817.206</v>
      </c>
      <c r="C9" s="55">
        <v>15.981999999999999</v>
      </c>
      <c r="D9" s="56">
        <f t="shared" si="0"/>
        <v>10801.224</v>
      </c>
    </row>
    <row r="10" spans="1:4" x14ac:dyDescent="0.2">
      <c r="A10" s="37" t="s">
        <v>42</v>
      </c>
      <c r="B10" s="55">
        <v>5619.0870000000004</v>
      </c>
      <c r="C10" s="55">
        <v>33.927</v>
      </c>
      <c r="D10" s="56">
        <f t="shared" si="0"/>
        <v>5585.1600000000008</v>
      </c>
    </row>
    <row r="11" spans="1:4" x14ac:dyDescent="0.2">
      <c r="A11" s="37" t="s">
        <v>43</v>
      </c>
      <c r="B11" s="55">
        <v>5279.9110000000001</v>
      </c>
      <c r="C11" s="55">
        <v>37.177</v>
      </c>
      <c r="D11" s="56">
        <f t="shared" si="0"/>
        <v>5242.7340000000004</v>
      </c>
    </row>
    <row r="12" spans="1:4" x14ac:dyDescent="0.2">
      <c r="A12" s="37" t="s">
        <v>44</v>
      </c>
      <c r="B12" s="55">
        <v>8622.0889999999999</v>
      </c>
      <c r="C12" s="55">
        <v>16.998999999999999</v>
      </c>
      <c r="D12" s="56">
        <f t="shared" si="0"/>
        <v>8605.09</v>
      </c>
    </row>
    <row r="13" spans="1:4" x14ac:dyDescent="0.2">
      <c r="A13" s="37" t="s">
        <v>45</v>
      </c>
      <c r="B13" s="55">
        <v>13934.778</v>
      </c>
      <c r="C13" s="55">
        <v>7.9020000000000001</v>
      </c>
      <c r="D13" s="56">
        <f t="shared" si="0"/>
        <v>13926.876</v>
      </c>
    </row>
    <row r="14" spans="1:4" x14ac:dyDescent="0.2">
      <c r="A14" s="37" t="s">
        <v>46</v>
      </c>
      <c r="B14" s="55">
        <v>5343.8109999999997</v>
      </c>
      <c r="C14" s="55">
        <v>41.796999999999997</v>
      </c>
      <c r="D14" s="56">
        <f t="shared" si="0"/>
        <v>5302.0140000000001</v>
      </c>
    </row>
    <row r="15" spans="1:4" x14ac:dyDescent="0.2">
      <c r="A15" s="37" t="s">
        <v>47</v>
      </c>
      <c r="B15" s="55">
        <v>7910.884</v>
      </c>
      <c r="C15" s="55">
        <v>25.765000000000001</v>
      </c>
      <c r="D15" s="56">
        <f t="shared" si="0"/>
        <v>7885.1189999999997</v>
      </c>
    </row>
    <row r="16" spans="1:4" x14ac:dyDescent="0.2">
      <c r="A16" s="37" t="s">
        <v>48</v>
      </c>
      <c r="B16" s="55">
        <v>9885.0380000000005</v>
      </c>
      <c r="C16" s="55">
        <v>21.064</v>
      </c>
      <c r="D16" s="56">
        <f t="shared" si="0"/>
        <v>9863.9740000000002</v>
      </c>
    </row>
    <row r="17" spans="1:4" x14ac:dyDescent="0.2">
      <c r="A17" s="37" t="s">
        <v>49</v>
      </c>
      <c r="B17" s="55">
        <v>8178.7449999999999</v>
      </c>
      <c r="C17" s="55">
        <v>27.423999999999999</v>
      </c>
      <c r="D17" s="56">
        <f t="shared" si="0"/>
        <v>8151.3209999999999</v>
      </c>
    </row>
    <row r="18" spans="1:4" x14ac:dyDescent="0.2">
      <c r="A18" s="37" t="s">
        <v>50</v>
      </c>
      <c r="B18" s="55">
        <v>7887.1769999999997</v>
      </c>
      <c r="C18" s="55">
        <v>30.02</v>
      </c>
      <c r="D18" s="56">
        <f t="shared" si="0"/>
        <v>7857.1569999999992</v>
      </c>
    </row>
    <row r="19" spans="1:4" x14ac:dyDescent="0.2">
      <c r="A19" s="76" t="s">
        <v>33</v>
      </c>
      <c r="B19" s="57">
        <f>SUM(B7:B18)</f>
        <v>102845.32299999999</v>
      </c>
      <c r="C19" s="57">
        <f>SUM(C7:C18)</f>
        <v>295.68599999999998</v>
      </c>
      <c r="D19" s="77">
        <f t="shared" si="0"/>
        <v>102549.63699999999</v>
      </c>
    </row>
    <row r="20" spans="1:4" x14ac:dyDescent="0.2">
      <c r="A20" s="37" t="s">
        <v>53</v>
      </c>
      <c r="B20" s="71">
        <v>7482.817</v>
      </c>
      <c r="C20" s="71">
        <v>31.696000000000002</v>
      </c>
      <c r="D20" s="56">
        <f t="shared" si="0"/>
        <v>7451.1210000000001</v>
      </c>
    </row>
    <row r="21" spans="1:4" x14ac:dyDescent="0.2">
      <c r="A21" s="37" t="s">
        <v>54</v>
      </c>
      <c r="B21" s="71">
        <v>8492.3729999999996</v>
      </c>
      <c r="C21" s="71">
        <v>21.52</v>
      </c>
      <c r="D21" s="56">
        <f t="shared" si="0"/>
        <v>8470.8529999999992</v>
      </c>
    </row>
    <row r="22" spans="1:4" x14ac:dyDescent="0.2">
      <c r="A22" s="37" t="s">
        <v>70</v>
      </c>
      <c r="B22" s="71">
        <f>18/31*8130.362</f>
        <v>4720.8553548387099</v>
      </c>
      <c r="C22" s="71">
        <f>18/31*25.935</f>
        <v>15.059032258064516</v>
      </c>
      <c r="D22" s="90">
        <f t="shared" si="0"/>
        <v>4705.7963225806452</v>
      </c>
    </row>
    <row r="23" spans="1:4" x14ac:dyDescent="0.2">
      <c r="A23" s="76" t="s">
        <v>55</v>
      </c>
      <c r="B23" s="57">
        <f>SUM(B20:B22)</f>
        <v>20696.045354838709</v>
      </c>
      <c r="C23" s="57">
        <f>SUM(C20:C22)</f>
        <v>68.275032258064513</v>
      </c>
      <c r="D23" s="77">
        <f t="shared" si="0"/>
        <v>20627.770322580644</v>
      </c>
    </row>
    <row r="24" spans="1:4" ht="13.5" thickBot="1" x14ac:dyDescent="0.25">
      <c r="A24" s="78" t="s">
        <v>57</v>
      </c>
      <c r="B24" s="79"/>
      <c r="C24" s="79"/>
      <c r="D24" s="80">
        <f>D6+D19+D23</f>
        <v>145858.05987096773</v>
      </c>
    </row>
    <row r="25" spans="1:4" ht="16.5" thickBot="1" x14ac:dyDescent="0.3">
      <c r="A25" s="116" t="s">
        <v>71</v>
      </c>
      <c r="B25" s="117"/>
      <c r="C25" s="117"/>
      <c r="D25" s="118"/>
    </row>
    <row r="26" spans="1:4" ht="34.15" customHeight="1" x14ac:dyDescent="0.2">
      <c r="A26" s="40" t="s">
        <v>25</v>
      </c>
      <c r="B26" s="41" t="s">
        <v>65</v>
      </c>
      <c r="C26" s="41" t="s">
        <v>66</v>
      </c>
      <c r="D26" s="42" t="s">
        <v>67</v>
      </c>
    </row>
    <row r="27" spans="1:4" x14ac:dyDescent="0.2">
      <c r="A27" s="37" t="s">
        <v>29</v>
      </c>
      <c r="B27" s="55">
        <f>28/31*6964.95</f>
        <v>6290.9225806451614</v>
      </c>
      <c r="C27" s="55">
        <f>28/31*33.3</f>
        <v>30.077419354838707</v>
      </c>
      <c r="D27" s="56">
        <f>B27-C27</f>
        <v>6260.8451612903227</v>
      </c>
    </row>
    <row r="28" spans="1:4" x14ac:dyDescent="0.2">
      <c r="A28" s="37" t="s">
        <v>30</v>
      </c>
      <c r="B28" s="55">
        <v>5664.89</v>
      </c>
      <c r="C28" s="55">
        <v>38.409999999999997</v>
      </c>
      <c r="D28" s="56">
        <f>B28-C28</f>
        <v>5626.4800000000005</v>
      </c>
    </row>
    <row r="29" spans="1:4" x14ac:dyDescent="0.2">
      <c r="A29" s="37" t="s">
        <v>31</v>
      </c>
      <c r="B29" s="55">
        <v>10806.98</v>
      </c>
      <c r="C29" s="55">
        <v>13.58</v>
      </c>
      <c r="D29" s="56">
        <f>B29-C29</f>
        <v>10793.4</v>
      </c>
    </row>
    <row r="30" spans="1:4" x14ac:dyDescent="0.2">
      <c r="A30" s="36" t="s">
        <v>32</v>
      </c>
      <c r="B30" s="57">
        <f>SUM(B27:B29)</f>
        <v>22762.79258064516</v>
      </c>
      <c r="C30" s="57">
        <f>SUM(C27:C29)</f>
        <v>82.067419354838705</v>
      </c>
      <c r="D30" s="57">
        <f t="shared" ref="D30:D47" si="1">B30-C30</f>
        <v>22680.72516129032</v>
      </c>
    </row>
    <row r="31" spans="1:4" x14ac:dyDescent="0.2">
      <c r="A31" s="37" t="s">
        <v>51</v>
      </c>
      <c r="B31" s="70">
        <v>10453.17</v>
      </c>
      <c r="C31" s="55">
        <v>15.99</v>
      </c>
      <c r="D31" s="56">
        <f t="shared" si="1"/>
        <v>10437.18</v>
      </c>
    </row>
    <row r="32" spans="1:4" x14ac:dyDescent="0.2">
      <c r="A32" s="37" t="s">
        <v>52</v>
      </c>
      <c r="B32" s="55">
        <v>8913.42</v>
      </c>
      <c r="C32" s="55">
        <v>21.64</v>
      </c>
      <c r="D32" s="56">
        <f t="shared" si="1"/>
        <v>8891.7800000000007</v>
      </c>
    </row>
    <row r="33" spans="1:4" x14ac:dyDescent="0.2">
      <c r="A33" s="38" t="s">
        <v>37</v>
      </c>
      <c r="B33" s="55">
        <v>10817.2</v>
      </c>
      <c r="C33" s="55">
        <v>15.98</v>
      </c>
      <c r="D33" s="56">
        <f t="shared" si="1"/>
        <v>10801.220000000001</v>
      </c>
    </row>
    <row r="34" spans="1:4" x14ac:dyDescent="0.2">
      <c r="A34" s="37" t="s">
        <v>42</v>
      </c>
      <c r="B34" s="55">
        <v>5619.09</v>
      </c>
      <c r="C34" s="55">
        <v>33.880000000000003</v>
      </c>
      <c r="D34" s="56">
        <f t="shared" si="1"/>
        <v>5585.21</v>
      </c>
    </row>
    <row r="35" spans="1:4" x14ac:dyDescent="0.2">
      <c r="A35" s="37" t="s">
        <v>43</v>
      </c>
      <c r="B35" s="55">
        <v>5279.91</v>
      </c>
      <c r="C35" s="55">
        <v>37.18</v>
      </c>
      <c r="D35" s="56">
        <f t="shared" si="1"/>
        <v>5242.7299999999996</v>
      </c>
    </row>
    <row r="36" spans="1:4" x14ac:dyDescent="0.2">
      <c r="A36" s="37" t="s">
        <v>44</v>
      </c>
      <c r="B36" s="55">
        <v>8622.09</v>
      </c>
      <c r="C36" s="55">
        <v>17</v>
      </c>
      <c r="D36" s="56">
        <f t="shared" si="1"/>
        <v>8605.09</v>
      </c>
    </row>
    <row r="37" spans="1:4" x14ac:dyDescent="0.2">
      <c r="A37" s="37" t="s">
        <v>45</v>
      </c>
      <c r="B37" s="55">
        <v>13934.78</v>
      </c>
      <c r="C37" s="55">
        <v>7.9</v>
      </c>
      <c r="D37" s="56">
        <f t="shared" si="1"/>
        <v>13926.880000000001</v>
      </c>
    </row>
    <row r="38" spans="1:4" x14ac:dyDescent="0.2">
      <c r="A38" s="37" t="s">
        <v>46</v>
      </c>
      <c r="B38" s="55">
        <v>5343.82</v>
      </c>
      <c r="C38" s="70">
        <v>41.79</v>
      </c>
      <c r="D38" s="56">
        <f t="shared" si="1"/>
        <v>5302.03</v>
      </c>
    </row>
    <row r="39" spans="1:4" x14ac:dyDescent="0.2">
      <c r="A39" s="37" t="s">
        <v>47</v>
      </c>
      <c r="B39" s="55">
        <v>7910.88</v>
      </c>
      <c r="C39" s="55">
        <v>25.77</v>
      </c>
      <c r="D39" s="56">
        <f t="shared" si="1"/>
        <v>7885.11</v>
      </c>
    </row>
    <row r="40" spans="1:4" x14ac:dyDescent="0.2">
      <c r="A40" s="37" t="s">
        <v>48</v>
      </c>
      <c r="B40" s="55">
        <v>9885.0400000000009</v>
      </c>
      <c r="C40" s="55">
        <v>21.06</v>
      </c>
      <c r="D40" s="56">
        <f t="shared" si="1"/>
        <v>9863.9800000000014</v>
      </c>
    </row>
    <row r="41" spans="1:4" x14ac:dyDescent="0.2">
      <c r="A41" s="37" t="s">
        <v>49</v>
      </c>
      <c r="B41" s="55">
        <v>8181.18</v>
      </c>
      <c r="C41" s="55">
        <v>30.03</v>
      </c>
      <c r="D41" s="56">
        <f t="shared" si="1"/>
        <v>8151.1500000000005</v>
      </c>
    </row>
    <row r="42" spans="1:4" x14ac:dyDescent="0.2">
      <c r="A42" s="37" t="s">
        <v>50</v>
      </c>
      <c r="B42" s="55">
        <v>7887.19</v>
      </c>
      <c r="C42" s="55">
        <v>30.02</v>
      </c>
      <c r="D42" s="56">
        <f t="shared" si="1"/>
        <v>7857.1699999999992</v>
      </c>
    </row>
    <row r="43" spans="1:4" x14ac:dyDescent="0.2">
      <c r="A43" s="36" t="s">
        <v>33</v>
      </c>
      <c r="B43" s="57">
        <f>SUM(B31:B42)</f>
        <v>102847.77000000002</v>
      </c>
      <c r="C43" s="57">
        <f>SUM(C31:C42)</f>
        <v>298.24</v>
      </c>
      <c r="D43" s="57">
        <f t="shared" si="1"/>
        <v>102549.53000000001</v>
      </c>
    </row>
    <row r="44" spans="1:4" x14ac:dyDescent="0.2">
      <c r="A44" s="37" t="s">
        <v>53</v>
      </c>
      <c r="B44" s="71">
        <v>7482.81</v>
      </c>
      <c r="C44" s="71">
        <v>31.69</v>
      </c>
      <c r="D44" s="56">
        <f t="shared" si="1"/>
        <v>7451.1200000000008</v>
      </c>
    </row>
    <row r="45" spans="1:4" x14ac:dyDescent="0.2">
      <c r="A45" s="37" t="s">
        <v>54</v>
      </c>
      <c r="B45" s="71">
        <v>8492.3799999999992</v>
      </c>
      <c r="C45" s="71">
        <v>21.52</v>
      </c>
      <c r="D45" s="56">
        <f t="shared" si="1"/>
        <v>8470.8599999999988</v>
      </c>
    </row>
    <row r="46" spans="1:4" x14ac:dyDescent="0.2">
      <c r="A46" s="81" t="s">
        <v>70</v>
      </c>
      <c r="B46" s="71">
        <f>18/31*8130.36</f>
        <v>4720.8541935483872</v>
      </c>
      <c r="C46" s="71">
        <f>18/31*25.94</f>
        <v>15.06193548387097</v>
      </c>
      <c r="D46" s="56">
        <f t="shared" si="1"/>
        <v>4705.7922580645163</v>
      </c>
    </row>
    <row r="47" spans="1:4" ht="13.5" thickBot="1" x14ac:dyDescent="0.25">
      <c r="A47" s="36" t="s">
        <v>55</v>
      </c>
      <c r="B47" s="57">
        <f>SUM(B44:B46)</f>
        <v>20696.044193548387</v>
      </c>
      <c r="C47" s="57">
        <f>SUM(C44:C46)</f>
        <v>68.271935483870976</v>
      </c>
      <c r="D47" s="57">
        <f t="shared" si="1"/>
        <v>20627.772258064517</v>
      </c>
    </row>
    <row r="48" spans="1:4" ht="13.5" thickBot="1" x14ac:dyDescent="0.25">
      <c r="A48" s="74" t="s">
        <v>57</v>
      </c>
      <c r="B48" s="75"/>
      <c r="C48" s="75"/>
      <c r="D48" s="80">
        <f>D30+D43+D47</f>
        <v>145858.02741935485</v>
      </c>
    </row>
    <row r="50" spans="1:4" ht="13.5" thickBot="1" x14ac:dyDescent="0.25"/>
    <row r="51" spans="1:4" ht="51" x14ac:dyDescent="0.2">
      <c r="A51" s="40" t="s">
        <v>25</v>
      </c>
      <c r="B51" s="41" t="s">
        <v>36</v>
      </c>
      <c r="C51" s="41" t="s">
        <v>68</v>
      </c>
      <c r="D51" s="42" t="s">
        <v>35</v>
      </c>
    </row>
    <row r="52" spans="1:4" x14ac:dyDescent="0.2">
      <c r="A52" s="37" t="s">
        <v>29</v>
      </c>
      <c r="B52" s="39">
        <f>D3</f>
        <v>6260.8415483870967</v>
      </c>
      <c r="C52" s="39">
        <f>D27</f>
        <v>6260.8451612903227</v>
      </c>
      <c r="D52" s="69">
        <f t="shared" ref="D52:D69" si="2">B52-C52</f>
        <v>-3.6129032259850646E-3</v>
      </c>
    </row>
    <row r="53" spans="1:4" x14ac:dyDescent="0.2">
      <c r="A53" s="37" t="s">
        <v>30</v>
      </c>
      <c r="B53" s="39">
        <f>D4</f>
        <v>5626.4279999999999</v>
      </c>
      <c r="C53" s="39">
        <f>D28</f>
        <v>5626.4800000000005</v>
      </c>
      <c r="D53" s="69">
        <f t="shared" si="2"/>
        <v>-5.2000000000589353E-2</v>
      </c>
    </row>
    <row r="54" spans="1:4" x14ac:dyDescent="0.2">
      <c r="A54" s="37" t="s">
        <v>31</v>
      </c>
      <c r="B54" s="39">
        <f>D5</f>
        <v>10793.383000000002</v>
      </c>
      <c r="C54" s="39">
        <f>D29</f>
        <v>10793.4</v>
      </c>
      <c r="D54" s="69">
        <f t="shared" si="2"/>
        <v>-1.6999999998006388E-2</v>
      </c>
    </row>
    <row r="55" spans="1:4" x14ac:dyDescent="0.2">
      <c r="A55" s="37" t="s">
        <v>51</v>
      </c>
      <c r="B55" s="39">
        <f t="shared" ref="B55:B66" si="3">D7</f>
        <v>10437.182999999999</v>
      </c>
      <c r="C55" s="39">
        <f>D31</f>
        <v>10437.18</v>
      </c>
      <c r="D55" s="69">
        <f t="shared" si="2"/>
        <v>2.999999998792191E-3</v>
      </c>
    </row>
    <row r="56" spans="1:4" x14ac:dyDescent="0.2">
      <c r="A56" s="37" t="s">
        <v>52</v>
      </c>
      <c r="B56" s="39">
        <f t="shared" si="3"/>
        <v>8891.7849999999999</v>
      </c>
      <c r="C56" s="39">
        <f t="shared" ref="C56:C66" si="4">D32</f>
        <v>8891.7800000000007</v>
      </c>
      <c r="D56" s="69">
        <f t="shared" si="2"/>
        <v>4.9999999991996447E-3</v>
      </c>
    </row>
    <row r="57" spans="1:4" x14ac:dyDescent="0.2">
      <c r="A57" s="38" t="s">
        <v>37</v>
      </c>
      <c r="B57" s="39">
        <f t="shared" si="3"/>
        <v>10801.224</v>
      </c>
      <c r="C57" s="39">
        <f t="shared" si="4"/>
        <v>10801.220000000001</v>
      </c>
      <c r="D57" s="69">
        <f t="shared" si="2"/>
        <v>3.9999999989959178E-3</v>
      </c>
    </row>
    <row r="58" spans="1:4" x14ac:dyDescent="0.2">
      <c r="A58" s="37" t="s">
        <v>42</v>
      </c>
      <c r="B58" s="39">
        <f t="shared" si="3"/>
        <v>5585.1600000000008</v>
      </c>
      <c r="C58" s="39">
        <f t="shared" si="4"/>
        <v>5585.21</v>
      </c>
      <c r="D58" s="69">
        <f t="shared" si="2"/>
        <v>-4.9999999999272404E-2</v>
      </c>
    </row>
    <row r="59" spans="1:4" x14ac:dyDescent="0.2">
      <c r="A59" s="37" t="s">
        <v>43</v>
      </c>
      <c r="B59" s="39">
        <f t="shared" si="3"/>
        <v>5242.7340000000004</v>
      </c>
      <c r="C59" s="39">
        <f t="shared" si="4"/>
        <v>5242.7299999999996</v>
      </c>
      <c r="D59" s="69">
        <f t="shared" si="2"/>
        <v>4.0000000008149073E-3</v>
      </c>
    </row>
    <row r="60" spans="1:4" x14ac:dyDescent="0.2">
      <c r="A60" s="37" t="s">
        <v>44</v>
      </c>
      <c r="B60" s="39">
        <f t="shared" si="3"/>
        <v>8605.09</v>
      </c>
      <c r="C60" s="39">
        <f t="shared" si="4"/>
        <v>8605.09</v>
      </c>
      <c r="D60" s="69">
        <f t="shared" si="2"/>
        <v>0</v>
      </c>
    </row>
    <row r="61" spans="1:4" x14ac:dyDescent="0.2">
      <c r="A61" s="37" t="s">
        <v>45</v>
      </c>
      <c r="B61" s="39">
        <f t="shared" si="3"/>
        <v>13926.876</v>
      </c>
      <c r="C61" s="39">
        <f t="shared" si="4"/>
        <v>13926.880000000001</v>
      </c>
      <c r="D61" s="69">
        <f t="shared" si="2"/>
        <v>-4.0000000008149073E-3</v>
      </c>
    </row>
    <row r="62" spans="1:4" x14ac:dyDescent="0.2">
      <c r="A62" s="37" t="s">
        <v>46</v>
      </c>
      <c r="B62" s="39">
        <f t="shared" si="3"/>
        <v>5302.0140000000001</v>
      </c>
      <c r="C62" s="39">
        <f t="shared" si="4"/>
        <v>5302.03</v>
      </c>
      <c r="D62" s="69">
        <f t="shared" si="2"/>
        <v>-1.599999999962165E-2</v>
      </c>
    </row>
    <row r="63" spans="1:4" x14ac:dyDescent="0.2">
      <c r="A63" s="37" t="s">
        <v>47</v>
      </c>
      <c r="B63" s="39">
        <f t="shared" si="3"/>
        <v>7885.1189999999997</v>
      </c>
      <c r="C63" s="39">
        <f t="shared" si="4"/>
        <v>7885.11</v>
      </c>
      <c r="D63" s="69">
        <f t="shared" si="2"/>
        <v>9.0000000000145519E-3</v>
      </c>
    </row>
    <row r="64" spans="1:4" x14ac:dyDescent="0.2">
      <c r="A64" s="37" t="s">
        <v>48</v>
      </c>
      <c r="B64" s="39">
        <f t="shared" si="3"/>
        <v>9863.9740000000002</v>
      </c>
      <c r="C64" s="39">
        <f t="shared" si="4"/>
        <v>9863.9800000000014</v>
      </c>
      <c r="D64" s="69">
        <f t="shared" si="2"/>
        <v>-6.0000000012223609E-3</v>
      </c>
    </row>
    <row r="65" spans="1:4" x14ac:dyDescent="0.2">
      <c r="A65" s="37" t="s">
        <v>49</v>
      </c>
      <c r="B65" s="39">
        <f t="shared" si="3"/>
        <v>8151.3209999999999</v>
      </c>
      <c r="C65" s="39">
        <f t="shared" si="4"/>
        <v>8151.1500000000005</v>
      </c>
      <c r="D65" s="69">
        <f t="shared" si="2"/>
        <v>0.17099999999936699</v>
      </c>
    </row>
    <row r="66" spans="1:4" x14ac:dyDescent="0.2">
      <c r="A66" s="37" t="s">
        <v>50</v>
      </c>
      <c r="B66" s="39">
        <f t="shared" si="3"/>
        <v>7857.1569999999992</v>
      </c>
      <c r="C66" s="39">
        <f t="shared" si="4"/>
        <v>7857.1699999999992</v>
      </c>
      <c r="D66" s="69">
        <f t="shared" si="2"/>
        <v>-1.2999999999919964E-2</v>
      </c>
    </row>
    <row r="67" spans="1:4" x14ac:dyDescent="0.2">
      <c r="A67" s="37" t="s">
        <v>53</v>
      </c>
      <c r="B67" s="87">
        <f>D20</f>
        <v>7451.1210000000001</v>
      </c>
      <c r="C67" s="87">
        <f>D44</f>
        <v>7451.1200000000008</v>
      </c>
      <c r="D67" s="88">
        <f t="shared" si="2"/>
        <v>9.9999999929423211E-4</v>
      </c>
    </row>
    <row r="68" spans="1:4" x14ac:dyDescent="0.2">
      <c r="A68" s="37" t="s">
        <v>54</v>
      </c>
      <c r="B68" s="87">
        <f>D21</f>
        <v>8470.8529999999992</v>
      </c>
      <c r="C68" s="89">
        <f>D45</f>
        <v>8470.8599999999988</v>
      </c>
      <c r="D68" s="88">
        <f t="shared" si="2"/>
        <v>-6.9999999996070983E-3</v>
      </c>
    </row>
    <row r="69" spans="1:4" x14ac:dyDescent="0.2">
      <c r="A69" s="37" t="s">
        <v>70</v>
      </c>
      <c r="B69" s="89">
        <f>D22</f>
        <v>4705.7963225806452</v>
      </c>
      <c r="C69" s="89">
        <f>D46</f>
        <v>4705.7922580645163</v>
      </c>
      <c r="D69" s="88">
        <f t="shared" si="2"/>
        <v>4.0645161288921372E-3</v>
      </c>
    </row>
  </sheetData>
  <mergeCells count="2">
    <mergeCell ref="A25:D25"/>
    <mergeCell ref="A1:D1"/>
  </mergeCells>
  <phoneticPr fontId="15" type="noConversion"/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4</vt:i4>
      </vt:variant>
    </vt:vector>
  </HeadingPairs>
  <TitlesOfParts>
    <vt:vector size="4" baseType="lpstr">
      <vt:lpstr>ER of Akbük WFP</vt:lpstr>
      <vt:lpstr>Monitoring Plan</vt:lpstr>
      <vt:lpstr>Trainings</vt:lpstr>
      <vt:lpstr>Generation Values</vt:lpstr>
    </vt:vector>
  </TitlesOfParts>
  <Company>dost enerji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emre_samsun</dc:creator>
  <cp:lastModifiedBy>Hakan Demir</cp:lastModifiedBy>
  <cp:lastPrinted>2010-05-24T07:04:16Z</cp:lastPrinted>
  <dcterms:created xsi:type="dcterms:W3CDTF">2009-04-30T12:28:30Z</dcterms:created>
  <dcterms:modified xsi:type="dcterms:W3CDTF">2023-08-09T14:47:47Z</dcterms:modified>
</cp:coreProperties>
</file>