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ate1904="1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Z:\Arzu\0_Projects\GS\GS-5920_MERAM-Biogas_Ver\GS Round I\"/>
    </mc:Choice>
  </mc:AlternateContent>
  <xr:revisionPtr revIDLastSave="0" documentId="13_ncr:1_{BB4ADF90-3E3C-4162-8F93-EF9707E3C28F}" xr6:coauthVersionLast="47" xr6:coauthVersionMax="47" xr10:uidLastSave="{00000000-0000-0000-0000-000000000000}"/>
  <bookViews>
    <workbookView xWindow="765" yWindow="1065" windowWidth="23055" windowHeight="15015" tabRatio="625" firstSheet="3" activeTab="3" xr2:uid="{00000000-000D-0000-FFFF-FFFF00000000}"/>
  </bookViews>
  <sheets>
    <sheet name="Sheet3" sheetId="6" state="hidden" r:id="rId1"/>
    <sheet name="Sheet2" sheetId="5" state="hidden" r:id="rId2"/>
    <sheet name="Sheet1" sheetId="4" state="hidden" r:id="rId3"/>
    <sheet name="Average Temp" sheetId="18" r:id="rId4"/>
    <sheet name="Farms Information" sheetId="32" r:id="rId5"/>
    <sheet name="Baseline Emission in 2022" sheetId="22" r:id="rId6"/>
    <sheet name="Baseline Emission in 2023" sheetId="23" r:id="rId7"/>
    <sheet name="Baseline Emission in 2024" sheetId="30" r:id="rId8"/>
    <sheet name="Project emission in 2022" sheetId="25" r:id="rId9"/>
    <sheet name="Project emission in 2023" sheetId="26" r:id="rId10"/>
    <sheet name="Project emission in 2024" sheetId="29" r:id="rId11"/>
    <sheet name="EPIAS Records" sheetId="28" r:id="rId12"/>
    <sheet name="Emission reduction" sheetId="9" r:id="rId13"/>
    <sheet name="Biogas Information" sheetId="33" r:id="rId14"/>
    <sheet name="grid loss" sheetId="16" r:id="rId15"/>
    <sheet name="SOx and NOx" sheetId="21" r:id="rId16"/>
    <sheet name="Sheet4" sheetId="34" r:id="rId17"/>
  </sheets>
  <externalReferences>
    <externalReference r:id="rId18"/>
    <externalReference r:id="rId19"/>
    <externalReference r:id="rId20"/>
  </externalReferences>
  <definedNames>
    <definedName name="_GHG2">#REF!</definedName>
    <definedName name="AllGas">#REF!</definedName>
    <definedName name="Conservativeness">#REF!</definedName>
    <definedName name="ELECT_UNITS">[1]CONVERTION_FACTORS!$H$3:$H$5</definedName>
    <definedName name="ELECT_UNITS2">[2]CONVERTION_FACTORS!$H$3:$H$5</definedName>
    <definedName name="EM_UNITS">[1]CONVERTION_FACTORS!$G$3:$G$5</definedName>
    <definedName name="EM_UNITS2">[2]CONVERTION_FACTORS!$G$3:$G$5</definedName>
    <definedName name="EN_UNITS">[1]CONVERTION_FACTORS!$B$3:$B$7</definedName>
    <definedName name="EN_Units2">[2]CONVERTION_FACTORS!$B$3:$B$7</definedName>
    <definedName name="EN_UNITS3">[2]CONVERTION_FACTORS!$B$3:$B$7</definedName>
    <definedName name="GasFlow">#REF!</definedName>
    <definedName name="GasFlowType">#REF!</definedName>
    <definedName name="GasFlowUnits">#REF!</definedName>
    <definedName name="GasH2O">#REF!</definedName>
    <definedName name="GHG">#REF!</definedName>
    <definedName name="GHG_C">#REF!</definedName>
    <definedName name="GHG_E">#REF!</definedName>
    <definedName name="GHG_E_F">'[3]List of parameters'!$B$116:$B$126</definedName>
    <definedName name="GHG_EF">'[3]List of parameters'!$B$116:$B$126</definedName>
    <definedName name="GHG_G">#REF!</definedName>
    <definedName name="GHGD">#REF!</definedName>
    <definedName name="MMk">#REF!</definedName>
    <definedName name="MoistureScenarios">#REF!</definedName>
    <definedName name="Opciones">#REF!</definedName>
    <definedName name="Option_1">#REF!</definedName>
    <definedName name="Option1or2">#REF!</definedName>
    <definedName name="OptionButton3">#REF!</definedName>
    <definedName name="_xlnm.Print_Area" localSheetId="14">'grid loss'!$C$1:$AH$51</definedName>
    <definedName name="Volume_flow___dry_basis">#REF!</definedName>
    <definedName name="Volume_flow___wet_basis">#REF!</definedName>
    <definedName name="Volumetric_fraction">#REF!</definedName>
    <definedName name="wetdr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34" l="1"/>
  <c r="D42" i="26" l="1"/>
  <c r="E40" i="29"/>
  <c r="L45" i="29"/>
  <c r="L44" i="29"/>
  <c r="L43" i="29"/>
  <c r="E49" i="29"/>
  <c r="E45" i="29" s="1"/>
  <c r="K47" i="26"/>
  <c r="K46" i="26"/>
  <c r="K45" i="26"/>
  <c r="D51" i="26"/>
  <c r="D47" i="26" s="1"/>
  <c r="K48" i="25"/>
  <c r="K47" i="25"/>
  <c r="K46" i="25"/>
  <c r="D52" i="25"/>
  <c r="D48" i="25" s="1"/>
  <c r="L50" i="29"/>
  <c r="L49" i="29"/>
  <c r="L48" i="29"/>
  <c r="K44" i="29"/>
  <c r="K45" i="29"/>
  <c r="K43" i="29"/>
  <c r="D27" i="29"/>
  <c r="L39" i="29"/>
  <c r="K39" i="29"/>
  <c r="N39" i="29" s="1"/>
  <c r="N38" i="29"/>
  <c r="N37" i="29"/>
  <c r="N36" i="29"/>
  <c r="D27" i="26"/>
  <c r="K52" i="26"/>
  <c r="K51" i="26"/>
  <c r="K50" i="26"/>
  <c r="J46" i="26"/>
  <c r="J47" i="26"/>
  <c r="J45" i="26"/>
  <c r="M41" i="26"/>
  <c r="K41" i="26"/>
  <c r="J41" i="26"/>
  <c r="M40" i="26"/>
  <c r="M39" i="26"/>
  <c r="M38" i="26"/>
  <c r="D27" i="25"/>
  <c r="K53" i="25"/>
  <c r="K52" i="25"/>
  <c r="K51" i="25"/>
  <c r="J47" i="25"/>
  <c r="J48" i="25"/>
  <c r="J46" i="25"/>
  <c r="M41" i="25"/>
  <c r="H9" i="33"/>
  <c r="B9" i="33"/>
  <c r="E15" i="33"/>
  <c r="E41" i="29" l="1"/>
  <c r="D43" i="26"/>
  <c r="N48" i="29"/>
  <c r="E42" i="29"/>
  <c r="M50" i="26"/>
  <c r="D44" i="26"/>
  <c r="M39" i="25"/>
  <c r="D45" i="25"/>
  <c r="K42" i="25"/>
  <c r="D43" i="25"/>
  <c r="D44" i="25" s="1"/>
  <c r="M51" i="25"/>
  <c r="J42" i="25"/>
  <c r="M40" i="25"/>
  <c r="M42" i="25" l="1"/>
  <c r="D3" i="26" l="1"/>
  <c r="D3" i="30"/>
  <c r="D32" i="30"/>
  <c r="D31" i="30"/>
  <c r="D32" i="23"/>
  <c r="D31" i="23"/>
  <c r="D3" i="29"/>
  <c r="D3" i="25"/>
  <c r="D3" i="22"/>
  <c r="D23" i="22" l="1"/>
  <c r="E7" i="21" s="1"/>
  <c r="B7" i="21"/>
  <c r="C19" i="28"/>
  <c r="E15" i="21"/>
  <c r="E16" i="21" s="1"/>
  <c r="B15" i="21"/>
  <c r="C15" i="21" s="1"/>
  <c r="B10" i="21"/>
  <c r="E11" i="21"/>
  <c r="B11" i="21"/>
  <c r="F15" i="21" l="1"/>
  <c r="B16" i="21"/>
  <c r="D22" i="29"/>
  <c r="D22" i="26"/>
  <c r="D22" i="25"/>
  <c r="O15" i="28" l="1"/>
  <c r="P8" i="28"/>
  <c r="N15" i="28"/>
  <c r="P7" i="28"/>
  <c r="I12" i="9" l="1"/>
  <c r="I10" i="9"/>
  <c r="I11" i="9"/>
  <c r="D2" i="29"/>
  <c r="D7" i="29"/>
  <c r="D8" i="29"/>
  <c r="D28" i="29"/>
  <c r="D26" i="29"/>
  <c r="D15" i="29"/>
  <c r="D12" i="29" s="1"/>
  <c r="D23" i="30"/>
  <c r="D20" i="30" s="1"/>
  <c r="D25" i="30" s="1"/>
  <c r="B6" i="9" s="1"/>
  <c r="G43" i="30"/>
  <c r="D11" i="30" s="1"/>
  <c r="G33" i="30"/>
  <c r="D10" i="30" s="1"/>
  <c r="D13" i="30"/>
  <c r="E13" i="30" s="1"/>
  <c r="D12" i="30"/>
  <c r="E12" i="30" s="1"/>
  <c r="P15" i="28"/>
  <c r="P4" i="28"/>
  <c r="P5" i="28"/>
  <c r="P6" i="28"/>
  <c r="P3" i="28"/>
  <c r="F15" i="28"/>
  <c r="G15" i="28"/>
  <c r="D21" i="29" l="1"/>
  <c r="D20" i="29" s="1"/>
  <c r="D34" i="29" s="1"/>
  <c r="C6" i="9" s="1"/>
  <c r="D7" i="26"/>
  <c r="D8" i="26"/>
  <c r="D8" i="25"/>
  <c r="D7" i="25"/>
  <c r="D6" i="9" l="1"/>
  <c r="D21" i="26"/>
  <c r="D23" i="23"/>
  <c r="K15" i="28" l="1"/>
  <c r="J15" i="28"/>
  <c r="L4" i="28"/>
  <c r="L5" i="28"/>
  <c r="L6" i="28"/>
  <c r="L7" i="28"/>
  <c r="L8" i="28"/>
  <c r="L9" i="28"/>
  <c r="L10" i="28"/>
  <c r="L11" i="28"/>
  <c r="L12" i="28"/>
  <c r="L13" i="28"/>
  <c r="L14" i="28"/>
  <c r="L3" i="28"/>
  <c r="H9" i="28"/>
  <c r="H10" i="28"/>
  <c r="H11" i="28"/>
  <c r="H12" i="28"/>
  <c r="H13" i="28"/>
  <c r="H14" i="28"/>
  <c r="L15" i="28" l="1"/>
  <c r="H15" i="28"/>
  <c r="D28" i="26"/>
  <c r="D26" i="26"/>
  <c r="D20" i="26"/>
  <c r="D15" i="26"/>
  <c r="D12" i="26" s="1"/>
  <c r="D2" i="26"/>
  <c r="D28" i="25"/>
  <c r="D26" i="25"/>
  <c r="D15" i="25"/>
  <c r="D12" i="25" s="1"/>
  <c r="D2" i="25"/>
  <c r="G43" i="23"/>
  <c r="D11" i="23" s="1"/>
  <c r="G33" i="23"/>
  <c r="D10" i="23" s="1"/>
  <c r="D20" i="23"/>
  <c r="E13" i="23"/>
  <c r="D13" i="23"/>
  <c r="D12" i="23"/>
  <c r="E12" i="23" s="1"/>
  <c r="G44" i="22"/>
  <c r="D11" i="22" s="1"/>
  <c r="G33" i="22"/>
  <c r="D10" i="22" s="1"/>
  <c r="D13" i="22"/>
  <c r="E13" i="22" s="1"/>
  <c r="D12" i="22"/>
  <c r="E12" i="22" s="1"/>
  <c r="D34" i="26" l="1"/>
  <c r="C4" i="9" s="1"/>
  <c r="D3" i="23"/>
  <c r="D25" i="23" s="1"/>
  <c r="B4" i="9" s="1"/>
  <c r="D21" i="25" l="1"/>
  <c r="D20" i="25" s="1"/>
  <c r="D34" i="25" s="1"/>
  <c r="C3" i="9" s="1"/>
  <c r="D20" i="22"/>
  <c r="D25" i="22" s="1"/>
  <c r="B3" i="9" s="1"/>
  <c r="E5" i="21"/>
  <c r="E10" i="21" s="1"/>
  <c r="C8" i="9" l="1"/>
  <c r="C7" i="9" s="1"/>
  <c r="B8" i="9" l="1"/>
  <c r="B7" i="9" s="1"/>
  <c r="D7" i="9" s="1"/>
  <c r="J15" i="16"/>
  <c r="L15" i="16"/>
  <c r="P15" i="16" s="1"/>
  <c r="U15" i="16"/>
  <c r="F16" i="16"/>
  <c r="J16" i="16"/>
  <c r="L16" i="16"/>
  <c r="P16" i="16" s="1"/>
  <c r="U16" i="16"/>
  <c r="F17" i="16"/>
  <c r="J17" i="16"/>
  <c r="L17" i="16"/>
  <c r="P17" i="16" s="1"/>
  <c r="U17" i="16"/>
  <c r="F18" i="16"/>
  <c r="J18" i="16"/>
  <c r="L18" i="16"/>
  <c r="P18" i="16" s="1"/>
  <c r="T18" i="16" s="1"/>
  <c r="U18" i="16"/>
  <c r="F19" i="16"/>
  <c r="J19" i="16"/>
  <c r="L19" i="16"/>
  <c r="P19" i="16" s="1"/>
  <c r="Z19" i="16" s="1"/>
  <c r="U19" i="16"/>
  <c r="F20" i="16"/>
  <c r="J20" i="16"/>
  <c r="L20" i="16"/>
  <c r="P20" i="16"/>
  <c r="T20" i="16" s="1"/>
  <c r="U20" i="16"/>
  <c r="F21" i="16"/>
  <c r="J21" i="16"/>
  <c r="L21" i="16"/>
  <c r="P21" i="16" s="1"/>
  <c r="U21" i="16"/>
  <c r="F22" i="16"/>
  <c r="J22" i="16"/>
  <c r="L22" i="16"/>
  <c r="P22" i="16" s="1"/>
  <c r="U22" i="16"/>
  <c r="F23" i="16"/>
  <c r="J23" i="16"/>
  <c r="L23" i="16"/>
  <c r="P23" i="16"/>
  <c r="Z23" i="16" s="1"/>
  <c r="U23" i="16"/>
  <c r="F24" i="16"/>
  <c r="J24" i="16"/>
  <c r="L24" i="16"/>
  <c r="P24" i="16" s="1"/>
  <c r="U24" i="16"/>
  <c r="F25" i="16"/>
  <c r="J25" i="16"/>
  <c r="L25" i="16"/>
  <c r="P25" i="16" s="1"/>
  <c r="U25" i="16"/>
  <c r="F26" i="16"/>
  <c r="H26" i="16"/>
  <c r="J26" i="16" s="1"/>
  <c r="U26" i="16"/>
  <c r="F27" i="16"/>
  <c r="J27" i="16"/>
  <c r="L27" i="16"/>
  <c r="P27" i="16" s="1"/>
  <c r="X27" i="16"/>
  <c r="F28" i="16"/>
  <c r="J28" i="16"/>
  <c r="L28" i="16"/>
  <c r="P28" i="16" s="1"/>
  <c r="X28" i="16"/>
  <c r="F29" i="16"/>
  <c r="H29" i="16"/>
  <c r="J29" i="16" s="1"/>
  <c r="X29" i="16"/>
  <c r="F30" i="16"/>
  <c r="J30" i="16"/>
  <c r="L30" i="16"/>
  <c r="P30" i="16" s="1"/>
  <c r="T30" i="16" s="1"/>
  <c r="U30" i="16"/>
  <c r="F31" i="16"/>
  <c r="J31" i="16"/>
  <c r="L31" i="16"/>
  <c r="P31" i="16" s="1"/>
  <c r="U31" i="16"/>
  <c r="X31" i="16" s="1"/>
  <c r="F32" i="16"/>
  <c r="H32" i="16"/>
  <c r="J32" i="16" s="1"/>
  <c r="U32" i="16"/>
  <c r="X32" i="16" s="1"/>
  <c r="F33" i="16"/>
  <c r="H33" i="16"/>
  <c r="J33" i="16" s="1"/>
  <c r="X33" i="16"/>
  <c r="F34" i="16"/>
  <c r="H34" i="16"/>
  <c r="J34" i="16" s="1"/>
  <c r="U34" i="16"/>
  <c r="F35" i="16"/>
  <c r="H35" i="16"/>
  <c r="J35" i="16" s="1"/>
  <c r="X35" i="16"/>
  <c r="F36" i="16"/>
  <c r="J36" i="16"/>
  <c r="L36" i="16"/>
  <c r="P36" i="16" s="1"/>
  <c r="X36" i="16"/>
  <c r="F37" i="16"/>
  <c r="J37" i="16"/>
  <c r="L37" i="16"/>
  <c r="P37" i="16" s="1"/>
  <c r="X37" i="16"/>
  <c r="F38" i="16"/>
  <c r="J38" i="16"/>
  <c r="L38" i="16"/>
  <c r="P38" i="16" s="1"/>
  <c r="X38" i="16"/>
  <c r="F39" i="16"/>
  <c r="J39" i="16"/>
  <c r="L39" i="16"/>
  <c r="P39" i="16" s="1"/>
  <c r="X39" i="16"/>
  <c r="F40" i="16"/>
  <c r="J40" i="16"/>
  <c r="L40" i="16"/>
  <c r="P40" i="16" s="1"/>
  <c r="X40" i="16"/>
  <c r="F41" i="16"/>
  <c r="J41" i="16"/>
  <c r="L41" i="16"/>
  <c r="P41" i="16" s="1"/>
  <c r="X41" i="16"/>
  <c r="AD23" i="16" l="1"/>
  <c r="W23" i="16"/>
  <c r="L26" i="16"/>
  <c r="P26" i="16" s="1"/>
  <c r="T24" i="16"/>
  <c r="Z24" i="16"/>
  <c r="T17" i="16"/>
  <c r="Z17" i="16"/>
  <c r="L29" i="16"/>
  <c r="P29" i="16" s="1"/>
  <c r="T29" i="16" s="1"/>
  <c r="Z27" i="16"/>
  <c r="W19" i="16"/>
  <c r="AD19" i="16"/>
  <c r="Z20" i="16"/>
  <c r="T19" i="16"/>
  <c r="Z28" i="16"/>
  <c r="T23" i="16"/>
  <c r="W24" i="16"/>
  <c r="W17" i="16"/>
  <c r="T25" i="16"/>
  <c r="Z25" i="16"/>
  <c r="AD25" i="16"/>
  <c r="T16" i="16"/>
  <c r="Z16" i="16"/>
  <c r="T22" i="16"/>
  <c r="Z22" i="16"/>
  <c r="AD21" i="16"/>
  <c r="T21" i="16"/>
  <c r="Z21" i="16"/>
  <c r="L34" i="16"/>
  <c r="P34" i="16" s="1"/>
  <c r="W30" i="16"/>
  <c r="W21" i="16"/>
  <c r="L33" i="16"/>
  <c r="P33" i="16" s="1"/>
  <c r="T33" i="16" s="1"/>
  <c r="L32" i="16"/>
  <c r="P32" i="16" s="1"/>
  <c r="W32" i="16" s="1"/>
  <c r="W25" i="16"/>
  <c r="AD17" i="16"/>
  <c r="W16" i="16"/>
  <c r="W34" i="16"/>
  <c r="T40" i="16"/>
  <c r="AD40" i="16"/>
  <c r="W40" i="16"/>
  <c r="W39" i="16"/>
  <c r="T39" i="16"/>
  <c r="AD39" i="16"/>
  <c r="W37" i="16"/>
  <c r="T37" i="16"/>
  <c r="AD37" i="16"/>
  <c r="T36" i="16"/>
  <c r="AD36" i="16"/>
  <c r="W36" i="16"/>
  <c r="T15" i="16"/>
  <c r="Z15" i="16"/>
  <c r="AD15" i="16"/>
  <c r="T31" i="16"/>
  <c r="W31" i="16"/>
  <c r="AD31" i="16"/>
  <c r="Z41" i="16"/>
  <c r="Z40" i="16"/>
  <c r="Z39" i="16"/>
  <c r="Z38" i="16"/>
  <c r="Z37" i="16"/>
  <c r="Z36" i="16"/>
  <c r="W15" i="16"/>
  <c r="W41" i="16"/>
  <c r="AD41" i="16"/>
  <c r="T41" i="16"/>
  <c r="T38" i="16"/>
  <c r="AD38" i="16"/>
  <c r="W38" i="16"/>
  <c r="Z31" i="16"/>
  <c r="T28" i="16"/>
  <c r="AD28" i="16"/>
  <c r="W28" i="16"/>
  <c r="W27" i="16"/>
  <c r="T27" i="16"/>
  <c r="AD27" i="16"/>
  <c r="Z26" i="16"/>
  <c r="T26" i="16"/>
  <c r="AD26" i="16"/>
  <c r="AG26" i="16" s="1"/>
  <c r="W26" i="16"/>
  <c r="W22" i="16"/>
  <c r="W20" i="16"/>
  <c r="W18" i="16"/>
  <c r="Z18" i="16"/>
  <c r="L35" i="16"/>
  <c r="P35" i="16" s="1"/>
  <c r="Z35" i="16" s="1"/>
  <c r="X30" i="16"/>
  <c r="AD34" i="16"/>
  <c r="AD24" i="16"/>
  <c r="AD22" i="16"/>
  <c r="AD20" i="16"/>
  <c r="AD18" i="16"/>
  <c r="AD16" i="16"/>
  <c r="AG27" i="16" l="1"/>
  <c r="Z33" i="16"/>
  <c r="W29" i="16"/>
  <c r="Z32" i="16"/>
  <c r="AD29" i="16"/>
  <c r="AG29" i="16" s="1"/>
  <c r="T32" i="16"/>
  <c r="AD32" i="16"/>
  <c r="AG32" i="16" s="1"/>
  <c r="W33" i="16"/>
  <c r="Z29" i="16"/>
  <c r="AD33" i="16"/>
  <c r="AG34" i="16" s="1"/>
  <c r="AG38" i="16"/>
  <c r="T34" i="16"/>
  <c r="Z34" i="16"/>
  <c r="AG23" i="16"/>
  <c r="AG22" i="16"/>
  <c r="AG16" i="16"/>
  <c r="AG17" i="16"/>
  <c r="AG24" i="16"/>
  <c r="AG25" i="16"/>
  <c r="AG20" i="16"/>
  <c r="AG21" i="16"/>
  <c r="W35" i="16"/>
  <c r="T35" i="16"/>
  <c r="AD35" i="16"/>
  <c r="AG35" i="16" s="1"/>
  <c r="AG41" i="16"/>
  <c r="AG37" i="16"/>
  <c r="AG28" i="16"/>
  <c r="AG18" i="16"/>
  <c r="AG19" i="16"/>
  <c r="Z30" i="16"/>
  <c r="AD30" i="16"/>
  <c r="AG30" i="16" s="1"/>
  <c r="AG39" i="16"/>
  <c r="AG40" i="16"/>
  <c r="AG33" i="16" l="1"/>
  <c r="AG36" i="16"/>
  <c r="AG31" i="16"/>
  <c r="D3" i="9" l="1"/>
  <c r="D4" i="9"/>
  <c r="D8" i="9" l="1"/>
  <c r="H45" i="22"/>
  <c r="H45" i="2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<sst xmlns="http://schemas.openxmlformats.org/spreadsheetml/2006/main" count="1168" uniqueCount="499">
  <si>
    <t>Unit</t>
  </si>
  <si>
    <t>Caculation</t>
  </si>
  <si>
    <t>Reference</t>
  </si>
  <si>
    <t>Description</t>
  </si>
  <si>
    <t>tCO2</t>
  </si>
  <si>
    <t>Mark</t>
  </si>
  <si>
    <t>MWh/year</t>
  </si>
  <si>
    <r>
      <t>EG</t>
    </r>
    <r>
      <rPr>
        <vertAlign val="subscript"/>
        <sz val="10"/>
        <rFont val="Verdana"/>
        <family val="2"/>
      </rPr>
      <t>baseline</t>
    </r>
  </si>
  <si>
    <r>
      <t>EF</t>
    </r>
    <r>
      <rPr>
        <vertAlign val="subscript"/>
        <sz val="10"/>
        <rFont val="Verdana"/>
        <family val="2"/>
      </rPr>
      <t>y</t>
    </r>
  </si>
  <si>
    <t>Electricity to the grid in baseline</t>
  </si>
  <si>
    <t>Emission factor</t>
  </si>
  <si>
    <t>tCO2/MWh</t>
  </si>
  <si>
    <t>Operational time</t>
  </si>
  <si>
    <t>hour</t>
  </si>
  <si>
    <t>T</t>
  </si>
  <si>
    <t xml:space="preserve">Parameter </t>
  </si>
  <si>
    <t>Value</t>
  </si>
  <si>
    <r>
      <t>G</t>
    </r>
    <r>
      <rPr>
        <sz val="10"/>
        <rFont val="Verdana"/>
        <family val="2"/>
      </rPr>
      <t>eneration Capacity</t>
    </r>
    <phoneticPr fontId="2" type="noConversion"/>
  </si>
  <si>
    <t>P</t>
    <phoneticPr fontId="2" type="noConversion"/>
  </si>
  <si>
    <t>T</t>
    <phoneticPr fontId="2" type="noConversion"/>
  </si>
  <si>
    <r>
      <t>W</t>
    </r>
    <r>
      <rPr>
        <sz val="10"/>
        <rFont val="Verdana"/>
        <family val="2"/>
      </rPr>
      <t>orking time</t>
    </r>
    <phoneticPr fontId="2" type="noConversion"/>
  </si>
  <si>
    <t>Hours/y</t>
    <phoneticPr fontId="2" type="noConversion"/>
  </si>
  <si>
    <r>
      <t>P</t>
    </r>
    <r>
      <rPr>
        <sz val="10"/>
        <rFont val="Verdana"/>
        <family val="2"/>
      </rPr>
      <t>*T</t>
    </r>
    <phoneticPr fontId="2" type="noConversion"/>
  </si>
  <si>
    <t>tCO2e/a</t>
    <phoneticPr fontId="4" type="noConversion"/>
  </si>
  <si>
    <t>Baseline methane emission in year y</t>
    <phoneticPr fontId="4" type="noConversion"/>
  </si>
  <si>
    <r>
      <t>G</t>
    </r>
    <r>
      <rPr>
        <sz val="10"/>
        <rFont val="Verdana"/>
        <family val="2"/>
      </rPr>
      <t>WP</t>
    </r>
    <r>
      <rPr>
        <vertAlign val="subscript"/>
        <sz val="10"/>
        <rFont val="Verdana"/>
        <family val="2"/>
      </rPr>
      <t>CH4</t>
    </r>
    <phoneticPr fontId="4" type="noConversion"/>
  </si>
  <si>
    <t>Global warming potential of methane</t>
    <phoneticPr fontId="2" type="noConversion"/>
  </si>
  <si>
    <r>
      <t>D</t>
    </r>
    <r>
      <rPr>
        <vertAlign val="subscript"/>
        <sz val="10"/>
        <rFont val="Verdana"/>
        <family val="2"/>
      </rPr>
      <t>CH4</t>
    </r>
    <phoneticPr fontId="4" type="noConversion"/>
  </si>
  <si>
    <r>
      <t>t/m</t>
    </r>
    <r>
      <rPr>
        <vertAlign val="superscript"/>
        <sz val="10"/>
        <rFont val="Verdana"/>
        <family val="2"/>
      </rPr>
      <t>3</t>
    </r>
    <phoneticPr fontId="4" type="noConversion"/>
  </si>
  <si>
    <t>CH4 density at 20 degree of Celsius and 1 atm pressure</t>
    <phoneticPr fontId="4" type="noConversion"/>
  </si>
  <si>
    <r>
      <t>M</t>
    </r>
    <r>
      <rPr>
        <sz val="10"/>
        <rFont val="Verdana"/>
        <family val="2"/>
      </rPr>
      <t>CF</t>
    </r>
    <r>
      <rPr>
        <vertAlign val="subscript"/>
        <sz val="10"/>
        <rFont val="Verdana"/>
        <family val="2"/>
      </rPr>
      <t>j</t>
    </r>
    <phoneticPr fontId="4" type="noConversion"/>
  </si>
  <si>
    <r>
      <t>A</t>
    </r>
    <r>
      <rPr>
        <sz val="10"/>
        <rFont val="Verdana"/>
        <family val="2"/>
      </rPr>
      <t>nnual methane conversion factor for the baseline</t>
    </r>
    <phoneticPr fontId="4" type="noConversion"/>
  </si>
  <si>
    <r>
      <t>M</t>
    </r>
    <r>
      <rPr>
        <sz val="10"/>
        <rFont val="Verdana"/>
        <family val="2"/>
      </rPr>
      <t>aximum methane producing potential of the volatile solid generated</t>
    </r>
    <phoneticPr fontId="4" type="noConversion"/>
  </si>
  <si>
    <r>
      <t>m</t>
    </r>
    <r>
      <rPr>
        <vertAlign val="superscript"/>
        <sz val="10"/>
        <rFont val="Verdana"/>
        <family val="2"/>
      </rPr>
      <t>3</t>
    </r>
    <r>
      <rPr>
        <sz val="10"/>
        <rFont val="Verdana"/>
        <family val="2"/>
      </rPr>
      <t>CH4/kg_dm</t>
    </r>
    <phoneticPr fontId="4" type="noConversion"/>
  </si>
  <si>
    <r>
      <t>E</t>
    </r>
    <r>
      <rPr>
        <sz val="10"/>
        <rFont val="Verdana"/>
        <family val="2"/>
      </rPr>
      <t>F</t>
    </r>
    <r>
      <rPr>
        <vertAlign val="subscript"/>
        <sz val="10"/>
        <rFont val="Verdana"/>
        <family val="2"/>
      </rPr>
      <t>y</t>
    </r>
    <r>
      <rPr>
        <sz val="10"/>
        <rFont val="Verdana"/>
        <family val="2"/>
      </rPr>
      <t>*EG</t>
    </r>
    <r>
      <rPr>
        <vertAlign val="subscript"/>
        <sz val="10"/>
        <rFont val="Verdana"/>
        <family val="2"/>
      </rPr>
      <t>baseline</t>
    </r>
    <phoneticPr fontId="4" type="noConversion"/>
  </si>
  <si>
    <r>
      <t>BE</t>
    </r>
    <r>
      <rPr>
        <vertAlign val="subscript"/>
        <sz val="10"/>
        <rFont val="Verdana"/>
        <family val="2"/>
      </rPr>
      <t>elec.</t>
    </r>
    <phoneticPr fontId="4" type="noConversion"/>
  </si>
  <si>
    <t>tCO2e</t>
    <phoneticPr fontId="4" type="noConversion"/>
  </si>
  <si>
    <t>tCO2</t>
    <phoneticPr fontId="4" type="noConversion"/>
  </si>
  <si>
    <t>Project emission from flaring of the residual gas stream</t>
    <phoneticPr fontId="4" type="noConversion"/>
  </si>
  <si>
    <t>Tool to determine project esmission from flaring gas containing methane</t>
    <phoneticPr fontId="4" type="noConversion"/>
  </si>
  <si>
    <t xml:space="preserve">Flare efficiency </t>
    <phoneticPr fontId="4" type="noConversion"/>
  </si>
  <si>
    <t>Tool equation 15</t>
    <phoneticPr fontId="4" type="noConversion"/>
  </si>
  <si>
    <t>Mass flow rate of CH4 in the residual gas in hour h</t>
    <phoneticPr fontId="4" type="noConversion"/>
  </si>
  <si>
    <t>Density of methane at normal conditions</t>
    <phoneticPr fontId="4" type="noConversion"/>
  </si>
  <si>
    <t>PE</t>
    <phoneticPr fontId="4" type="noConversion"/>
  </si>
  <si>
    <t>Project emission</t>
    <phoneticPr fontId="4" type="noConversion"/>
  </si>
  <si>
    <r>
      <t>T</t>
    </r>
    <r>
      <rPr>
        <sz val="10"/>
        <rFont val="Verdana"/>
        <family val="2"/>
      </rPr>
      <t>otal</t>
    </r>
    <phoneticPr fontId="4" type="noConversion"/>
  </si>
  <si>
    <t>IPCC 2006 Table 10.17, p.10.45,Chapter10, Volume 4</t>
    <phoneticPr fontId="4" type="noConversion"/>
  </si>
  <si>
    <t>IPCC 2006 Table 10A-4, p.10.77,Chapter 10, Volume 4</t>
    <phoneticPr fontId="4" type="noConversion"/>
  </si>
  <si>
    <t>MW</t>
    <phoneticPr fontId="2" type="noConversion"/>
  </si>
  <si>
    <r>
      <t>Q</t>
    </r>
    <r>
      <rPr>
        <vertAlign val="subscript"/>
        <sz val="10"/>
        <rFont val="Verdana"/>
        <family val="2"/>
      </rPr>
      <t>manure,j,LT,y</t>
    </r>
  </si>
  <si>
    <t>Quantity of manure treated from livestock type LT and animal manure management system j</t>
  </si>
  <si>
    <t>Physical leakage of biogas in the manure management system that capture's CH4</t>
  </si>
  <si>
    <t>Emissions from incremental transportation in the year y</t>
  </si>
  <si>
    <t>tons/a, wet basis</t>
  </si>
  <si>
    <r>
      <t>MS%</t>
    </r>
    <r>
      <rPr>
        <vertAlign val="subscript"/>
        <sz val="10"/>
        <rFont val="Verdana"/>
        <family val="2"/>
      </rPr>
      <t>i,y</t>
    </r>
  </si>
  <si>
    <t>Fraction of manure handled in system i in year y</t>
  </si>
  <si>
    <r>
      <t>D</t>
    </r>
    <r>
      <rPr>
        <vertAlign val="subscript"/>
        <sz val="10"/>
        <rFont val="Verdana"/>
        <family val="2"/>
      </rPr>
      <t>CH4,n</t>
    </r>
  </si>
  <si>
    <r>
      <t>t/m</t>
    </r>
    <r>
      <rPr>
        <vertAlign val="superscript"/>
        <sz val="10"/>
        <rFont val="Verdana"/>
        <family val="2"/>
      </rPr>
      <t>3</t>
    </r>
  </si>
  <si>
    <t>Volumetric flow rate of methane in dry basis at normal conditions in the hour h</t>
  </si>
  <si>
    <t>Volumetric flow rate of the residual gas in dry basis at normal conditions in the hour h</t>
  </si>
  <si>
    <t>%</t>
  </si>
  <si>
    <t>Default value</t>
  </si>
  <si>
    <t>MWh</t>
  </si>
  <si>
    <r>
      <t xml:space="preserve">Quantity of the electricity imported from the grid and consumed by the project activity in year </t>
    </r>
    <r>
      <rPr>
        <i/>
        <sz val="11"/>
        <rFont val="Calibri"/>
        <family val="2"/>
      </rPr>
      <t>y</t>
    </r>
    <r>
      <rPr>
        <sz val="11"/>
        <rFont val="Calibri"/>
        <family val="2"/>
      </rPr>
      <t xml:space="preserve"> </t>
    </r>
  </si>
  <si>
    <r>
      <t>EF</t>
    </r>
    <r>
      <rPr>
        <vertAlign val="subscript"/>
        <sz val="10"/>
        <rFont val="Verdana"/>
        <family val="2"/>
      </rPr>
      <t>CO2,grid,y</t>
    </r>
  </si>
  <si>
    <t>http://www.teias.gov.tr/T%C3%BCrkiyeElektrik%C4%B0statistikleri/istatistik2010/front%20page%202010-%C3%A7i%C3%A7ek%20kitap/uretim%20tuketim(22-45)/33(84-10).xls</t>
  </si>
  <si>
    <t>*  Source     :  Electricity Distribution and Consumption Statistics of Turkey ,1994-2010</t>
  </si>
  <si>
    <t>* Kaynak : Türkiye Elektrik Dağıtım ve Tüketim İstatistikleri ,1994-2010</t>
  </si>
  <si>
    <t>2)As the export is made on delivery at border basis,its losses are included in the section for transmission network losses.</t>
  </si>
  <si>
    <t>2) İhracat,Sınırda teslim esasına göre yapıldığından,ihracat ile igili şebeke kaybı,iletim kaybının içinde yer almaktadır.</t>
  </si>
  <si>
    <t>1)Supplied to the Network = Net Generation+Import</t>
  </si>
  <si>
    <t>1)Şebekeye Verilen = Net Üretim+İthalat</t>
  </si>
  <si>
    <t>*</t>
  </si>
  <si>
    <t>**</t>
  </si>
  <si>
    <t xml:space="preserve">      *</t>
  </si>
  <si>
    <r>
      <t>THE NETWORK</t>
    </r>
    <r>
      <rPr>
        <i/>
        <vertAlign val="superscript"/>
        <sz val="11"/>
        <rFont val="Arial"/>
        <family val="2"/>
        <charset val="162"/>
      </rPr>
      <t xml:space="preserve"> (1)</t>
    </r>
  </si>
  <si>
    <t>INCREASE</t>
  </si>
  <si>
    <t>NET CONS.</t>
  </si>
  <si>
    <r>
      <t>EXPORTS</t>
    </r>
    <r>
      <rPr>
        <i/>
        <vertAlign val="superscript"/>
        <sz val="11"/>
        <rFont val="Arial"/>
        <family val="2"/>
        <charset val="162"/>
      </rPr>
      <t>(2)</t>
    </r>
  </si>
  <si>
    <t xml:space="preserve">                   TOTAL</t>
  </si>
  <si>
    <t xml:space="preserve">         DISTRIBUTION</t>
  </si>
  <si>
    <t xml:space="preserve">      TRANSMISSION</t>
  </si>
  <si>
    <t xml:space="preserve">SUPPLIED TO </t>
  </si>
  <si>
    <t>IMPORTS</t>
  </si>
  <si>
    <t>NET GEN.</t>
  </si>
  <si>
    <t xml:space="preserve">         CONSUMPTION</t>
  </si>
  <si>
    <t>GROSS GEN.</t>
  </si>
  <si>
    <t>YEARS</t>
  </si>
  <si>
    <t xml:space="preserve">   ARTIŞ  %</t>
  </si>
  <si>
    <t>TÜKETİM</t>
  </si>
  <si>
    <r>
      <t>İHRACAT</t>
    </r>
    <r>
      <rPr>
        <b/>
        <vertAlign val="superscript"/>
        <sz val="12"/>
        <rFont val="Arial"/>
        <family val="2"/>
        <charset val="162"/>
      </rPr>
      <t>(2)</t>
    </r>
  </si>
  <si>
    <t xml:space="preserve">   %</t>
  </si>
  <si>
    <t xml:space="preserve">             TOPLAM</t>
  </si>
  <si>
    <t xml:space="preserve">         DAĞITIM</t>
  </si>
  <si>
    <t xml:space="preserve">         İLETİM</t>
  </si>
  <si>
    <r>
      <t>VERİLEN</t>
    </r>
    <r>
      <rPr>
        <b/>
        <vertAlign val="superscript"/>
        <sz val="12"/>
        <rFont val="Arial"/>
        <family val="2"/>
        <charset val="162"/>
      </rPr>
      <t>(1)</t>
    </r>
  </si>
  <si>
    <t>İTHALAT</t>
  </si>
  <si>
    <t>ÜRETİM</t>
  </si>
  <si>
    <t xml:space="preserve">             INTERNAL</t>
  </si>
  <si>
    <t>YILLAR</t>
  </si>
  <si>
    <t xml:space="preserve"> </t>
  </si>
  <si>
    <t>NET</t>
  </si>
  <si>
    <t xml:space="preserve">   </t>
  </si>
  <si>
    <t>ŞEBEKEYE</t>
  </si>
  <si>
    <t xml:space="preserve">           İÇ   İHTİYAÇ  </t>
  </si>
  <si>
    <t xml:space="preserve">  ARTIŞ  %</t>
  </si>
  <si>
    <t>BRÜT</t>
  </si>
  <si>
    <t>N E T W O R K   L O S S E S</t>
  </si>
  <si>
    <t xml:space="preserve">      Ş E B E K E   K A Y B I      </t>
  </si>
  <si>
    <t>(1984-2009)</t>
  </si>
  <si>
    <t>ANNUAL DEVELOPMENT OF ELECTRICITY GENERATION- CONSUMPTION AND LOSSES IN TURKEY</t>
  </si>
  <si>
    <t>TÜRKİYE  ELEKTRİK  ENERJİSİ ÜRETİM - TÜKETİM VE KAYIPLARININ  YILLAR  İTİBARİYLE  GELİŞİMİ</t>
  </si>
  <si>
    <t>Calculation</t>
  </si>
  <si>
    <t>Dairy cow</t>
  </si>
  <si>
    <t>Equipment specification</t>
  </si>
  <si>
    <t>Dairy cows</t>
  </si>
  <si>
    <r>
      <t>fv</t>
    </r>
    <r>
      <rPr>
        <vertAlign val="subscript"/>
        <sz val="10"/>
        <rFont val="Verdana"/>
        <family val="2"/>
      </rPr>
      <t>CH4,RG,h</t>
    </r>
  </si>
  <si>
    <t xml:space="preserve">Conservative value for open  flare </t>
  </si>
  <si>
    <t>Baseline CO2 emission from electricity generation replaced by the project in year y</t>
  </si>
  <si>
    <t>Emission through electricity consumption</t>
  </si>
  <si>
    <t>Internal consumption has been assumed as 10% of generation figures as per FSR</t>
  </si>
  <si>
    <t>Default Value</t>
  </si>
  <si>
    <t>Amount of steam produced</t>
  </si>
  <si>
    <t>Steam Temp</t>
  </si>
  <si>
    <t>Steam Pressure</t>
  </si>
  <si>
    <t>Enthalpy of output steam @ 11.5barg and 190C</t>
  </si>
  <si>
    <t>t/y</t>
  </si>
  <si>
    <t>C</t>
  </si>
  <si>
    <t>kj/kg</t>
  </si>
  <si>
    <t>tCO2e/a</t>
  </si>
  <si>
    <t>http://www.steamtablesonline.com/steam97web.aspx</t>
  </si>
  <si>
    <t>Project design</t>
  </si>
  <si>
    <t>kJ/kg</t>
  </si>
  <si>
    <t>Enthalpy at boiler inlet (at 102 °C feed water temperature to boiler as per PO)</t>
  </si>
  <si>
    <t>http://www.thermexcel.com/english/tables/eau_boui.htm</t>
  </si>
  <si>
    <t>bar</t>
  </si>
  <si>
    <t>Annual Average</t>
  </si>
  <si>
    <t>Quantity of methane produced in the anaerobic digester in year y</t>
  </si>
  <si>
    <t>fraction</t>
  </si>
  <si>
    <t>Default emission factor for lined concrete digesters with a gas holding system.</t>
  </si>
  <si>
    <t>tonnes</t>
  </si>
  <si>
    <t>km/truck</t>
  </si>
  <si>
    <t>IPCC 2006 Table 10.17, p.10.45,Chapter10, Volume 4</t>
  </si>
  <si>
    <t>Uncovered anaerobic lagoon for 14 Degrees Celcius</t>
  </si>
  <si>
    <r>
      <t>B</t>
    </r>
    <r>
      <rPr>
        <vertAlign val="subscript"/>
        <sz val="10"/>
        <rFont val="Verdana"/>
        <family val="2"/>
      </rPr>
      <t>0,LT</t>
    </r>
  </si>
  <si>
    <r>
      <t>EC</t>
    </r>
    <r>
      <rPr>
        <vertAlign val="subscript"/>
        <sz val="10"/>
        <rFont val="Verdana"/>
        <family val="2"/>
      </rPr>
      <t>p,y</t>
    </r>
  </si>
  <si>
    <t>TDL</t>
  </si>
  <si>
    <t>Transmission + Distribution Loss</t>
  </si>
  <si>
    <t>IPCC Fifth Asessment Report (2014)</t>
  </si>
  <si>
    <t>Poultry</t>
  </si>
  <si>
    <t>https://www.ipcc-nggip.iges.or.jp/public/gp/bgp/4_2_CH4_and_N2O_Livestock_Manure.pdf</t>
  </si>
  <si>
    <t>EF co2,f</t>
  </si>
  <si>
    <t>g CO2/t*km</t>
  </si>
  <si>
    <t xml:space="preserve">Default CO2 emission factor for freight transportation activity f
(g CO2/t km) </t>
  </si>
  <si>
    <t>Methodological tool “Project and leakage emissions from transportation of freight.</t>
  </si>
  <si>
    <t>https://cdm.unfccc.int/methodologies/PAmethodologies/tools/am-tool-12-v1.1.0.pdf</t>
  </si>
  <si>
    <t>FR f,m</t>
  </si>
  <si>
    <t xml:space="preserve">Total mass of freight transported in freight transportation activity f
in monitoring period m (t) </t>
  </si>
  <si>
    <t>D f,m</t>
  </si>
  <si>
    <t>Return trip distance between the origin and destination of freight
transportation activity f in monitoring period m (km)</t>
  </si>
  <si>
    <r>
      <t>Q</t>
    </r>
    <r>
      <rPr>
        <vertAlign val="subscript"/>
        <sz val="10"/>
        <rFont val="Verdana"/>
        <family val="2"/>
      </rPr>
      <t>CH4,y</t>
    </r>
  </si>
  <si>
    <r>
      <t>tCH</t>
    </r>
    <r>
      <rPr>
        <vertAlign val="subscript"/>
        <sz val="10"/>
        <rFont val="Verdana"/>
        <family val="2"/>
      </rPr>
      <t>4</t>
    </r>
  </si>
  <si>
    <r>
      <t>EF</t>
    </r>
    <r>
      <rPr>
        <vertAlign val="subscript"/>
        <sz val="10"/>
        <rFont val="Verdana"/>
        <family val="2"/>
      </rPr>
      <t>CH4,default</t>
    </r>
  </si>
  <si>
    <r>
      <t>GWP</t>
    </r>
    <r>
      <rPr>
        <vertAlign val="subscript"/>
        <sz val="10"/>
        <rFont val="Verdana"/>
        <family val="2"/>
      </rPr>
      <t>CH4</t>
    </r>
  </si>
  <si>
    <t>PEAD,y (=PECH4)</t>
  </si>
  <si>
    <t>Tool: Project and leakage emissions from anaerobic digesters version 02</t>
  </si>
  <si>
    <r>
      <t>PE</t>
    </r>
    <r>
      <rPr>
        <b/>
        <vertAlign val="subscript"/>
        <sz val="10"/>
        <rFont val="Verdana"/>
        <family val="2"/>
      </rPr>
      <t>PL,y</t>
    </r>
    <r>
      <rPr>
        <b/>
        <sz val="10"/>
        <rFont val="Verdana"/>
        <family val="2"/>
      </rPr>
      <t>+PE</t>
    </r>
    <r>
      <rPr>
        <b/>
        <vertAlign val="subscript"/>
        <sz val="10"/>
        <rFont val="Verdana"/>
        <family val="2"/>
      </rPr>
      <t>flare,y</t>
    </r>
    <r>
      <rPr>
        <b/>
        <sz val="10"/>
        <rFont val="Verdana"/>
        <family val="2"/>
      </rPr>
      <t>+PE</t>
    </r>
    <r>
      <rPr>
        <b/>
        <vertAlign val="subscript"/>
        <sz val="10"/>
        <rFont val="Verdana"/>
        <family val="2"/>
      </rPr>
      <t xml:space="preserve">y,power </t>
    </r>
    <r>
      <rPr>
        <b/>
        <sz val="10"/>
        <rFont val="Verdana"/>
        <family val="2"/>
      </rPr>
      <t>+PE</t>
    </r>
    <r>
      <rPr>
        <b/>
        <vertAlign val="subscript"/>
        <sz val="10"/>
        <rFont val="Verdana"/>
        <family val="2"/>
      </rPr>
      <t>stransp,y</t>
    </r>
    <r>
      <rPr>
        <b/>
        <sz val="10"/>
        <rFont val="Verdana"/>
        <family val="2"/>
      </rPr>
      <t xml:space="preserve"> </t>
    </r>
  </si>
  <si>
    <t xml:space="preserve"> Total SO2 and NOx emission related to electricity generation is about 1778.59 kt and 358.88 kt respectively  according to 2018  National Inventory of Turkey (latest published inventory) . Considering that electricity generation in 2018 is 304,801.9 GWh.</t>
  </si>
  <si>
    <t>Indicator #1 Air Quality</t>
  </si>
  <si>
    <t>SO2 Emission</t>
  </si>
  <si>
    <t>Gg</t>
  </si>
  <si>
    <t>NOx Emission</t>
  </si>
  <si>
    <t>2018 Total Gross Electricity Generation of Turkey</t>
  </si>
  <si>
    <t>GWh</t>
  </si>
  <si>
    <t>SO2 EF</t>
  </si>
  <si>
    <t>kg/MWh</t>
  </si>
  <si>
    <t>NOx EF</t>
  </si>
  <si>
    <t>SO2 reduction for Generation in Monitoring Period</t>
  </si>
  <si>
    <t>tons</t>
  </si>
  <si>
    <t>NOx reduction for Generation in Monitoring Period</t>
  </si>
  <si>
    <t>-</t>
  </si>
  <si>
    <t>N0,LT</t>
  </si>
  <si>
    <t xml:space="preserve">Annual average number of animals </t>
  </si>
  <si>
    <t xml:space="preserve">Annual average number of animals of type LT estimated 
</t>
  </si>
  <si>
    <t>VS,LT</t>
  </si>
  <si>
    <t xml:space="preserve">(kg -dm/animal/yr)
</t>
  </si>
  <si>
    <t>Annual volatile solid excretions for livestock LT entering all AWMS
on a dry matter weight basis</t>
  </si>
  <si>
    <t xml:space="preserve">Fraction of manure handled in system j in the baseline
</t>
  </si>
  <si>
    <t>MS%BL,j</t>
  </si>
  <si>
    <r>
      <t>BE</t>
    </r>
    <r>
      <rPr>
        <vertAlign val="subscript"/>
        <sz val="10"/>
        <rFont val="Verdana"/>
        <family val="2"/>
      </rPr>
      <t xml:space="preserve">CH4
</t>
    </r>
    <r>
      <rPr>
        <sz val="10"/>
        <rFont val="Verdana"/>
        <family val="2"/>
        <charset val="162"/>
      </rPr>
      <t/>
    </r>
  </si>
  <si>
    <t>BE</t>
  </si>
  <si>
    <t>tCO2e</t>
  </si>
  <si>
    <t>Baseline emission</t>
  </si>
  <si>
    <t>BASELINE EMISSION REDUCTION CALCULATIONS</t>
  </si>
  <si>
    <r>
      <t>BE(tCO</t>
    </r>
    <r>
      <rPr>
        <b/>
        <vertAlign val="subscript"/>
        <sz val="10"/>
        <rFont val="Verdana"/>
        <family val="2"/>
      </rPr>
      <t>2</t>
    </r>
    <r>
      <rPr>
        <b/>
        <sz val="10"/>
        <rFont val="Verdana"/>
        <family val="2"/>
      </rPr>
      <t>)</t>
    </r>
  </si>
  <si>
    <r>
      <t>PE(tCO</t>
    </r>
    <r>
      <rPr>
        <b/>
        <vertAlign val="subscript"/>
        <sz val="10"/>
        <rFont val="Verdana"/>
        <family val="2"/>
      </rPr>
      <t>2</t>
    </r>
    <r>
      <rPr>
        <b/>
        <sz val="10"/>
        <rFont val="Verdana"/>
        <family val="2"/>
      </rPr>
      <t>)</t>
    </r>
  </si>
  <si>
    <r>
      <t>ER(tCO</t>
    </r>
    <r>
      <rPr>
        <b/>
        <vertAlign val="subscript"/>
        <sz val="10"/>
        <rFont val="Verdana"/>
        <family val="2"/>
      </rPr>
      <t>2</t>
    </r>
    <r>
      <rPr>
        <b/>
        <sz val="10"/>
        <rFont val="Verdana"/>
        <family val="2"/>
      </rPr>
      <t>)</t>
    </r>
  </si>
  <si>
    <t>https://www.mgm.gov.tr/veridegerlendirme/il-ve-ilceler-istatistik.aspx?m=KONYA</t>
  </si>
  <si>
    <r>
      <t xml:space="preserve">Average Temperature assumed 12 </t>
    </r>
    <r>
      <rPr>
        <sz val="10"/>
        <rFont val="Arial Tur"/>
      </rPr>
      <t>̊</t>
    </r>
    <r>
      <rPr>
        <sz val="8.5"/>
        <rFont val="Verdana"/>
        <family val="2"/>
      </rPr>
      <t xml:space="preserve">C (11,6) </t>
    </r>
    <r>
      <rPr>
        <sz val="10"/>
        <rFont val="Verdana"/>
        <family val="2"/>
        <charset val="162"/>
      </rPr>
      <t xml:space="preserve"> for Konya Province of Turkey</t>
    </r>
  </si>
  <si>
    <t>Meram Biogas Plant Capacity</t>
  </si>
  <si>
    <t>site records</t>
  </si>
  <si>
    <t>Meram Biogas Plant Electricity Generation Licence</t>
  </si>
  <si>
    <t>Project Feasibility File</t>
  </si>
  <si>
    <t>applied methodology</t>
  </si>
  <si>
    <r>
      <t>m</t>
    </r>
    <r>
      <rPr>
        <vertAlign val="superscript"/>
        <sz val="10"/>
        <rFont val="Verdana"/>
        <family val="2"/>
      </rPr>
      <t>3</t>
    </r>
    <r>
      <rPr>
        <sz val="10"/>
        <rFont val="Verdana"/>
        <family val="2"/>
      </rPr>
      <t>CH4/kg_dm</t>
    </r>
  </si>
  <si>
    <t>IPCC 2006 vol.4, chapter 10, Table10A-4(Dairy Cows eastern Europe)</t>
  </si>
  <si>
    <t>IPCC 2006 vol.4, chapter 10, Table10A-9(Chicken-layer)</t>
  </si>
  <si>
    <t>Chicken Layer</t>
  </si>
  <si>
    <t>Dairy Cows</t>
  </si>
  <si>
    <t>https://globalgoals.goldstandard.org/standards/PRE-GS4GG-Energy//ghg-ers-from-manure-management-systems-and-municipal-solid-waste-1.pdf</t>
  </si>
  <si>
    <t>The Gold Standard 
Revised Consolidated$Baseline Methodology for 
GHG Emission Reductions from 
Manure Management Systems and Municipal 
Solid Waste</t>
  </si>
  <si>
    <t>IPCC 2006 vol.4, chapter 10, Table10A-4(Dairy Cows eastern Europe) (4.5  kg/hd/day)</t>
  </si>
  <si>
    <t>IPCC 2006 vol.4, chapter 10, Table10A-9(Chicken-layer)  (0.02 kg/hd/day)</t>
  </si>
  <si>
    <t>Sibel Mest</t>
  </si>
  <si>
    <t>Total (Dairy Cattle)</t>
  </si>
  <si>
    <t>Name of Chicken Farms</t>
  </si>
  <si>
    <t>Name of Dairy Cattle Farms</t>
  </si>
  <si>
    <t>Dervet Hayvancılık</t>
  </si>
  <si>
    <t>Azim Tavukçuluk</t>
  </si>
  <si>
    <t>Total (Chicken)</t>
  </si>
  <si>
    <t>Chicken</t>
  </si>
  <si>
    <t>poultry</t>
  </si>
  <si>
    <t>cattle</t>
  </si>
  <si>
    <t>Daily Biogas Production (m3/day) (max values from EIA report, p33)</t>
  </si>
  <si>
    <t>Reference:</t>
  </si>
  <si>
    <t>ES-TAV</t>
  </si>
  <si>
    <t>NUR TARIM</t>
  </si>
  <si>
    <t>Animal Number (Alive in a Year) 2023</t>
  </si>
  <si>
    <t>Tekkelioğlu</t>
  </si>
  <si>
    <r>
      <t>BE</t>
    </r>
    <r>
      <rPr>
        <vertAlign val="subscript"/>
        <sz val="11"/>
        <rFont val="Verdana"/>
        <family val="2"/>
      </rPr>
      <t xml:space="preserve">CH4
</t>
    </r>
    <r>
      <rPr>
        <sz val="10"/>
        <rFont val="Verdana"/>
        <family val="2"/>
        <charset val="162"/>
      </rPr>
      <t/>
    </r>
  </si>
  <si>
    <r>
      <t>GWP</t>
    </r>
    <r>
      <rPr>
        <vertAlign val="subscript"/>
        <sz val="11"/>
        <rFont val="Verdana"/>
        <family val="2"/>
      </rPr>
      <t>CH4</t>
    </r>
  </si>
  <si>
    <r>
      <t>D</t>
    </r>
    <r>
      <rPr>
        <vertAlign val="subscript"/>
        <sz val="11"/>
        <rFont val="Verdana"/>
        <family val="2"/>
      </rPr>
      <t>CH4</t>
    </r>
  </si>
  <si>
    <r>
      <t>t/m</t>
    </r>
    <r>
      <rPr>
        <vertAlign val="superscript"/>
        <sz val="11"/>
        <rFont val="Verdana"/>
        <family val="2"/>
      </rPr>
      <t>3</t>
    </r>
  </si>
  <si>
    <r>
      <t>MCF</t>
    </r>
    <r>
      <rPr>
        <vertAlign val="subscript"/>
        <sz val="11"/>
        <rFont val="Verdana"/>
        <family val="2"/>
      </rPr>
      <t>j</t>
    </r>
  </si>
  <si>
    <t>Annual methane conversion factor for the baseline</t>
  </si>
  <si>
    <r>
      <t>B</t>
    </r>
    <r>
      <rPr>
        <vertAlign val="subscript"/>
        <sz val="11"/>
        <rFont val="Verdana"/>
        <family val="2"/>
      </rPr>
      <t>0,LT</t>
    </r>
  </si>
  <si>
    <r>
      <t>m</t>
    </r>
    <r>
      <rPr>
        <vertAlign val="superscript"/>
        <sz val="11"/>
        <rFont val="Verdana"/>
        <family val="2"/>
      </rPr>
      <t>3</t>
    </r>
    <r>
      <rPr>
        <sz val="11"/>
        <rFont val="Verdana"/>
        <family val="2"/>
      </rPr>
      <t>CH4/kg_dm</t>
    </r>
  </si>
  <si>
    <t>Maximum methane producing potential of the volatile solid generated</t>
  </si>
  <si>
    <r>
      <t>BE</t>
    </r>
    <r>
      <rPr>
        <vertAlign val="subscript"/>
        <sz val="11"/>
        <rFont val="Verdana"/>
        <family val="2"/>
      </rPr>
      <t>elec.</t>
    </r>
  </si>
  <si>
    <r>
      <t>EF</t>
    </r>
    <r>
      <rPr>
        <vertAlign val="subscript"/>
        <sz val="11"/>
        <rFont val="Verdana"/>
        <family val="2"/>
      </rPr>
      <t>y</t>
    </r>
    <r>
      <rPr>
        <sz val="11"/>
        <rFont val="Verdana"/>
        <family val="2"/>
      </rPr>
      <t>*EG</t>
    </r>
    <r>
      <rPr>
        <vertAlign val="subscript"/>
        <sz val="11"/>
        <rFont val="Verdana"/>
        <family val="2"/>
      </rPr>
      <t>baseline</t>
    </r>
  </si>
  <si>
    <t>Generation Capacity</t>
  </si>
  <si>
    <t>Working time</t>
  </si>
  <si>
    <r>
      <t>EG</t>
    </r>
    <r>
      <rPr>
        <vertAlign val="subscript"/>
        <sz val="11"/>
        <rFont val="Verdana"/>
        <family val="2"/>
      </rPr>
      <t>baseline</t>
    </r>
  </si>
  <si>
    <t>P*T</t>
  </si>
  <si>
    <r>
      <t>EF</t>
    </r>
    <r>
      <rPr>
        <vertAlign val="subscript"/>
        <sz val="11"/>
        <rFont val="Verdana"/>
        <family val="2"/>
      </rPr>
      <t>y</t>
    </r>
  </si>
  <si>
    <t>Animal Number (Alive in a Year) 2022</t>
  </si>
  <si>
    <t>Seltav</t>
  </si>
  <si>
    <t xml:space="preserve">İsmail Ördek </t>
  </si>
  <si>
    <t>Hüsamettin Şekerci</t>
  </si>
  <si>
    <t>İsmail Ördek</t>
  </si>
  <si>
    <t>İlyas Şeker</t>
  </si>
  <si>
    <t xml:space="preserve">Tekkeli </t>
  </si>
  <si>
    <t>Ceren</t>
  </si>
  <si>
    <t>Azim</t>
  </si>
  <si>
    <t>Estav</t>
  </si>
  <si>
    <t>Mustafa Eroğlu</t>
  </si>
  <si>
    <t>Dursunoğlu</t>
  </si>
  <si>
    <t>Duranlar</t>
  </si>
  <si>
    <t>Yaşar Tekin</t>
  </si>
  <si>
    <t>Oytun Yumurta</t>
  </si>
  <si>
    <r>
      <t>PE</t>
    </r>
    <r>
      <rPr>
        <vertAlign val="subscript"/>
        <sz val="11"/>
        <rFont val="Verdana"/>
        <family val="2"/>
      </rPr>
      <t>CH4,y</t>
    </r>
    <r>
      <rPr>
        <sz val="11"/>
        <rFont val="Verdana"/>
        <family val="2"/>
      </rPr>
      <t>= Q</t>
    </r>
    <r>
      <rPr>
        <vertAlign val="subscript"/>
        <sz val="11"/>
        <rFont val="Verdana"/>
        <family val="2"/>
      </rPr>
      <t>CH4,y</t>
    </r>
    <r>
      <rPr>
        <sz val="11"/>
        <rFont val="Verdana"/>
        <family val="2"/>
      </rPr>
      <t xml:space="preserve"> × EF</t>
    </r>
    <r>
      <rPr>
        <vertAlign val="subscript"/>
        <sz val="11"/>
        <rFont val="Verdana"/>
        <family val="2"/>
      </rPr>
      <t>CH4,default</t>
    </r>
    <r>
      <rPr>
        <sz val="11"/>
        <rFont val="Verdana"/>
        <family val="2"/>
      </rPr>
      <t xml:space="preserve"> × GWP</t>
    </r>
    <r>
      <rPr>
        <vertAlign val="subscript"/>
        <sz val="11"/>
        <rFont val="Verdana"/>
        <family val="2"/>
      </rPr>
      <t>CH4</t>
    </r>
  </si>
  <si>
    <r>
      <t>Q</t>
    </r>
    <r>
      <rPr>
        <vertAlign val="subscript"/>
        <sz val="11"/>
        <rFont val="Verdana"/>
        <family val="2"/>
      </rPr>
      <t>CH4,y</t>
    </r>
  </si>
  <si>
    <r>
      <t>tCH</t>
    </r>
    <r>
      <rPr>
        <vertAlign val="subscript"/>
        <sz val="11"/>
        <rFont val="Verdana"/>
        <family val="2"/>
      </rPr>
      <t>4</t>
    </r>
  </si>
  <si>
    <r>
      <t>EF</t>
    </r>
    <r>
      <rPr>
        <vertAlign val="subscript"/>
        <sz val="11"/>
        <rFont val="Verdana"/>
        <family val="2"/>
      </rPr>
      <t>CH4,default</t>
    </r>
  </si>
  <si>
    <r>
      <t>MS%</t>
    </r>
    <r>
      <rPr>
        <vertAlign val="subscript"/>
        <sz val="11"/>
        <rFont val="Verdana"/>
        <family val="2"/>
      </rPr>
      <t>i,y</t>
    </r>
  </si>
  <si>
    <t>LT</t>
  </si>
  <si>
    <t>All tpye of livestock</t>
  </si>
  <si>
    <r>
      <t>PE</t>
    </r>
    <r>
      <rPr>
        <b/>
        <vertAlign val="subscript"/>
        <sz val="11"/>
        <rFont val="Verdana"/>
        <family val="2"/>
      </rPr>
      <t>flare,y</t>
    </r>
  </si>
  <si>
    <r>
      <rPr>
        <sz val="11"/>
        <rFont val="宋体"/>
        <charset val="134"/>
      </rPr>
      <t>∑</t>
    </r>
    <r>
      <rPr>
        <sz val="11"/>
        <rFont val="Verdana"/>
        <family val="2"/>
      </rPr>
      <t>TM</t>
    </r>
    <r>
      <rPr>
        <vertAlign val="subscript"/>
        <sz val="11"/>
        <rFont val="Verdana"/>
        <family val="2"/>
      </rPr>
      <t>RG,h</t>
    </r>
    <r>
      <rPr>
        <sz val="11"/>
        <rFont val="Verdana"/>
        <family val="2"/>
      </rPr>
      <t>*(1-f</t>
    </r>
    <r>
      <rPr>
        <vertAlign val="subscript"/>
        <sz val="11"/>
        <rFont val="Verdana"/>
        <family val="2"/>
      </rPr>
      <t>flare</t>
    </r>
    <r>
      <rPr>
        <sz val="11"/>
        <rFont val="Verdana"/>
        <family val="2"/>
      </rPr>
      <t>)*GWP</t>
    </r>
    <r>
      <rPr>
        <vertAlign val="subscript"/>
        <sz val="11"/>
        <rFont val="Verdana"/>
        <family val="2"/>
      </rPr>
      <t>CH4</t>
    </r>
  </si>
  <si>
    <r>
      <t>f</t>
    </r>
    <r>
      <rPr>
        <vertAlign val="subscript"/>
        <sz val="11"/>
        <rFont val="Verdana"/>
        <family val="2"/>
      </rPr>
      <t>flare</t>
    </r>
  </si>
  <si>
    <r>
      <t>TM</t>
    </r>
    <r>
      <rPr>
        <vertAlign val="subscript"/>
        <sz val="11"/>
        <rFont val="Verdana"/>
        <family val="2"/>
      </rPr>
      <t>RG,h</t>
    </r>
  </si>
  <si>
    <r>
      <t>FV</t>
    </r>
    <r>
      <rPr>
        <vertAlign val="subscript"/>
        <sz val="11"/>
        <rFont val="Verdana"/>
        <family val="2"/>
      </rPr>
      <t>RG,h</t>
    </r>
    <r>
      <rPr>
        <sz val="11"/>
        <rFont val="Verdana"/>
        <family val="2"/>
      </rPr>
      <t>*fv</t>
    </r>
    <r>
      <rPr>
        <vertAlign val="subscript"/>
        <sz val="11"/>
        <rFont val="Verdana"/>
        <family val="2"/>
      </rPr>
      <t>CH4,RG,h</t>
    </r>
    <r>
      <rPr>
        <sz val="11"/>
        <rFont val="Verdana"/>
        <family val="2"/>
      </rPr>
      <t>*p</t>
    </r>
    <r>
      <rPr>
        <vertAlign val="subscript"/>
        <sz val="11"/>
        <rFont val="Verdana"/>
        <family val="2"/>
      </rPr>
      <t>CH4,n</t>
    </r>
  </si>
  <si>
    <r>
      <t>FV</t>
    </r>
    <r>
      <rPr>
        <vertAlign val="subscript"/>
        <sz val="11"/>
        <rFont val="Verdana"/>
        <family val="2"/>
      </rPr>
      <t>RG,h</t>
    </r>
  </si>
  <si>
    <r>
      <t>m</t>
    </r>
    <r>
      <rPr>
        <vertAlign val="superscript"/>
        <sz val="11"/>
        <rFont val="Verdana"/>
        <family val="2"/>
      </rPr>
      <t>3</t>
    </r>
    <r>
      <rPr>
        <sz val="11"/>
        <rFont val="Verdana"/>
        <family val="2"/>
      </rPr>
      <t>/h</t>
    </r>
  </si>
  <si>
    <r>
      <t>fv</t>
    </r>
    <r>
      <rPr>
        <vertAlign val="subscript"/>
        <sz val="11"/>
        <rFont val="Verdana"/>
        <family val="2"/>
      </rPr>
      <t>CH4,RG,h</t>
    </r>
  </si>
  <si>
    <r>
      <t>D</t>
    </r>
    <r>
      <rPr>
        <vertAlign val="subscript"/>
        <sz val="11"/>
        <rFont val="Verdana"/>
        <family val="2"/>
      </rPr>
      <t>CH4,n</t>
    </r>
  </si>
  <si>
    <r>
      <t>PE</t>
    </r>
    <r>
      <rPr>
        <b/>
        <vertAlign val="subscript"/>
        <sz val="11"/>
        <rFont val="Verdana"/>
        <family val="2"/>
      </rPr>
      <t>power,y</t>
    </r>
  </si>
  <si>
    <r>
      <t>EC</t>
    </r>
    <r>
      <rPr>
        <vertAlign val="subscript"/>
        <sz val="11"/>
        <rFont val="Verdana"/>
        <family val="2"/>
      </rPr>
      <t>p,y</t>
    </r>
    <r>
      <rPr>
        <sz val="11"/>
        <rFont val="Verdana"/>
        <family val="2"/>
      </rPr>
      <t>*EF</t>
    </r>
    <r>
      <rPr>
        <vertAlign val="subscript"/>
        <sz val="11"/>
        <rFont val="Verdana"/>
        <family val="2"/>
      </rPr>
      <t>CO2,grid,y (</t>
    </r>
    <r>
      <rPr>
        <vertAlign val="subscript"/>
        <sz val="11"/>
        <rFont val="Verdana"/>
        <family val="2"/>
        <charset val="162"/>
      </rPr>
      <t>1+TDLj</t>
    </r>
    <r>
      <rPr>
        <vertAlign val="subscript"/>
        <sz val="11"/>
        <rFont val="Verdana"/>
        <family val="2"/>
      </rPr>
      <t>,y)</t>
    </r>
    <r>
      <rPr>
        <sz val="11"/>
        <rFont val="Verdana"/>
        <family val="2"/>
      </rPr>
      <t>+FG</t>
    </r>
    <r>
      <rPr>
        <vertAlign val="subscript"/>
        <sz val="11"/>
        <rFont val="Verdana"/>
        <family val="2"/>
      </rPr>
      <t>f,y</t>
    </r>
    <r>
      <rPr>
        <sz val="11"/>
        <rFont val="Verdana"/>
        <family val="2"/>
      </rPr>
      <t>*FF</t>
    </r>
    <r>
      <rPr>
        <vertAlign val="subscript"/>
        <sz val="11"/>
        <rFont val="Verdana"/>
        <family val="2"/>
      </rPr>
      <t>f,y</t>
    </r>
    <r>
      <rPr>
        <sz val="11"/>
        <rFont val="Verdana"/>
        <family val="2"/>
      </rPr>
      <t>*NCV</t>
    </r>
    <r>
      <rPr>
        <vertAlign val="subscript"/>
        <sz val="11"/>
        <rFont val="Verdana"/>
        <family val="2"/>
      </rPr>
      <t>f,y</t>
    </r>
  </si>
  <si>
    <r>
      <t>EC</t>
    </r>
    <r>
      <rPr>
        <vertAlign val="subscript"/>
        <sz val="11"/>
        <rFont val="Verdana"/>
        <family val="2"/>
      </rPr>
      <t>p,y</t>
    </r>
  </si>
  <si>
    <r>
      <t>EF</t>
    </r>
    <r>
      <rPr>
        <vertAlign val="subscript"/>
        <sz val="11"/>
        <rFont val="Verdana"/>
        <family val="2"/>
      </rPr>
      <t>CO2,grid,y</t>
    </r>
  </si>
  <si>
    <r>
      <t>CO</t>
    </r>
    <r>
      <rPr>
        <vertAlign val="subscript"/>
        <sz val="11"/>
        <rFont val="Verdana"/>
        <family val="2"/>
      </rPr>
      <t>2</t>
    </r>
    <r>
      <rPr>
        <sz val="11"/>
        <rFont val="Verdana"/>
        <family val="2"/>
      </rPr>
      <t xml:space="preserve"> emission factor of the grid in year </t>
    </r>
    <r>
      <rPr>
        <i/>
        <sz val="11"/>
        <rFont val="Verdana"/>
        <family val="2"/>
      </rPr>
      <t>y</t>
    </r>
  </si>
  <si>
    <r>
      <t>PE</t>
    </r>
    <r>
      <rPr>
        <b/>
        <vertAlign val="subscript"/>
        <sz val="11"/>
        <rFont val="Verdana"/>
        <family val="2"/>
      </rPr>
      <t>transp,y</t>
    </r>
  </si>
  <si>
    <r>
      <t>tCO</t>
    </r>
    <r>
      <rPr>
        <vertAlign val="subscript"/>
        <sz val="11"/>
        <rFont val="Verdana"/>
        <family val="2"/>
        <charset val="162"/>
      </rPr>
      <t>2</t>
    </r>
    <r>
      <rPr>
        <sz val="11"/>
        <rFont val="Verdana"/>
        <family val="2"/>
      </rPr>
      <t>e</t>
    </r>
  </si>
  <si>
    <r>
      <t>Q</t>
    </r>
    <r>
      <rPr>
        <vertAlign val="subscript"/>
        <sz val="11"/>
        <rFont val="Verdana"/>
        <family val="2"/>
      </rPr>
      <t>manure,j,LT,y</t>
    </r>
  </si>
  <si>
    <r>
      <t>PE</t>
    </r>
    <r>
      <rPr>
        <b/>
        <vertAlign val="subscript"/>
        <sz val="11"/>
        <rFont val="Verdana"/>
        <family val="2"/>
      </rPr>
      <t>PL,y</t>
    </r>
    <r>
      <rPr>
        <b/>
        <sz val="11"/>
        <rFont val="Verdana"/>
        <family val="2"/>
      </rPr>
      <t>+PE</t>
    </r>
    <r>
      <rPr>
        <b/>
        <vertAlign val="subscript"/>
        <sz val="11"/>
        <rFont val="Verdana"/>
        <family val="2"/>
      </rPr>
      <t>flare,y</t>
    </r>
    <r>
      <rPr>
        <b/>
        <sz val="11"/>
        <rFont val="Verdana"/>
        <family val="2"/>
      </rPr>
      <t>+PE</t>
    </r>
    <r>
      <rPr>
        <b/>
        <vertAlign val="subscript"/>
        <sz val="11"/>
        <rFont val="Verdana"/>
        <family val="2"/>
      </rPr>
      <t xml:space="preserve">y,power </t>
    </r>
    <r>
      <rPr>
        <b/>
        <sz val="11"/>
        <rFont val="Verdana"/>
        <family val="2"/>
      </rPr>
      <t>+PE</t>
    </r>
    <r>
      <rPr>
        <b/>
        <vertAlign val="subscript"/>
        <sz val="11"/>
        <rFont val="Verdana"/>
        <family val="2"/>
      </rPr>
      <t>stransp,y</t>
    </r>
    <r>
      <rPr>
        <b/>
        <sz val="11"/>
        <rFont val="Verdana"/>
        <family val="2"/>
      </rPr>
      <t xml:space="preserve"> </t>
    </r>
  </si>
  <si>
    <r>
      <t>PE</t>
    </r>
    <r>
      <rPr>
        <vertAlign val="subscript"/>
        <sz val="10"/>
        <rFont val="Verdana"/>
        <family val="2"/>
      </rPr>
      <t>CH4,y</t>
    </r>
    <r>
      <rPr>
        <sz val="10"/>
        <rFont val="Verdana"/>
        <family val="2"/>
      </rPr>
      <t>= Q</t>
    </r>
    <r>
      <rPr>
        <vertAlign val="subscript"/>
        <sz val="10"/>
        <rFont val="Verdana"/>
        <family val="2"/>
      </rPr>
      <t>CH4,y</t>
    </r>
    <r>
      <rPr>
        <sz val="10"/>
        <rFont val="Verdana"/>
        <family val="2"/>
      </rPr>
      <t xml:space="preserve"> × EF</t>
    </r>
    <r>
      <rPr>
        <vertAlign val="subscript"/>
        <sz val="10"/>
        <rFont val="Verdana"/>
        <family val="2"/>
      </rPr>
      <t>CH4,default</t>
    </r>
    <r>
      <rPr>
        <sz val="10"/>
        <rFont val="Verdana"/>
        <family val="2"/>
      </rPr>
      <t xml:space="preserve"> × GWP</t>
    </r>
    <r>
      <rPr>
        <vertAlign val="subscript"/>
        <sz val="10"/>
        <rFont val="Verdana"/>
        <family val="2"/>
      </rPr>
      <t>CH4</t>
    </r>
  </si>
  <si>
    <r>
      <t>D</t>
    </r>
    <r>
      <rPr>
        <vertAlign val="subscript"/>
        <sz val="10"/>
        <rFont val="Verdana"/>
        <family val="2"/>
      </rPr>
      <t>CH4</t>
    </r>
  </si>
  <si>
    <r>
      <t>M</t>
    </r>
    <r>
      <rPr>
        <sz val="10"/>
        <rFont val="Verdana"/>
        <family val="2"/>
      </rPr>
      <t>CF</t>
    </r>
    <r>
      <rPr>
        <vertAlign val="subscript"/>
        <sz val="10"/>
        <rFont val="Verdana"/>
        <family val="2"/>
      </rPr>
      <t>j</t>
    </r>
  </si>
  <si>
    <r>
      <t>A</t>
    </r>
    <r>
      <rPr>
        <sz val="10"/>
        <rFont val="Verdana"/>
        <family val="2"/>
      </rPr>
      <t>nnual methane conversion factor for the baseline</t>
    </r>
  </si>
  <si>
    <r>
      <t>m</t>
    </r>
    <r>
      <rPr>
        <vertAlign val="superscript"/>
        <sz val="10"/>
        <rFont val="Verdana"/>
        <family val="2"/>
      </rPr>
      <t>3</t>
    </r>
    <r>
      <rPr>
        <sz val="10"/>
        <rFont val="Verdana"/>
        <family val="2"/>
      </rPr>
      <t>CH4/kg_dm</t>
    </r>
  </si>
  <si>
    <r>
      <t>M</t>
    </r>
    <r>
      <rPr>
        <sz val="10"/>
        <rFont val="Verdana"/>
        <family val="2"/>
      </rPr>
      <t>aximum methane producing potential of the volatile solid generated</t>
    </r>
  </si>
  <si>
    <r>
      <t>L</t>
    </r>
    <r>
      <rPr>
        <sz val="10"/>
        <rFont val="Verdana"/>
        <family val="2"/>
      </rPr>
      <t>T</t>
    </r>
  </si>
  <si>
    <r>
      <t>A</t>
    </r>
    <r>
      <rPr>
        <sz val="10"/>
        <rFont val="Verdana"/>
        <family val="2"/>
      </rPr>
      <t>ll tpye of livestock</t>
    </r>
  </si>
  <si>
    <r>
      <t>PE</t>
    </r>
    <r>
      <rPr>
        <b/>
        <vertAlign val="subscript"/>
        <sz val="10"/>
        <rFont val="Verdana"/>
        <family val="2"/>
      </rPr>
      <t>flare,y</t>
    </r>
  </si>
  <si>
    <r>
      <rPr>
        <sz val="10"/>
        <rFont val="宋体"/>
        <charset val="134"/>
      </rPr>
      <t>∑</t>
    </r>
    <r>
      <rPr>
        <sz val="10"/>
        <rFont val="Verdana"/>
        <family val="2"/>
      </rPr>
      <t>TM</t>
    </r>
    <r>
      <rPr>
        <vertAlign val="subscript"/>
        <sz val="10"/>
        <rFont val="Verdana"/>
        <family val="2"/>
      </rPr>
      <t>RG,h</t>
    </r>
    <r>
      <rPr>
        <sz val="10"/>
        <rFont val="Verdana"/>
        <family val="2"/>
      </rPr>
      <t>*(1-f</t>
    </r>
    <r>
      <rPr>
        <vertAlign val="subscript"/>
        <sz val="10"/>
        <rFont val="Verdana"/>
        <family val="2"/>
      </rPr>
      <t>flare</t>
    </r>
    <r>
      <rPr>
        <sz val="10"/>
        <rFont val="Verdana"/>
        <family val="2"/>
      </rPr>
      <t>)*GWP</t>
    </r>
    <r>
      <rPr>
        <vertAlign val="subscript"/>
        <sz val="10"/>
        <rFont val="Verdana"/>
        <family val="2"/>
      </rPr>
      <t>CH4</t>
    </r>
  </si>
  <si>
    <r>
      <t>G</t>
    </r>
    <r>
      <rPr>
        <sz val="10"/>
        <rFont val="Verdana"/>
        <family val="2"/>
      </rPr>
      <t>WP</t>
    </r>
    <r>
      <rPr>
        <vertAlign val="subscript"/>
        <sz val="10"/>
        <rFont val="Verdana"/>
        <family val="2"/>
      </rPr>
      <t>CH4</t>
    </r>
  </si>
  <si>
    <r>
      <t>f</t>
    </r>
    <r>
      <rPr>
        <vertAlign val="subscript"/>
        <sz val="10"/>
        <rFont val="Verdana"/>
        <family val="2"/>
      </rPr>
      <t>flare</t>
    </r>
  </si>
  <si>
    <r>
      <t>TM</t>
    </r>
    <r>
      <rPr>
        <vertAlign val="subscript"/>
        <sz val="10"/>
        <rFont val="Verdana"/>
        <family val="2"/>
      </rPr>
      <t>RG,h</t>
    </r>
  </si>
  <si>
    <r>
      <t>FV</t>
    </r>
    <r>
      <rPr>
        <vertAlign val="subscript"/>
        <sz val="10"/>
        <rFont val="Verdana"/>
        <family val="2"/>
      </rPr>
      <t>RG,h</t>
    </r>
    <r>
      <rPr>
        <sz val="10"/>
        <rFont val="Verdana"/>
        <family val="2"/>
      </rPr>
      <t>*fv</t>
    </r>
    <r>
      <rPr>
        <vertAlign val="subscript"/>
        <sz val="10"/>
        <rFont val="Verdana"/>
        <family val="2"/>
      </rPr>
      <t>CH4,RG,h</t>
    </r>
    <r>
      <rPr>
        <sz val="10"/>
        <rFont val="Verdana"/>
        <family val="2"/>
      </rPr>
      <t>*p</t>
    </r>
    <r>
      <rPr>
        <vertAlign val="subscript"/>
        <sz val="10"/>
        <rFont val="Verdana"/>
        <family val="2"/>
      </rPr>
      <t>CH4,n</t>
    </r>
  </si>
  <si>
    <r>
      <t>FV</t>
    </r>
    <r>
      <rPr>
        <vertAlign val="subscript"/>
        <sz val="10"/>
        <rFont val="Verdana"/>
        <family val="2"/>
      </rPr>
      <t>RG,h</t>
    </r>
  </si>
  <si>
    <r>
      <t>m</t>
    </r>
    <r>
      <rPr>
        <vertAlign val="superscript"/>
        <sz val="10"/>
        <rFont val="Verdana"/>
        <family val="2"/>
      </rPr>
      <t>3</t>
    </r>
    <r>
      <rPr>
        <sz val="10"/>
        <rFont val="Verdana"/>
        <family val="2"/>
      </rPr>
      <t>/h</t>
    </r>
  </si>
  <si>
    <r>
      <t>PE</t>
    </r>
    <r>
      <rPr>
        <b/>
        <vertAlign val="subscript"/>
        <sz val="10"/>
        <rFont val="Verdana"/>
        <family val="2"/>
      </rPr>
      <t>power,y</t>
    </r>
  </si>
  <si>
    <r>
      <t>EC</t>
    </r>
    <r>
      <rPr>
        <vertAlign val="subscript"/>
        <sz val="10"/>
        <rFont val="Verdana"/>
        <family val="2"/>
      </rPr>
      <t>p,y</t>
    </r>
    <r>
      <rPr>
        <sz val="10"/>
        <rFont val="Verdana"/>
        <family val="2"/>
      </rPr>
      <t>*EF</t>
    </r>
    <r>
      <rPr>
        <vertAlign val="subscript"/>
        <sz val="10"/>
        <rFont val="Verdana"/>
        <family val="2"/>
      </rPr>
      <t>CO2,grid,y (</t>
    </r>
    <r>
      <rPr>
        <vertAlign val="subscript"/>
        <sz val="10"/>
        <rFont val="Verdana"/>
        <family val="2"/>
        <charset val="162"/>
      </rPr>
      <t>1+TDLj</t>
    </r>
    <r>
      <rPr>
        <vertAlign val="subscript"/>
        <sz val="10"/>
        <rFont val="Verdana"/>
        <family val="2"/>
      </rPr>
      <t>,y)</t>
    </r>
    <r>
      <rPr>
        <sz val="10"/>
        <rFont val="Verdana"/>
        <family val="2"/>
      </rPr>
      <t>+FG</t>
    </r>
    <r>
      <rPr>
        <vertAlign val="subscript"/>
        <sz val="10"/>
        <rFont val="Verdana"/>
        <family val="2"/>
      </rPr>
      <t>f,y</t>
    </r>
    <r>
      <rPr>
        <sz val="10"/>
        <rFont val="Verdana"/>
        <family val="2"/>
      </rPr>
      <t>*FF</t>
    </r>
    <r>
      <rPr>
        <vertAlign val="subscript"/>
        <sz val="10"/>
        <rFont val="Verdana"/>
        <family val="2"/>
      </rPr>
      <t>f,y</t>
    </r>
    <r>
      <rPr>
        <sz val="10"/>
        <rFont val="Verdana"/>
        <family val="2"/>
      </rPr>
      <t>*NCV</t>
    </r>
    <r>
      <rPr>
        <vertAlign val="subscript"/>
        <sz val="10"/>
        <rFont val="Verdana"/>
        <family val="2"/>
      </rPr>
      <t>f,y</t>
    </r>
  </si>
  <si>
    <r>
      <t xml:space="preserve">Quantity of the electricity imported from the grid and consumed by the project activity in year </t>
    </r>
    <r>
      <rPr>
        <i/>
        <sz val="10"/>
        <rFont val="Calibri"/>
        <family val="2"/>
      </rPr>
      <t>y</t>
    </r>
    <r>
      <rPr>
        <sz val="10"/>
        <rFont val="Calibri"/>
        <family val="2"/>
      </rPr>
      <t xml:space="preserve"> </t>
    </r>
  </si>
  <si>
    <r>
      <t>CO</t>
    </r>
    <r>
      <rPr>
        <vertAlign val="subscript"/>
        <sz val="10"/>
        <rFont val="Verdana"/>
        <family val="2"/>
      </rPr>
      <t>2</t>
    </r>
    <r>
      <rPr>
        <sz val="10"/>
        <rFont val="Verdana"/>
        <family val="2"/>
      </rPr>
      <t xml:space="preserve"> emission factor of the grid in year </t>
    </r>
    <r>
      <rPr>
        <i/>
        <sz val="10"/>
        <rFont val="Verdana"/>
        <family val="2"/>
      </rPr>
      <t>y</t>
    </r>
  </si>
  <si>
    <r>
      <t>PE</t>
    </r>
    <r>
      <rPr>
        <b/>
        <vertAlign val="subscript"/>
        <sz val="10"/>
        <rFont val="Verdana"/>
        <family val="2"/>
      </rPr>
      <t>transp,y</t>
    </r>
  </si>
  <si>
    <r>
      <t>tCO</t>
    </r>
    <r>
      <rPr>
        <vertAlign val="subscript"/>
        <sz val="10"/>
        <rFont val="Verdana"/>
        <family val="2"/>
        <charset val="162"/>
      </rPr>
      <t>2</t>
    </r>
    <r>
      <rPr>
        <sz val="10"/>
        <rFont val="Verdana"/>
        <family val="2"/>
      </rPr>
      <t>e</t>
    </r>
  </si>
  <si>
    <t xml:space="preserve">Gross Generation </t>
  </si>
  <si>
    <t>Internal Consumption</t>
  </si>
  <si>
    <t>Net</t>
  </si>
  <si>
    <t>EPIAS RECORDS</t>
  </si>
  <si>
    <t>TOTAL</t>
  </si>
  <si>
    <t>DATE</t>
  </si>
  <si>
    <t>EPIAS Records</t>
  </si>
  <si>
    <t>Emission Reductions</t>
  </si>
  <si>
    <r>
      <t>BE</t>
    </r>
    <r>
      <rPr>
        <vertAlign val="subscript"/>
        <sz val="12"/>
        <rFont val="Calibri"/>
        <family val="2"/>
        <charset val="162"/>
        <scheme val="minor"/>
      </rPr>
      <t xml:space="preserve">CH4
</t>
    </r>
    <r>
      <rPr>
        <sz val="10"/>
        <rFont val="Verdana"/>
        <family val="2"/>
        <charset val="162"/>
      </rPr>
      <t/>
    </r>
  </si>
  <si>
    <r>
      <t>GWP</t>
    </r>
    <r>
      <rPr>
        <vertAlign val="subscript"/>
        <sz val="12"/>
        <rFont val="Calibri"/>
        <family val="2"/>
        <charset val="162"/>
        <scheme val="minor"/>
      </rPr>
      <t>CH4</t>
    </r>
  </si>
  <si>
    <r>
      <t>D</t>
    </r>
    <r>
      <rPr>
        <vertAlign val="subscript"/>
        <sz val="12"/>
        <rFont val="Calibri"/>
        <family val="2"/>
        <charset val="162"/>
        <scheme val="minor"/>
      </rPr>
      <t>CH4</t>
    </r>
  </si>
  <si>
    <r>
      <t>t/m</t>
    </r>
    <r>
      <rPr>
        <vertAlign val="superscript"/>
        <sz val="12"/>
        <rFont val="Calibri"/>
        <family val="2"/>
        <charset val="162"/>
        <scheme val="minor"/>
      </rPr>
      <t>3</t>
    </r>
  </si>
  <si>
    <r>
      <t>MCF</t>
    </r>
    <r>
      <rPr>
        <vertAlign val="subscript"/>
        <sz val="12"/>
        <rFont val="Calibri"/>
        <family val="2"/>
        <charset val="162"/>
        <scheme val="minor"/>
      </rPr>
      <t>j</t>
    </r>
  </si>
  <si>
    <t>Average Temperature assumed 12 ̊C (11,6)  for Konya Province of Turkey</t>
  </si>
  <si>
    <r>
      <t>B</t>
    </r>
    <r>
      <rPr>
        <vertAlign val="subscript"/>
        <sz val="12"/>
        <rFont val="Calibri"/>
        <family val="2"/>
        <charset val="162"/>
        <scheme val="minor"/>
      </rPr>
      <t>0,LT</t>
    </r>
  </si>
  <si>
    <r>
      <t>m</t>
    </r>
    <r>
      <rPr>
        <vertAlign val="superscript"/>
        <sz val="12"/>
        <rFont val="Calibri"/>
        <family val="2"/>
        <charset val="162"/>
        <scheme val="minor"/>
      </rPr>
      <t>3</t>
    </r>
    <r>
      <rPr>
        <sz val="12"/>
        <rFont val="Calibri"/>
        <family val="2"/>
        <charset val="162"/>
        <scheme val="minor"/>
      </rPr>
      <t>CH4/kg_dm</t>
    </r>
  </si>
  <si>
    <r>
      <t>BE</t>
    </r>
    <r>
      <rPr>
        <vertAlign val="subscript"/>
        <sz val="12"/>
        <rFont val="Calibri"/>
        <family val="2"/>
        <charset val="162"/>
        <scheme val="minor"/>
      </rPr>
      <t>elec.</t>
    </r>
  </si>
  <si>
    <r>
      <t>EF</t>
    </r>
    <r>
      <rPr>
        <vertAlign val="subscript"/>
        <sz val="12"/>
        <rFont val="Calibri"/>
        <family val="2"/>
        <charset val="162"/>
        <scheme val="minor"/>
      </rPr>
      <t>y</t>
    </r>
    <r>
      <rPr>
        <sz val="12"/>
        <rFont val="Calibri"/>
        <family val="2"/>
        <charset val="162"/>
        <scheme val="minor"/>
      </rPr>
      <t>*EG</t>
    </r>
    <r>
      <rPr>
        <vertAlign val="subscript"/>
        <sz val="12"/>
        <rFont val="Calibri"/>
        <family val="2"/>
        <charset val="162"/>
        <scheme val="minor"/>
      </rPr>
      <t>baseline</t>
    </r>
  </si>
  <si>
    <r>
      <t>EG</t>
    </r>
    <r>
      <rPr>
        <vertAlign val="subscript"/>
        <sz val="12"/>
        <rFont val="Calibri"/>
        <family val="2"/>
        <charset val="162"/>
        <scheme val="minor"/>
      </rPr>
      <t>baseline</t>
    </r>
  </si>
  <si>
    <r>
      <t>EF</t>
    </r>
    <r>
      <rPr>
        <vertAlign val="subscript"/>
        <sz val="12"/>
        <rFont val="Calibri"/>
        <family val="2"/>
        <charset val="162"/>
        <scheme val="minor"/>
      </rPr>
      <t>y</t>
    </r>
  </si>
  <si>
    <t xml:space="preserve">Eggline </t>
  </si>
  <si>
    <t xml:space="preserve">Celalettin Hakan Katırcı </t>
  </si>
  <si>
    <t xml:space="preserve">Oytun </t>
  </si>
  <si>
    <t>Animal Number (Alive in a Year) 2024</t>
  </si>
  <si>
    <t xml:space="preserve">Çiftçioğlu </t>
  </si>
  <si>
    <r>
      <t>PE</t>
    </r>
    <r>
      <rPr>
        <vertAlign val="subscript"/>
        <sz val="12"/>
        <rFont val="Calibri"/>
        <family val="2"/>
        <charset val="162"/>
        <scheme val="minor"/>
      </rPr>
      <t>CH4,y</t>
    </r>
    <r>
      <rPr>
        <sz val="12"/>
        <rFont val="Calibri"/>
        <family val="2"/>
        <charset val="162"/>
        <scheme val="minor"/>
      </rPr>
      <t>= Q</t>
    </r>
    <r>
      <rPr>
        <vertAlign val="subscript"/>
        <sz val="12"/>
        <rFont val="Calibri"/>
        <family val="2"/>
        <charset val="162"/>
        <scheme val="minor"/>
      </rPr>
      <t>CH4,y</t>
    </r>
    <r>
      <rPr>
        <sz val="12"/>
        <rFont val="Calibri"/>
        <family val="2"/>
        <charset val="162"/>
        <scheme val="minor"/>
      </rPr>
      <t xml:space="preserve"> × EF</t>
    </r>
    <r>
      <rPr>
        <vertAlign val="subscript"/>
        <sz val="12"/>
        <rFont val="Calibri"/>
        <family val="2"/>
        <charset val="162"/>
        <scheme val="minor"/>
      </rPr>
      <t>CH4,default</t>
    </r>
    <r>
      <rPr>
        <sz val="12"/>
        <rFont val="Calibri"/>
        <family val="2"/>
        <charset val="162"/>
        <scheme val="minor"/>
      </rPr>
      <t xml:space="preserve"> × GWP</t>
    </r>
    <r>
      <rPr>
        <vertAlign val="subscript"/>
        <sz val="12"/>
        <rFont val="Calibri"/>
        <family val="2"/>
        <charset val="162"/>
        <scheme val="minor"/>
      </rPr>
      <t>CH4</t>
    </r>
  </si>
  <si>
    <r>
      <t>Q</t>
    </r>
    <r>
      <rPr>
        <vertAlign val="subscript"/>
        <sz val="12"/>
        <rFont val="Calibri"/>
        <family val="2"/>
        <charset val="162"/>
        <scheme val="minor"/>
      </rPr>
      <t>CH4,y</t>
    </r>
  </si>
  <si>
    <r>
      <t>tCH</t>
    </r>
    <r>
      <rPr>
        <vertAlign val="subscript"/>
        <sz val="12"/>
        <rFont val="Calibri"/>
        <family val="2"/>
        <charset val="162"/>
        <scheme val="minor"/>
      </rPr>
      <t>4</t>
    </r>
  </si>
  <si>
    <r>
      <t>EF</t>
    </r>
    <r>
      <rPr>
        <vertAlign val="subscript"/>
        <sz val="12"/>
        <rFont val="Calibri"/>
        <family val="2"/>
        <charset val="162"/>
        <scheme val="minor"/>
      </rPr>
      <t>CH4,default</t>
    </r>
  </si>
  <si>
    <r>
      <t>MS%</t>
    </r>
    <r>
      <rPr>
        <vertAlign val="subscript"/>
        <sz val="12"/>
        <rFont val="Calibri"/>
        <family val="2"/>
        <charset val="162"/>
        <scheme val="minor"/>
      </rPr>
      <t>i,y</t>
    </r>
  </si>
  <si>
    <r>
      <t>PE</t>
    </r>
    <r>
      <rPr>
        <b/>
        <vertAlign val="subscript"/>
        <sz val="12"/>
        <rFont val="Calibri"/>
        <family val="2"/>
        <charset val="162"/>
        <scheme val="minor"/>
      </rPr>
      <t>flare,y</t>
    </r>
  </si>
  <si>
    <r>
      <t>∑TM</t>
    </r>
    <r>
      <rPr>
        <vertAlign val="subscript"/>
        <sz val="12"/>
        <rFont val="Calibri"/>
        <family val="2"/>
        <charset val="162"/>
        <scheme val="minor"/>
      </rPr>
      <t>RG,h</t>
    </r>
    <r>
      <rPr>
        <sz val="12"/>
        <rFont val="Calibri"/>
        <family val="2"/>
        <charset val="162"/>
        <scheme val="minor"/>
      </rPr>
      <t>*(1-f</t>
    </r>
    <r>
      <rPr>
        <vertAlign val="subscript"/>
        <sz val="12"/>
        <rFont val="Calibri"/>
        <family val="2"/>
        <charset val="162"/>
        <scheme val="minor"/>
      </rPr>
      <t>flare</t>
    </r>
    <r>
      <rPr>
        <sz val="12"/>
        <rFont val="Calibri"/>
        <family val="2"/>
        <charset val="162"/>
        <scheme val="minor"/>
      </rPr>
      <t>)*GWP</t>
    </r>
    <r>
      <rPr>
        <vertAlign val="subscript"/>
        <sz val="12"/>
        <rFont val="Calibri"/>
        <family val="2"/>
        <charset val="162"/>
        <scheme val="minor"/>
      </rPr>
      <t>CH4</t>
    </r>
  </si>
  <si>
    <r>
      <t>f</t>
    </r>
    <r>
      <rPr>
        <vertAlign val="subscript"/>
        <sz val="12"/>
        <rFont val="Calibri"/>
        <family val="2"/>
        <charset val="162"/>
        <scheme val="minor"/>
      </rPr>
      <t>flare</t>
    </r>
  </si>
  <si>
    <r>
      <t>TM</t>
    </r>
    <r>
      <rPr>
        <vertAlign val="subscript"/>
        <sz val="12"/>
        <rFont val="Calibri"/>
        <family val="2"/>
        <charset val="162"/>
        <scheme val="minor"/>
      </rPr>
      <t>RG,h</t>
    </r>
  </si>
  <si>
    <r>
      <t>FV</t>
    </r>
    <r>
      <rPr>
        <vertAlign val="subscript"/>
        <sz val="12"/>
        <rFont val="Calibri"/>
        <family val="2"/>
        <charset val="162"/>
        <scheme val="minor"/>
      </rPr>
      <t>RG,h</t>
    </r>
    <r>
      <rPr>
        <sz val="12"/>
        <rFont val="Calibri"/>
        <family val="2"/>
        <charset val="162"/>
        <scheme val="minor"/>
      </rPr>
      <t>*fv</t>
    </r>
    <r>
      <rPr>
        <vertAlign val="subscript"/>
        <sz val="12"/>
        <rFont val="Calibri"/>
        <family val="2"/>
        <charset val="162"/>
        <scheme val="minor"/>
      </rPr>
      <t>CH4,RG,h</t>
    </r>
    <r>
      <rPr>
        <sz val="12"/>
        <rFont val="Calibri"/>
        <family val="2"/>
        <charset val="162"/>
        <scheme val="minor"/>
      </rPr>
      <t>*p</t>
    </r>
    <r>
      <rPr>
        <vertAlign val="subscript"/>
        <sz val="12"/>
        <rFont val="Calibri"/>
        <family val="2"/>
        <charset val="162"/>
        <scheme val="minor"/>
      </rPr>
      <t>CH4,n</t>
    </r>
  </si>
  <si>
    <r>
      <t>FV</t>
    </r>
    <r>
      <rPr>
        <vertAlign val="subscript"/>
        <sz val="12"/>
        <rFont val="Calibri"/>
        <family val="2"/>
        <charset val="162"/>
        <scheme val="minor"/>
      </rPr>
      <t>RG,h</t>
    </r>
  </si>
  <si>
    <r>
      <t>m</t>
    </r>
    <r>
      <rPr>
        <vertAlign val="superscript"/>
        <sz val="12"/>
        <rFont val="Calibri"/>
        <family val="2"/>
        <charset val="162"/>
        <scheme val="minor"/>
      </rPr>
      <t>3</t>
    </r>
    <r>
      <rPr>
        <sz val="12"/>
        <rFont val="Calibri"/>
        <family val="2"/>
        <charset val="162"/>
        <scheme val="minor"/>
      </rPr>
      <t>/h</t>
    </r>
  </si>
  <si>
    <r>
      <t>fv</t>
    </r>
    <r>
      <rPr>
        <vertAlign val="subscript"/>
        <sz val="12"/>
        <rFont val="Calibri"/>
        <family val="2"/>
        <charset val="162"/>
        <scheme val="minor"/>
      </rPr>
      <t>CH4,RG,h</t>
    </r>
  </si>
  <si>
    <r>
      <t>D</t>
    </r>
    <r>
      <rPr>
        <vertAlign val="subscript"/>
        <sz val="12"/>
        <rFont val="Calibri"/>
        <family val="2"/>
        <charset val="162"/>
        <scheme val="minor"/>
      </rPr>
      <t>CH4,n</t>
    </r>
  </si>
  <si>
    <r>
      <t>PE</t>
    </r>
    <r>
      <rPr>
        <b/>
        <vertAlign val="subscript"/>
        <sz val="12"/>
        <rFont val="Calibri"/>
        <family val="2"/>
        <charset val="162"/>
        <scheme val="minor"/>
      </rPr>
      <t>power,y</t>
    </r>
  </si>
  <si>
    <r>
      <t>EC</t>
    </r>
    <r>
      <rPr>
        <vertAlign val="subscript"/>
        <sz val="12"/>
        <rFont val="Calibri"/>
        <family val="2"/>
        <charset val="162"/>
        <scheme val="minor"/>
      </rPr>
      <t>p,y</t>
    </r>
    <r>
      <rPr>
        <sz val="12"/>
        <rFont val="Calibri"/>
        <family val="2"/>
        <charset val="162"/>
        <scheme val="minor"/>
      </rPr>
      <t>*EF</t>
    </r>
    <r>
      <rPr>
        <vertAlign val="subscript"/>
        <sz val="12"/>
        <rFont val="Calibri"/>
        <family val="2"/>
        <charset val="162"/>
        <scheme val="minor"/>
      </rPr>
      <t>CO2,grid,y (1+TDLj,y)</t>
    </r>
    <r>
      <rPr>
        <sz val="12"/>
        <rFont val="Calibri"/>
        <family val="2"/>
        <charset val="162"/>
        <scheme val="minor"/>
      </rPr>
      <t>+FG</t>
    </r>
    <r>
      <rPr>
        <vertAlign val="subscript"/>
        <sz val="12"/>
        <rFont val="Calibri"/>
        <family val="2"/>
        <charset val="162"/>
        <scheme val="minor"/>
      </rPr>
      <t>f,y</t>
    </r>
    <r>
      <rPr>
        <sz val="12"/>
        <rFont val="Calibri"/>
        <family val="2"/>
        <charset val="162"/>
        <scheme val="minor"/>
      </rPr>
      <t>*FF</t>
    </r>
    <r>
      <rPr>
        <vertAlign val="subscript"/>
        <sz val="12"/>
        <rFont val="Calibri"/>
        <family val="2"/>
        <charset val="162"/>
        <scheme val="minor"/>
      </rPr>
      <t>f,y</t>
    </r>
    <r>
      <rPr>
        <sz val="12"/>
        <rFont val="Calibri"/>
        <family val="2"/>
        <charset val="162"/>
        <scheme val="minor"/>
      </rPr>
      <t>*NCV</t>
    </r>
    <r>
      <rPr>
        <vertAlign val="subscript"/>
        <sz val="12"/>
        <rFont val="Calibri"/>
        <family val="2"/>
        <charset val="162"/>
        <scheme val="minor"/>
      </rPr>
      <t>f,y</t>
    </r>
  </si>
  <si>
    <r>
      <t>EC</t>
    </r>
    <r>
      <rPr>
        <vertAlign val="subscript"/>
        <sz val="12"/>
        <rFont val="Calibri"/>
        <family val="2"/>
        <charset val="162"/>
        <scheme val="minor"/>
      </rPr>
      <t>p,y</t>
    </r>
  </si>
  <si>
    <r>
      <t xml:space="preserve">Quantity of the electricity imported from the grid and consumed by the project activity in year </t>
    </r>
    <r>
      <rPr>
        <i/>
        <sz val="12"/>
        <rFont val="Calibri"/>
        <family val="2"/>
        <charset val="162"/>
        <scheme val="minor"/>
      </rPr>
      <t>y</t>
    </r>
    <r>
      <rPr>
        <sz val="12"/>
        <rFont val="Calibri"/>
        <family val="2"/>
        <charset val="162"/>
        <scheme val="minor"/>
      </rPr>
      <t xml:space="preserve"> </t>
    </r>
  </si>
  <si>
    <r>
      <t>EF</t>
    </r>
    <r>
      <rPr>
        <vertAlign val="subscript"/>
        <sz val="12"/>
        <rFont val="Calibri"/>
        <family val="2"/>
        <charset val="162"/>
        <scheme val="minor"/>
      </rPr>
      <t>CO2,grid,y</t>
    </r>
  </si>
  <si>
    <r>
      <t>CO</t>
    </r>
    <r>
      <rPr>
        <vertAlign val="subscript"/>
        <sz val="12"/>
        <rFont val="Calibri"/>
        <family val="2"/>
        <charset val="162"/>
        <scheme val="minor"/>
      </rPr>
      <t>2</t>
    </r>
    <r>
      <rPr>
        <sz val="12"/>
        <rFont val="Calibri"/>
        <family val="2"/>
        <charset val="162"/>
        <scheme val="minor"/>
      </rPr>
      <t xml:space="preserve"> emission factor of the grid in year </t>
    </r>
    <r>
      <rPr>
        <i/>
        <sz val="12"/>
        <rFont val="Calibri"/>
        <family val="2"/>
        <charset val="162"/>
        <scheme val="minor"/>
      </rPr>
      <t>y</t>
    </r>
  </si>
  <si>
    <r>
      <t>PE</t>
    </r>
    <r>
      <rPr>
        <b/>
        <vertAlign val="subscript"/>
        <sz val="12"/>
        <rFont val="Calibri"/>
        <family val="2"/>
        <charset val="162"/>
        <scheme val="minor"/>
      </rPr>
      <t>transp,y</t>
    </r>
  </si>
  <si>
    <r>
      <t>tCO</t>
    </r>
    <r>
      <rPr>
        <vertAlign val="subscript"/>
        <sz val="12"/>
        <rFont val="Calibri"/>
        <family val="2"/>
        <charset val="162"/>
        <scheme val="minor"/>
      </rPr>
      <t>2</t>
    </r>
    <r>
      <rPr>
        <sz val="12"/>
        <rFont val="Calibri"/>
        <family val="2"/>
        <charset val="162"/>
        <scheme val="minor"/>
      </rPr>
      <t>e</t>
    </r>
  </si>
  <si>
    <r>
      <t>Q</t>
    </r>
    <r>
      <rPr>
        <vertAlign val="subscript"/>
        <sz val="12"/>
        <rFont val="Calibri"/>
        <family val="2"/>
        <charset val="162"/>
        <scheme val="minor"/>
      </rPr>
      <t>manure,j,LT,y</t>
    </r>
  </si>
  <si>
    <r>
      <t>PE</t>
    </r>
    <r>
      <rPr>
        <b/>
        <vertAlign val="subscript"/>
        <sz val="12"/>
        <rFont val="Calibri"/>
        <family val="2"/>
        <charset val="162"/>
        <scheme val="minor"/>
      </rPr>
      <t>PL,y</t>
    </r>
    <r>
      <rPr>
        <b/>
        <sz val="12"/>
        <rFont val="Calibri"/>
        <family val="2"/>
        <charset val="162"/>
        <scheme val="minor"/>
      </rPr>
      <t>+PE</t>
    </r>
    <r>
      <rPr>
        <b/>
        <vertAlign val="subscript"/>
        <sz val="12"/>
        <rFont val="Calibri"/>
        <family val="2"/>
        <charset val="162"/>
        <scheme val="minor"/>
      </rPr>
      <t>flare,y</t>
    </r>
    <r>
      <rPr>
        <b/>
        <sz val="12"/>
        <rFont val="Calibri"/>
        <family val="2"/>
        <charset val="162"/>
        <scheme val="minor"/>
      </rPr>
      <t>+PE</t>
    </r>
    <r>
      <rPr>
        <b/>
        <vertAlign val="subscript"/>
        <sz val="12"/>
        <rFont val="Calibri"/>
        <family val="2"/>
        <charset val="162"/>
        <scheme val="minor"/>
      </rPr>
      <t xml:space="preserve">y,power </t>
    </r>
    <r>
      <rPr>
        <b/>
        <sz val="12"/>
        <rFont val="Calibri"/>
        <family val="2"/>
        <charset val="162"/>
        <scheme val="minor"/>
      </rPr>
      <t>+PE</t>
    </r>
    <r>
      <rPr>
        <b/>
        <vertAlign val="subscript"/>
        <sz val="12"/>
        <rFont val="Calibri"/>
        <family val="2"/>
        <charset val="162"/>
        <scheme val="minor"/>
      </rPr>
      <t>stransp,y</t>
    </r>
    <r>
      <rPr>
        <b/>
        <sz val="12"/>
        <rFont val="Calibri"/>
        <family val="2"/>
        <charset val="162"/>
        <scheme val="minor"/>
      </rPr>
      <t xml:space="preserve"> </t>
    </r>
  </si>
  <si>
    <t>Date</t>
  </si>
  <si>
    <r>
      <t>B</t>
    </r>
    <r>
      <rPr>
        <b/>
        <vertAlign val="subscript"/>
        <sz val="11"/>
        <rFont val="Verdana"/>
        <family val="2"/>
      </rPr>
      <t>CH4</t>
    </r>
    <r>
      <rPr>
        <b/>
        <sz val="11"/>
        <rFont val="Verdana"/>
        <family val="2"/>
      </rPr>
      <t>+BE</t>
    </r>
    <r>
      <rPr>
        <b/>
        <vertAlign val="subscript"/>
        <sz val="11"/>
        <rFont val="Verdana"/>
        <family val="2"/>
      </rPr>
      <t>elec.</t>
    </r>
  </si>
  <si>
    <r>
      <t>B</t>
    </r>
    <r>
      <rPr>
        <b/>
        <vertAlign val="subscript"/>
        <sz val="12"/>
        <rFont val="Verdana"/>
        <family val="2"/>
      </rPr>
      <t>CH4</t>
    </r>
    <r>
      <rPr>
        <b/>
        <sz val="12"/>
        <rFont val="Verdana"/>
        <family val="2"/>
      </rPr>
      <t>+BE</t>
    </r>
    <r>
      <rPr>
        <b/>
        <vertAlign val="subscript"/>
        <sz val="12"/>
        <rFont val="Verdana"/>
        <family val="2"/>
      </rPr>
      <t>elec.</t>
    </r>
  </si>
  <si>
    <r>
      <t>B</t>
    </r>
    <r>
      <rPr>
        <b/>
        <vertAlign val="subscript"/>
        <sz val="12"/>
        <rFont val="Calibri"/>
        <family val="2"/>
        <charset val="162"/>
        <scheme val="minor"/>
      </rPr>
      <t>CH4</t>
    </r>
    <r>
      <rPr>
        <b/>
        <sz val="12"/>
        <rFont val="Calibri"/>
        <family val="2"/>
        <charset val="162"/>
        <scheme val="minor"/>
      </rPr>
      <t>+BE</t>
    </r>
    <r>
      <rPr>
        <b/>
        <vertAlign val="subscript"/>
        <sz val="12"/>
        <rFont val="Calibri"/>
        <family val="2"/>
        <charset val="162"/>
        <scheme val="minor"/>
      </rPr>
      <t>elec.</t>
    </r>
  </si>
  <si>
    <t>01/01/2024 - 30/06/2024</t>
  </si>
  <si>
    <t>01/07/2022 - 31/12 /2022</t>
  </si>
  <si>
    <t>Name of the Farm</t>
  </si>
  <si>
    <t>Type of the Farm</t>
  </si>
  <si>
    <t>Latitude</t>
  </si>
  <si>
    <t>Longitude</t>
  </si>
  <si>
    <t>Distance to project site</t>
  </si>
  <si>
    <t>Cattle</t>
  </si>
  <si>
    <t>37.805449°</t>
  </si>
  <si>
    <t>32.447042°</t>
  </si>
  <si>
    <t>13.5 km</t>
  </si>
  <si>
    <t>İlyas Şeker Hayvancılık ve Nakliyat</t>
  </si>
  <si>
    <t>37.807214°</t>
  </si>
  <si>
    <t>32.446743°</t>
  </si>
  <si>
    <t>13.6 km</t>
  </si>
  <si>
    <t>İsmail Ördek Yemcilik ve Nakliyat</t>
  </si>
  <si>
    <t>37.811927°</t>
  </si>
  <si>
    <t>32.456047°</t>
  </si>
  <si>
    <t>14.2 km</t>
  </si>
  <si>
    <t>Hüsamettin Şekerci Hayvancılık</t>
  </si>
  <si>
    <t>37.798585°</t>
  </si>
  <si>
    <t>32.643548°</t>
  </si>
  <si>
    <t>33.6 km</t>
  </si>
  <si>
    <t>Mustafa Eroğlu Yemcilik</t>
  </si>
  <si>
    <t>37.798862°</t>
  </si>
  <si>
    <t>32.469019°</t>
  </si>
  <si>
    <t>15.2 km</t>
  </si>
  <si>
    <t>Tekkeli Gıda</t>
  </si>
  <si>
    <t>39.047492°</t>
  </si>
  <si>
    <t>33.041289°</t>
  </si>
  <si>
    <t>169 km</t>
  </si>
  <si>
    <t>37.923704°</t>
  </si>
  <si>
    <t>32.549826°</t>
  </si>
  <si>
    <t>32.6 km</t>
  </si>
  <si>
    <t>Seltav Tavukçuluk</t>
  </si>
  <si>
    <t>37.799118°</t>
  </si>
  <si>
    <t>32.429682°</t>
  </si>
  <si>
    <t>11 km</t>
  </si>
  <si>
    <t>Ceren Hayvancılık</t>
  </si>
  <si>
    <t>37.893047°</t>
  </si>
  <si>
    <t>32.545137°</t>
  </si>
  <si>
    <t>28.8 km</t>
  </si>
  <si>
    <t>37.796974°</t>
  </si>
  <si>
    <t>32.657322°</t>
  </si>
  <si>
    <t>34.6 km</t>
  </si>
  <si>
    <t>Yenibahçe Region in Meram District of Konya Province (Agricultural Wastes)</t>
  </si>
  <si>
    <t>Agriculture</t>
  </si>
  <si>
    <t>4.6 km</t>
  </si>
  <si>
    <t>Çomaklı Region in Meram District of Konya Province (Agricultural Wastes)</t>
  </si>
  <si>
    <t>5.6 km</t>
  </si>
  <si>
    <t>Es-tav</t>
  </si>
  <si>
    <t>35 KM</t>
  </si>
  <si>
    <t>10 KM</t>
  </si>
  <si>
    <t>Eggline</t>
  </si>
  <si>
    <t>25 KM</t>
  </si>
  <si>
    <t>Oytun</t>
  </si>
  <si>
    <t>23 KM</t>
  </si>
  <si>
    <t>Celalettin Hakan Katırcı</t>
  </si>
  <si>
    <t>Çiftçioğlu</t>
  </si>
  <si>
    <t>Final Contract Year (only for this monitoring period)</t>
  </si>
  <si>
    <t>Reference link: file: https://www.ipcc-nggip.iges.or.jp/public/2019rf/pdf/4_Volume4/19R_V4_Ch10_Livestock.pdf</t>
  </si>
  <si>
    <t>2019 IPCC Refinement, Table 10.17, page 10.68 referred  67% ( the uncovered anaerobic lagoon for 11.7 oC,  Konya Province conditions, cool temp. dry)</t>
  </si>
  <si>
    <r>
      <t xml:space="preserve">Average Temperature assumed 12 </t>
    </r>
    <r>
      <rPr>
        <sz val="11"/>
        <rFont val="Arial Tur"/>
      </rPr>
      <t>̊</t>
    </r>
    <r>
      <rPr>
        <sz val="11"/>
        <rFont val="Verdana"/>
        <family val="2"/>
      </rPr>
      <t xml:space="preserve">C (11,7) </t>
    </r>
    <r>
      <rPr>
        <sz val="11"/>
        <rFont val="Verdana"/>
        <family val="2"/>
        <charset val="162"/>
      </rPr>
      <t xml:space="preserve"> for Konya Province of Turkey</t>
    </r>
  </si>
  <si>
    <t>https://www.ipcc-nggip.iges.or.jp/public/2019rf/pdf/4_Volume4/19R_V4_Ch10_Livestock.pdf</t>
  </si>
  <si>
    <t>𝑄𝐶𝐻4,𝑦 = 𝑄𝑏𝑖𝑜𝑔𝑎𝑠,𝑦 × 𝑓𝐶𝐻4,𝑑𝑒𝑓𝑎𝑢𝑙𝑡 × 𝜌𝐶𝐻4</t>
  </si>
  <si>
    <t>Tool 14 page 6: https://cdm.unfccc.int/methodologies/PAmethodologies/tools/am-tool-14-v2.pdf</t>
  </si>
  <si>
    <t>Qbiogas,y = 5629623 m3 biogas in 2022 (01/07/2022 - 31/12/2022)</t>
  </si>
  <si>
    <t>Qbiogas,y = 2,370,514 m3 biogas in 2022 (01/07/2022 - 31/12/2022)</t>
  </si>
  <si>
    <t>Qbiogas,y = 14,663,657 m3 biogas in 2023 (01/01/2023 - 31/12/2023)</t>
  </si>
  <si>
    <t>https://www.epdk.gov.tr/Detay/Icerik/3-0-0-102/yillik-rapor-elektrik-piyasasi-gelisim-raporlari</t>
  </si>
  <si>
    <t>Page 117 - Actual loss rate 2023</t>
  </si>
  <si>
    <t>Page 117 - Actual loss rate 2022</t>
  </si>
  <si>
    <t>Page 117 - Actual loss rate 2023 (used the value of the year 2023 since there is no information for the year 2024 yet)</t>
  </si>
  <si>
    <t>https://unfccc.int/documents/461898</t>
  </si>
  <si>
    <t>SO2 EF (kg/MWh)</t>
  </si>
  <si>
    <t>NOx EF (kg/MWh)</t>
  </si>
  <si>
    <t>Vi, t, db %CH4 in dry gas</t>
  </si>
  <si>
    <t>Average</t>
  </si>
  <si>
    <t>01/07/2022 - 31/12/2022</t>
  </si>
  <si>
    <t>01/01/2023 - 31/12/2023</t>
  </si>
  <si>
    <t>Qmanure,j,LT,y (tons/a, wet basis)</t>
  </si>
  <si>
    <t>Agricultural Waste (tonnes)</t>
  </si>
  <si>
    <t>Total in MP</t>
  </si>
  <si>
    <t xml:space="preserve">Quantity of methane produced in the digester in year y  (Reference tool: Tool 08 - Tool to determine the mass flow of a greenhouse gas in a gaseous stream version 03.0)
</t>
  </si>
  <si>
    <t>Vt,db (m³ dry gas/year)</t>
  </si>
  <si>
    <t>Vt,db (ton CH4/year)</t>
  </si>
  <si>
    <t>Fi,t, ch4</t>
  </si>
  <si>
    <t>tonne gas/MP</t>
  </si>
  <si>
    <t xml:space="preserve">Mass flow of greenhouse gas i in the gaseous stream in time interval t </t>
  </si>
  <si>
    <t>calculated (for CH4)</t>
  </si>
  <si>
    <t xml:space="preserve">Fi,t, ch4 </t>
  </si>
  <si>
    <t>kg gas/MP</t>
  </si>
  <si>
    <t xml:space="preserve">Vt,db </t>
  </si>
  <si>
    <t>m³ dry gas/MP</t>
  </si>
  <si>
    <t xml:space="preserve">Volumetric flow of the gaseous stream in time interval t on a dry basis </t>
  </si>
  <si>
    <t>m³ dry gas/h</t>
  </si>
  <si>
    <t>Plant operates 7000 hours/year in design average</t>
  </si>
  <si>
    <t>%CH4 in dry gas</t>
  </si>
  <si>
    <t xml:space="preserve">Vi,t,db </t>
  </si>
  <si>
    <t>m³ gas /m³ dry gas</t>
  </si>
  <si>
    <t xml:space="preserve">Volumetric fraction of greenhouse gas i in the gaseous stream in a time interval t on a dry basis </t>
  </si>
  <si>
    <t xml:space="preserve">Project and leakage emissions from anaerobic digesters
https://cdm.unfccc.int/methodologies/PAmethodologies/tools/am-tool-14-v2.pdf
</t>
  </si>
  <si>
    <t xml:space="preserve">ρi,t </t>
  </si>
  <si>
    <t xml:space="preserve">kg gas /m³ gas </t>
  </si>
  <si>
    <t xml:space="preserve">Density of greenhouse gas i in the gaseous stream in time interval t </t>
  </si>
  <si>
    <t>calculated</t>
  </si>
  <si>
    <t>Pt</t>
  </si>
  <si>
    <t>Pa</t>
  </si>
  <si>
    <t xml:space="preserve">Absolute pressure of the gaseous stream in time interval t </t>
  </si>
  <si>
    <t>Site record (2mbar (200pa) - 6 (600pa) mbar, blowerda 120 (12000pa) mbar çıkarılır)</t>
  </si>
  <si>
    <t>Mmi</t>
  </si>
  <si>
    <t>kg/kmol</t>
  </si>
  <si>
    <t xml:space="preserve">Molecular mass of greenhouse gas i </t>
  </si>
  <si>
    <t>For CH4</t>
  </si>
  <si>
    <t xml:space="preserve">Ru </t>
  </si>
  <si>
    <t>Pa.m3 /kmol.K</t>
  </si>
  <si>
    <t>Universal ideal gases constant</t>
  </si>
  <si>
    <t>constant</t>
  </si>
  <si>
    <t>Tt</t>
  </si>
  <si>
    <t>K</t>
  </si>
  <si>
    <t xml:space="preserve">Temperature of the gaseous stream in time interval t </t>
  </si>
  <si>
    <t>310,15 K (37 C) site records</t>
  </si>
  <si>
    <t>2022 (01/07/2022-31.12.2022)</t>
  </si>
  <si>
    <t>2024 (1.01.2024-30.06.2024)</t>
  </si>
  <si>
    <r>
      <t>23 KM</t>
    </r>
    <r>
      <rPr>
        <sz val="8"/>
        <color rgb="FF4D4D4C"/>
        <rFont val="Verdana"/>
        <family val="2"/>
        <charset val="162"/>
      </rPr>
      <t> </t>
    </r>
  </si>
  <si>
    <t>15 KM</t>
  </si>
  <si>
    <t>12 KM</t>
  </si>
  <si>
    <t>CM calculation for emission reduction estimations for CDM projects</t>
  </si>
  <si>
    <t xml:space="preserve">Latest official emission factor of Turkey that can be used in the projects depending on the project type published by the Ministry of Energy and Natural Resources. </t>
  </si>
  <si>
    <t>Operating Margin Emission Factor</t>
  </si>
  <si>
    <t>Build Margin Emission Factor</t>
  </si>
  <si>
    <t>Weighting factor</t>
  </si>
  <si>
    <r>
      <t>W</t>
    </r>
    <r>
      <rPr>
        <b/>
        <vertAlign val="subscript"/>
        <sz val="10"/>
        <color indexed="9"/>
        <rFont val="Calibri"/>
        <family val="2"/>
      </rPr>
      <t>OM</t>
    </r>
  </si>
  <si>
    <r>
      <t>W</t>
    </r>
    <r>
      <rPr>
        <b/>
        <vertAlign val="subscript"/>
        <sz val="10"/>
        <color indexed="9"/>
        <rFont val="Calibri"/>
        <family val="2"/>
      </rPr>
      <t>BM</t>
    </r>
  </si>
  <si>
    <t xml:space="preserve">For solar, wind  Projects </t>
  </si>
  <si>
    <r>
      <t>All other Projects; 1</t>
    </r>
    <r>
      <rPr>
        <vertAlign val="superscript"/>
        <sz val="10"/>
        <color indexed="8"/>
        <rFont val="Calibri"/>
        <family val="2"/>
      </rPr>
      <t>st</t>
    </r>
    <r>
      <rPr>
        <sz val="10"/>
        <color indexed="8"/>
        <rFont val="Calibri"/>
        <family val="2"/>
      </rPr>
      <t xml:space="preserve"> crediting period</t>
    </r>
  </si>
  <si>
    <r>
      <t xml:space="preserve">                             2</t>
    </r>
    <r>
      <rPr>
        <vertAlign val="superscript"/>
        <sz val="10"/>
        <color indexed="8"/>
        <rFont val="Calibri"/>
        <family val="2"/>
      </rPr>
      <t>nd</t>
    </r>
    <r>
      <rPr>
        <sz val="10"/>
        <color indexed="8"/>
        <rFont val="Calibri"/>
        <family val="2"/>
      </rPr>
      <t xml:space="preserve"> - 3</t>
    </r>
    <r>
      <rPr>
        <vertAlign val="superscript"/>
        <sz val="10"/>
        <color indexed="8"/>
        <rFont val="Calibri"/>
        <family val="2"/>
      </rPr>
      <t>rd</t>
    </r>
    <r>
      <rPr>
        <sz val="10"/>
        <color indexed="8"/>
        <rFont val="Calibri"/>
        <family val="2"/>
      </rPr>
      <t xml:space="preserve"> crediting period</t>
    </r>
  </si>
  <si>
    <t>Combined Margin for Tire Biogas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</si>
</sst>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 * #,##0.00_ ;_ * \-#,##0.00_ ;_ * &quot;-&quot;??_ ;_ @_ "/>
    <numFmt numFmtId="165" formatCode="_-* #,##0.00\ _T_L_-;\-* #,##0.00\ _T_L_-;_-* &quot;-&quot;??\ _T_L_-;_-@_-"/>
    <numFmt numFmtId="166" formatCode="0_);[Red]\(0\)"/>
    <numFmt numFmtId="167" formatCode="0.0%"/>
    <numFmt numFmtId="168" formatCode="0.00_ "/>
    <numFmt numFmtId="169" formatCode="0.0"/>
    <numFmt numFmtId="170" formatCode="0.0\ "/>
    <numFmt numFmtId="171" formatCode="_-* #,##0\ _T_L_-;\-* #,##0\ _T_L_-;_-* &quot;-&quot;??\ _T_L_-;_-@_-"/>
    <numFmt numFmtId="172" formatCode="_-* #,##0.000\ _T_L_-;\-* #,##0.000\ _T_L_-;_-* &quot;-&quot;??\ _T_L_-;_-@_-"/>
    <numFmt numFmtId="173" formatCode="_(* #,##0.0_);_(* \(#,##0.0\);_(* &quot;-&quot;??_);_(@_)"/>
    <numFmt numFmtId="174" formatCode="#,##0.0"/>
    <numFmt numFmtId="175" formatCode="0.000"/>
    <numFmt numFmtId="176" formatCode="0.0000"/>
  </numFmts>
  <fonts count="94">
    <font>
      <sz val="10"/>
      <name val="Verdana"/>
      <family val="2"/>
    </font>
    <font>
      <sz val="10"/>
      <name val="Verdana"/>
      <family val="2"/>
    </font>
    <font>
      <sz val="8"/>
      <name val="Verdana"/>
      <family val="2"/>
    </font>
    <font>
      <vertAlign val="subscript"/>
      <sz val="10"/>
      <name val="Verdana"/>
      <family val="2"/>
    </font>
    <font>
      <sz val="9"/>
      <name val="宋体"/>
      <charset val="134"/>
    </font>
    <font>
      <vertAlign val="superscript"/>
      <sz val="10"/>
      <name val="Verdana"/>
      <family val="2"/>
    </font>
    <font>
      <sz val="10"/>
      <name val="宋体"/>
      <charset val="134"/>
    </font>
    <font>
      <sz val="11"/>
      <name val="Calibri"/>
      <family val="2"/>
    </font>
    <font>
      <i/>
      <sz val="11"/>
      <name val="Calibri"/>
      <family val="2"/>
    </font>
    <font>
      <i/>
      <sz val="10"/>
      <name val="Verdana"/>
      <family val="2"/>
    </font>
    <font>
      <sz val="10"/>
      <name val="Arial"/>
      <family val="2"/>
      <charset val="162"/>
    </font>
    <font>
      <sz val="11"/>
      <color theme="1"/>
      <name val="Calibri"/>
      <family val="2"/>
      <scheme val="minor"/>
    </font>
    <font>
      <sz val="11"/>
      <name val="Times New Roman"/>
      <family val="1"/>
      <charset val="16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Geneva"/>
      <charset val="16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4"/>
      <name val="Arial"/>
      <family val="2"/>
      <charset val="162"/>
    </font>
    <font>
      <i/>
      <sz val="12"/>
      <name val="Arial"/>
      <family val="2"/>
      <charset val="162"/>
    </font>
    <font>
      <b/>
      <sz val="12"/>
      <name val="Arial"/>
      <family val="2"/>
      <charset val="162"/>
    </font>
    <font>
      <sz val="11"/>
      <name val="Arial"/>
      <family val="2"/>
      <charset val="162"/>
    </font>
    <font>
      <sz val="12"/>
      <name val="Arial"/>
      <family val="2"/>
      <charset val="162"/>
    </font>
    <font>
      <b/>
      <i/>
      <sz val="14"/>
      <name val="Arial"/>
      <family val="2"/>
      <charset val="162"/>
    </font>
    <font>
      <b/>
      <sz val="14"/>
      <name val="Arial"/>
      <family val="2"/>
      <charset val="162"/>
    </font>
    <font>
      <b/>
      <sz val="11"/>
      <name val="Arial"/>
      <family val="2"/>
      <charset val="162"/>
    </font>
    <font>
      <i/>
      <sz val="11"/>
      <name val="Arial"/>
      <family val="2"/>
      <charset val="162"/>
    </font>
    <font>
      <i/>
      <vertAlign val="superscript"/>
      <sz val="11"/>
      <name val="Arial"/>
      <family val="2"/>
      <charset val="162"/>
    </font>
    <font>
      <b/>
      <vertAlign val="superscript"/>
      <sz val="12"/>
      <name val="Arial"/>
      <family val="2"/>
      <charset val="162"/>
    </font>
    <font>
      <i/>
      <sz val="16"/>
      <name val="Arial"/>
      <family val="2"/>
      <charset val="162"/>
    </font>
    <font>
      <b/>
      <sz val="18"/>
      <name val="Arial"/>
      <family val="2"/>
      <charset val="162"/>
    </font>
    <font>
      <b/>
      <sz val="10"/>
      <name val="Verdana"/>
      <family val="2"/>
      <charset val="162"/>
    </font>
    <font>
      <sz val="10"/>
      <name val="Verdana"/>
      <family val="2"/>
      <charset val="162"/>
    </font>
    <font>
      <vertAlign val="subscript"/>
      <sz val="10"/>
      <name val="Verdana"/>
      <family val="2"/>
      <charset val="162"/>
    </font>
    <font>
      <sz val="11"/>
      <color indexed="8"/>
      <name val="Times New Roman"/>
      <family val="1"/>
    </font>
    <font>
      <b/>
      <sz val="12"/>
      <name val="Verdana"/>
      <family val="2"/>
    </font>
    <font>
      <sz val="10"/>
      <name val="Arial Tur"/>
    </font>
    <font>
      <sz val="8.5"/>
      <name val="Verdana"/>
      <family val="2"/>
    </font>
    <font>
      <b/>
      <sz val="10"/>
      <name val="Verdana"/>
      <family val="2"/>
    </font>
    <font>
      <b/>
      <vertAlign val="subscript"/>
      <sz val="10"/>
      <name val="Verdana"/>
      <family val="2"/>
    </font>
    <font>
      <vertAlign val="subscript"/>
      <sz val="12"/>
      <name val="Verdana"/>
      <family val="2"/>
    </font>
    <font>
      <b/>
      <vertAlign val="subscript"/>
      <sz val="12"/>
      <name val="Verdana"/>
      <family val="2"/>
    </font>
    <font>
      <b/>
      <sz val="16"/>
      <color theme="0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b/>
      <sz val="11"/>
      <color theme="0"/>
      <name val="Verdana"/>
      <family val="2"/>
    </font>
    <font>
      <vertAlign val="subscript"/>
      <sz val="11"/>
      <name val="Verdana"/>
      <family val="2"/>
    </font>
    <font>
      <u/>
      <sz val="11"/>
      <color indexed="12"/>
      <name val="Arial"/>
      <family val="2"/>
    </font>
    <font>
      <vertAlign val="superscript"/>
      <sz val="11"/>
      <name val="Verdana"/>
      <family val="2"/>
    </font>
    <font>
      <sz val="11"/>
      <name val="Arial Tur"/>
    </font>
    <font>
      <sz val="11"/>
      <name val="Verdana"/>
      <family val="2"/>
      <charset val="162"/>
    </font>
    <font>
      <vertAlign val="subscript"/>
      <sz val="11"/>
      <name val="Verdana"/>
      <family val="2"/>
      <charset val="162"/>
    </font>
    <font>
      <b/>
      <vertAlign val="subscript"/>
      <sz val="11"/>
      <name val="Verdana"/>
      <family val="2"/>
    </font>
    <font>
      <sz val="11"/>
      <name val="宋体"/>
      <charset val="134"/>
    </font>
    <font>
      <i/>
      <sz val="11"/>
      <name val="Verdana"/>
      <family val="2"/>
    </font>
    <font>
      <i/>
      <sz val="10"/>
      <name val="Calibri"/>
      <family val="2"/>
    </font>
    <font>
      <sz val="10"/>
      <name val="Calibri"/>
      <family val="2"/>
    </font>
    <font>
      <b/>
      <sz val="11"/>
      <name val="Verdana"/>
      <family val="2"/>
      <charset val="162"/>
    </font>
    <font>
      <vertAlign val="subscript"/>
      <sz val="12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  <font>
      <b/>
      <vertAlign val="subscript"/>
      <sz val="12"/>
      <name val="Calibri"/>
      <family val="2"/>
      <charset val="162"/>
      <scheme val="minor"/>
    </font>
    <font>
      <sz val="12"/>
      <name val="Calibri"/>
      <family val="2"/>
      <charset val="162"/>
      <scheme val="minor"/>
    </font>
    <font>
      <b/>
      <sz val="12"/>
      <color theme="0"/>
      <name val="Calibri"/>
      <family val="2"/>
      <charset val="162"/>
      <scheme val="minor"/>
    </font>
    <font>
      <u/>
      <sz val="12"/>
      <color indexed="12"/>
      <name val="Calibri"/>
      <family val="2"/>
      <charset val="162"/>
      <scheme val="minor"/>
    </font>
    <font>
      <vertAlign val="superscript"/>
      <sz val="12"/>
      <name val="Calibri"/>
      <family val="2"/>
      <charset val="162"/>
      <scheme val="minor"/>
    </font>
    <font>
      <i/>
      <sz val="12"/>
      <name val="Calibri"/>
      <family val="2"/>
      <charset val="162"/>
      <scheme val="minor"/>
    </font>
    <font>
      <sz val="11"/>
      <color rgb="FF4D4D4C"/>
      <name val="Verdana"/>
      <family val="2"/>
      <charset val="162"/>
    </font>
    <font>
      <b/>
      <sz val="11"/>
      <color rgb="FF4D4D4C"/>
      <name val="Verdana"/>
      <family val="2"/>
      <charset val="162"/>
    </font>
    <font>
      <sz val="11"/>
      <color rgb="FF000000"/>
      <name val="Verdana"/>
      <family val="2"/>
      <charset val="162"/>
    </font>
    <font>
      <sz val="12"/>
      <name val="宋体"/>
      <charset val="134"/>
    </font>
    <font>
      <b/>
      <sz val="16"/>
      <name val="Verdana"/>
      <family val="2"/>
    </font>
    <font>
      <sz val="8"/>
      <color rgb="FF4D4D4C"/>
      <name val="Verdana"/>
      <family val="2"/>
      <charset val="16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0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vertAlign val="subscript"/>
      <sz val="10"/>
      <color indexed="9"/>
      <name val="Calibri"/>
      <family val="2"/>
    </font>
    <font>
      <vertAlign val="superscript"/>
      <sz val="10"/>
      <color indexed="8"/>
      <name val="Calibri"/>
      <family val="2"/>
    </font>
    <font>
      <sz val="10"/>
      <color indexed="8"/>
      <name val="Calibri"/>
      <family val="2"/>
    </font>
  </fonts>
  <fills count="4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theme="4" tint="0.39991454817346722"/>
      </left>
      <right/>
      <top style="thin">
        <color theme="4" tint="0.39991454817346722"/>
      </top>
      <bottom style="medium">
        <color indexed="64"/>
      </bottom>
      <diagonal/>
    </border>
    <border>
      <left/>
      <right/>
      <top style="thin">
        <color theme="4" tint="0.39991454817346722"/>
      </top>
      <bottom style="medium">
        <color indexed="64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 style="medium">
        <color indexed="64"/>
      </top>
      <bottom style="thin">
        <color theme="4" tint="0.39991454817346722"/>
      </bottom>
      <diagonal/>
    </border>
    <border>
      <left/>
      <right/>
      <top style="medium">
        <color indexed="64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medium">
        <color indexed="64"/>
      </top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/>
      <right/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/>
      <right/>
      <top/>
      <bottom style="thin">
        <color theme="4" tint="0.39991454817346722"/>
      </bottom>
      <diagonal/>
    </border>
  </borders>
  <cellStyleXfs count="52">
    <xf numFmtId="0" fontId="0" fillId="0" borderId="0"/>
    <xf numFmtId="0" fontId="10" fillId="0" borderId="0"/>
    <xf numFmtId="0" fontId="11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5" fillId="3" borderId="0" applyNumberFormat="0" applyBorder="0" applyAlignment="0" applyProtection="0"/>
    <xf numFmtId="0" fontId="16" fillId="20" borderId="12" applyNumberFormat="0" applyAlignment="0" applyProtection="0"/>
    <xf numFmtId="0" fontId="17" fillId="21" borderId="13" applyNumberFormat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2" fillId="0" borderId="16" applyNumberFormat="0" applyFill="0" applyAlignment="0" applyProtection="0"/>
    <xf numFmtId="0" fontId="22" fillId="0" borderId="0" applyNumberFormat="0" applyFill="0" applyBorder="0" applyAlignment="0" applyProtection="0"/>
    <xf numFmtId="0" fontId="23" fillId="7" borderId="12" applyNumberFormat="0" applyAlignment="0" applyProtection="0"/>
    <xf numFmtId="0" fontId="24" fillId="0" borderId="17" applyNumberFormat="0" applyFill="0" applyAlignment="0" applyProtection="0"/>
    <xf numFmtId="0" fontId="13" fillId="0" borderId="0"/>
    <xf numFmtId="0" fontId="25" fillId="0" borderId="0"/>
    <xf numFmtId="0" fontId="13" fillId="22" borderId="18" applyNumberFormat="0" applyFont="0" applyAlignment="0" applyProtection="0"/>
    <xf numFmtId="0" fontId="26" fillId="20" borderId="1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9" fontId="29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2" fillId="0" borderId="0"/>
    <xf numFmtId="0" fontId="86" fillId="0" borderId="0"/>
    <xf numFmtId="165" fontId="86" fillId="0" borderId="0" applyFont="0" applyFill="0" applyBorder="0" applyAlignment="0" applyProtection="0"/>
  </cellStyleXfs>
  <cellXfs count="592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justify" vertical="center"/>
    </xf>
    <xf numFmtId="168" fontId="0" fillId="0" borderId="0" xfId="0" applyNumberFormat="1" applyAlignment="1">
      <alignment vertical="center" wrapText="1"/>
    </xf>
    <xf numFmtId="9" fontId="0" fillId="0" borderId="0" xfId="0" applyNumberFormat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7" xfId="0" applyBorder="1" applyAlignment="1">
      <alignment horizontal="justify" vertical="center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right" vertical="top"/>
    </xf>
    <xf numFmtId="167" fontId="0" fillId="0" borderId="0" xfId="0" applyNumberFormat="1" applyAlignment="1">
      <alignment vertical="center" wrapText="1"/>
    </xf>
    <xf numFmtId="0" fontId="10" fillId="0" borderId="0" xfId="39" applyFont="1"/>
    <xf numFmtId="0" fontId="10" fillId="0" borderId="0" xfId="39" applyFont="1" applyAlignment="1">
      <alignment horizontal="center"/>
    </xf>
    <xf numFmtId="169" fontId="10" fillId="0" borderId="0" xfId="39" applyNumberFormat="1" applyFont="1"/>
    <xf numFmtId="169" fontId="31" fillId="0" borderId="0" xfId="39" applyNumberFormat="1" applyFont="1" applyAlignment="1">
      <alignment horizontal="center"/>
    </xf>
    <xf numFmtId="0" fontId="31" fillId="0" borderId="0" xfId="39" applyFont="1"/>
    <xf numFmtId="0" fontId="32" fillId="0" borderId="0" xfId="39" applyFont="1"/>
    <xf numFmtId="0" fontId="33" fillId="0" borderId="0" xfId="39" applyFont="1"/>
    <xf numFmtId="0" fontId="34" fillId="0" borderId="0" xfId="39" applyFont="1"/>
    <xf numFmtId="0" fontId="35" fillId="0" borderId="0" xfId="39" applyFont="1"/>
    <xf numFmtId="169" fontId="35" fillId="0" borderId="0" xfId="39" applyNumberFormat="1" applyFont="1"/>
    <xf numFmtId="0" fontId="30" fillId="0" borderId="0" xfId="45" applyAlignment="1" applyProtection="1"/>
    <xf numFmtId="0" fontId="36" fillId="0" borderId="0" xfId="39" applyFont="1"/>
    <xf numFmtId="0" fontId="37" fillId="0" borderId="0" xfId="39" applyFont="1"/>
    <xf numFmtId="170" fontId="35" fillId="0" borderId="0" xfId="39" applyNumberFormat="1" applyFont="1" applyAlignment="1">
      <alignment horizontal="right"/>
    </xf>
    <xf numFmtId="169" fontId="35" fillId="0" borderId="0" xfId="39" applyNumberFormat="1" applyFont="1" applyAlignment="1">
      <alignment horizontal="right"/>
    </xf>
    <xf numFmtId="170" fontId="37" fillId="0" borderId="0" xfId="39" applyNumberFormat="1" applyFont="1" applyAlignment="1">
      <alignment horizontal="right"/>
    </xf>
    <xf numFmtId="170" fontId="34" fillId="0" borderId="0" xfId="39" applyNumberFormat="1" applyFont="1" applyAlignment="1">
      <alignment horizontal="right"/>
    </xf>
    <xf numFmtId="0" fontId="35" fillId="0" borderId="0" xfId="39" applyFont="1" applyAlignment="1">
      <alignment horizontal="right"/>
    </xf>
    <xf numFmtId="0" fontId="35" fillId="0" borderId="11" xfId="39" applyFont="1" applyBorder="1"/>
    <xf numFmtId="170" fontId="35" fillId="0" borderId="10" xfId="39" applyNumberFormat="1" applyFont="1" applyBorder="1" applyAlignment="1">
      <alignment horizontal="right"/>
    </xf>
    <xf numFmtId="0" fontId="37" fillId="0" borderId="10" xfId="39" applyFont="1" applyBorder="1"/>
    <xf numFmtId="0" fontId="35" fillId="0" borderId="10" xfId="39" applyFont="1" applyBorder="1"/>
    <xf numFmtId="169" fontId="35" fillId="0" borderId="10" xfId="39" applyNumberFormat="1" applyFont="1" applyBorder="1"/>
    <xf numFmtId="169" fontId="35" fillId="0" borderId="10" xfId="39" applyNumberFormat="1" applyFont="1" applyBorder="1" applyAlignment="1">
      <alignment horizontal="right"/>
    </xf>
    <xf numFmtId="170" fontId="37" fillId="0" borderId="10" xfId="39" applyNumberFormat="1" applyFont="1" applyBorder="1" applyAlignment="1">
      <alignment horizontal="right"/>
    </xf>
    <xf numFmtId="0" fontId="35" fillId="0" borderId="10" xfId="39" applyFont="1" applyBorder="1" applyAlignment="1">
      <alignment horizontal="right"/>
    </xf>
    <xf numFmtId="0" fontId="33" fillId="0" borderId="9" xfId="39" applyFont="1" applyBorder="1" applyAlignment="1">
      <alignment horizontal="center"/>
    </xf>
    <xf numFmtId="0" fontId="35" fillId="0" borderId="8" xfId="39" applyFont="1" applyBorder="1"/>
    <xf numFmtId="170" fontId="31" fillId="0" borderId="0" xfId="39" applyNumberFormat="1" applyFont="1" applyAlignment="1">
      <alignment horizontal="right"/>
    </xf>
    <xf numFmtId="169" fontId="31" fillId="0" borderId="0" xfId="39" applyNumberFormat="1" applyFont="1"/>
    <xf numFmtId="169" fontId="31" fillId="0" borderId="0" xfId="39" applyNumberFormat="1" applyFont="1" applyAlignment="1">
      <alignment horizontal="right"/>
    </xf>
    <xf numFmtId="0" fontId="37" fillId="0" borderId="7" xfId="39" applyFont="1" applyBorder="1" applyAlignment="1">
      <alignment horizontal="center"/>
    </xf>
    <xf numFmtId="0" fontId="31" fillId="0" borderId="0" xfId="39" applyFont="1" applyAlignment="1">
      <alignment horizontal="right"/>
    </xf>
    <xf numFmtId="0" fontId="33" fillId="0" borderId="7" xfId="39" applyFont="1" applyBorder="1" applyAlignment="1">
      <alignment horizontal="center"/>
    </xf>
    <xf numFmtId="0" fontId="38" fillId="0" borderId="8" xfId="39" applyFont="1" applyBorder="1" applyAlignment="1">
      <alignment horizontal="center"/>
    </xf>
    <xf numFmtId="0" fontId="39" fillId="0" borderId="0" xfId="39" applyFont="1" applyAlignment="1">
      <alignment horizontal="center"/>
    </xf>
    <xf numFmtId="0" fontId="38" fillId="0" borderId="0" xfId="39" applyFont="1" applyAlignment="1">
      <alignment horizontal="center"/>
    </xf>
    <xf numFmtId="0" fontId="39" fillId="0" borderId="0" xfId="39" applyFont="1"/>
    <xf numFmtId="0" fontId="39" fillId="0" borderId="7" xfId="39" applyFont="1" applyBorder="1" applyAlignment="1">
      <alignment horizontal="center"/>
    </xf>
    <xf numFmtId="0" fontId="33" fillId="0" borderId="8" xfId="39" applyFont="1" applyBorder="1" applyAlignment="1">
      <alignment horizontal="center"/>
    </xf>
    <xf numFmtId="0" fontId="33" fillId="0" borderId="0" xfId="39" applyFont="1" applyAlignment="1">
      <alignment horizontal="center"/>
    </xf>
    <xf numFmtId="0" fontId="35" fillId="0" borderId="7" xfId="39" applyFont="1" applyBorder="1" applyAlignment="1">
      <alignment horizontal="center"/>
    </xf>
    <xf numFmtId="0" fontId="35" fillId="0" borderId="6" xfId="39" applyFont="1" applyBorder="1"/>
    <xf numFmtId="0" fontId="35" fillId="0" borderId="5" xfId="39" applyFont="1" applyBorder="1"/>
    <xf numFmtId="0" fontId="35" fillId="0" borderId="4" xfId="39" applyFont="1" applyBorder="1" applyAlignment="1">
      <alignment horizontal="center"/>
    </xf>
    <xf numFmtId="0" fontId="33" fillId="0" borderId="10" xfId="39" applyFont="1" applyBorder="1"/>
    <xf numFmtId="0" fontId="35" fillId="0" borderId="9" xfId="39" applyFont="1" applyBorder="1"/>
    <xf numFmtId="0" fontId="10" fillId="0" borderId="8" xfId="39" applyFont="1" applyBorder="1" applyAlignment="1">
      <alignment horizontal="centerContinuous"/>
    </xf>
    <xf numFmtId="0" fontId="10" fillId="0" borderId="0" xfId="39" applyFont="1" applyAlignment="1">
      <alignment horizontal="centerContinuous"/>
    </xf>
    <xf numFmtId="0" fontId="42" fillId="0" borderId="7" xfId="39" applyFont="1" applyBorder="1" applyAlignment="1">
      <alignment horizontal="centerContinuous"/>
    </xf>
    <xf numFmtId="0" fontId="43" fillId="0" borderId="7" xfId="39" applyFont="1" applyBorder="1" applyAlignment="1">
      <alignment horizontal="centerContinuous"/>
    </xf>
    <xf numFmtId="0" fontId="35" fillId="0" borderId="4" xfId="39" applyFont="1" applyBorder="1"/>
    <xf numFmtId="0" fontId="12" fillId="0" borderId="0" xfId="0" applyFont="1" applyAlignment="1">
      <alignment horizontal="justify" vertical="center" wrapText="1"/>
    </xf>
    <xf numFmtId="0" fontId="0" fillId="0" borderId="20" xfId="0" applyBorder="1" applyAlignment="1">
      <alignment vertical="center" wrapText="1"/>
    </xf>
    <xf numFmtId="0" fontId="0" fillId="23" borderId="20" xfId="0" applyFill="1" applyBorder="1"/>
    <xf numFmtId="3" fontId="0" fillId="23" borderId="20" xfId="0" applyNumberFormat="1" applyFill="1" applyBorder="1"/>
    <xf numFmtId="0" fontId="0" fillId="24" borderId="20" xfId="0" applyFill="1" applyBorder="1"/>
    <xf numFmtId="3" fontId="0" fillId="24" borderId="20" xfId="0" applyNumberFormat="1" applyFill="1" applyBorder="1"/>
    <xf numFmtId="0" fontId="1" fillId="23" borderId="20" xfId="0" applyFont="1" applyFill="1" applyBorder="1"/>
    <xf numFmtId="0" fontId="51" fillId="0" borderId="20" xfId="0" applyFont="1" applyBorder="1" applyAlignment="1">
      <alignment vertical="center" wrapText="1"/>
    </xf>
    <xf numFmtId="0" fontId="0" fillId="25" borderId="5" xfId="0" applyFill="1" applyBorder="1" applyAlignment="1">
      <alignment vertical="center" wrapText="1"/>
    </xf>
    <xf numFmtId="0" fontId="0" fillId="25" borderId="6" xfId="0" applyFill="1" applyBorder="1" applyAlignment="1">
      <alignment vertical="center" wrapText="1"/>
    </xf>
    <xf numFmtId="0" fontId="0" fillId="25" borderId="7" xfId="0" applyFill="1" applyBorder="1" applyAlignment="1">
      <alignment vertical="center" wrapText="1"/>
    </xf>
    <xf numFmtId="0" fontId="0" fillId="25" borderId="0" xfId="0" applyFill="1" applyAlignment="1">
      <alignment vertical="center" wrapText="1"/>
    </xf>
    <xf numFmtId="0" fontId="0" fillId="25" borderId="8" xfId="0" applyFill="1" applyBorder="1" applyAlignment="1">
      <alignment vertical="center" wrapText="1"/>
    </xf>
    <xf numFmtId="172" fontId="0" fillId="25" borderId="0" xfId="47" applyNumberFormat="1" applyFont="1" applyFill="1" applyBorder="1" applyAlignment="1">
      <alignment vertical="center" wrapText="1"/>
    </xf>
    <xf numFmtId="0" fontId="0" fillId="25" borderId="9" xfId="0" applyFill="1" applyBorder="1" applyAlignment="1">
      <alignment vertical="center" wrapText="1"/>
    </xf>
    <xf numFmtId="0" fontId="0" fillId="25" borderId="10" xfId="0" applyFill="1" applyBorder="1" applyAlignment="1">
      <alignment vertical="center" wrapText="1"/>
    </xf>
    <xf numFmtId="0" fontId="0" fillId="25" borderId="10" xfId="0" applyFill="1" applyBorder="1" applyAlignment="1">
      <alignment horizontal="justify" vertical="center"/>
    </xf>
    <xf numFmtId="0" fontId="0" fillId="25" borderId="10" xfId="0" applyFill="1" applyBorder="1" applyAlignment="1">
      <alignment horizontal="center" vertical="center"/>
    </xf>
    <xf numFmtId="0" fontId="0" fillId="25" borderId="11" xfId="0" applyFill="1" applyBorder="1" applyAlignment="1">
      <alignment vertical="center" wrapText="1"/>
    </xf>
    <xf numFmtId="0" fontId="0" fillId="27" borderId="5" xfId="0" applyFill="1" applyBorder="1" applyAlignment="1">
      <alignment horizontal="justify" vertical="center"/>
    </xf>
    <xf numFmtId="0" fontId="0" fillId="27" borderId="5" xfId="0" applyFill="1" applyBorder="1" applyAlignment="1">
      <alignment vertical="center" wrapText="1"/>
    </xf>
    <xf numFmtId="0" fontId="0" fillId="27" borderId="6" xfId="0" applyFill="1" applyBorder="1" applyAlignment="1">
      <alignment vertical="center" wrapText="1"/>
    </xf>
    <xf numFmtId="0" fontId="0" fillId="27" borderId="7" xfId="0" applyFill="1" applyBorder="1" applyAlignment="1">
      <alignment vertical="center" wrapText="1"/>
    </xf>
    <xf numFmtId="0" fontId="0" fillId="27" borderId="0" xfId="0" applyFill="1" applyAlignment="1">
      <alignment vertical="center" wrapText="1"/>
    </xf>
    <xf numFmtId="3" fontId="0" fillId="27" borderId="0" xfId="0" applyNumberFormat="1" applyFill="1" applyAlignment="1">
      <alignment vertical="center" wrapText="1"/>
    </xf>
    <xf numFmtId="0" fontId="0" fillId="27" borderId="0" xfId="0" applyFill="1" applyAlignment="1">
      <alignment horizontal="justify" vertical="center"/>
    </xf>
    <xf numFmtId="0" fontId="0" fillId="27" borderId="8" xfId="0" applyFill="1" applyBorder="1" applyAlignment="1">
      <alignment vertical="center" wrapText="1"/>
    </xf>
    <xf numFmtId="0" fontId="0" fillId="27" borderId="9" xfId="0" applyFill="1" applyBorder="1" applyAlignment="1">
      <alignment vertical="center" wrapText="1"/>
    </xf>
    <xf numFmtId="0" fontId="0" fillId="27" borderId="10" xfId="0" applyFill="1" applyBorder="1" applyAlignment="1">
      <alignment vertical="center" wrapText="1"/>
    </xf>
    <xf numFmtId="3" fontId="0" fillId="27" borderId="10" xfId="0" applyNumberFormat="1" applyFill="1" applyBorder="1" applyAlignment="1">
      <alignment vertical="center" wrapText="1"/>
    </xf>
    <xf numFmtId="0" fontId="0" fillId="27" borderId="10" xfId="0" applyFill="1" applyBorder="1" applyAlignment="1">
      <alignment horizontal="justify" vertical="center"/>
    </xf>
    <xf numFmtId="0" fontId="0" fillId="27" borderId="11" xfId="0" applyFill="1" applyBorder="1" applyAlignment="1">
      <alignment vertical="center" wrapText="1"/>
    </xf>
    <xf numFmtId="0" fontId="0" fillId="28" borderId="5" xfId="0" applyFill="1" applyBorder="1" applyAlignment="1">
      <alignment vertical="center" wrapText="1"/>
    </xf>
    <xf numFmtId="0" fontId="0" fillId="28" borderId="0" xfId="0" applyFill="1" applyAlignment="1">
      <alignment vertical="center" wrapText="1"/>
    </xf>
    <xf numFmtId="0" fontId="0" fillId="28" borderId="0" xfId="0" applyFill="1" applyAlignment="1">
      <alignment vertical="center"/>
    </xf>
    <xf numFmtId="0" fontId="0" fillId="28" borderId="8" xfId="0" applyFill="1" applyBorder="1" applyAlignment="1">
      <alignment vertical="center" wrapText="1"/>
    </xf>
    <xf numFmtId="0" fontId="0" fillId="28" borderId="7" xfId="0" applyFill="1" applyBorder="1" applyAlignment="1">
      <alignment vertical="center" wrapText="1"/>
    </xf>
    <xf numFmtId="0" fontId="0" fillId="28" borderId="9" xfId="0" applyFill="1" applyBorder="1" applyAlignment="1">
      <alignment vertical="center" wrapText="1"/>
    </xf>
    <xf numFmtId="0" fontId="0" fillId="28" borderId="10" xfId="0" applyFill="1" applyBorder="1" applyAlignment="1">
      <alignment vertical="center" wrapText="1"/>
    </xf>
    <xf numFmtId="0" fontId="0" fillId="26" borderId="5" xfId="0" applyFill="1" applyBorder="1" applyAlignment="1">
      <alignment horizontal="justify" vertical="center"/>
    </xf>
    <xf numFmtId="0" fontId="0" fillId="26" borderId="7" xfId="0" applyFill="1" applyBorder="1" applyAlignment="1">
      <alignment horizontal="justify" vertical="center"/>
    </xf>
    <xf numFmtId="0" fontId="0" fillId="26" borderId="0" xfId="0" applyFill="1" applyAlignment="1">
      <alignment horizontal="justify" vertical="center"/>
    </xf>
    <xf numFmtId="0" fontId="0" fillId="26" borderId="0" xfId="0" applyFill="1" applyAlignment="1">
      <alignment vertical="center" wrapText="1"/>
    </xf>
    <xf numFmtId="167" fontId="0" fillId="26" borderId="0" xfId="48" applyNumberFormat="1" applyFont="1" applyFill="1" applyBorder="1" applyAlignment="1">
      <alignment vertical="center"/>
    </xf>
    <xf numFmtId="0" fontId="30" fillId="26" borderId="0" xfId="45" applyFill="1" applyBorder="1" applyAlignment="1" applyProtection="1">
      <alignment vertical="center" wrapText="1"/>
    </xf>
    <xf numFmtId="0" fontId="0" fillId="26" borderId="8" xfId="0" applyFill="1" applyBorder="1" applyAlignment="1">
      <alignment vertical="center" wrapText="1"/>
    </xf>
    <xf numFmtId="0" fontId="0" fillId="26" borderId="0" xfId="0" applyFill="1" applyAlignment="1">
      <alignment vertical="center"/>
    </xf>
    <xf numFmtId="0" fontId="0" fillId="26" borderId="9" xfId="0" applyFill="1" applyBorder="1" applyAlignment="1">
      <alignment horizontal="justify" vertical="center"/>
    </xf>
    <xf numFmtId="0" fontId="0" fillId="26" borderId="10" xfId="0" applyFill="1" applyBorder="1" applyAlignment="1">
      <alignment horizontal="justify" vertical="center"/>
    </xf>
    <xf numFmtId="0" fontId="0" fillId="26" borderId="10" xfId="0" applyFill="1" applyBorder="1" applyAlignment="1">
      <alignment vertical="center"/>
    </xf>
    <xf numFmtId="0" fontId="51" fillId="0" borderId="2" xfId="0" applyFont="1" applyBorder="1" applyAlignment="1">
      <alignment vertical="center" wrapText="1"/>
    </xf>
    <xf numFmtId="0" fontId="51" fillId="0" borderId="3" xfId="0" applyFont="1" applyBorder="1" applyAlignment="1">
      <alignment vertical="center" wrapText="1"/>
    </xf>
    <xf numFmtId="1" fontId="0" fillId="0" borderId="0" xfId="0" applyNumberFormat="1"/>
    <xf numFmtId="14" fontId="0" fillId="0" borderId="0" xfId="0" applyNumberFormat="1"/>
    <xf numFmtId="0" fontId="0" fillId="0" borderId="20" xfId="0" applyBorder="1" applyAlignment="1">
      <alignment vertical="center"/>
    </xf>
    <xf numFmtId="173" fontId="45" fillId="26" borderId="20" xfId="47" applyNumberFormat="1" applyFont="1" applyFill="1" applyBorder="1" applyAlignment="1">
      <alignment vertical="center"/>
    </xf>
    <xf numFmtId="2" fontId="0" fillId="0" borderId="20" xfId="0" applyNumberFormat="1" applyBorder="1" applyAlignment="1">
      <alignment vertical="center"/>
    </xf>
    <xf numFmtId="173" fontId="0" fillId="0" borderId="20" xfId="47" applyNumberFormat="1" applyFont="1" applyBorder="1" applyAlignment="1">
      <alignment vertical="center"/>
    </xf>
    <xf numFmtId="0" fontId="51" fillId="0" borderId="20" xfId="0" applyFont="1" applyBorder="1" applyAlignment="1">
      <alignment vertical="center"/>
    </xf>
    <xf numFmtId="169" fontId="0" fillId="26" borderId="0" xfId="0" applyNumberFormat="1" applyFill="1" applyAlignment="1">
      <alignment vertical="center"/>
    </xf>
    <xf numFmtId="0" fontId="30" fillId="0" borderId="0" xfId="45" applyFill="1" applyAlignment="1" applyProtection="1"/>
    <xf numFmtId="171" fontId="0" fillId="0" borderId="0" xfId="47" applyNumberFormat="1" applyFont="1" applyFill="1" applyAlignment="1">
      <alignment vertical="center" wrapText="1"/>
    </xf>
    <xf numFmtId="0" fontId="30" fillId="29" borderId="0" xfId="45" applyFill="1" applyAlignment="1" applyProtection="1"/>
    <xf numFmtId="0" fontId="0" fillId="25" borderId="0" xfId="0" applyFill="1"/>
    <xf numFmtId="0" fontId="0" fillId="0" borderId="5" xfId="0" applyBorder="1" applyAlignment="1">
      <alignment vertical="center" wrapText="1"/>
    </xf>
    <xf numFmtId="0" fontId="44" fillId="29" borderId="30" xfId="0" applyFont="1" applyFill="1" applyBorder="1" applyAlignment="1">
      <alignment vertical="center" wrapText="1"/>
    </xf>
    <xf numFmtId="0" fontId="45" fillId="29" borderId="30" xfId="0" applyFont="1" applyFill="1" applyBorder="1" applyAlignment="1">
      <alignment vertical="center" wrapText="1"/>
    </xf>
    <xf numFmtId="3" fontId="0" fillId="29" borderId="30" xfId="0" applyNumberFormat="1" applyFill="1" applyBorder="1" applyAlignment="1">
      <alignment vertical="center" wrapText="1"/>
    </xf>
    <xf numFmtId="3" fontId="44" fillId="29" borderId="30" xfId="0" applyNumberFormat="1" applyFont="1" applyFill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44" fillId="28" borderId="20" xfId="0" applyFont="1" applyFill="1" applyBorder="1" applyAlignment="1">
      <alignment vertical="center" wrapText="1"/>
    </xf>
    <xf numFmtId="0" fontId="45" fillId="30" borderId="20" xfId="0" applyFont="1" applyFill="1" applyBorder="1" applyAlignment="1">
      <alignment vertical="center" wrapText="1"/>
    </xf>
    <xf numFmtId="3" fontId="0" fillId="30" borderId="20" xfId="0" applyNumberFormat="1" applyFill="1" applyBorder="1" applyAlignment="1">
      <alignment vertical="center" wrapText="1"/>
    </xf>
    <xf numFmtId="0" fontId="44" fillId="30" borderId="20" xfId="0" applyFont="1" applyFill="1" applyBorder="1" applyAlignment="1">
      <alignment vertical="center" wrapText="1"/>
    </xf>
    <xf numFmtId="3" fontId="44" fillId="30" borderId="20" xfId="0" applyNumberFormat="1" applyFont="1" applyFill="1" applyBorder="1" applyAlignment="1">
      <alignment vertical="center" wrapText="1"/>
    </xf>
    <xf numFmtId="0" fontId="0" fillId="31" borderId="0" xfId="0" applyFill="1" applyAlignment="1">
      <alignment vertical="center" wrapText="1"/>
    </xf>
    <xf numFmtId="0" fontId="0" fillId="32" borderId="28" xfId="0" applyFill="1" applyBorder="1" applyAlignment="1">
      <alignment vertical="center" wrapText="1"/>
    </xf>
    <xf numFmtId="0" fontId="1" fillId="32" borderId="28" xfId="0" applyFont="1" applyFill="1" applyBorder="1" applyAlignment="1">
      <alignment vertical="center" wrapText="1"/>
    </xf>
    <xf numFmtId="0" fontId="53" fillId="32" borderId="28" xfId="0" applyFont="1" applyFill="1" applyBorder="1" applyAlignment="1">
      <alignment vertical="center" wrapText="1"/>
    </xf>
    <xf numFmtId="0" fontId="1" fillId="32" borderId="28" xfId="0" applyFont="1" applyFill="1" applyBorder="1" applyAlignment="1">
      <alignment horizontal="justify" vertical="center"/>
    </xf>
    <xf numFmtId="166" fontId="1" fillId="32" borderId="28" xfId="0" applyNumberFormat="1" applyFont="1" applyFill="1" applyBorder="1"/>
    <xf numFmtId="0" fontId="0" fillId="32" borderId="28" xfId="0" applyFill="1" applyBorder="1" applyAlignment="1">
      <alignment horizontal="justify" vertical="center"/>
    </xf>
    <xf numFmtId="0" fontId="48" fillId="32" borderId="1" xfId="0" applyFont="1" applyFill="1" applyBorder="1" applyAlignment="1">
      <alignment vertical="center" wrapText="1"/>
    </xf>
    <xf numFmtId="0" fontId="1" fillId="33" borderId="20" xfId="0" applyFont="1" applyFill="1" applyBorder="1" applyAlignment="1">
      <alignment vertical="center" wrapText="1"/>
    </xf>
    <xf numFmtId="171" fontId="51" fillId="33" borderId="20" xfId="47" applyNumberFormat="1" applyFont="1" applyFill="1" applyBorder="1" applyAlignment="1">
      <alignment vertical="center" wrapText="1"/>
    </xf>
    <xf numFmtId="0" fontId="0" fillId="33" borderId="20" xfId="0" applyFill="1" applyBorder="1" applyAlignment="1">
      <alignment vertical="center" wrapText="1"/>
    </xf>
    <xf numFmtId="0" fontId="30" fillId="33" borderId="20" xfId="45" applyFill="1" applyBorder="1" applyAlignment="1" applyProtection="1">
      <alignment vertical="center" wrapText="1"/>
    </xf>
    <xf numFmtId="0" fontId="30" fillId="33" borderId="29" xfId="45" applyFill="1" applyBorder="1" applyAlignment="1" applyProtection="1">
      <alignment vertical="center" wrapText="1"/>
    </xf>
    <xf numFmtId="0" fontId="1" fillId="33" borderId="20" xfId="0" applyFont="1" applyFill="1" applyBorder="1" applyAlignment="1">
      <alignment horizontal="justify" vertical="center"/>
    </xf>
    <xf numFmtId="0" fontId="0" fillId="33" borderId="20" xfId="0" applyFill="1" applyBorder="1" applyAlignment="1">
      <alignment vertical="center"/>
    </xf>
    <xf numFmtId="0" fontId="0" fillId="33" borderId="20" xfId="0" applyFill="1" applyBorder="1" applyAlignment="1">
      <alignment horizontal="center" vertical="center" wrapText="1"/>
    </xf>
    <xf numFmtId="0" fontId="0" fillId="33" borderId="29" xfId="0" applyFill="1" applyBorder="1" applyAlignment="1">
      <alignment vertical="center" wrapText="1"/>
    </xf>
    <xf numFmtId="167" fontId="0" fillId="33" borderId="20" xfId="0" applyNumberFormat="1" applyFill="1" applyBorder="1" applyAlignment="1">
      <alignment vertical="center" wrapText="1"/>
    </xf>
    <xf numFmtId="169" fontId="0" fillId="33" borderId="20" xfId="0" applyNumberFormat="1" applyFill="1" applyBorder="1" applyAlignment="1">
      <alignment vertical="center" wrapText="1"/>
    </xf>
    <xf numFmtId="3" fontId="0" fillId="33" borderId="20" xfId="0" applyNumberFormat="1" applyFill="1" applyBorder="1" applyAlignment="1">
      <alignment vertical="center" wrapText="1"/>
    </xf>
    <xf numFmtId="175" fontId="0" fillId="33" borderId="20" xfId="0" applyNumberFormat="1" applyFill="1" applyBorder="1" applyAlignment="1">
      <alignment horizontal="center" vertical="center" wrapText="1"/>
    </xf>
    <xf numFmtId="174" fontId="0" fillId="33" borderId="20" xfId="0" applyNumberFormat="1" applyFill="1" applyBorder="1" applyAlignment="1">
      <alignment vertical="center" wrapText="1"/>
    </xf>
    <xf numFmtId="171" fontId="0" fillId="33" borderId="20" xfId="47" applyNumberFormat="1" applyFont="1" applyFill="1" applyBorder="1" applyAlignment="1">
      <alignment horizontal="right" vertical="center" wrapText="1"/>
    </xf>
    <xf numFmtId="168" fontId="0" fillId="33" borderId="20" xfId="0" applyNumberFormat="1" applyFill="1" applyBorder="1" applyAlignment="1">
      <alignment vertical="center" wrapText="1"/>
    </xf>
    <xf numFmtId="168" fontId="0" fillId="33" borderId="29" xfId="0" applyNumberFormat="1" applyFill="1" applyBorder="1" applyAlignment="1">
      <alignment vertical="center" wrapText="1"/>
    </xf>
    <xf numFmtId="168" fontId="30" fillId="33" borderId="20" xfId="45" applyNumberFormat="1" applyFill="1" applyBorder="1" applyAlignment="1" applyProtection="1">
      <alignment vertical="center" wrapText="1"/>
    </xf>
    <xf numFmtId="171" fontId="51" fillId="33" borderId="20" xfId="47" applyNumberFormat="1" applyFont="1" applyFill="1" applyBorder="1" applyAlignment="1">
      <alignment horizontal="right" vertical="center" wrapText="1"/>
    </xf>
    <xf numFmtId="166" fontId="1" fillId="33" borderId="20" xfId="0" applyNumberFormat="1" applyFont="1" applyFill="1" applyBorder="1"/>
    <xf numFmtId="0" fontId="1" fillId="33" borderId="20" xfId="0" applyFont="1" applyFill="1" applyBorder="1" applyAlignment="1">
      <alignment horizontal="right" vertical="center"/>
    </xf>
    <xf numFmtId="0" fontId="0" fillId="33" borderId="20" xfId="0" applyFill="1" applyBorder="1" applyAlignment="1">
      <alignment horizontal="justify" vertical="center"/>
    </xf>
    <xf numFmtId="0" fontId="1" fillId="33" borderId="29" xfId="0" applyFont="1" applyFill="1" applyBorder="1" applyAlignment="1">
      <alignment horizontal="justify" vertical="center"/>
    </xf>
    <xf numFmtId="0" fontId="0" fillId="33" borderId="29" xfId="0" applyFill="1" applyBorder="1" applyAlignment="1">
      <alignment horizontal="justify" vertical="center"/>
    </xf>
    <xf numFmtId="3" fontId="0" fillId="33" borderId="20" xfId="0" applyNumberFormat="1" applyFill="1" applyBorder="1" applyAlignment="1">
      <alignment horizontal="right" vertical="center"/>
    </xf>
    <xf numFmtId="0" fontId="0" fillId="33" borderId="20" xfId="0" applyFill="1" applyBorder="1" applyAlignment="1">
      <alignment horizontal="right" vertical="center"/>
    </xf>
    <xf numFmtId="0" fontId="30" fillId="33" borderId="20" xfId="45" applyFill="1" applyBorder="1" applyAlignment="1" applyProtection="1">
      <alignment horizontal="justify" vertical="center"/>
    </xf>
    <xf numFmtId="0" fontId="1" fillId="33" borderId="29" xfId="0" applyFont="1" applyFill="1" applyBorder="1" applyAlignment="1">
      <alignment vertical="center" wrapText="1"/>
    </xf>
    <xf numFmtId="0" fontId="48" fillId="33" borderId="2" xfId="0" applyFont="1" applyFill="1" applyBorder="1" applyAlignment="1">
      <alignment vertical="center" wrapText="1"/>
    </xf>
    <xf numFmtId="171" fontId="48" fillId="33" borderId="23" xfId="47" applyNumberFormat="1" applyFont="1" applyFill="1" applyBorder="1" applyAlignment="1">
      <alignment vertical="center" wrapText="1"/>
    </xf>
    <xf numFmtId="0" fontId="0" fillId="33" borderId="2" xfId="0" applyFill="1" applyBorder="1" applyAlignment="1">
      <alignment vertical="center" wrapText="1"/>
    </xf>
    <xf numFmtId="0" fontId="0" fillId="33" borderId="3" xfId="0" applyFill="1" applyBorder="1" applyAlignment="1">
      <alignment vertical="center" wrapText="1"/>
    </xf>
    <xf numFmtId="168" fontId="0" fillId="33" borderId="22" xfId="0" applyNumberFormat="1" applyFill="1" applyBorder="1" applyAlignment="1">
      <alignment vertical="center" wrapText="1"/>
    </xf>
    <xf numFmtId="0" fontId="47" fillId="0" borderId="30" xfId="0" applyFont="1" applyBorder="1" applyAlignment="1">
      <alignment horizontal="left"/>
    </xf>
    <xf numFmtId="0" fontId="47" fillId="0" borderId="31" xfId="0" applyFont="1" applyBorder="1" applyAlignment="1">
      <alignment horizontal="left"/>
    </xf>
    <xf numFmtId="0" fontId="56" fillId="28" borderId="20" xfId="0" applyFont="1" applyFill="1" applyBorder="1" applyAlignment="1">
      <alignment vertical="center" wrapText="1"/>
    </xf>
    <xf numFmtId="0" fontId="57" fillId="30" borderId="20" xfId="0" applyFont="1" applyFill="1" applyBorder="1" applyAlignment="1">
      <alignment vertical="center" wrapText="1"/>
    </xf>
    <xf numFmtId="3" fontId="57" fillId="30" borderId="20" xfId="0" applyNumberFormat="1" applyFont="1" applyFill="1" applyBorder="1" applyAlignment="1">
      <alignment vertical="center" wrapText="1"/>
    </xf>
    <xf numFmtId="0" fontId="56" fillId="30" borderId="20" xfId="0" applyFont="1" applyFill="1" applyBorder="1" applyAlignment="1">
      <alignment vertical="center" wrapText="1"/>
    </xf>
    <xf numFmtId="3" fontId="56" fillId="30" borderId="20" xfId="0" applyNumberFormat="1" applyFont="1" applyFill="1" applyBorder="1" applyAlignment="1">
      <alignment vertical="center" wrapText="1"/>
    </xf>
    <xf numFmtId="0" fontId="57" fillId="0" borderId="0" xfId="0" applyFont="1" applyAlignment="1">
      <alignment vertical="center" wrapText="1"/>
    </xf>
    <xf numFmtId="0" fontId="57" fillId="0" borderId="0" xfId="0" applyFont="1"/>
    <xf numFmtId="0" fontId="57" fillId="31" borderId="0" xfId="0" applyFont="1" applyFill="1" applyAlignment="1">
      <alignment vertical="center" wrapText="1"/>
    </xf>
    <xf numFmtId="0" fontId="57" fillId="32" borderId="28" xfId="0" applyFont="1" applyFill="1" applyBorder="1" applyAlignment="1">
      <alignment vertical="center" wrapText="1"/>
    </xf>
    <xf numFmtId="0" fontId="57" fillId="33" borderId="20" xfId="0" applyFont="1" applyFill="1" applyBorder="1" applyAlignment="1">
      <alignment vertical="center" wrapText="1"/>
    </xf>
    <xf numFmtId="171" fontId="56" fillId="33" borderId="20" xfId="47" applyNumberFormat="1" applyFont="1" applyFill="1" applyBorder="1" applyAlignment="1">
      <alignment vertical="center" wrapText="1"/>
    </xf>
    <xf numFmtId="0" fontId="60" fillId="33" borderId="20" xfId="45" applyFont="1" applyFill="1" applyBorder="1" applyAlignment="1" applyProtection="1">
      <alignment vertical="center" wrapText="1"/>
    </xf>
    <xf numFmtId="0" fontId="60" fillId="33" borderId="29" xfId="45" applyFont="1" applyFill="1" applyBorder="1" applyAlignment="1" applyProtection="1">
      <alignment vertical="center" wrapText="1"/>
    </xf>
    <xf numFmtId="0" fontId="57" fillId="33" borderId="20" xfId="0" applyFont="1" applyFill="1" applyBorder="1" applyAlignment="1">
      <alignment horizontal="justify" vertical="center"/>
    </xf>
    <xf numFmtId="0" fontId="57" fillId="33" borderId="20" xfId="0" applyFont="1" applyFill="1" applyBorder="1" applyAlignment="1">
      <alignment vertical="center"/>
    </xf>
    <xf numFmtId="0" fontId="57" fillId="33" borderId="20" xfId="0" applyFont="1" applyFill="1" applyBorder="1" applyAlignment="1">
      <alignment horizontal="center" vertical="center" wrapText="1"/>
    </xf>
    <xf numFmtId="0" fontId="57" fillId="33" borderId="29" xfId="0" applyFont="1" applyFill="1" applyBorder="1" applyAlignment="1">
      <alignment vertical="center" wrapText="1"/>
    </xf>
    <xf numFmtId="167" fontId="57" fillId="33" borderId="20" xfId="0" applyNumberFormat="1" applyFont="1" applyFill="1" applyBorder="1" applyAlignment="1">
      <alignment vertical="center" wrapText="1"/>
    </xf>
    <xf numFmtId="169" fontId="57" fillId="33" borderId="20" xfId="0" applyNumberFormat="1" applyFont="1" applyFill="1" applyBorder="1" applyAlignment="1">
      <alignment vertical="center" wrapText="1"/>
    </xf>
    <xf numFmtId="0" fontId="59" fillId="32" borderId="28" xfId="0" applyFont="1" applyFill="1" applyBorder="1" applyAlignment="1">
      <alignment vertical="center" wrapText="1"/>
    </xf>
    <xf numFmtId="3" fontId="57" fillId="33" borderId="20" xfId="0" applyNumberFormat="1" applyFont="1" applyFill="1" applyBorder="1" applyAlignment="1">
      <alignment vertical="center" wrapText="1"/>
    </xf>
    <xf numFmtId="175" fontId="57" fillId="33" borderId="20" xfId="0" applyNumberFormat="1" applyFont="1" applyFill="1" applyBorder="1" applyAlignment="1">
      <alignment horizontal="center" vertical="center" wrapText="1"/>
    </xf>
    <xf numFmtId="174" fontId="57" fillId="33" borderId="20" xfId="0" applyNumberFormat="1" applyFont="1" applyFill="1" applyBorder="1" applyAlignment="1">
      <alignment vertical="center" wrapText="1"/>
    </xf>
    <xf numFmtId="171" fontId="57" fillId="33" borderId="20" xfId="47" applyNumberFormat="1" applyFont="1" applyFill="1" applyBorder="1" applyAlignment="1">
      <alignment horizontal="right" vertical="center" wrapText="1"/>
    </xf>
    <xf numFmtId="168" fontId="57" fillId="33" borderId="20" xfId="0" applyNumberFormat="1" applyFont="1" applyFill="1" applyBorder="1" applyAlignment="1">
      <alignment vertical="center" wrapText="1"/>
    </xf>
    <xf numFmtId="168" fontId="57" fillId="33" borderId="29" xfId="0" applyNumberFormat="1" applyFont="1" applyFill="1" applyBorder="1" applyAlignment="1">
      <alignment vertical="center" wrapText="1"/>
    </xf>
    <xf numFmtId="168" fontId="60" fillId="33" borderId="20" xfId="45" applyNumberFormat="1" applyFont="1" applyFill="1" applyBorder="1" applyAlignment="1" applyProtection="1">
      <alignment vertical="center" wrapText="1"/>
    </xf>
    <xf numFmtId="168" fontId="57" fillId="33" borderId="22" xfId="0" applyNumberFormat="1" applyFont="1" applyFill="1" applyBorder="1" applyAlignment="1">
      <alignment vertical="center" wrapText="1"/>
    </xf>
    <xf numFmtId="171" fontId="56" fillId="33" borderId="20" xfId="47" applyNumberFormat="1" applyFont="1" applyFill="1" applyBorder="1" applyAlignment="1">
      <alignment horizontal="right" vertical="center" wrapText="1"/>
    </xf>
    <xf numFmtId="0" fontId="57" fillId="32" borderId="28" xfId="0" applyFont="1" applyFill="1" applyBorder="1" applyAlignment="1">
      <alignment horizontal="justify" vertical="center"/>
    </xf>
    <xf numFmtId="166" fontId="57" fillId="33" borderId="20" xfId="0" applyNumberFormat="1" applyFont="1" applyFill="1" applyBorder="1"/>
    <xf numFmtId="0" fontId="57" fillId="33" borderId="20" xfId="0" applyFont="1" applyFill="1" applyBorder="1" applyAlignment="1">
      <alignment horizontal="right" vertical="center"/>
    </xf>
    <xf numFmtId="0" fontId="57" fillId="33" borderId="29" xfId="0" applyFont="1" applyFill="1" applyBorder="1" applyAlignment="1">
      <alignment horizontal="justify" vertical="center"/>
    </xf>
    <xf numFmtId="166" fontId="57" fillId="32" borderId="28" xfId="0" applyNumberFormat="1" applyFont="1" applyFill="1" applyBorder="1"/>
    <xf numFmtId="3" fontId="57" fillId="33" borderId="20" xfId="0" applyNumberFormat="1" applyFont="1" applyFill="1" applyBorder="1" applyAlignment="1">
      <alignment horizontal="right" vertical="center"/>
    </xf>
    <xf numFmtId="0" fontId="60" fillId="33" borderId="20" xfId="45" applyFont="1" applyFill="1" applyBorder="1" applyAlignment="1" applyProtection="1">
      <alignment horizontal="justify" vertical="center"/>
    </xf>
    <xf numFmtId="0" fontId="56" fillId="32" borderId="1" xfId="0" applyFont="1" applyFill="1" applyBorder="1" applyAlignment="1">
      <alignment vertical="center" wrapText="1"/>
    </xf>
    <xf numFmtId="0" fontId="56" fillId="33" borderId="2" xfId="0" applyFont="1" applyFill="1" applyBorder="1" applyAlignment="1">
      <alignment vertical="center" wrapText="1"/>
    </xf>
    <xf numFmtId="171" fontId="56" fillId="33" borderId="23" xfId="47" applyNumberFormat="1" applyFont="1" applyFill="1" applyBorder="1" applyAlignment="1">
      <alignment vertical="center" wrapText="1"/>
    </xf>
    <xf numFmtId="0" fontId="57" fillId="33" borderId="2" xfId="0" applyFont="1" applyFill="1" applyBorder="1" applyAlignment="1">
      <alignment vertical="center" wrapText="1"/>
    </xf>
    <xf numFmtId="0" fontId="57" fillId="33" borderId="3" xfId="0" applyFont="1" applyFill="1" applyBorder="1" applyAlignment="1">
      <alignment vertical="center" wrapText="1"/>
    </xf>
    <xf numFmtId="0" fontId="56" fillId="25" borderId="4" xfId="0" applyFont="1" applyFill="1" applyBorder="1" applyAlignment="1">
      <alignment vertical="center" wrapText="1"/>
    </xf>
    <xf numFmtId="0" fontId="57" fillId="25" borderId="5" xfId="0" applyFont="1" applyFill="1" applyBorder="1" applyAlignment="1">
      <alignment vertical="center" wrapText="1"/>
    </xf>
    <xf numFmtId="171" fontId="56" fillId="25" borderId="5" xfId="47" applyNumberFormat="1" applyFont="1" applyFill="1" applyBorder="1" applyAlignment="1">
      <alignment vertical="center" wrapText="1"/>
    </xf>
    <xf numFmtId="0" fontId="57" fillId="25" borderId="6" xfId="0" applyFont="1" applyFill="1" applyBorder="1" applyAlignment="1">
      <alignment vertical="center" wrapText="1"/>
    </xf>
    <xf numFmtId="0" fontId="57" fillId="25" borderId="7" xfId="0" applyFont="1" applyFill="1" applyBorder="1" applyAlignment="1">
      <alignment vertical="center" wrapText="1"/>
    </xf>
    <xf numFmtId="0" fontId="57" fillId="25" borderId="0" xfId="0" applyFont="1" applyFill="1" applyAlignment="1">
      <alignment vertical="center" wrapText="1"/>
    </xf>
    <xf numFmtId="171" fontId="56" fillId="25" borderId="0" xfId="47" applyNumberFormat="1" applyFont="1" applyFill="1" applyBorder="1" applyAlignment="1">
      <alignment vertical="center" wrapText="1"/>
    </xf>
    <xf numFmtId="0" fontId="57" fillId="25" borderId="8" xfId="0" applyFont="1" applyFill="1" applyBorder="1" applyAlignment="1">
      <alignment vertical="center" wrapText="1"/>
    </xf>
    <xf numFmtId="172" fontId="57" fillId="25" borderId="0" xfId="47" applyNumberFormat="1" applyFont="1" applyFill="1" applyBorder="1" applyAlignment="1">
      <alignment vertical="center" wrapText="1"/>
    </xf>
    <xf numFmtId="0" fontId="57" fillId="25" borderId="9" xfId="0" applyFont="1" applyFill="1" applyBorder="1" applyAlignment="1">
      <alignment vertical="center" wrapText="1"/>
    </xf>
    <xf numFmtId="0" fontId="57" fillId="25" borderId="10" xfId="0" applyFont="1" applyFill="1" applyBorder="1" applyAlignment="1">
      <alignment vertical="center" wrapText="1"/>
    </xf>
    <xf numFmtId="0" fontId="57" fillId="25" borderId="10" xfId="0" applyFont="1" applyFill="1" applyBorder="1" applyAlignment="1">
      <alignment horizontal="justify" vertical="center"/>
    </xf>
    <xf numFmtId="0" fontId="57" fillId="25" borderId="10" xfId="0" applyFont="1" applyFill="1" applyBorder="1" applyAlignment="1">
      <alignment horizontal="center" vertical="center"/>
    </xf>
    <xf numFmtId="0" fontId="57" fillId="25" borderId="11" xfId="0" applyFont="1" applyFill="1" applyBorder="1" applyAlignment="1">
      <alignment vertical="center" wrapText="1"/>
    </xf>
    <xf numFmtId="0" fontId="57" fillId="0" borderId="7" xfId="0" applyFont="1" applyBorder="1" applyAlignment="1">
      <alignment vertical="center" wrapText="1"/>
    </xf>
    <xf numFmtId="0" fontId="57" fillId="0" borderId="8" xfId="0" applyFont="1" applyBorder="1" applyAlignment="1">
      <alignment vertical="center" wrapText="1"/>
    </xf>
    <xf numFmtId="167" fontId="57" fillId="0" borderId="0" xfId="0" applyNumberFormat="1" applyFont="1" applyAlignment="1">
      <alignment vertical="center" wrapText="1"/>
    </xf>
    <xf numFmtId="9" fontId="57" fillId="0" borderId="0" xfId="0" applyNumberFormat="1" applyFont="1" applyAlignment="1">
      <alignment vertical="center" wrapText="1"/>
    </xf>
    <xf numFmtId="0" fontId="57" fillId="0" borderId="9" xfId="0" applyFont="1" applyBorder="1" applyAlignment="1">
      <alignment vertical="center" wrapText="1"/>
    </xf>
    <xf numFmtId="0" fontId="57" fillId="0" borderId="10" xfId="0" applyFont="1" applyBorder="1" applyAlignment="1">
      <alignment vertical="center" wrapText="1"/>
    </xf>
    <xf numFmtId="0" fontId="57" fillId="0" borderId="11" xfId="0" applyFont="1" applyBorder="1" applyAlignment="1">
      <alignment vertical="center" wrapText="1"/>
    </xf>
    <xf numFmtId="0" fontId="56" fillId="28" borderId="4" xfId="0" applyFont="1" applyFill="1" applyBorder="1" applyAlignment="1">
      <alignment vertical="center" wrapText="1"/>
    </xf>
    <xf numFmtId="0" fontId="57" fillId="28" borderId="5" xfId="0" applyFont="1" applyFill="1" applyBorder="1" applyAlignment="1">
      <alignment vertical="center" wrapText="1"/>
    </xf>
    <xf numFmtId="0" fontId="57" fillId="28" borderId="6" xfId="0" applyFont="1" applyFill="1" applyBorder="1" applyAlignment="1">
      <alignment vertical="center" wrapText="1"/>
    </xf>
    <xf numFmtId="0" fontId="57" fillId="28" borderId="7" xfId="0" applyFont="1" applyFill="1" applyBorder="1" applyAlignment="1">
      <alignment vertical="center" wrapText="1"/>
    </xf>
    <xf numFmtId="0" fontId="57" fillId="28" borderId="0" xfId="0" applyFont="1" applyFill="1" applyAlignment="1">
      <alignment vertical="center" wrapText="1"/>
    </xf>
    <xf numFmtId="0" fontId="57" fillId="28" borderId="0" xfId="0" applyFont="1" applyFill="1" applyAlignment="1">
      <alignment horizontal="justify" vertical="center"/>
    </xf>
    <xf numFmtId="0" fontId="57" fillId="28" borderId="0" xfId="0" applyFont="1" applyFill="1" applyAlignment="1">
      <alignment vertical="center"/>
    </xf>
    <xf numFmtId="0" fontId="57" fillId="28" borderId="8" xfId="0" applyFont="1" applyFill="1" applyBorder="1" applyAlignment="1">
      <alignment vertical="center" wrapText="1"/>
    </xf>
    <xf numFmtId="9" fontId="57" fillId="28" borderId="0" xfId="0" applyNumberFormat="1" applyFont="1" applyFill="1" applyAlignment="1">
      <alignment vertical="center" wrapText="1"/>
    </xf>
    <xf numFmtId="0" fontId="57" fillId="28" borderId="9" xfId="0" applyFont="1" applyFill="1" applyBorder="1" applyAlignment="1">
      <alignment vertical="center" wrapText="1"/>
    </xf>
    <xf numFmtId="0" fontId="57" fillId="28" borderId="10" xfId="0" applyFont="1" applyFill="1" applyBorder="1" applyAlignment="1">
      <alignment vertical="center" wrapText="1"/>
    </xf>
    <xf numFmtId="0" fontId="57" fillId="28" borderId="11" xfId="0" applyFont="1" applyFill="1" applyBorder="1" applyAlignment="1">
      <alignment vertical="center" wrapText="1"/>
    </xf>
    <xf numFmtId="0" fontId="56" fillId="26" borderId="4" xfId="0" applyFont="1" applyFill="1" applyBorder="1" applyAlignment="1">
      <alignment horizontal="justify" vertical="center"/>
    </xf>
    <xf numFmtId="0" fontId="57" fillId="26" borderId="5" xfId="0" applyFont="1" applyFill="1" applyBorder="1" applyAlignment="1">
      <alignment horizontal="justify" vertical="center"/>
    </xf>
    <xf numFmtId="1" fontId="56" fillId="26" borderId="5" xfId="0" applyNumberFormat="1" applyFont="1" applyFill="1" applyBorder="1" applyAlignment="1">
      <alignment vertical="center"/>
    </xf>
    <xf numFmtId="0" fontId="57" fillId="26" borderId="5" xfId="0" applyFont="1" applyFill="1" applyBorder="1" applyAlignment="1">
      <alignment vertical="center" wrapText="1"/>
    </xf>
    <xf numFmtId="0" fontId="57" fillId="26" borderId="6" xfId="0" applyFont="1" applyFill="1" applyBorder="1" applyAlignment="1">
      <alignment vertical="center" wrapText="1"/>
    </xf>
    <xf numFmtId="0" fontId="57" fillId="26" borderId="7" xfId="0" applyFont="1" applyFill="1" applyBorder="1" applyAlignment="1">
      <alignment horizontal="justify" vertical="center"/>
    </xf>
    <xf numFmtId="0" fontId="57" fillId="26" borderId="0" xfId="0" applyFont="1" applyFill="1" applyAlignment="1">
      <alignment horizontal="justify" vertical="center"/>
    </xf>
    <xf numFmtId="169" fontId="57" fillId="26" borderId="0" xfId="0" applyNumberFormat="1" applyFont="1" applyFill="1" applyAlignment="1">
      <alignment vertical="center"/>
    </xf>
    <xf numFmtId="0" fontId="57" fillId="26" borderId="0" xfId="0" applyFont="1" applyFill="1" applyAlignment="1">
      <alignment vertical="center" wrapText="1"/>
    </xf>
    <xf numFmtId="0" fontId="57" fillId="26" borderId="8" xfId="0" applyFont="1" applyFill="1" applyBorder="1" applyAlignment="1">
      <alignment vertical="center" wrapText="1"/>
    </xf>
    <xf numFmtId="167" fontId="57" fillId="26" borderId="0" xfId="48" applyNumberFormat="1" applyFont="1" applyFill="1" applyBorder="1" applyAlignment="1">
      <alignment vertical="center"/>
    </xf>
    <xf numFmtId="0" fontId="57" fillId="26" borderId="0" xfId="0" applyFont="1" applyFill="1" applyAlignment="1">
      <alignment vertical="center"/>
    </xf>
    <xf numFmtId="0" fontId="57" fillId="26" borderId="9" xfId="0" applyFont="1" applyFill="1" applyBorder="1" applyAlignment="1">
      <alignment horizontal="justify" vertical="center"/>
    </xf>
    <xf numFmtId="0" fontId="57" fillId="26" borderId="10" xfId="0" applyFont="1" applyFill="1" applyBorder="1" applyAlignment="1">
      <alignment horizontal="justify" vertical="center"/>
    </xf>
    <xf numFmtId="0" fontId="57" fillId="26" borderId="10" xfId="0" applyFont="1" applyFill="1" applyBorder="1" applyAlignment="1">
      <alignment vertical="center"/>
    </xf>
    <xf numFmtId="0" fontId="57" fillId="26" borderId="11" xfId="0" applyFont="1" applyFill="1" applyBorder="1" applyAlignment="1">
      <alignment vertical="center" wrapText="1"/>
    </xf>
    <xf numFmtId="0" fontId="57" fillId="0" borderId="0" xfId="0" applyFont="1" applyAlignment="1">
      <alignment horizontal="justify" vertical="center"/>
    </xf>
    <xf numFmtId="0" fontId="57" fillId="0" borderId="0" xfId="0" applyFont="1" applyAlignment="1">
      <alignment vertical="center"/>
    </xf>
    <xf numFmtId="0" fontId="56" fillId="27" borderId="4" xfId="0" applyFont="1" applyFill="1" applyBorder="1" applyAlignment="1">
      <alignment horizontal="justify" vertical="center"/>
    </xf>
    <xf numFmtId="0" fontId="57" fillId="27" borderId="5" xfId="0" applyFont="1" applyFill="1" applyBorder="1" applyAlignment="1">
      <alignment horizontal="justify" vertical="center"/>
    </xf>
    <xf numFmtId="1" fontId="56" fillId="27" borderId="5" xfId="0" applyNumberFormat="1" applyFont="1" applyFill="1" applyBorder="1" applyAlignment="1">
      <alignment vertical="center"/>
    </xf>
    <xf numFmtId="0" fontId="7" fillId="27" borderId="5" xfId="0" applyFont="1" applyFill="1" applyBorder="1" applyAlignment="1">
      <alignment horizontal="left" vertical="center" wrapText="1"/>
    </xf>
    <xf numFmtId="0" fontId="57" fillId="27" borderId="5" xfId="0" applyFont="1" applyFill="1" applyBorder="1" applyAlignment="1">
      <alignment vertical="center" wrapText="1"/>
    </xf>
    <xf numFmtId="0" fontId="57" fillId="27" borderId="6" xfId="0" applyFont="1" applyFill="1" applyBorder="1" applyAlignment="1">
      <alignment vertical="center" wrapText="1"/>
    </xf>
    <xf numFmtId="0" fontId="57" fillId="27" borderId="7" xfId="0" applyFont="1" applyFill="1" applyBorder="1" applyAlignment="1">
      <alignment vertical="center" wrapText="1"/>
    </xf>
    <xf numFmtId="0" fontId="57" fillId="27" borderId="0" xfId="0" applyFont="1" applyFill="1" applyAlignment="1">
      <alignment vertical="center" wrapText="1"/>
    </xf>
    <xf numFmtId="3" fontId="57" fillId="27" borderId="0" xfId="0" applyNumberFormat="1" applyFont="1" applyFill="1" applyAlignment="1">
      <alignment vertical="center" wrapText="1"/>
    </xf>
    <xf numFmtId="0" fontId="57" fillId="27" borderId="0" xfId="0" applyFont="1" applyFill="1" applyAlignment="1">
      <alignment horizontal="justify" vertical="center"/>
    </xf>
    <xf numFmtId="0" fontId="57" fillId="27" borderId="8" xfId="0" applyFont="1" applyFill="1" applyBorder="1" applyAlignment="1">
      <alignment vertical="center" wrapText="1"/>
    </xf>
    <xf numFmtId="0" fontId="57" fillId="27" borderId="9" xfId="0" applyFont="1" applyFill="1" applyBorder="1" applyAlignment="1">
      <alignment vertical="center" wrapText="1"/>
    </xf>
    <xf numFmtId="0" fontId="57" fillId="27" borderId="10" xfId="0" applyFont="1" applyFill="1" applyBorder="1" applyAlignment="1">
      <alignment vertical="center" wrapText="1"/>
    </xf>
    <xf numFmtId="3" fontId="57" fillId="27" borderId="10" xfId="0" applyNumberFormat="1" applyFont="1" applyFill="1" applyBorder="1" applyAlignment="1">
      <alignment vertical="center" wrapText="1"/>
    </xf>
    <xf numFmtId="0" fontId="57" fillId="27" borderId="10" xfId="0" applyFont="1" applyFill="1" applyBorder="1" applyAlignment="1">
      <alignment horizontal="justify" vertical="center"/>
    </xf>
    <xf numFmtId="0" fontId="57" fillId="27" borderId="11" xfId="0" applyFont="1" applyFill="1" applyBorder="1" applyAlignment="1">
      <alignment vertical="center" wrapText="1"/>
    </xf>
    <xf numFmtId="0" fontId="57" fillId="0" borderId="7" xfId="0" applyFont="1" applyBorder="1" applyAlignment="1">
      <alignment horizontal="justify" vertical="center"/>
    </xf>
    <xf numFmtId="0" fontId="57" fillId="0" borderId="0" xfId="0" applyFont="1" applyAlignment="1">
      <alignment horizontal="right" vertical="top"/>
    </xf>
    <xf numFmtId="171" fontId="57" fillId="0" borderId="0" xfId="47" applyNumberFormat="1" applyFont="1" applyAlignment="1">
      <alignment horizontal="justify" vertical="center"/>
    </xf>
    <xf numFmtId="0" fontId="56" fillId="0" borderId="1" xfId="0" applyFont="1" applyBorder="1" applyAlignment="1">
      <alignment vertical="center" wrapText="1"/>
    </xf>
    <xf numFmtId="0" fontId="56" fillId="0" borderId="2" xfId="0" applyFont="1" applyBorder="1" applyAlignment="1">
      <alignment vertical="center" wrapText="1"/>
    </xf>
    <xf numFmtId="1" fontId="56" fillId="25" borderId="2" xfId="0" applyNumberFormat="1" applyFont="1" applyFill="1" applyBorder="1" applyAlignment="1">
      <alignment vertical="center" wrapText="1"/>
    </xf>
    <xf numFmtId="0" fontId="56" fillId="0" borderId="3" xfId="0" applyFont="1" applyBorder="1" applyAlignment="1">
      <alignment vertical="center" wrapText="1"/>
    </xf>
    <xf numFmtId="0" fontId="51" fillId="25" borderId="4" xfId="0" applyFont="1" applyFill="1" applyBorder="1" applyAlignment="1">
      <alignment vertical="center" wrapText="1"/>
    </xf>
    <xf numFmtId="171" fontId="51" fillId="25" borderId="5" xfId="47" applyNumberFormat="1" applyFont="1" applyFill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51" fillId="28" borderId="4" xfId="0" applyFont="1" applyFill="1" applyBorder="1" applyAlignment="1">
      <alignment vertical="center" wrapText="1"/>
    </xf>
    <xf numFmtId="0" fontId="0" fillId="28" borderId="6" xfId="0" applyFill="1" applyBorder="1" applyAlignment="1">
      <alignment vertical="center" wrapText="1"/>
    </xf>
    <xf numFmtId="0" fontId="0" fillId="28" borderId="0" xfId="0" applyFill="1" applyAlignment="1">
      <alignment horizontal="justify" vertical="center"/>
    </xf>
    <xf numFmtId="9" fontId="0" fillId="28" borderId="0" xfId="0" applyNumberFormat="1" applyFill="1" applyAlignment="1">
      <alignment vertical="center" wrapText="1"/>
    </xf>
    <xf numFmtId="0" fontId="0" fillId="28" borderId="11" xfId="0" applyFill="1" applyBorder="1" applyAlignment="1">
      <alignment vertical="center" wrapText="1"/>
    </xf>
    <xf numFmtId="0" fontId="51" fillId="26" borderId="4" xfId="0" applyFont="1" applyFill="1" applyBorder="1" applyAlignment="1">
      <alignment horizontal="justify" vertical="center"/>
    </xf>
    <xf numFmtId="1" fontId="51" fillId="26" borderId="5" xfId="0" applyNumberFormat="1" applyFont="1" applyFill="1" applyBorder="1" applyAlignment="1">
      <alignment vertical="center"/>
    </xf>
    <xf numFmtId="0" fontId="0" fillId="26" borderId="5" xfId="0" applyFill="1" applyBorder="1" applyAlignment="1">
      <alignment vertical="center" wrapText="1"/>
    </xf>
    <xf numFmtId="0" fontId="0" fillId="26" borderId="6" xfId="0" applyFill="1" applyBorder="1" applyAlignment="1">
      <alignment vertical="center" wrapText="1"/>
    </xf>
    <xf numFmtId="0" fontId="0" fillId="26" borderId="11" xfId="0" applyFill="1" applyBorder="1" applyAlignment="1">
      <alignment vertical="center" wrapText="1"/>
    </xf>
    <xf numFmtId="0" fontId="51" fillId="27" borderId="4" xfId="0" applyFont="1" applyFill="1" applyBorder="1" applyAlignment="1">
      <alignment horizontal="justify" vertical="center"/>
    </xf>
    <xf numFmtId="1" fontId="51" fillId="27" borderId="5" xfId="0" applyNumberFormat="1" applyFont="1" applyFill="1" applyBorder="1" applyAlignment="1">
      <alignment vertical="center"/>
    </xf>
    <xf numFmtId="0" fontId="69" fillId="27" borderId="5" xfId="0" applyFont="1" applyFill="1" applyBorder="1" applyAlignment="1">
      <alignment horizontal="left" vertical="center" wrapText="1"/>
    </xf>
    <xf numFmtId="171" fontId="0" fillId="0" borderId="0" xfId="47" applyNumberFormat="1" applyFont="1" applyAlignment="1">
      <alignment horizontal="justify" vertical="center"/>
    </xf>
    <xf numFmtId="0" fontId="51" fillId="0" borderId="1" xfId="0" applyFont="1" applyBorder="1" applyAlignment="1">
      <alignment vertical="center" wrapText="1"/>
    </xf>
    <xf numFmtId="1" fontId="51" fillId="25" borderId="2" xfId="0" applyNumberFormat="1" applyFont="1" applyFill="1" applyBorder="1" applyAlignment="1">
      <alignment vertical="center" wrapText="1"/>
    </xf>
    <xf numFmtId="0" fontId="70" fillId="34" borderId="20" xfId="0" applyFont="1" applyFill="1" applyBorder="1" applyAlignment="1">
      <alignment horizontal="center"/>
    </xf>
    <xf numFmtId="17" fontId="70" fillId="35" borderId="20" xfId="0" applyNumberFormat="1" applyFont="1" applyFill="1" applyBorder="1" applyAlignment="1">
      <alignment horizontal="center"/>
    </xf>
    <xf numFmtId="17" fontId="70" fillId="36" borderId="20" xfId="0" applyNumberFormat="1" applyFont="1" applyFill="1" applyBorder="1" applyAlignment="1">
      <alignment horizontal="center"/>
    </xf>
    <xf numFmtId="0" fontId="57" fillId="36" borderId="20" xfId="0" applyFont="1" applyFill="1" applyBorder="1" applyAlignment="1">
      <alignment horizontal="center"/>
    </xf>
    <xf numFmtId="17" fontId="70" fillId="32" borderId="20" xfId="0" applyNumberFormat="1" applyFont="1" applyFill="1" applyBorder="1" applyAlignment="1">
      <alignment horizontal="center"/>
    </xf>
    <xf numFmtId="0" fontId="57" fillId="32" borderId="20" xfId="0" applyFont="1" applyFill="1" applyBorder="1" applyAlignment="1">
      <alignment horizontal="center"/>
    </xf>
    <xf numFmtId="17" fontId="70" fillId="37" borderId="20" xfId="0" applyNumberFormat="1" applyFont="1" applyFill="1" applyBorder="1" applyAlignment="1">
      <alignment horizontal="center"/>
    </xf>
    <xf numFmtId="0" fontId="70" fillId="38" borderId="20" xfId="0" applyFont="1" applyFill="1" applyBorder="1" applyAlignment="1">
      <alignment horizontal="center"/>
    </xf>
    <xf numFmtId="0" fontId="57" fillId="38" borderId="20" xfId="0" applyFont="1" applyFill="1" applyBorder="1" applyAlignment="1">
      <alignment horizontal="center"/>
    </xf>
    <xf numFmtId="0" fontId="57" fillId="39" borderId="20" xfId="0" applyFont="1" applyFill="1" applyBorder="1" applyAlignment="1">
      <alignment horizontal="center"/>
    </xf>
    <xf numFmtId="0" fontId="57" fillId="40" borderId="20" xfId="0" applyFont="1" applyFill="1" applyBorder="1" applyAlignment="1">
      <alignment horizontal="center"/>
    </xf>
    <xf numFmtId="14" fontId="0" fillId="29" borderId="20" xfId="0" applyNumberFormat="1" applyFill="1" applyBorder="1" applyAlignment="1">
      <alignment horizontal="center"/>
    </xf>
    <xf numFmtId="1" fontId="0" fillId="29" borderId="20" xfId="0" applyNumberFormat="1" applyFill="1" applyBorder="1" applyAlignment="1">
      <alignment horizontal="center"/>
    </xf>
    <xf numFmtId="0" fontId="57" fillId="31" borderId="20" xfId="0" applyFont="1" applyFill="1" applyBorder="1" applyAlignment="1">
      <alignment horizontal="center"/>
    </xf>
    <xf numFmtId="0" fontId="57" fillId="41" borderId="20" xfId="0" applyFont="1" applyFill="1" applyBorder="1" applyAlignment="1">
      <alignment horizontal="center"/>
    </xf>
    <xf numFmtId="0" fontId="71" fillId="32" borderId="28" xfId="0" applyFont="1" applyFill="1" applyBorder="1" applyAlignment="1">
      <alignment vertical="center" wrapText="1"/>
    </xf>
    <xf numFmtId="0" fontId="72" fillId="32" borderId="1" xfId="0" applyFont="1" applyFill="1" applyBorder="1" applyAlignment="1">
      <alignment vertical="center" wrapText="1"/>
    </xf>
    <xf numFmtId="0" fontId="72" fillId="33" borderId="2" xfId="0" applyFont="1" applyFill="1" applyBorder="1" applyAlignment="1">
      <alignment vertical="center" wrapText="1"/>
    </xf>
    <xf numFmtId="171" fontId="72" fillId="33" borderId="23" xfId="47" applyNumberFormat="1" applyFont="1" applyFill="1" applyBorder="1" applyAlignment="1">
      <alignment vertical="center" wrapText="1"/>
    </xf>
    <xf numFmtId="0" fontId="74" fillId="31" borderId="0" xfId="0" applyFont="1" applyFill="1" applyAlignment="1">
      <alignment vertical="center" wrapText="1"/>
    </xf>
    <xf numFmtId="0" fontId="74" fillId="32" borderId="28" xfId="0" applyFont="1" applyFill="1" applyBorder="1" applyAlignment="1">
      <alignment vertical="center" wrapText="1"/>
    </xf>
    <xf numFmtId="0" fontId="74" fillId="33" borderId="20" xfId="0" applyFont="1" applyFill="1" applyBorder="1" applyAlignment="1">
      <alignment vertical="center" wrapText="1"/>
    </xf>
    <xf numFmtId="171" fontId="72" fillId="33" borderId="20" xfId="47" applyNumberFormat="1" applyFont="1" applyFill="1" applyBorder="1" applyAlignment="1">
      <alignment vertical="center" wrapText="1"/>
    </xf>
    <xf numFmtId="0" fontId="76" fillId="33" borderId="20" xfId="45" applyFont="1" applyFill="1" applyBorder="1" applyAlignment="1" applyProtection="1">
      <alignment vertical="center" wrapText="1"/>
    </xf>
    <xf numFmtId="0" fontId="76" fillId="33" borderId="29" xfId="45" applyFont="1" applyFill="1" applyBorder="1" applyAlignment="1" applyProtection="1">
      <alignment vertical="center" wrapText="1"/>
    </xf>
    <xf numFmtId="0" fontId="74" fillId="33" borderId="20" xfId="0" applyFont="1" applyFill="1" applyBorder="1" applyAlignment="1">
      <alignment horizontal="justify" vertical="center"/>
    </xf>
    <xf numFmtId="0" fontId="74" fillId="33" borderId="20" xfId="0" applyFont="1" applyFill="1" applyBorder="1" applyAlignment="1">
      <alignment vertical="center"/>
    </xf>
    <xf numFmtId="0" fontId="74" fillId="33" borderId="20" xfId="0" applyFont="1" applyFill="1" applyBorder="1" applyAlignment="1">
      <alignment horizontal="center" vertical="center" wrapText="1"/>
    </xf>
    <xf numFmtId="0" fontId="74" fillId="33" borderId="29" xfId="0" applyFont="1" applyFill="1" applyBorder="1" applyAlignment="1">
      <alignment vertical="center" wrapText="1"/>
    </xf>
    <xf numFmtId="167" fontId="74" fillId="33" borderId="20" xfId="0" applyNumberFormat="1" applyFont="1" applyFill="1" applyBorder="1" applyAlignment="1">
      <alignment vertical="center" wrapText="1"/>
    </xf>
    <xf numFmtId="169" fontId="74" fillId="33" borderId="20" xfId="0" applyNumberFormat="1" applyFont="1" applyFill="1" applyBorder="1" applyAlignment="1">
      <alignment vertical="center" wrapText="1"/>
    </xf>
    <xf numFmtId="3" fontId="74" fillId="33" borderId="20" xfId="0" applyNumberFormat="1" applyFont="1" applyFill="1" applyBorder="1" applyAlignment="1">
      <alignment vertical="center" wrapText="1"/>
    </xf>
    <xf numFmtId="175" fontId="74" fillId="33" borderId="20" xfId="0" applyNumberFormat="1" applyFont="1" applyFill="1" applyBorder="1" applyAlignment="1">
      <alignment horizontal="center" vertical="center" wrapText="1"/>
    </xf>
    <xf numFmtId="174" fontId="74" fillId="33" borderId="20" xfId="0" applyNumberFormat="1" applyFont="1" applyFill="1" applyBorder="1" applyAlignment="1">
      <alignment vertical="center" wrapText="1"/>
    </xf>
    <xf numFmtId="171" fontId="74" fillId="33" borderId="20" xfId="47" applyNumberFormat="1" applyFont="1" applyFill="1" applyBorder="1" applyAlignment="1">
      <alignment horizontal="right" vertical="center" wrapText="1"/>
    </xf>
    <xf numFmtId="168" fontId="74" fillId="33" borderId="20" xfId="0" applyNumberFormat="1" applyFont="1" applyFill="1" applyBorder="1" applyAlignment="1">
      <alignment vertical="center" wrapText="1"/>
    </xf>
    <xf numFmtId="168" fontId="74" fillId="33" borderId="29" xfId="0" applyNumberFormat="1" applyFont="1" applyFill="1" applyBorder="1" applyAlignment="1">
      <alignment vertical="center" wrapText="1"/>
    </xf>
    <xf numFmtId="168" fontId="76" fillId="33" borderId="20" xfId="45" applyNumberFormat="1" applyFont="1" applyFill="1" applyBorder="1" applyAlignment="1" applyProtection="1">
      <alignment vertical="center" wrapText="1"/>
    </xf>
    <xf numFmtId="168" fontId="74" fillId="33" borderId="22" xfId="0" applyNumberFormat="1" applyFont="1" applyFill="1" applyBorder="1" applyAlignment="1">
      <alignment vertical="center" wrapText="1"/>
    </xf>
    <xf numFmtId="171" fontId="72" fillId="33" borderId="20" xfId="47" applyNumberFormat="1" applyFont="1" applyFill="1" applyBorder="1" applyAlignment="1">
      <alignment horizontal="right" vertical="center" wrapText="1"/>
    </xf>
    <xf numFmtId="0" fontId="74" fillId="32" borderId="28" xfId="0" applyFont="1" applyFill="1" applyBorder="1" applyAlignment="1">
      <alignment horizontal="justify" vertical="center"/>
    </xf>
    <xf numFmtId="166" fontId="74" fillId="33" borderId="20" xfId="0" applyNumberFormat="1" applyFont="1" applyFill="1" applyBorder="1"/>
    <xf numFmtId="0" fontId="74" fillId="33" borderId="20" xfId="0" applyFont="1" applyFill="1" applyBorder="1" applyAlignment="1">
      <alignment horizontal="right" vertical="center"/>
    </xf>
    <xf numFmtId="0" fontId="74" fillId="33" borderId="29" xfId="0" applyFont="1" applyFill="1" applyBorder="1" applyAlignment="1">
      <alignment horizontal="justify" vertical="center"/>
    </xf>
    <xf numFmtId="166" fontId="74" fillId="32" borderId="28" xfId="0" applyNumberFormat="1" applyFont="1" applyFill="1" applyBorder="1"/>
    <xf numFmtId="3" fontId="74" fillId="33" borderId="20" xfId="0" applyNumberFormat="1" applyFont="1" applyFill="1" applyBorder="1" applyAlignment="1">
      <alignment horizontal="right" vertical="center"/>
    </xf>
    <xf numFmtId="0" fontId="76" fillId="33" borderId="20" xfId="45" applyFont="1" applyFill="1" applyBorder="1" applyAlignment="1" applyProtection="1">
      <alignment horizontal="justify" vertical="center"/>
    </xf>
    <xf numFmtId="0" fontId="74" fillId="33" borderId="2" xfId="0" applyFont="1" applyFill="1" applyBorder="1" applyAlignment="1">
      <alignment vertical="center" wrapText="1"/>
    </xf>
    <xf numFmtId="0" fontId="74" fillId="33" borderId="3" xfId="0" applyFont="1" applyFill="1" applyBorder="1" applyAlignment="1">
      <alignment vertical="center" wrapText="1"/>
    </xf>
    <xf numFmtId="0" fontId="74" fillId="0" borderId="0" xfId="0" applyFont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72" fillId="29" borderId="30" xfId="0" applyFont="1" applyFill="1" applyBorder="1" applyAlignment="1">
      <alignment vertical="center" wrapText="1"/>
    </xf>
    <xf numFmtId="0" fontId="72" fillId="28" borderId="20" xfId="0" applyFont="1" applyFill="1" applyBorder="1" applyAlignment="1">
      <alignment vertical="center" wrapText="1"/>
    </xf>
    <xf numFmtId="0" fontId="74" fillId="29" borderId="30" xfId="0" applyFont="1" applyFill="1" applyBorder="1" applyAlignment="1">
      <alignment vertical="center" wrapText="1"/>
    </xf>
    <xf numFmtId="3" fontId="74" fillId="29" borderId="30" xfId="0" applyNumberFormat="1" applyFont="1" applyFill="1" applyBorder="1" applyAlignment="1">
      <alignment vertical="center" wrapText="1"/>
    </xf>
    <xf numFmtId="0" fontId="74" fillId="30" borderId="20" xfId="0" applyFont="1" applyFill="1" applyBorder="1" applyAlignment="1">
      <alignment vertical="center" wrapText="1"/>
    </xf>
    <xf numFmtId="3" fontId="74" fillId="30" borderId="20" xfId="0" applyNumberFormat="1" applyFont="1" applyFill="1" applyBorder="1" applyAlignment="1">
      <alignment vertical="center" wrapText="1"/>
    </xf>
    <xf numFmtId="3" fontId="72" fillId="29" borderId="30" xfId="0" applyNumberFormat="1" applyFont="1" applyFill="1" applyBorder="1" applyAlignment="1">
      <alignment vertical="center" wrapText="1"/>
    </xf>
    <xf numFmtId="0" fontId="72" fillId="30" borderId="20" xfId="0" applyFont="1" applyFill="1" applyBorder="1" applyAlignment="1">
      <alignment vertical="center" wrapText="1"/>
    </xf>
    <xf numFmtId="3" fontId="72" fillId="30" borderId="20" xfId="0" applyNumberFormat="1" applyFont="1" applyFill="1" applyBorder="1" applyAlignment="1">
      <alignment vertical="center" wrapText="1"/>
    </xf>
    <xf numFmtId="0" fontId="72" fillId="25" borderId="4" xfId="0" applyFont="1" applyFill="1" applyBorder="1" applyAlignment="1">
      <alignment vertical="center" wrapText="1"/>
    </xf>
    <xf numFmtId="0" fontId="74" fillId="25" borderId="5" xfId="0" applyFont="1" applyFill="1" applyBorder="1" applyAlignment="1">
      <alignment vertical="center" wrapText="1"/>
    </xf>
    <xf numFmtId="171" fontId="72" fillId="25" borderId="5" xfId="47" applyNumberFormat="1" applyFont="1" applyFill="1" applyBorder="1" applyAlignment="1">
      <alignment vertical="center" wrapText="1"/>
    </xf>
    <xf numFmtId="0" fontId="74" fillId="25" borderId="6" xfId="0" applyFont="1" applyFill="1" applyBorder="1" applyAlignment="1">
      <alignment vertical="center" wrapText="1"/>
    </xf>
    <xf numFmtId="0" fontId="74" fillId="25" borderId="7" xfId="0" applyFont="1" applyFill="1" applyBorder="1" applyAlignment="1">
      <alignment vertical="center" wrapText="1"/>
    </xf>
    <xf numFmtId="0" fontId="74" fillId="25" borderId="0" xfId="0" applyFont="1" applyFill="1" applyAlignment="1">
      <alignment vertical="center" wrapText="1"/>
    </xf>
    <xf numFmtId="0" fontId="74" fillId="25" borderId="8" xfId="0" applyFont="1" applyFill="1" applyBorder="1" applyAlignment="1">
      <alignment vertical="center" wrapText="1"/>
    </xf>
    <xf numFmtId="172" fontId="74" fillId="25" borderId="0" xfId="47" applyNumberFormat="1" applyFont="1" applyFill="1" applyBorder="1" applyAlignment="1">
      <alignment vertical="center" wrapText="1"/>
    </xf>
    <xf numFmtId="0" fontId="74" fillId="25" borderId="9" xfId="0" applyFont="1" applyFill="1" applyBorder="1" applyAlignment="1">
      <alignment vertical="center" wrapText="1"/>
    </xf>
    <xf numFmtId="0" fontId="74" fillId="25" borderId="10" xfId="0" applyFont="1" applyFill="1" applyBorder="1" applyAlignment="1">
      <alignment vertical="center" wrapText="1"/>
    </xf>
    <xf numFmtId="0" fontId="74" fillId="25" borderId="10" xfId="0" applyFont="1" applyFill="1" applyBorder="1" applyAlignment="1">
      <alignment horizontal="justify" vertical="center"/>
    </xf>
    <xf numFmtId="0" fontId="74" fillId="25" borderId="10" xfId="0" applyFont="1" applyFill="1" applyBorder="1" applyAlignment="1">
      <alignment horizontal="center" vertical="center"/>
    </xf>
    <xf numFmtId="0" fontId="74" fillId="25" borderId="11" xfId="0" applyFont="1" applyFill="1" applyBorder="1" applyAlignment="1">
      <alignment vertical="center" wrapText="1"/>
    </xf>
    <xf numFmtId="0" fontId="74" fillId="0" borderId="7" xfId="0" applyFont="1" applyBorder="1" applyAlignment="1">
      <alignment vertical="center" wrapText="1"/>
    </xf>
    <xf numFmtId="0" fontId="74" fillId="0" borderId="8" xfId="0" applyFont="1" applyBorder="1" applyAlignment="1">
      <alignment vertical="center" wrapText="1"/>
    </xf>
    <xf numFmtId="167" fontId="74" fillId="0" borderId="0" xfId="0" applyNumberFormat="1" applyFont="1" applyAlignment="1">
      <alignment vertical="center" wrapText="1"/>
    </xf>
    <xf numFmtId="9" fontId="74" fillId="0" borderId="0" xfId="0" applyNumberFormat="1" applyFont="1" applyAlignment="1">
      <alignment vertical="center" wrapText="1"/>
    </xf>
    <xf numFmtId="0" fontId="74" fillId="0" borderId="9" xfId="0" applyFont="1" applyBorder="1" applyAlignment="1">
      <alignment vertical="center" wrapText="1"/>
    </xf>
    <xf numFmtId="0" fontId="74" fillId="0" borderId="10" xfId="0" applyFont="1" applyBorder="1" applyAlignment="1">
      <alignment vertical="center" wrapText="1"/>
    </xf>
    <xf numFmtId="0" fontId="74" fillId="0" borderId="11" xfId="0" applyFont="1" applyBorder="1" applyAlignment="1">
      <alignment vertical="center" wrapText="1"/>
    </xf>
    <xf numFmtId="0" fontId="72" fillId="28" borderId="4" xfId="0" applyFont="1" applyFill="1" applyBorder="1" applyAlignment="1">
      <alignment vertical="center" wrapText="1"/>
    </xf>
    <xf numFmtId="0" fontId="74" fillId="28" borderId="5" xfId="0" applyFont="1" applyFill="1" applyBorder="1" applyAlignment="1">
      <alignment vertical="center" wrapText="1"/>
    </xf>
    <xf numFmtId="0" fontId="74" fillId="28" borderId="6" xfId="0" applyFont="1" applyFill="1" applyBorder="1" applyAlignment="1">
      <alignment vertical="center" wrapText="1"/>
    </xf>
    <xf numFmtId="0" fontId="74" fillId="28" borderId="7" xfId="0" applyFont="1" applyFill="1" applyBorder="1" applyAlignment="1">
      <alignment vertical="center" wrapText="1"/>
    </xf>
    <xf numFmtId="0" fontId="74" fillId="28" borderId="0" xfId="0" applyFont="1" applyFill="1" applyAlignment="1">
      <alignment vertical="center" wrapText="1"/>
    </xf>
    <xf numFmtId="0" fontId="74" fillId="28" borderId="0" xfId="0" applyFont="1" applyFill="1" applyAlignment="1">
      <alignment horizontal="justify" vertical="center"/>
    </xf>
    <xf numFmtId="0" fontId="74" fillId="28" borderId="0" xfId="0" applyFont="1" applyFill="1" applyAlignment="1">
      <alignment vertical="center"/>
    </xf>
    <xf numFmtId="0" fontId="74" fillId="28" borderId="8" xfId="0" applyFont="1" applyFill="1" applyBorder="1" applyAlignment="1">
      <alignment vertical="center" wrapText="1"/>
    </xf>
    <xf numFmtId="9" fontId="74" fillId="28" borderId="0" xfId="0" applyNumberFormat="1" applyFont="1" applyFill="1" applyAlignment="1">
      <alignment vertical="center" wrapText="1"/>
    </xf>
    <xf numFmtId="0" fontId="74" fillId="28" borderId="9" xfId="0" applyFont="1" applyFill="1" applyBorder="1" applyAlignment="1">
      <alignment vertical="center" wrapText="1"/>
    </xf>
    <xf numFmtId="0" fontId="74" fillId="28" borderId="10" xfId="0" applyFont="1" applyFill="1" applyBorder="1" applyAlignment="1">
      <alignment vertical="center" wrapText="1"/>
    </xf>
    <xf numFmtId="0" fontId="74" fillId="28" borderId="11" xfId="0" applyFont="1" applyFill="1" applyBorder="1" applyAlignment="1">
      <alignment vertical="center" wrapText="1"/>
    </xf>
    <xf numFmtId="0" fontId="72" fillId="26" borderId="4" xfId="0" applyFont="1" applyFill="1" applyBorder="1" applyAlignment="1">
      <alignment horizontal="justify" vertical="center"/>
    </xf>
    <xf numFmtId="0" fontId="74" fillId="26" borderId="5" xfId="0" applyFont="1" applyFill="1" applyBorder="1" applyAlignment="1">
      <alignment horizontal="justify" vertical="center"/>
    </xf>
    <xf numFmtId="1" fontId="72" fillId="26" borderId="5" xfId="0" applyNumberFormat="1" applyFont="1" applyFill="1" applyBorder="1" applyAlignment="1">
      <alignment vertical="center"/>
    </xf>
    <xf numFmtId="0" fontId="74" fillId="26" borderId="5" xfId="0" applyFont="1" applyFill="1" applyBorder="1" applyAlignment="1">
      <alignment vertical="center" wrapText="1"/>
    </xf>
    <xf numFmtId="0" fontId="74" fillId="26" borderId="6" xfId="0" applyFont="1" applyFill="1" applyBorder="1" applyAlignment="1">
      <alignment vertical="center" wrapText="1"/>
    </xf>
    <xf numFmtId="0" fontId="74" fillId="26" borderId="7" xfId="0" applyFont="1" applyFill="1" applyBorder="1" applyAlignment="1">
      <alignment horizontal="justify" vertical="center"/>
    </xf>
    <xf numFmtId="0" fontId="74" fillId="26" borderId="0" xfId="0" applyFont="1" applyFill="1" applyAlignment="1">
      <alignment horizontal="justify" vertical="center"/>
    </xf>
    <xf numFmtId="169" fontId="74" fillId="26" borderId="0" xfId="0" applyNumberFormat="1" applyFont="1" applyFill="1" applyAlignment="1">
      <alignment vertical="center"/>
    </xf>
    <xf numFmtId="0" fontId="74" fillId="26" borderId="0" xfId="0" applyFont="1" applyFill="1" applyAlignment="1">
      <alignment vertical="center" wrapText="1"/>
    </xf>
    <xf numFmtId="0" fontId="74" fillId="26" borderId="8" xfId="0" applyFont="1" applyFill="1" applyBorder="1" applyAlignment="1">
      <alignment vertical="center" wrapText="1"/>
    </xf>
    <xf numFmtId="167" fontId="74" fillId="26" borderId="0" xfId="48" applyNumberFormat="1" applyFont="1" applyFill="1" applyBorder="1" applyAlignment="1">
      <alignment vertical="center"/>
    </xf>
    <xf numFmtId="0" fontId="74" fillId="26" borderId="0" xfId="0" applyFont="1" applyFill="1" applyAlignment="1">
      <alignment vertical="center"/>
    </xf>
    <xf numFmtId="0" fontId="74" fillId="26" borderId="9" xfId="0" applyFont="1" applyFill="1" applyBorder="1" applyAlignment="1">
      <alignment horizontal="justify" vertical="center"/>
    </xf>
    <xf numFmtId="0" fontId="74" fillId="26" borderId="10" xfId="0" applyFont="1" applyFill="1" applyBorder="1" applyAlignment="1">
      <alignment horizontal="justify" vertical="center"/>
    </xf>
    <xf numFmtId="0" fontId="74" fillId="26" borderId="10" xfId="0" applyFont="1" applyFill="1" applyBorder="1" applyAlignment="1">
      <alignment vertical="center"/>
    </xf>
    <xf numFmtId="0" fontId="74" fillId="26" borderId="11" xfId="0" applyFont="1" applyFill="1" applyBorder="1" applyAlignment="1">
      <alignment vertical="center" wrapText="1"/>
    </xf>
    <xf numFmtId="0" fontId="74" fillId="0" borderId="0" xfId="0" applyFont="1" applyAlignment="1">
      <alignment horizontal="justify" vertical="center"/>
    </xf>
    <xf numFmtId="0" fontId="74" fillId="0" borderId="0" xfId="0" applyFont="1" applyAlignment="1">
      <alignment vertical="center"/>
    </xf>
    <xf numFmtId="0" fontId="72" fillId="27" borderId="4" xfId="0" applyFont="1" applyFill="1" applyBorder="1" applyAlignment="1">
      <alignment horizontal="justify" vertical="center"/>
    </xf>
    <xf numFmtId="0" fontId="74" fillId="27" borderId="5" xfId="0" applyFont="1" applyFill="1" applyBorder="1" applyAlignment="1">
      <alignment horizontal="justify" vertical="center"/>
    </xf>
    <xf numFmtId="1" fontId="72" fillId="27" borderId="5" xfId="0" applyNumberFormat="1" applyFont="1" applyFill="1" applyBorder="1" applyAlignment="1">
      <alignment vertical="center"/>
    </xf>
    <xf numFmtId="0" fontId="74" fillId="27" borderId="5" xfId="0" applyFont="1" applyFill="1" applyBorder="1" applyAlignment="1">
      <alignment horizontal="left" vertical="center" wrapText="1"/>
    </xf>
    <xf numFmtId="0" fontId="74" fillId="27" borderId="5" xfId="0" applyFont="1" applyFill="1" applyBorder="1" applyAlignment="1">
      <alignment vertical="center" wrapText="1"/>
    </xf>
    <xf numFmtId="0" fontId="74" fillId="27" borderId="6" xfId="0" applyFont="1" applyFill="1" applyBorder="1" applyAlignment="1">
      <alignment vertical="center" wrapText="1"/>
    </xf>
    <xf numFmtId="0" fontId="74" fillId="27" borderId="7" xfId="0" applyFont="1" applyFill="1" applyBorder="1" applyAlignment="1">
      <alignment vertical="center" wrapText="1"/>
    </xf>
    <xf numFmtId="0" fontId="74" fillId="27" borderId="0" xfId="0" applyFont="1" applyFill="1" applyAlignment="1">
      <alignment vertical="center" wrapText="1"/>
    </xf>
    <xf numFmtId="3" fontId="74" fillId="27" borderId="0" xfId="0" applyNumberFormat="1" applyFont="1" applyFill="1" applyAlignment="1">
      <alignment vertical="center" wrapText="1"/>
    </xf>
    <xf numFmtId="0" fontId="74" fillId="27" borderId="0" xfId="0" applyFont="1" applyFill="1" applyAlignment="1">
      <alignment horizontal="justify" vertical="center"/>
    </xf>
    <xf numFmtId="0" fontId="74" fillId="27" borderId="8" xfId="0" applyFont="1" applyFill="1" applyBorder="1" applyAlignment="1">
      <alignment vertical="center" wrapText="1"/>
    </xf>
    <xf numFmtId="0" fontId="74" fillId="27" borderId="9" xfId="0" applyFont="1" applyFill="1" applyBorder="1" applyAlignment="1">
      <alignment vertical="center" wrapText="1"/>
    </xf>
    <xf numFmtId="0" fontId="74" fillId="27" borderId="10" xfId="0" applyFont="1" applyFill="1" applyBorder="1" applyAlignment="1">
      <alignment vertical="center" wrapText="1"/>
    </xf>
    <xf numFmtId="3" fontId="74" fillId="27" borderId="10" xfId="0" applyNumberFormat="1" applyFont="1" applyFill="1" applyBorder="1" applyAlignment="1">
      <alignment vertical="center" wrapText="1"/>
    </xf>
    <xf numFmtId="0" fontId="74" fillId="27" borderId="10" xfId="0" applyFont="1" applyFill="1" applyBorder="1" applyAlignment="1">
      <alignment horizontal="justify" vertical="center"/>
    </xf>
    <xf numFmtId="0" fontId="74" fillId="27" borderId="11" xfId="0" applyFont="1" applyFill="1" applyBorder="1" applyAlignment="1">
      <alignment vertical="center" wrapText="1"/>
    </xf>
    <xf numFmtId="0" fontId="74" fillId="0" borderId="7" xfId="0" applyFont="1" applyBorder="1" applyAlignment="1">
      <alignment horizontal="justify" vertical="center"/>
    </xf>
    <xf numFmtId="0" fontId="74" fillId="0" borderId="0" xfId="0" applyFont="1" applyAlignment="1">
      <alignment horizontal="right" vertical="top"/>
    </xf>
    <xf numFmtId="171" fontId="74" fillId="0" borderId="0" xfId="47" applyNumberFormat="1" applyFont="1" applyAlignment="1">
      <alignment horizontal="justify" vertical="center"/>
    </xf>
    <xf numFmtId="0" fontId="72" fillId="0" borderId="1" xfId="0" applyFont="1" applyBorder="1" applyAlignment="1">
      <alignment vertical="center" wrapText="1"/>
    </xf>
    <xf numFmtId="0" fontId="72" fillId="0" borderId="2" xfId="0" applyFont="1" applyBorder="1" applyAlignment="1">
      <alignment vertical="center" wrapText="1"/>
    </xf>
    <xf numFmtId="1" fontId="72" fillId="25" borderId="2" xfId="0" applyNumberFormat="1" applyFont="1" applyFill="1" applyBorder="1" applyAlignment="1">
      <alignment vertical="center" wrapText="1"/>
    </xf>
    <xf numFmtId="0" fontId="72" fillId="0" borderId="3" xfId="0" applyFont="1" applyBorder="1" applyAlignment="1">
      <alignment vertical="center" wrapText="1"/>
    </xf>
    <xf numFmtId="0" fontId="0" fillId="37" borderId="20" xfId="0" applyFill="1" applyBorder="1"/>
    <xf numFmtId="3" fontId="0" fillId="37" borderId="20" xfId="0" applyNumberFormat="1" applyFill="1" applyBorder="1"/>
    <xf numFmtId="3" fontId="57" fillId="41" borderId="2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80" fillId="0" borderId="6" xfId="0" applyFont="1" applyBorder="1" applyAlignment="1">
      <alignment horizontal="center" vertical="center" wrapText="1"/>
    </xf>
    <xf numFmtId="0" fontId="80" fillId="0" borderId="8" xfId="0" applyFont="1" applyBorder="1" applyAlignment="1">
      <alignment horizontal="center" vertical="center" wrapText="1"/>
    </xf>
    <xf numFmtId="0" fontId="80" fillId="0" borderId="11" xfId="0" applyFont="1" applyBorder="1" applyAlignment="1">
      <alignment horizontal="center" vertical="center" wrapText="1"/>
    </xf>
    <xf numFmtId="0" fontId="79" fillId="0" borderId="40" xfId="0" applyFont="1" applyBorder="1" applyAlignment="1">
      <alignment horizontal="center" vertical="center" wrapText="1"/>
    </xf>
    <xf numFmtId="0" fontId="79" fillId="0" borderId="11" xfId="0" applyFont="1" applyBorder="1" applyAlignment="1">
      <alignment horizontal="center" vertical="center" wrapText="1"/>
    </xf>
    <xf numFmtId="0" fontId="79" fillId="0" borderId="11" xfId="0" applyFont="1" applyBorder="1" applyAlignment="1">
      <alignment horizontal="center" vertical="center"/>
    </xf>
    <xf numFmtId="0" fontId="79" fillId="0" borderId="40" xfId="0" applyFont="1" applyBorder="1" applyAlignment="1">
      <alignment horizontal="center" vertical="center"/>
    </xf>
    <xf numFmtId="0" fontId="79" fillId="0" borderId="0" xfId="0" applyFont="1"/>
    <xf numFmtId="164" fontId="0" fillId="0" borderId="0" xfId="0" applyNumberFormat="1"/>
    <xf numFmtId="0" fontId="0" fillId="0" borderId="20" xfId="0" applyBorder="1"/>
    <xf numFmtId="0" fontId="63" fillId="25" borderId="20" xfId="0" applyFont="1" applyFill="1" applyBorder="1"/>
    <xf numFmtId="17" fontId="0" fillId="42" borderId="20" xfId="0" applyNumberFormat="1" applyFill="1" applyBorder="1"/>
    <xf numFmtId="17" fontId="0" fillId="43" borderId="20" xfId="0" applyNumberFormat="1" applyFill="1" applyBorder="1"/>
    <xf numFmtId="17" fontId="0" fillId="44" borderId="20" xfId="0" applyNumberFormat="1" applyFill="1" applyBorder="1"/>
    <xf numFmtId="0" fontId="0" fillId="0" borderId="41" xfId="0" applyBorder="1"/>
    <xf numFmtId="0" fontId="0" fillId="0" borderId="42" xfId="0" applyBorder="1" applyAlignment="1">
      <alignment vertical="center" wrapText="1"/>
    </xf>
    <xf numFmtId="0" fontId="0" fillId="0" borderId="20" xfId="0" applyBorder="1" applyAlignment="1">
      <alignment horizontal="center" vertical="center"/>
    </xf>
    <xf numFmtId="0" fontId="0" fillId="0" borderId="43" xfId="0" applyBorder="1" applyAlignment="1">
      <alignment horizontal="center"/>
    </xf>
    <xf numFmtId="0" fontId="0" fillId="0" borderId="0" xfId="0" applyAlignment="1">
      <alignment horizontal="center" vertical="center"/>
    </xf>
    <xf numFmtId="14" fontId="74" fillId="0" borderId="0" xfId="49" applyNumberFormat="1" applyFont="1"/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51" fillId="0" borderId="47" xfId="0" applyFont="1" applyBorder="1" applyAlignment="1">
      <alignment vertical="center" wrapText="1"/>
    </xf>
    <xf numFmtId="0" fontId="51" fillId="0" borderId="6" xfId="0" applyFont="1" applyBorder="1" applyAlignment="1">
      <alignment vertical="center" wrapText="1"/>
    </xf>
    <xf numFmtId="0" fontId="51" fillId="45" borderId="20" xfId="0" applyFont="1" applyFill="1" applyBorder="1" applyAlignment="1">
      <alignment vertical="center" wrapText="1"/>
    </xf>
    <xf numFmtId="0" fontId="51" fillId="45" borderId="29" xfId="0" applyFont="1" applyFill="1" applyBorder="1" applyAlignment="1">
      <alignment vertical="center" wrapText="1"/>
    </xf>
    <xf numFmtId="4" fontId="0" fillId="0" borderId="44" xfId="0" applyNumberFormat="1" applyBorder="1" applyAlignment="1">
      <alignment horizontal="center" vertical="center"/>
    </xf>
    <xf numFmtId="0" fontId="51" fillId="45" borderId="28" xfId="0" applyFont="1" applyFill="1" applyBorder="1" applyAlignment="1">
      <alignment vertical="center" wrapText="1"/>
    </xf>
    <xf numFmtId="0" fontId="0" fillId="45" borderId="20" xfId="0" applyFill="1" applyBorder="1" applyAlignment="1">
      <alignment vertical="center" wrapText="1"/>
    </xf>
    <xf numFmtId="3" fontId="51" fillId="45" borderId="20" xfId="0" applyNumberFormat="1" applyFont="1" applyFill="1" applyBorder="1" applyAlignment="1">
      <alignment vertical="center" wrapText="1"/>
    </xf>
    <xf numFmtId="0" fontId="0" fillId="45" borderId="20" xfId="0" applyFill="1" applyBorder="1" applyAlignment="1">
      <alignment horizontal="center" vertical="center" wrapText="1"/>
    </xf>
    <xf numFmtId="0" fontId="0" fillId="45" borderId="29" xfId="0" applyFill="1" applyBorder="1" applyAlignment="1">
      <alignment vertical="center" wrapText="1"/>
    </xf>
    <xf numFmtId="174" fontId="0" fillId="45" borderId="20" xfId="0" applyNumberFormat="1" applyFill="1" applyBorder="1" applyAlignment="1">
      <alignment vertical="center" wrapText="1"/>
    </xf>
    <xf numFmtId="0" fontId="0" fillId="0" borderId="32" xfId="0" applyBorder="1"/>
    <xf numFmtId="0" fontId="0" fillId="0" borderId="43" xfId="0" applyBorder="1" applyAlignment="1">
      <alignment horizontal="center" vertical="center"/>
    </xf>
    <xf numFmtId="9" fontId="0" fillId="45" borderId="20" xfId="0" applyNumberFormat="1" applyFill="1" applyBorder="1" applyAlignment="1">
      <alignment vertical="center" wrapText="1"/>
    </xf>
    <xf numFmtId="0" fontId="0" fillId="45" borderId="0" xfId="0" applyFill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45" borderId="20" xfId="0" applyNumberFormat="1" applyFill="1" applyBorder="1" applyAlignment="1">
      <alignment vertical="center" wrapText="1"/>
    </xf>
    <xf numFmtId="0" fontId="0" fillId="0" borderId="36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51" fillId="45" borderId="49" xfId="0" applyFont="1" applyFill="1" applyBorder="1" applyAlignment="1">
      <alignment vertical="center" wrapText="1"/>
    </xf>
    <xf numFmtId="0" fontId="0" fillId="45" borderId="50" xfId="0" applyFill="1" applyBorder="1" applyAlignment="1">
      <alignment vertical="center" wrapText="1"/>
    </xf>
    <xf numFmtId="0" fontId="0" fillId="45" borderId="50" xfId="0" applyFill="1" applyBorder="1" applyAlignment="1">
      <alignment horizontal="center" vertical="center" wrapText="1"/>
    </xf>
    <xf numFmtId="0" fontId="0" fillId="45" borderId="51" xfId="0" applyFill="1" applyBorder="1" applyAlignment="1">
      <alignment vertical="center" wrapText="1"/>
    </xf>
    <xf numFmtId="0" fontId="0" fillId="0" borderId="41" xfId="0" applyBorder="1" applyAlignment="1">
      <alignment horizontal="center" vertical="center"/>
    </xf>
    <xf numFmtId="3" fontId="0" fillId="0" borderId="41" xfId="0" applyNumberFormat="1" applyBorder="1" applyAlignment="1">
      <alignment horizontal="center" vertical="center"/>
    </xf>
    <xf numFmtId="3" fontId="0" fillId="0" borderId="20" xfId="0" applyNumberFormat="1" applyBorder="1"/>
    <xf numFmtId="0" fontId="79" fillId="0" borderId="23" xfId="0" applyFont="1" applyBorder="1" applyAlignment="1">
      <alignment vertical="center"/>
    </xf>
    <xf numFmtId="0" fontId="79" fillId="0" borderId="3" xfId="0" applyFont="1" applyBorder="1" applyAlignment="1">
      <alignment vertical="center" wrapText="1"/>
    </xf>
    <xf numFmtId="0" fontId="84" fillId="0" borderId="0" xfId="0" applyFont="1" applyAlignment="1">
      <alignment vertical="center"/>
    </xf>
    <xf numFmtId="0" fontId="88" fillId="0" borderId="0" xfId="50" applyFont="1"/>
    <xf numFmtId="0" fontId="86" fillId="0" borderId="0" xfId="50"/>
    <xf numFmtId="0" fontId="89" fillId="0" borderId="54" xfId="50" applyFont="1" applyBorder="1" applyAlignment="1">
      <alignment wrapText="1"/>
    </xf>
    <xf numFmtId="176" fontId="89" fillId="26" borderId="55" xfId="50" applyNumberFormat="1" applyFont="1" applyFill="1" applyBorder="1" applyAlignment="1">
      <alignment wrapText="1"/>
    </xf>
    <xf numFmtId="175" fontId="89" fillId="0" borderId="56" xfId="50" applyNumberFormat="1" applyFont="1" applyBorder="1" applyAlignment="1">
      <alignment wrapText="1"/>
    </xf>
    <xf numFmtId="175" fontId="89" fillId="0" borderId="57" xfId="50" applyNumberFormat="1" applyFont="1" applyBorder="1" applyAlignment="1">
      <alignment wrapText="1"/>
    </xf>
    <xf numFmtId="176" fontId="89" fillId="26" borderId="58" xfId="50" applyNumberFormat="1" applyFont="1" applyFill="1" applyBorder="1" applyAlignment="1">
      <alignment wrapText="1"/>
    </xf>
    <xf numFmtId="175" fontId="89" fillId="0" borderId="59" xfId="50" applyNumberFormat="1" applyFont="1" applyBorder="1" applyAlignment="1">
      <alignment wrapText="1"/>
    </xf>
    <xf numFmtId="175" fontId="89" fillId="0" borderId="60" xfId="50" applyNumberFormat="1" applyFont="1" applyBorder="1" applyAlignment="1">
      <alignment wrapText="1"/>
    </xf>
    <xf numFmtId="2" fontId="87" fillId="46" borderId="61" xfId="50" applyNumberFormat="1" applyFont="1" applyFill="1" applyBorder="1" applyAlignment="1">
      <alignment vertical="center"/>
    </xf>
    <xf numFmtId="2" fontId="87" fillId="46" borderId="62" xfId="50" applyNumberFormat="1" applyFont="1" applyFill="1" applyBorder="1" applyAlignment="1">
      <alignment vertical="center"/>
    </xf>
    <xf numFmtId="2" fontId="87" fillId="46" borderId="60" xfId="50" applyNumberFormat="1" applyFont="1" applyFill="1" applyBorder="1" applyAlignment="1">
      <alignment vertical="center"/>
    </xf>
    <xf numFmtId="171" fontId="0" fillId="0" borderId="0" xfId="51" applyNumberFormat="1" applyFont="1"/>
    <xf numFmtId="0" fontId="90" fillId="46" borderId="54" xfId="50" applyFont="1" applyFill="1" applyBorder="1"/>
    <xf numFmtId="2" fontId="87" fillId="46" borderId="54" xfId="50" applyNumberFormat="1" applyFont="1" applyFill="1" applyBorder="1" applyAlignment="1">
      <alignment horizontal="center" vertical="center"/>
    </xf>
    <xf numFmtId="0" fontId="87" fillId="46" borderId="54" xfId="50" applyFont="1" applyFill="1" applyBorder="1" applyAlignment="1">
      <alignment horizontal="center"/>
    </xf>
    <xf numFmtId="0" fontId="89" fillId="0" borderId="54" xfId="50" applyFont="1" applyBorder="1" applyAlignment="1">
      <alignment horizontal="center"/>
    </xf>
    <xf numFmtId="0" fontId="89" fillId="0" borderId="54" xfId="50" applyFont="1" applyBorder="1"/>
    <xf numFmtId="0" fontId="85" fillId="0" borderId="20" xfId="50" applyFont="1" applyBorder="1"/>
    <xf numFmtId="176" fontId="85" fillId="0" borderId="20" xfId="50" applyNumberFormat="1" applyFont="1" applyBorder="1"/>
    <xf numFmtId="0" fontId="30" fillId="25" borderId="0" xfId="45" applyFill="1" applyAlignment="1" applyProtection="1">
      <alignment horizontal="left"/>
    </xf>
    <xf numFmtId="0" fontId="30" fillId="0" borderId="0" xfId="45" applyAlignment="1" applyProtection="1">
      <alignment horizontal="center"/>
    </xf>
    <xf numFmtId="0" fontId="0" fillId="25" borderId="0" xfId="0" applyFill="1" applyAlignment="1">
      <alignment horizontal="center"/>
    </xf>
    <xf numFmtId="0" fontId="81" fillId="0" borderId="38" xfId="0" applyFont="1" applyBorder="1" applyAlignment="1">
      <alignment horizontal="center" vertical="center" wrapText="1"/>
    </xf>
    <xf numFmtId="0" fontId="81" fillId="0" borderId="40" xfId="0" applyFont="1" applyBorder="1" applyAlignment="1">
      <alignment horizontal="center" vertical="center" wrapText="1"/>
    </xf>
    <xf numFmtId="0" fontId="79" fillId="0" borderId="38" xfId="0" applyFont="1" applyBorder="1" applyAlignment="1">
      <alignment horizontal="center" vertical="center"/>
    </xf>
    <xf numFmtId="0" fontId="79" fillId="0" borderId="40" xfId="0" applyFont="1" applyBorder="1" applyAlignment="1">
      <alignment horizontal="center" vertical="center"/>
    </xf>
    <xf numFmtId="0" fontId="79" fillId="0" borderId="38" xfId="0" applyFont="1" applyBorder="1" applyAlignment="1">
      <alignment horizontal="center" vertical="center" wrapText="1"/>
    </xf>
    <xf numFmtId="0" fontId="79" fillId="0" borderId="40" xfId="0" applyFont="1" applyBorder="1" applyAlignment="1">
      <alignment horizontal="center" vertical="center" wrapText="1"/>
    </xf>
    <xf numFmtId="3" fontId="81" fillId="0" borderId="38" xfId="0" applyNumberFormat="1" applyFont="1" applyBorder="1" applyAlignment="1">
      <alignment horizontal="center" vertical="center"/>
    </xf>
    <xf numFmtId="3" fontId="81" fillId="0" borderId="40" xfId="0" applyNumberFormat="1" applyFont="1" applyBorder="1" applyAlignment="1">
      <alignment horizontal="center" vertical="center"/>
    </xf>
    <xf numFmtId="3" fontId="81" fillId="0" borderId="38" xfId="0" applyNumberFormat="1" applyFont="1" applyBorder="1" applyAlignment="1">
      <alignment horizontal="center" vertical="center" wrapText="1"/>
    </xf>
    <xf numFmtId="3" fontId="81" fillId="0" borderId="40" xfId="0" applyNumberFormat="1" applyFont="1" applyBorder="1" applyAlignment="1">
      <alignment horizontal="center" vertical="center" wrapText="1"/>
    </xf>
    <xf numFmtId="0" fontId="80" fillId="0" borderId="38" xfId="0" applyFont="1" applyBorder="1" applyAlignment="1">
      <alignment horizontal="center" vertical="center" wrapText="1"/>
    </xf>
    <xf numFmtId="0" fontId="80" fillId="0" borderId="39" xfId="0" applyFont="1" applyBorder="1" applyAlignment="1">
      <alignment horizontal="center" vertical="center" wrapText="1"/>
    </xf>
    <xf numFmtId="0" fontId="80" fillId="0" borderId="40" xfId="0" applyFont="1" applyBorder="1" applyAlignment="1">
      <alignment horizontal="center" vertical="center" wrapText="1"/>
    </xf>
    <xf numFmtId="0" fontId="80" fillId="0" borderId="38" xfId="0" applyFont="1" applyBorder="1" applyAlignment="1">
      <alignment horizontal="center" vertical="center"/>
    </xf>
    <xf numFmtId="0" fontId="80" fillId="0" borderId="39" xfId="0" applyFont="1" applyBorder="1" applyAlignment="1">
      <alignment horizontal="center" vertical="center"/>
    </xf>
    <xf numFmtId="0" fontId="80" fillId="0" borderId="40" xfId="0" applyFont="1" applyBorder="1" applyAlignment="1">
      <alignment horizontal="center" vertical="center"/>
    </xf>
    <xf numFmtId="0" fontId="58" fillId="0" borderId="25" xfId="0" applyFont="1" applyBorder="1" applyAlignment="1">
      <alignment horizontal="center" vertical="center" wrapText="1"/>
    </xf>
    <xf numFmtId="0" fontId="58" fillId="0" borderId="26" xfId="0" applyFont="1" applyBorder="1" applyAlignment="1">
      <alignment horizontal="center" vertical="center" wrapText="1"/>
    </xf>
    <xf numFmtId="0" fontId="58" fillId="0" borderId="27" xfId="0" applyFont="1" applyBorder="1" applyAlignment="1">
      <alignment horizontal="center" vertical="center" wrapText="1"/>
    </xf>
    <xf numFmtId="0" fontId="57" fillId="29" borderId="36" xfId="0" applyFont="1" applyFill="1" applyBorder="1" applyAlignment="1">
      <alignment horizontal="center" vertical="center" wrapText="1"/>
    </xf>
    <xf numFmtId="0" fontId="57" fillId="29" borderId="24" xfId="0" applyFont="1" applyFill="1" applyBorder="1" applyAlignment="1">
      <alignment horizontal="center" vertical="center" wrapText="1"/>
    </xf>
    <xf numFmtId="0" fontId="57" fillId="29" borderId="37" xfId="0" applyFont="1" applyFill="1" applyBorder="1" applyAlignment="1">
      <alignment horizontal="center" vertical="center" wrapText="1"/>
    </xf>
    <xf numFmtId="0" fontId="55" fillId="0" borderId="25" xfId="0" applyFont="1" applyBorder="1" applyAlignment="1">
      <alignment horizontal="center" vertical="center" wrapText="1"/>
    </xf>
    <xf numFmtId="0" fontId="55" fillId="0" borderId="26" xfId="0" applyFont="1" applyBorder="1" applyAlignment="1">
      <alignment horizontal="center" vertical="center" wrapText="1"/>
    </xf>
    <xf numFmtId="0" fontId="55" fillId="0" borderId="27" xfId="0" applyFont="1" applyBorder="1" applyAlignment="1">
      <alignment horizontal="center" vertical="center" wrapText="1"/>
    </xf>
    <xf numFmtId="0" fontId="45" fillId="30" borderId="22" xfId="0" applyFont="1" applyFill="1" applyBorder="1" applyAlignment="1">
      <alignment horizontal="center" vertical="center" wrapText="1"/>
    </xf>
    <xf numFmtId="0" fontId="45" fillId="30" borderId="21" xfId="0" applyFont="1" applyFill="1" applyBorder="1" applyAlignment="1">
      <alignment horizontal="center" vertical="center" wrapText="1"/>
    </xf>
    <xf numFmtId="0" fontId="45" fillId="30" borderId="32" xfId="0" applyFont="1" applyFill="1" applyBorder="1" applyAlignment="1">
      <alignment horizontal="center" vertical="center" wrapText="1"/>
    </xf>
    <xf numFmtId="0" fontId="45" fillId="30" borderId="33" xfId="0" applyFont="1" applyFill="1" applyBorder="1" applyAlignment="1">
      <alignment horizontal="center" vertical="center" wrapText="1"/>
    </xf>
    <xf numFmtId="0" fontId="45" fillId="30" borderId="34" xfId="0" applyFont="1" applyFill="1" applyBorder="1" applyAlignment="1">
      <alignment horizontal="center" vertical="center" wrapText="1"/>
    </xf>
    <xf numFmtId="0" fontId="45" fillId="30" borderId="35" xfId="0" applyFont="1" applyFill="1" applyBorder="1" applyAlignment="1">
      <alignment horizontal="center" vertical="center" wrapText="1"/>
    </xf>
    <xf numFmtId="0" fontId="0" fillId="29" borderId="36" xfId="0" applyFill="1" applyBorder="1" applyAlignment="1">
      <alignment horizontal="center" vertical="center" wrapText="1"/>
    </xf>
    <xf numFmtId="0" fontId="0" fillId="29" borderId="24" xfId="0" applyFill="1" applyBorder="1" applyAlignment="1">
      <alignment horizontal="center" vertical="center" wrapText="1"/>
    </xf>
    <xf numFmtId="0" fontId="0" fillId="29" borderId="37" xfId="0" applyFill="1" applyBorder="1" applyAlignment="1">
      <alignment horizontal="center" vertical="center" wrapText="1"/>
    </xf>
    <xf numFmtId="0" fontId="75" fillId="0" borderId="25" xfId="0" applyFont="1" applyBorder="1" applyAlignment="1">
      <alignment horizontal="center" vertical="center" wrapText="1"/>
    </xf>
    <xf numFmtId="0" fontId="75" fillId="0" borderId="26" xfId="0" applyFont="1" applyBorder="1" applyAlignment="1">
      <alignment horizontal="center" vertical="center" wrapText="1"/>
    </xf>
    <xf numFmtId="0" fontId="75" fillId="0" borderId="27" xfId="0" applyFont="1" applyBorder="1" applyAlignment="1">
      <alignment horizontal="center" vertical="center" wrapText="1"/>
    </xf>
    <xf numFmtId="0" fontId="74" fillId="30" borderId="22" xfId="0" applyFont="1" applyFill="1" applyBorder="1" applyAlignment="1">
      <alignment horizontal="center" vertical="center" wrapText="1"/>
    </xf>
    <xf numFmtId="0" fontId="74" fillId="30" borderId="21" xfId="0" applyFont="1" applyFill="1" applyBorder="1" applyAlignment="1">
      <alignment horizontal="center" vertical="center" wrapText="1"/>
    </xf>
    <xf numFmtId="0" fontId="74" fillId="30" borderId="32" xfId="0" applyFont="1" applyFill="1" applyBorder="1" applyAlignment="1">
      <alignment horizontal="center" vertical="center" wrapText="1"/>
    </xf>
    <xf numFmtId="0" fontId="74" fillId="30" borderId="33" xfId="0" applyFont="1" applyFill="1" applyBorder="1" applyAlignment="1">
      <alignment horizontal="center" vertical="center" wrapText="1"/>
    </xf>
    <xf numFmtId="0" fontId="74" fillId="30" borderId="34" xfId="0" applyFont="1" applyFill="1" applyBorder="1" applyAlignment="1">
      <alignment horizontal="center" vertical="center" wrapText="1"/>
    </xf>
    <xf numFmtId="0" fontId="74" fillId="30" borderId="35" xfId="0" applyFont="1" applyFill="1" applyBorder="1" applyAlignment="1">
      <alignment horizontal="center" vertical="center" wrapText="1"/>
    </xf>
    <xf numFmtId="0" fontId="74" fillId="29" borderId="36" xfId="0" applyFont="1" applyFill="1" applyBorder="1" applyAlignment="1">
      <alignment horizontal="center" vertical="center" wrapText="1"/>
    </xf>
    <xf numFmtId="0" fontId="74" fillId="29" borderId="24" xfId="0" applyFont="1" applyFill="1" applyBorder="1" applyAlignment="1">
      <alignment horizontal="center" vertical="center" wrapText="1"/>
    </xf>
    <xf numFmtId="0" fontId="74" fillId="29" borderId="37" xfId="0" applyFont="1" applyFill="1" applyBorder="1" applyAlignment="1">
      <alignment horizontal="center" vertical="center" wrapText="1"/>
    </xf>
    <xf numFmtId="0" fontId="83" fillId="45" borderId="25" xfId="0" applyFont="1" applyFill="1" applyBorder="1" applyAlignment="1">
      <alignment horizontal="center" vertical="center" wrapText="1"/>
    </xf>
    <xf numFmtId="0" fontId="83" fillId="45" borderId="26" xfId="0" applyFont="1" applyFill="1" applyBorder="1" applyAlignment="1">
      <alignment horizontal="center" vertical="center" wrapText="1"/>
    </xf>
    <xf numFmtId="0" fontId="83" fillId="45" borderId="27" xfId="0" applyFont="1" applyFill="1" applyBorder="1" applyAlignment="1">
      <alignment horizontal="center" vertical="center" wrapText="1"/>
    </xf>
    <xf numFmtId="0" fontId="56" fillId="28" borderId="20" xfId="0" applyFont="1" applyFill="1" applyBorder="1" applyAlignment="1">
      <alignment horizontal="center" vertical="center"/>
    </xf>
    <xf numFmtId="0" fontId="0" fillId="29" borderId="22" xfId="0" applyFill="1" applyBorder="1" applyAlignment="1">
      <alignment horizontal="center"/>
    </xf>
    <xf numFmtId="0" fontId="0" fillId="29" borderId="24" xfId="0" applyFill="1" applyBorder="1" applyAlignment="1">
      <alignment horizontal="center"/>
    </xf>
    <xf numFmtId="0" fontId="0" fillId="29" borderId="21" xfId="0" applyFill="1" applyBorder="1" applyAlignment="1">
      <alignment horizontal="center"/>
    </xf>
    <xf numFmtId="0" fontId="0" fillId="29" borderId="20" xfId="0" applyFill="1" applyBorder="1" applyAlignment="1">
      <alignment horizontal="center"/>
    </xf>
    <xf numFmtId="0" fontId="35" fillId="0" borderId="7" xfId="39" applyFont="1" applyBorder="1" applyAlignment="1">
      <alignment horizontal="center"/>
    </xf>
    <xf numFmtId="0" fontId="35" fillId="0" borderId="0" xfId="39" applyFont="1" applyAlignment="1">
      <alignment horizontal="center"/>
    </xf>
    <xf numFmtId="0" fontId="35" fillId="0" borderId="8" xfId="39" applyFont="1" applyBorder="1" applyAlignment="1">
      <alignment horizontal="center"/>
    </xf>
    <xf numFmtId="0" fontId="0" fillId="0" borderId="20" xfId="0" applyBorder="1" applyAlignment="1">
      <alignment horizontal="left" vertical="center" wrapText="1"/>
    </xf>
    <xf numFmtId="0" fontId="30" fillId="0" borderId="24" xfId="45" applyBorder="1" applyAlignment="1" applyProtection="1">
      <alignment horizontal="center" vertical="center"/>
    </xf>
    <xf numFmtId="0" fontId="0" fillId="25" borderId="20" xfId="0" applyFill="1" applyBorder="1" applyAlignment="1">
      <alignment horizontal="center" vertical="center"/>
    </xf>
    <xf numFmtId="2" fontId="87" fillId="46" borderId="52" xfId="50" applyNumberFormat="1" applyFont="1" applyFill="1" applyBorder="1" applyAlignment="1">
      <alignment horizontal="left" vertical="center"/>
    </xf>
    <xf numFmtId="2" fontId="87" fillId="46" borderId="53" xfId="50" applyNumberFormat="1" applyFont="1" applyFill="1" applyBorder="1" applyAlignment="1">
      <alignment horizontal="left" vertical="center"/>
    </xf>
    <xf numFmtId="0" fontId="88" fillId="0" borderId="0" xfId="50" applyFont="1" applyAlignment="1">
      <alignment horizontal="center" vertical="center" wrapText="1"/>
    </xf>
  </cellXfs>
  <cellStyles count="52">
    <cellStyle name="20% - Accent1" xfId="3" xr:uid="{00000000-0005-0000-0000-000000000000}"/>
    <cellStyle name="20% - Accent2" xfId="4" xr:uid="{00000000-0005-0000-0000-000001000000}"/>
    <cellStyle name="20% - Accent3" xfId="5" xr:uid="{00000000-0005-0000-0000-000002000000}"/>
    <cellStyle name="20% - Accent4" xfId="6" xr:uid="{00000000-0005-0000-0000-000003000000}"/>
    <cellStyle name="20% - Accent5" xfId="7" xr:uid="{00000000-0005-0000-0000-000004000000}"/>
    <cellStyle name="20% - Accent6" xfId="8" xr:uid="{00000000-0005-0000-0000-000005000000}"/>
    <cellStyle name="40% - Accent1" xfId="9" xr:uid="{00000000-0005-0000-0000-000006000000}"/>
    <cellStyle name="40% - Accent2" xfId="10" xr:uid="{00000000-0005-0000-0000-000007000000}"/>
    <cellStyle name="40% - Accent3" xfId="11" xr:uid="{00000000-0005-0000-0000-000008000000}"/>
    <cellStyle name="40% - Accent4" xfId="12" xr:uid="{00000000-0005-0000-0000-000009000000}"/>
    <cellStyle name="40% - Accent5" xfId="13" xr:uid="{00000000-0005-0000-0000-00000A000000}"/>
    <cellStyle name="40% - Accent6" xfId="14" xr:uid="{00000000-0005-0000-0000-00000B000000}"/>
    <cellStyle name="60% - Accent1" xfId="15" xr:uid="{00000000-0005-0000-0000-00000C000000}"/>
    <cellStyle name="60% - Accent2" xfId="16" xr:uid="{00000000-0005-0000-0000-00000D000000}"/>
    <cellStyle name="60% - Accent3" xfId="17" xr:uid="{00000000-0005-0000-0000-00000E000000}"/>
    <cellStyle name="60% - Accent4" xfId="18" xr:uid="{00000000-0005-0000-0000-00000F000000}"/>
    <cellStyle name="60% - Accent5" xfId="19" xr:uid="{00000000-0005-0000-0000-000010000000}"/>
    <cellStyle name="60% - Accent6" xfId="20" xr:uid="{00000000-0005-0000-0000-000011000000}"/>
    <cellStyle name="Accent1" xfId="21" xr:uid="{00000000-0005-0000-0000-000012000000}"/>
    <cellStyle name="Accent2" xfId="22" xr:uid="{00000000-0005-0000-0000-000013000000}"/>
    <cellStyle name="Accent3" xfId="23" xr:uid="{00000000-0005-0000-0000-000014000000}"/>
    <cellStyle name="Accent4" xfId="24" xr:uid="{00000000-0005-0000-0000-000015000000}"/>
    <cellStyle name="Accent5" xfId="25" xr:uid="{00000000-0005-0000-0000-000016000000}"/>
    <cellStyle name="Accent6" xfId="26" xr:uid="{00000000-0005-0000-0000-000017000000}"/>
    <cellStyle name="Bad" xfId="27" xr:uid="{00000000-0005-0000-0000-000018000000}"/>
    <cellStyle name="Calculation" xfId="28" xr:uid="{00000000-0005-0000-0000-000019000000}"/>
    <cellStyle name="Check Cell" xfId="29" xr:uid="{00000000-0005-0000-0000-00001A000000}"/>
    <cellStyle name="Comma" xfId="47" builtinId="3"/>
    <cellStyle name="Explanatory Text" xfId="30" xr:uid="{00000000-0005-0000-0000-00001B000000}"/>
    <cellStyle name="Good" xfId="31" xr:uid="{00000000-0005-0000-0000-00001C000000}"/>
    <cellStyle name="Heading 1" xfId="32" xr:uid="{00000000-0005-0000-0000-00001D000000}"/>
    <cellStyle name="Heading 2" xfId="33" xr:uid="{00000000-0005-0000-0000-00001E000000}"/>
    <cellStyle name="Heading 3" xfId="34" xr:uid="{00000000-0005-0000-0000-00001F000000}"/>
    <cellStyle name="Heading 4" xfId="35" xr:uid="{00000000-0005-0000-0000-000020000000}"/>
    <cellStyle name="Hyperlink" xfId="45" builtinId="8"/>
    <cellStyle name="Input" xfId="36" xr:uid="{00000000-0005-0000-0000-000021000000}"/>
    <cellStyle name="Linked Cell" xfId="37" xr:uid="{00000000-0005-0000-0000-000023000000}"/>
    <cellStyle name="Normal" xfId="0" builtinId="0"/>
    <cellStyle name="Normal 2" xfId="1" xr:uid="{00000000-0005-0000-0000-000025000000}"/>
    <cellStyle name="Normal 2 2" xfId="2" xr:uid="{00000000-0005-0000-0000-000026000000}"/>
    <cellStyle name="Normal 2_Calculator" xfId="38" xr:uid="{00000000-0005-0000-0000-000027000000}"/>
    <cellStyle name="Normal 27" xfId="49" xr:uid="{9F08B0BB-64B9-459C-B571-8416A41E1A4E}"/>
    <cellStyle name="Normal 3" xfId="39" xr:uid="{00000000-0005-0000-0000-000028000000}"/>
    <cellStyle name="Normal 4" xfId="50" xr:uid="{B0F86593-00DD-4284-B5B5-3E451BA0F92F}"/>
    <cellStyle name="Note" xfId="40" xr:uid="{00000000-0005-0000-0000-000029000000}"/>
    <cellStyle name="Output" xfId="41" xr:uid="{00000000-0005-0000-0000-00002A000000}"/>
    <cellStyle name="Percent" xfId="48" builtinId="5"/>
    <cellStyle name="Title" xfId="42" xr:uid="{00000000-0005-0000-0000-00002B000000}"/>
    <cellStyle name="Virgül 2" xfId="44" xr:uid="{00000000-0005-0000-0000-00002D000000}"/>
    <cellStyle name="Virgül 3" xfId="51" xr:uid="{56B8C25F-D3D8-4DB4-9406-E8A31F157472}"/>
    <cellStyle name="Warning Text" xfId="43" xr:uid="{00000000-0005-0000-0000-00002E000000}"/>
    <cellStyle name="Yüzde 2" xfId="46" xr:uid="{00000000-0005-0000-0000-000030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tmp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tmp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tmp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</xdr:rowOff>
    </xdr:from>
    <xdr:to>
      <xdr:col>11</xdr:col>
      <xdr:colOff>533819</xdr:colOff>
      <xdr:row>15</xdr:row>
      <xdr:rowOff>31401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8A2DB1C-4280-EB8F-4736-5AF8FA2DB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4"/>
          <a:ext cx="9231923" cy="2408361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17</xdr:row>
      <xdr:rowOff>0</xdr:rowOff>
    </xdr:from>
    <xdr:to>
      <xdr:col>26</xdr:col>
      <xdr:colOff>633169</xdr:colOff>
      <xdr:row>62</xdr:row>
      <xdr:rowOff>24223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FA050D-A716-EC9E-2D93-1A221C3CB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845880" y="2763592"/>
          <a:ext cx="10278909" cy="7268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1072564</xdr:colOff>
      <xdr:row>2</xdr:row>
      <xdr:rowOff>62266</xdr:rowOff>
    </xdr:from>
    <xdr:to>
      <xdr:col>4</xdr:col>
      <xdr:colOff>5340804</xdr:colOff>
      <xdr:row>2</xdr:row>
      <xdr:rowOff>1820356</xdr:rowOff>
    </xdr:to>
    <xdr:pic>
      <xdr:nvPicPr>
        <xdr:cNvPr id="2" name="Resim 1" descr="Ekran Kırpma">
          <a:extLst>
            <a:ext uri="{FF2B5EF4-FFF2-40B4-BE49-F238E27FC236}">
              <a16:creationId xmlns:a16="http://schemas.microsoft.com/office/drawing/2014/main" id="{9612B7D8-2240-4E75-94C0-E434B8CA9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69394" y="436462"/>
          <a:ext cx="4268240" cy="17580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849406</xdr:colOff>
      <xdr:row>2</xdr:row>
      <xdr:rowOff>104776</xdr:rowOff>
    </xdr:from>
    <xdr:to>
      <xdr:col>4</xdr:col>
      <xdr:colOff>3639671</xdr:colOff>
      <xdr:row>3</xdr:row>
      <xdr:rowOff>1</xdr:rowOff>
    </xdr:to>
    <xdr:pic>
      <xdr:nvPicPr>
        <xdr:cNvPr id="2" name="Resim 1" descr="Ekran Kırpma">
          <a:extLst>
            <a:ext uri="{FF2B5EF4-FFF2-40B4-BE49-F238E27FC236}">
              <a16:creationId xmlns:a16="http://schemas.microsoft.com/office/drawing/2014/main" id="{34F3332D-1C04-440A-8C47-E1E891D65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50181" y="523876"/>
          <a:ext cx="2790265" cy="7048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424184</xdr:colOff>
      <xdr:row>2</xdr:row>
      <xdr:rowOff>104777</xdr:rowOff>
    </xdr:from>
    <xdr:to>
      <xdr:col>4</xdr:col>
      <xdr:colOff>4337276</xdr:colOff>
      <xdr:row>2</xdr:row>
      <xdr:rowOff>918483</xdr:rowOff>
    </xdr:to>
    <xdr:pic>
      <xdr:nvPicPr>
        <xdr:cNvPr id="2" name="Resim 1" descr="Ekran Kırpma">
          <a:extLst>
            <a:ext uri="{FF2B5EF4-FFF2-40B4-BE49-F238E27FC236}">
              <a16:creationId xmlns:a16="http://schemas.microsoft.com/office/drawing/2014/main" id="{570EAFE9-EBA7-4155-8A85-5A67708A4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7622" y="512991"/>
          <a:ext cx="3913092" cy="8137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155122</xdr:colOff>
      <xdr:row>47</xdr:row>
      <xdr:rowOff>149678</xdr:rowOff>
    </xdr:from>
    <xdr:to>
      <xdr:col>4</xdr:col>
      <xdr:colOff>3660322</xdr:colOff>
      <xdr:row>47</xdr:row>
      <xdr:rowOff>802821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A42C5056-3CB0-462C-9D29-28C4FF55D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56765" y="18342428"/>
          <a:ext cx="3505200" cy="653143"/>
        </a:xfrm>
        <a:prstGeom prst="rect">
          <a:avLst/>
        </a:prstGeom>
      </xdr:spPr>
    </xdr:pic>
    <xdr:clientData/>
  </xdr:twoCellAnchor>
  <xdr:twoCellAnchor editAs="oneCell">
    <xdr:from>
      <xdr:col>4</xdr:col>
      <xdr:colOff>778824</xdr:colOff>
      <xdr:row>42</xdr:row>
      <xdr:rowOff>319412</xdr:rowOff>
    </xdr:from>
    <xdr:to>
      <xdr:col>4</xdr:col>
      <xdr:colOff>2104160</xdr:colOff>
      <xdr:row>43</xdr:row>
      <xdr:rowOff>249727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1885F581-0774-4C72-85BD-CB37DBEC9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85415" y="15810526"/>
          <a:ext cx="1325336" cy="25070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306969</xdr:colOff>
      <xdr:row>46</xdr:row>
      <xdr:rowOff>135874</xdr:rowOff>
    </xdr:from>
    <xdr:to>
      <xdr:col>4</xdr:col>
      <xdr:colOff>2526194</xdr:colOff>
      <xdr:row>46</xdr:row>
      <xdr:rowOff>1084308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49DD13DE-7D7C-4833-8A74-015B632A9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12839" y="16866744"/>
          <a:ext cx="2219225" cy="948434"/>
        </a:xfrm>
        <a:prstGeom prst="rect">
          <a:avLst/>
        </a:prstGeom>
      </xdr:spPr>
    </xdr:pic>
    <xdr:clientData/>
  </xdr:twoCellAnchor>
  <xdr:twoCellAnchor editAs="oneCell">
    <xdr:from>
      <xdr:col>4</xdr:col>
      <xdr:colOff>665251</xdr:colOff>
      <xdr:row>42</xdr:row>
      <xdr:rowOff>169196</xdr:rowOff>
    </xdr:from>
    <xdr:to>
      <xdr:col>4</xdr:col>
      <xdr:colOff>2466836</xdr:colOff>
      <xdr:row>42</xdr:row>
      <xdr:rowOff>1536175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603036DB-43ED-4591-A295-14EC00132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71121" y="14580935"/>
          <a:ext cx="1801585" cy="136697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1593463</xdr:colOff>
      <xdr:row>43</xdr:row>
      <xdr:rowOff>593569</xdr:rowOff>
    </xdr:from>
    <xdr:to>
      <xdr:col>5</xdr:col>
      <xdr:colOff>2375065</xdr:colOff>
      <xdr:row>45</xdr:row>
      <xdr:rowOff>75442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81B3FFD6-4E6B-4015-9E27-5A2083215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97879" y="24121556"/>
          <a:ext cx="781602" cy="632295"/>
        </a:xfrm>
        <a:prstGeom prst="rect">
          <a:avLst/>
        </a:prstGeom>
      </xdr:spPr>
    </xdr:pic>
    <xdr:clientData/>
  </xdr:twoCellAnchor>
  <xdr:twoCellAnchor editAs="oneCell">
    <xdr:from>
      <xdr:col>5</xdr:col>
      <xdr:colOff>962135</xdr:colOff>
      <xdr:row>39</xdr:row>
      <xdr:rowOff>466080</xdr:rowOff>
    </xdr:from>
    <xdr:to>
      <xdr:col>5</xdr:col>
      <xdr:colOff>2733799</xdr:colOff>
      <xdr:row>41</xdr:row>
      <xdr:rowOff>200974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B84D4B19-65BD-42DF-8167-8E3347D70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66551" y="21421080"/>
          <a:ext cx="1771664" cy="69902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590550</xdr:colOff>
      <xdr:row>7</xdr:row>
      <xdr:rowOff>142875</xdr:rowOff>
    </xdr:from>
    <xdr:to>
      <xdr:col>20</xdr:col>
      <xdr:colOff>800100</xdr:colOff>
      <xdr:row>7</xdr:row>
      <xdr:rowOff>142875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>
          <a:off x="15830550" y="1276350"/>
          <a:ext cx="171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285750</xdr:colOff>
      <xdr:row>8</xdr:row>
      <xdr:rowOff>57150</xdr:rowOff>
    </xdr:from>
    <xdr:to>
      <xdr:col>24</xdr:col>
      <xdr:colOff>19050</xdr:colOff>
      <xdr:row>8</xdr:row>
      <xdr:rowOff>57150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>
          <a:off x="13239750" y="1352550"/>
          <a:ext cx="5067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542925</xdr:colOff>
      <xdr:row>0</xdr:row>
      <xdr:rowOff>0</xdr:rowOff>
    </xdr:from>
    <xdr:to>
      <xdr:col>20</xdr:col>
      <xdr:colOff>790575</xdr:colOff>
      <xdr:row>0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>
          <a:off x="15782925" y="0"/>
          <a:ext cx="219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266700</xdr:colOff>
      <xdr:row>0</xdr:row>
      <xdr:rowOff>0</xdr:rowOff>
    </xdr:from>
    <xdr:to>
      <xdr:col>24</xdr:col>
      <xdr:colOff>0</xdr:colOff>
      <xdr:row>0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>
          <a:spLocks noChangeShapeType="1"/>
        </xdr:cNvSpPr>
      </xdr:nvSpPr>
      <xdr:spPr bwMode="auto">
        <a:xfrm>
          <a:off x="13220700" y="0"/>
          <a:ext cx="5067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447676</xdr:colOff>
      <xdr:row>2</xdr:row>
      <xdr:rowOff>161803</xdr:rowOff>
    </xdr:from>
    <xdr:ext cx="4477270" cy="5868180"/>
    <xdr:pic>
      <xdr:nvPicPr>
        <xdr:cNvPr id="2" name="Resim 2" descr="Ekran Kırpma">
          <a:extLst>
            <a:ext uri="{FF2B5EF4-FFF2-40B4-BE49-F238E27FC236}">
              <a16:creationId xmlns:a16="http://schemas.microsoft.com/office/drawing/2014/main" id="{C9FDD51F-2CC7-4660-8ADA-3B2E7CB8F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01" y="809503"/>
          <a:ext cx="4477270" cy="566815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2\Option%202%20for%20sheet%20to%20calculate%20grid%20emision%20facto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demirkol\Downloads\CDM_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DM\Clean%20Development%20Mechanism%20(CDM)\CDM02-Methodology\Meth%20Development%20and%20Improvement\Revision%20of%20methodologies%20and%20tools\Gaseous%20flow%20tool\Excel%20calculator\Excel%20spreadsheet%20for%20tool_v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_TITLE"/>
      <sheetName val="METHOD_FLOW_CHART"/>
      <sheetName val="INPUT_OUTPUT"/>
      <sheetName val="SIMPLE_OM_GRID_OPTION_A_DATA"/>
      <sheetName val="SIMPLE_OM_GRID_OPTION_A"/>
      <sheetName val="SIMPLE_OM_GRID_OPTION_B_DATA"/>
      <sheetName val="SIMPLE_OM_GRID_OPTION_B"/>
      <sheetName val="LAMBDA"/>
      <sheetName val="SIMPLE_OM_ADJUSTED_DATA"/>
      <sheetName val="SIMPLE_OM_ADJUSTED"/>
      <sheetName val="D_DATA_ANALYS_OM_OP1_ DATA"/>
      <sheetName val="D_DATA_ANALYS_OM_OP1"/>
      <sheetName val="D_DATA_ANALYS_OM_OP2_ DATA"/>
      <sheetName val="D_DATA_ANALYS_OM_OP2"/>
      <sheetName val="AVERAGE_OM_OPTION_A_DATA"/>
      <sheetName val="AVERAGE_OM_OPTION_A"/>
      <sheetName val="AVERAGE_OM_OPTION_B_DATA"/>
      <sheetName val="AVERAGE_OM_OPTION_B"/>
      <sheetName val="BUILD_MARGIN_DATA"/>
      <sheetName val="BUILD_MARGIN"/>
      <sheetName val="CONVERTION_FACTO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B3" t="str">
            <v>[kCal]</v>
          </cell>
          <cell r="G3" t="str">
            <v>[tCO2/unit]</v>
          </cell>
          <cell r="H3" t="str">
            <v>[kWh]</v>
          </cell>
        </row>
        <row r="4">
          <cell r="B4" t="str">
            <v>[BTU]</v>
          </cell>
          <cell r="G4" t="str">
            <v>[tCO2/GJ]</v>
          </cell>
          <cell r="H4" t="str">
            <v>[MWh]</v>
          </cell>
        </row>
        <row r="5">
          <cell r="B5" t="str">
            <v>[GJ]</v>
          </cell>
          <cell r="H5" t="str">
            <v>[GWh]</v>
          </cell>
        </row>
        <row r="6">
          <cell r="B6" t="str">
            <v>[MMBTU]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_TITLE"/>
      <sheetName val="INPUT_OUTPUT"/>
      <sheetName val="SIMPLE_OM_GRID_OPTION_A_DATA"/>
      <sheetName val="SIMPLE_OM_GRID_OPTION_A"/>
      <sheetName val="SIMPLE_OM_GRID_OPTION_B_DATA"/>
      <sheetName val="SIMPLE_OM_GRID_OPTION_B"/>
      <sheetName val="LAMBDA"/>
      <sheetName val="SIMPLE_OM_ADJUSTED_DATA"/>
      <sheetName val="SIMPLE_OM_ADJUSTED"/>
      <sheetName val="D_DATA_ANALYS_OM_OP1_ DATA"/>
      <sheetName val="D_DATA_ANALYS_OM_OP1"/>
      <sheetName val="D_DATA_ANALYS_OM_OP2_ DATA"/>
      <sheetName val="D_DATA_ANALYS_OM_OP2"/>
      <sheetName val="AVERAGE_OM_OPTION_A_DATA"/>
      <sheetName val="AVERAGE_OM_OPTION_A"/>
      <sheetName val="AVERAGE_OM_OPTION_B_DATA"/>
      <sheetName val="AVERAGE_OM_OPTION_B"/>
      <sheetName val="BUILDING_MARGIN_DATA"/>
      <sheetName val="BUILDING_MARGIN"/>
      <sheetName val="CONVERTION_FACTO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3">
          <cell r="B3" t="str">
            <v>[kCal]</v>
          </cell>
          <cell r="G3" t="str">
            <v>[tCO2/unit]</v>
          </cell>
          <cell r="H3" t="str">
            <v>[kWh]</v>
          </cell>
        </row>
        <row r="4">
          <cell r="B4" t="str">
            <v>[BTU]</v>
          </cell>
          <cell r="G4" t="str">
            <v>[tCO2/GJ]</v>
          </cell>
          <cell r="H4" t="str">
            <v>[MWh]</v>
          </cell>
        </row>
        <row r="5">
          <cell r="B5" t="str">
            <v>[GJ]</v>
          </cell>
          <cell r="H5" t="str">
            <v>[GWh]</v>
          </cell>
        </row>
        <row r="6">
          <cell r="B6" t="str">
            <v>[MMBTU]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finitions"/>
      <sheetName val="Calculation options"/>
      <sheetName val="Measurement option"/>
      <sheetName val="A and B"/>
      <sheetName val="C"/>
      <sheetName val="D"/>
      <sheetName val="C (2)"/>
      <sheetName val="E and F"/>
      <sheetName val="Option A"/>
      <sheetName val="List of parame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16">
          <cell r="B116" t="str">
            <v>C2F6</v>
          </cell>
        </row>
        <row r="117">
          <cell r="B117" t="str">
            <v>C3F8</v>
          </cell>
        </row>
        <row r="118">
          <cell r="B118" t="str">
            <v>C4F10</v>
          </cell>
        </row>
        <row r="119">
          <cell r="B119" t="str">
            <v>C5F12</v>
          </cell>
        </row>
        <row r="120">
          <cell r="B120" t="str">
            <v>C6F14</v>
          </cell>
        </row>
        <row r="121">
          <cell r="B121" t="str">
            <v>c-C4F8</v>
          </cell>
        </row>
        <row r="122">
          <cell r="B122" t="str">
            <v>CF4</v>
          </cell>
        </row>
        <row r="123">
          <cell r="B123" t="str">
            <v>CH4</v>
          </cell>
        </row>
        <row r="124">
          <cell r="B124" t="str">
            <v>CO2</v>
          </cell>
        </row>
        <row r="125">
          <cell r="B125" t="str">
            <v>N2O</v>
          </cell>
        </row>
        <row r="126">
          <cell r="B126" t="str">
            <v>SF6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epdk.gov.tr/Detay/Icerik/3-0-0-102/yillik-rapor-elektrik-piyasasi-gelisim-raporlari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epdk.gov.tr/Detay/Icerik/3-0-0-102/yillik-rapor-elektrik-piyasasi-gelisim-raporlari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teias.gov.tr/T%C3%BCrkiyeElektrik%C4%B0statistikleri/istatistik2010/front%20page%202010-%C3%A7i%C3%A7ek%20kitap/uretim%20tuketim(22-45)/33(84-10).xls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hyperlink" Target="https://unfccc.int/documents/461898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gm.gov.tr/veridegerlendirme/il-ve-ilceler-istatistik.aspx?m=KONYA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globalgoals.goldstandard.org/standards/PRE-GS4GG-Energy/ghg-ers-from-manure-management-systems-and-municipal-solid-waste-1.pdf" TargetMode="External"/><Relationship Id="rId2" Type="http://schemas.openxmlformats.org/officeDocument/2006/relationships/hyperlink" Target="https://www.ipcc-nggip.iges.or.jp/public/gp/bgp/4_2_CH4_and_N2O_Livestock_Manure.pdf" TargetMode="External"/><Relationship Id="rId1" Type="http://schemas.openxmlformats.org/officeDocument/2006/relationships/hyperlink" Target="http://www.steamtablesonline.com/steam97web.aspx" TargetMode="External"/><Relationship Id="rId5" Type="http://schemas.openxmlformats.org/officeDocument/2006/relationships/drawing" Target="../drawings/drawing2.xml"/><Relationship Id="rId4" Type="http://schemas.openxmlformats.org/officeDocument/2006/relationships/hyperlink" Target="https://globalgoals.goldstandard.org/standards/PRE-GS4GG-Energy/ghg-ers-from-manure-management-systems-and-municipal-solid-waste-1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globalgoals.goldstandard.org/standards/PRE-GS4GG-Energy/ghg-ers-from-manure-management-systems-and-municipal-solid-waste-1.pdf" TargetMode="External"/><Relationship Id="rId2" Type="http://schemas.openxmlformats.org/officeDocument/2006/relationships/hyperlink" Target="https://www.ipcc-nggip.iges.or.jp/public/gp/bgp/4_2_CH4_and_N2O_Livestock_Manure.pdf" TargetMode="External"/><Relationship Id="rId1" Type="http://schemas.openxmlformats.org/officeDocument/2006/relationships/hyperlink" Target="http://www.steamtablesonline.com/steam97web.aspx" TargetMode="External"/><Relationship Id="rId5" Type="http://schemas.openxmlformats.org/officeDocument/2006/relationships/drawing" Target="../drawings/drawing3.xml"/><Relationship Id="rId4" Type="http://schemas.openxmlformats.org/officeDocument/2006/relationships/hyperlink" Target="https://globalgoals.goldstandard.org/standards/PRE-GS4GG-Energy/ghg-ers-from-manure-management-systems-and-municipal-solid-waste-1.pdf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globalgoals.goldstandard.org/standards/PRE-GS4GG-Energy/ghg-ers-from-manure-management-systems-and-municipal-solid-waste-1.pdf" TargetMode="External"/><Relationship Id="rId2" Type="http://schemas.openxmlformats.org/officeDocument/2006/relationships/hyperlink" Target="https://globalgoals.goldstandard.org/standards/PRE-GS4GG-Energy/ghg-ers-from-manure-management-systems-and-municipal-solid-waste-1.pdf" TargetMode="External"/><Relationship Id="rId1" Type="http://schemas.openxmlformats.org/officeDocument/2006/relationships/hyperlink" Target="http://www.steamtablesonline.com/steam97web.aspx" TargetMode="External"/><Relationship Id="rId4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epdk.gov.tr/Detay/Icerik/3-0-0-102/yillik-rapor-elektrik-piyasasi-gelisim-raporlar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8" sqref="C8"/>
    </sheetView>
  </sheetViews>
  <sheetFormatPr defaultColWidth="9" defaultRowHeight="12.75"/>
  <sheetData/>
  <phoneticPr fontId="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FBF7F-6FB8-43ED-88D4-3E38826CECD1}">
  <dimension ref="A1:N52"/>
  <sheetViews>
    <sheetView topLeftCell="A13" zoomScale="84" zoomScaleNormal="100" workbookViewId="0">
      <selection activeCell="D25" sqref="D25"/>
    </sheetView>
  </sheetViews>
  <sheetFormatPr defaultRowHeight="12.75"/>
  <cols>
    <col min="1" max="1" width="31" customWidth="1"/>
    <col min="2" max="2" width="14.75" customWidth="1"/>
    <col min="3" max="3" width="27.125" customWidth="1"/>
    <col min="4" max="4" width="21.75" customWidth="1"/>
    <col min="5" max="5" width="42.625" customWidth="1"/>
    <col min="6" max="6" width="52.25" customWidth="1"/>
    <col min="7" max="7" width="53.875" customWidth="1"/>
    <col min="9" max="9" width="42.625" customWidth="1"/>
    <col min="10" max="10" width="58.375" customWidth="1"/>
    <col min="11" max="11" width="46.5" customWidth="1"/>
    <col min="13" max="13" width="9.125" bestFit="1" customWidth="1"/>
    <col min="14" max="14" width="9.75" bestFit="1" customWidth="1"/>
  </cols>
  <sheetData>
    <row r="1" spans="1:7" ht="13.5" thickBot="1">
      <c r="A1" s="1" t="s">
        <v>15</v>
      </c>
      <c r="B1" s="1" t="s">
        <v>0</v>
      </c>
      <c r="C1" s="1" t="s">
        <v>3</v>
      </c>
      <c r="D1" s="1" t="s">
        <v>16</v>
      </c>
      <c r="E1" s="1" t="s">
        <v>1</v>
      </c>
      <c r="F1" s="1" t="s">
        <v>2</v>
      </c>
      <c r="G1" s="1" t="s">
        <v>5</v>
      </c>
    </row>
    <row r="2" spans="1:7" ht="38.25">
      <c r="A2" s="297" t="s">
        <v>165</v>
      </c>
      <c r="B2" s="72" t="s">
        <v>36</v>
      </c>
      <c r="C2" s="72" t="s">
        <v>52</v>
      </c>
      <c r="D2" s="298">
        <f>D3*D4*D5</f>
        <v>4621.5154493760001</v>
      </c>
      <c r="E2" s="72" t="s">
        <v>286</v>
      </c>
      <c r="F2" s="72" t="s">
        <v>166</v>
      </c>
      <c r="G2" s="73" t="s">
        <v>181</v>
      </c>
    </row>
    <row r="3" spans="1:7" ht="43.5" thickBot="1">
      <c r="A3" s="74" t="s">
        <v>161</v>
      </c>
      <c r="B3" s="75" t="s">
        <v>162</v>
      </c>
      <c r="C3" s="75" t="s">
        <v>138</v>
      </c>
      <c r="D3" s="229">
        <f>14663657*0.6*D6</f>
        <v>5894.7901139999994</v>
      </c>
      <c r="E3" s="127" t="s">
        <v>425</v>
      </c>
      <c r="F3" s="228" t="s">
        <v>426</v>
      </c>
      <c r="G3" s="230" t="s">
        <v>429</v>
      </c>
    </row>
    <row r="4" spans="1:7" ht="25.5">
      <c r="A4" s="74" t="s">
        <v>163</v>
      </c>
      <c r="B4" s="75" t="s">
        <v>139</v>
      </c>
      <c r="C4" s="75"/>
      <c r="D4" s="77">
        <v>2.8000000000000001E-2</v>
      </c>
      <c r="E4" s="75"/>
      <c r="F4" s="72" t="s">
        <v>166</v>
      </c>
      <c r="G4" s="76" t="s">
        <v>140</v>
      </c>
    </row>
    <row r="5" spans="1:7" ht="26.25" thickBot="1">
      <c r="A5" s="78" t="s">
        <v>164</v>
      </c>
      <c r="B5" s="79"/>
      <c r="C5" s="80" t="s">
        <v>26</v>
      </c>
      <c r="D5" s="81">
        <v>28</v>
      </c>
      <c r="E5" s="79"/>
      <c r="F5" s="79" t="s">
        <v>149</v>
      </c>
      <c r="G5" s="82"/>
    </row>
    <row r="6" spans="1:7" ht="25.5">
      <c r="A6" s="8" t="s">
        <v>287</v>
      </c>
      <c r="B6" s="1" t="s">
        <v>58</v>
      </c>
      <c r="C6" s="1" t="s">
        <v>29</v>
      </c>
      <c r="D6" s="1">
        <v>6.7000000000000002E-4</v>
      </c>
      <c r="E6" s="1"/>
      <c r="F6" s="1" t="s">
        <v>122</v>
      </c>
      <c r="G6" s="5"/>
    </row>
    <row r="7" spans="1:7" ht="25.5">
      <c r="A7" s="8" t="s">
        <v>288</v>
      </c>
      <c r="B7" s="1"/>
      <c r="C7" s="1" t="s">
        <v>289</v>
      </c>
      <c r="D7" s="11">
        <f>'Baseline Emission in 2023'!D6</f>
        <v>0.67</v>
      </c>
      <c r="E7" s="1"/>
      <c r="F7" s="1" t="s">
        <v>47</v>
      </c>
      <c r="G7" s="5" t="s">
        <v>144</v>
      </c>
    </row>
    <row r="8" spans="1:7" ht="38.25">
      <c r="A8" s="8" t="s">
        <v>145</v>
      </c>
      <c r="B8" s="1" t="s">
        <v>290</v>
      </c>
      <c r="C8" s="1" t="s">
        <v>291</v>
      </c>
      <c r="D8" s="1">
        <f>'Baseline Emission in 2023'!D8</f>
        <v>0.24</v>
      </c>
      <c r="E8" s="1"/>
      <c r="F8" s="1" t="s">
        <v>48</v>
      </c>
      <c r="G8" s="5" t="s">
        <v>114</v>
      </c>
    </row>
    <row r="9" spans="1:7" ht="25.5">
      <c r="A9" s="8" t="s">
        <v>55</v>
      </c>
      <c r="B9" s="1"/>
      <c r="C9" s="1" t="s">
        <v>56</v>
      </c>
      <c r="D9" s="4">
        <v>1</v>
      </c>
      <c r="E9" s="1"/>
      <c r="F9" s="1"/>
      <c r="G9" s="5"/>
    </row>
    <row r="10" spans="1:7" ht="13.5" thickBot="1">
      <c r="A10" s="299" t="s">
        <v>292</v>
      </c>
      <c r="B10" s="6"/>
      <c r="C10" s="6" t="s">
        <v>293</v>
      </c>
      <c r="D10" s="6"/>
      <c r="E10" s="6"/>
      <c r="F10" s="6"/>
      <c r="G10" s="300"/>
    </row>
    <row r="11" spans="1:7" ht="13.5" thickBot="1">
      <c r="A11" s="1"/>
      <c r="B11" s="1"/>
      <c r="C11" s="1"/>
      <c r="D11" s="1"/>
      <c r="E11" s="1"/>
      <c r="F11" s="1"/>
      <c r="G11" s="1"/>
    </row>
    <row r="12" spans="1:7" ht="25.5">
      <c r="A12" s="301" t="s">
        <v>294</v>
      </c>
      <c r="B12" s="96" t="s">
        <v>37</v>
      </c>
      <c r="C12" s="96" t="s">
        <v>38</v>
      </c>
      <c r="D12" s="96">
        <f>D15*(1-D14)*D13</f>
        <v>0</v>
      </c>
      <c r="E12" s="96" t="s">
        <v>295</v>
      </c>
      <c r="F12" s="96" t="s">
        <v>39</v>
      </c>
      <c r="G12" s="302" t="s">
        <v>41</v>
      </c>
    </row>
    <row r="13" spans="1:7" ht="25.5">
      <c r="A13" s="100" t="s">
        <v>296</v>
      </c>
      <c r="B13" s="97"/>
      <c r="C13" s="303" t="s">
        <v>26</v>
      </c>
      <c r="D13" s="98">
        <v>28</v>
      </c>
      <c r="E13" s="97"/>
      <c r="F13" s="97"/>
      <c r="G13" s="99"/>
    </row>
    <row r="14" spans="1:7" ht="14.25">
      <c r="A14" s="100" t="s">
        <v>297</v>
      </c>
      <c r="B14" s="97"/>
      <c r="C14" s="97" t="s">
        <v>40</v>
      </c>
      <c r="D14" s="304">
        <v>0.5</v>
      </c>
      <c r="E14" s="97"/>
      <c r="F14" s="97" t="s">
        <v>115</v>
      </c>
      <c r="G14" s="99" t="s">
        <v>118</v>
      </c>
    </row>
    <row r="15" spans="1:7" ht="25.5">
      <c r="A15" s="100" t="s">
        <v>298</v>
      </c>
      <c r="B15" s="97"/>
      <c r="C15" s="97" t="s">
        <v>42</v>
      </c>
      <c r="D15" s="97">
        <f>D16*D17*D18</f>
        <v>0</v>
      </c>
      <c r="E15" s="97" t="s">
        <v>299</v>
      </c>
      <c r="F15" s="97"/>
      <c r="G15" s="99"/>
    </row>
    <row r="16" spans="1:7" ht="38.25">
      <c r="A16" s="100" t="s">
        <v>300</v>
      </c>
      <c r="B16" s="97" t="s">
        <v>301</v>
      </c>
      <c r="C16" s="97" t="s">
        <v>60</v>
      </c>
      <c r="D16" s="97">
        <v>0</v>
      </c>
      <c r="E16" s="97"/>
      <c r="F16" s="97"/>
      <c r="G16" s="99"/>
    </row>
    <row r="17" spans="1:7" ht="38.25">
      <c r="A17" s="100" t="s">
        <v>117</v>
      </c>
      <c r="B17" s="97" t="s">
        <v>61</v>
      </c>
      <c r="C17" s="97" t="s">
        <v>59</v>
      </c>
      <c r="D17" s="304">
        <v>0.6</v>
      </c>
      <c r="E17" s="97"/>
      <c r="F17" s="97"/>
      <c r="G17" s="99" t="s">
        <v>62</v>
      </c>
    </row>
    <row r="18" spans="1:7" ht="26.25" thickBot="1">
      <c r="A18" s="101" t="s">
        <v>57</v>
      </c>
      <c r="B18" s="102" t="s">
        <v>58</v>
      </c>
      <c r="C18" s="102" t="s">
        <v>43</v>
      </c>
      <c r="D18" s="102">
        <v>6.7000000000000002E-4</v>
      </c>
      <c r="E18" s="102"/>
      <c r="F18" s="102"/>
      <c r="G18" s="305"/>
    </row>
    <row r="19" spans="1:7" ht="13.5" thickBot="1">
      <c r="A19" s="1"/>
      <c r="B19" s="1"/>
      <c r="C19" s="1"/>
      <c r="D19" s="1"/>
      <c r="E19" s="1"/>
      <c r="F19" s="1"/>
      <c r="G19" s="1"/>
    </row>
    <row r="20" spans="1:7" ht="25.5">
      <c r="A20" s="306" t="s">
        <v>302</v>
      </c>
      <c r="B20" s="103" t="s">
        <v>4</v>
      </c>
      <c r="C20" s="103" t="s">
        <v>120</v>
      </c>
      <c r="D20" s="307">
        <f>D21*D24*(1+D22)</f>
        <v>1538.4277787780161</v>
      </c>
      <c r="E20" s="103" t="s">
        <v>303</v>
      </c>
      <c r="F20" s="308"/>
      <c r="G20" s="309"/>
    </row>
    <row r="21" spans="1:7" ht="51">
      <c r="A21" s="104" t="s">
        <v>146</v>
      </c>
      <c r="B21" s="105" t="s">
        <v>63</v>
      </c>
      <c r="C21" s="105" t="s">
        <v>304</v>
      </c>
      <c r="D21" s="123">
        <f>'Baseline Emission in 2023'!D23*0.1</f>
        <v>2621.51694</v>
      </c>
      <c r="E21" s="105"/>
      <c r="F21" s="106" t="s">
        <v>121</v>
      </c>
      <c r="G21" s="109"/>
    </row>
    <row r="22" spans="1:7" ht="25.5">
      <c r="A22" s="104" t="s">
        <v>147</v>
      </c>
      <c r="B22" s="105" t="s">
        <v>61</v>
      </c>
      <c r="C22" s="105" t="s">
        <v>148</v>
      </c>
      <c r="D22" s="107">
        <f>5.7%</f>
        <v>5.7000000000000002E-2</v>
      </c>
      <c r="E22" s="105"/>
      <c r="F22" s="108" t="s">
        <v>430</v>
      </c>
      <c r="G22" s="265" t="s">
        <v>431</v>
      </c>
    </row>
    <row r="23" spans="1:7">
      <c r="A23" s="104" t="s">
        <v>14</v>
      </c>
      <c r="B23" s="105" t="s">
        <v>13</v>
      </c>
      <c r="C23" s="105" t="s">
        <v>12</v>
      </c>
      <c r="D23" s="110">
        <v>7000</v>
      </c>
      <c r="E23" s="105"/>
      <c r="F23" s="106"/>
      <c r="G23" s="109"/>
    </row>
    <row r="24" spans="1:7" ht="27.75" thickBot="1">
      <c r="A24" s="111" t="s">
        <v>65</v>
      </c>
      <c r="B24" s="112" t="s">
        <v>11</v>
      </c>
      <c r="C24" s="112" t="s">
        <v>305</v>
      </c>
      <c r="D24" s="113">
        <v>0.55520000000000003</v>
      </c>
      <c r="E24" s="112"/>
      <c r="F24" s="112"/>
      <c r="G24" s="310"/>
    </row>
    <row r="25" spans="1:7" ht="13.5" thickBot="1">
      <c r="A25" s="2"/>
      <c r="B25" s="2"/>
      <c r="C25" s="2"/>
      <c r="D25" s="9"/>
      <c r="E25" s="2"/>
      <c r="F25" s="2"/>
      <c r="G25" s="1"/>
    </row>
    <row r="26" spans="1:7" ht="25.5">
      <c r="A26" s="311" t="s">
        <v>306</v>
      </c>
      <c r="B26" s="83" t="s">
        <v>307</v>
      </c>
      <c r="C26" s="83" t="s">
        <v>53</v>
      </c>
      <c r="D26" s="312">
        <f>+D27*D29*D30*0.000001</f>
        <v>3491.5609559999998</v>
      </c>
      <c r="E26" s="313"/>
      <c r="F26" s="84" t="s">
        <v>155</v>
      </c>
      <c r="G26" s="85" t="s">
        <v>156</v>
      </c>
    </row>
    <row r="27" spans="1:7" ht="51">
      <c r="A27" s="86" t="s">
        <v>50</v>
      </c>
      <c r="B27" s="87" t="s">
        <v>54</v>
      </c>
      <c r="C27" s="87" t="s">
        <v>51</v>
      </c>
      <c r="D27" s="88">
        <f>J39</f>
        <v>160156</v>
      </c>
      <c r="E27" s="89"/>
      <c r="F27" s="87"/>
      <c r="G27" s="90"/>
    </row>
    <row r="28" spans="1:7" ht="51">
      <c r="A28" s="86" t="s">
        <v>157</v>
      </c>
      <c r="B28" s="87" t="s">
        <v>141</v>
      </c>
      <c r="C28" s="87" t="s">
        <v>158</v>
      </c>
      <c r="D28" s="88">
        <f>+D27</f>
        <v>160156</v>
      </c>
      <c r="E28" s="89"/>
      <c r="F28" s="88"/>
      <c r="G28" s="90"/>
    </row>
    <row r="29" spans="1:7" ht="51">
      <c r="A29" s="86" t="s">
        <v>152</v>
      </c>
      <c r="B29" s="87" t="s">
        <v>153</v>
      </c>
      <c r="C29" s="87" t="s">
        <v>154</v>
      </c>
      <c r="D29" s="88">
        <v>129</v>
      </c>
      <c r="E29" s="89"/>
      <c r="F29" s="87" t="s">
        <v>155</v>
      </c>
      <c r="G29" s="90" t="s">
        <v>156</v>
      </c>
    </row>
    <row r="30" spans="1:7" ht="64.5" thickBot="1">
      <c r="A30" s="91" t="s">
        <v>159</v>
      </c>
      <c r="B30" s="92" t="s">
        <v>142</v>
      </c>
      <c r="C30" s="92" t="s">
        <v>160</v>
      </c>
      <c r="D30" s="93">
        <v>169</v>
      </c>
      <c r="E30" s="94"/>
      <c r="F30" s="92"/>
      <c r="G30" s="95"/>
    </row>
    <row r="31" spans="1:7">
      <c r="A31" s="7"/>
      <c r="B31" s="2"/>
      <c r="C31" s="1"/>
      <c r="D31" s="1"/>
      <c r="E31" s="5"/>
      <c r="F31" s="2"/>
      <c r="G31" s="2"/>
    </row>
    <row r="32" spans="1:7">
      <c r="A32" s="7"/>
      <c r="B32" s="10"/>
      <c r="C32" s="1"/>
      <c r="D32" s="1"/>
      <c r="E32" s="1"/>
      <c r="F32" s="2"/>
      <c r="G32" s="2"/>
    </row>
    <row r="33" spans="1:14" ht="13.5" thickBot="1">
      <c r="A33" s="7"/>
      <c r="B33" s="10"/>
      <c r="C33" s="1"/>
      <c r="D33" s="1"/>
      <c r="E33" s="5"/>
      <c r="F33" s="2"/>
      <c r="G33" s="314"/>
    </row>
    <row r="34" spans="1:14" ht="15" thickBot="1">
      <c r="A34" s="315" t="s">
        <v>44</v>
      </c>
      <c r="B34" s="114" t="s">
        <v>36</v>
      </c>
      <c r="C34" s="114" t="s">
        <v>45</v>
      </c>
      <c r="D34" s="316">
        <f>ROUNDDOWN(D2+D12+D20+D26,0)</f>
        <v>9651</v>
      </c>
      <c r="E34" s="114" t="s">
        <v>167</v>
      </c>
      <c r="F34" s="114"/>
      <c r="G34" s="115"/>
    </row>
    <row r="36" spans="1:14" ht="13.5" thickBot="1"/>
    <row r="37" spans="1:14" ht="13.5" thickBot="1">
      <c r="I37" s="468"/>
      <c r="J37" s="469" t="s">
        <v>441</v>
      </c>
      <c r="K37" s="470" t="s">
        <v>442</v>
      </c>
    </row>
    <row r="38" spans="1:14" ht="15.75">
      <c r="I38" s="471" t="s">
        <v>483</v>
      </c>
      <c r="J38" s="472">
        <v>70191</v>
      </c>
      <c r="K38" s="472">
        <v>13633</v>
      </c>
      <c r="M38" s="116">
        <f>SUM(J38:K38)</f>
        <v>83824</v>
      </c>
      <c r="N38" s="473"/>
    </row>
    <row r="39" spans="1:14" ht="16.5" thickBot="1">
      <c r="I39" s="474">
        <v>2023</v>
      </c>
      <c r="J39" s="472">
        <v>160156</v>
      </c>
      <c r="K39" s="472">
        <v>22293</v>
      </c>
      <c r="M39" s="116">
        <f>SUM(J39:K39)</f>
        <v>182449</v>
      </c>
      <c r="N39" s="473"/>
    </row>
    <row r="40" spans="1:14" ht="20.25" thickBot="1">
      <c r="A40" s="575" t="s">
        <v>444</v>
      </c>
      <c r="B40" s="576"/>
      <c r="C40" s="576"/>
      <c r="D40" s="576"/>
      <c r="E40" s="576"/>
      <c r="F40" s="577"/>
      <c r="I40" s="475" t="s">
        <v>484</v>
      </c>
      <c r="J40" s="472">
        <v>74640</v>
      </c>
      <c r="K40" s="472">
        <v>8869</v>
      </c>
      <c r="M40" s="116">
        <f>SUM(J40:K40)</f>
        <v>83509</v>
      </c>
      <c r="N40" s="473"/>
    </row>
    <row r="41" spans="1:14">
      <c r="A41" s="478" t="s">
        <v>15</v>
      </c>
      <c r="B41" s="478" t="s">
        <v>0</v>
      </c>
      <c r="C41" s="478" t="s">
        <v>3</v>
      </c>
      <c r="D41" s="478" t="s">
        <v>16</v>
      </c>
      <c r="E41" s="478" t="s">
        <v>113</v>
      </c>
      <c r="F41" s="479" t="s">
        <v>2</v>
      </c>
      <c r="I41" t="s">
        <v>443</v>
      </c>
      <c r="J41" s="116">
        <f>SUM(J38:J40)</f>
        <v>304987</v>
      </c>
      <c r="K41" s="116">
        <f>SUM(K38:K40)</f>
        <v>44795</v>
      </c>
      <c r="M41" s="116">
        <f>J41+K41</f>
        <v>349782</v>
      </c>
    </row>
    <row r="42" spans="1:14" ht="38.25">
      <c r="A42" s="481" t="s">
        <v>447</v>
      </c>
      <c r="B42" s="482" t="s">
        <v>448</v>
      </c>
      <c r="C42" s="482" t="s">
        <v>449</v>
      </c>
      <c r="D42" s="483">
        <f>K45</f>
        <v>13550.346953308548</v>
      </c>
      <c r="E42" s="484" t="s">
        <v>181</v>
      </c>
      <c r="F42" s="485" t="s">
        <v>450</v>
      </c>
      <c r="J42" s="116"/>
    </row>
    <row r="43" spans="1:14" ht="140.25" customHeight="1" thickBot="1">
      <c r="A43" s="481" t="s">
        <v>451</v>
      </c>
      <c r="B43" s="482" t="s">
        <v>452</v>
      </c>
      <c r="C43" s="482" t="s">
        <v>449</v>
      </c>
      <c r="D43" s="486">
        <f>D42*1000</f>
        <v>13550346.953308549</v>
      </c>
      <c r="E43" s="482"/>
      <c r="F43" s="485" t="s">
        <v>450</v>
      </c>
    </row>
    <row r="44" spans="1:14" ht="39" thickBot="1">
      <c r="A44" s="481" t="s">
        <v>453</v>
      </c>
      <c r="B44" s="482" t="s">
        <v>454</v>
      </c>
      <c r="C44" s="482" t="s">
        <v>455</v>
      </c>
      <c r="D44" s="486">
        <f>J45+J46+J47</f>
        <v>22663794</v>
      </c>
      <c r="E44" s="484" t="s">
        <v>181</v>
      </c>
      <c r="F44" s="485"/>
      <c r="J44" s="476" t="s">
        <v>445</v>
      </c>
      <c r="K44" s="477" t="s">
        <v>446</v>
      </c>
    </row>
    <row r="45" spans="1:14" ht="39" thickBot="1">
      <c r="A45" s="481" t="s">
        <v>453</v>
      </c>
      <c r="B45" s="482" t="s">
        <v>456</v>
      </c>
      <c r="C45" s="482" t="s">
        <v>455</v>
      </c>
      <c r="D45" s="486"/>
      <c r="E45" s="484" t="s">
        <v>181</v>
      </c>
      <c r="F45" s="485" t="s">
        <v>457</v>
      </c>
      <c r="I45" s="471" t="s">
        <v>483</v>
      </c>
      <c r="J45" s="501">
        <f>'Biogas Information'!B21</f>
        <v>5629623</v>
      </c>
      <c r="K45" s="480">
        <f>J45*K50/100*D47/1000</f>
        <v>13550.346953308548</v>
      </c>
    </row>
    <row r="46" spans="1:14" ht="51.75" thickBot="1">
      <c r="A46" s="481" t="s">
        <v>459</v>
      </c>
      <c r="B46" s="482" t="s">
        <v>460</v>
      </c>
      <c r="C46" s="482" t="s">
        <v>461</v>
      </c>
      <c r="D46" s="489"/>
      <c r="E46" s="490" t="s">
        <v>181</v>
      </c>
      <c r="F46" s="485" t="s">
        <v>462</v>
      </c>
      <c r="I46" s="474">
        <v>2023</v>
      </c>
      <c r="J46" s="501">
        <f>'Biogas Information'!B22</f>
        <v>14663657</v>
      </c>
      <c r="K46" s="480">
        <f>J46*K51/100*D47/1000</f>
        <v>32744.575193243909</v>
      </c>
    </row>
    <row r="47" spans="1:14" ht="114" customHeight="1" thickBot="1">
      <c r="A47" s="481" t="s">
        <v>463</v>
      </c>
      <c r="B47" s="482" t="s">
        <v>464</v>
      </c>
      <c r="C47" s="482" t="s">
        <v>465</v>
      </c>
      <c r="D47" s="493">
        <f>+(D48*D49)/(D50*D51)</f>
        <v>4.0637723436223547</v>
      </c>
      <c r="E47" s="482"/>
      <c r="F47" s="485" t="s">
        <v>466</v>
      </c>
      <c r="I47" s="475" t="s">
        <v>484</v>
      </c>
      <c r="J47" s="501">
        <f>'Biogas Information'!B23</f>
        <v>2370514</v>
      </c>
      <c r="K47" s="480">
        <f>J47*K52/100*D47/1000</f>
        <v>5433.7835029026819</v>
      </c>
    </row>
    <row r="48" spans="1:14" ht="39" thickBot="1">
      <c r="A48" s="481" t="s">
        <v>467</v>
      </c>
      <c r="B48" s="482" t="s">
        <v>468</v>
      </c>
      <c r="C48" s="482" t="s">
        <v>469</v>
      </c>
      <c r="D48" s="482">
        <v>600</v>
      </c>
      <c r="E48" s="484" t="s">
        <v>181</v>
      </c>
      <c r="F48" s="485" t="s">
        <v>470</v>
      </c>
    </row>
    <row r="49" spans="1:13" ht="26.25" thickBot="1">
      <c r="A49" s="481" t="s">
        <v>471</v>
      </c>
      <c r="B49" s="482" t="s">
        <v>472</v>
      </c>
      <c r="C49" s="482" t="s">
        <v>473</v>
      </c>
      <c r="D49" s="482">
        <v>16.04</v>
      </c>
      <c r="E49" s="484" t="s">
        <v>181</v>
      </c>
      <c r="F49" s="485" t="s">
        <v>474</v>
      </c>
      <c r="J49" s="487"/>
      <c r="K49" s="488" t="s">
        <v>458</v>
      </c>
    </row>
    <row r="50" spans="1:13">
      <c r="A50" s="481" t="s">
        <v>475</v>
      </c>
      <c r="B50" s="482" t="s">
        <v>476</v>
      </c>
      <c r="C50" s="482" t="s">
        <v>477</v>
      </c>
      <c r="D50" s="482">
        <v>8.3140000000000001</v>
      </c>
      <c r="E50" s="484" t="s">
        <v>181</v>
      </c>
      <c r="F50" s="485" t="s">
        <v>478</v>
      </c>
      <c r="J50" s="491">
        <v>2022</v>
      </c>
      <c r="K50" s="492">
        <f>'Biogas Information'!B9</f>
        <v>59.23</v>
      </c>
      <c r="M50">
        <f>(K50+K51+K52)/3</f>
        <v>56.862222222222222</v>
      </c>
    </row>
    <row r="51" spans="1:13" ht="25.5">
      <c r="A51" s="496" t="s">
        <v>479</v>
      </c>
      <c r="B51" s="497" t="s">
        <v>480</v>
      </c>
      <c r="C51" s="497" t="s">
        <v>481</v>
      </c>
      <c r="D51" s="497">
        <f>273.15+11.7</f>
        <v>284.84999999999997</v>
      </c>
      <c r="E51" s="498" t="s">
        <v>181</v>
      </c>
      <c r="F51" s="499" t="s">
        <v>482</v>
      </c>
      <c r="J51" s="494">
        <v>2023</v>
      </c>
      <c r="K51" s="492">
        <f>'Biogas Information'!E15</f>
        <v>54.949999999999996</v>
      </c>
    </row>
    <row r="52" spans="1:13" ht="13.5" thickBot="1">
      <c r="J52" s="495">
        <v>2024</v>
      </c>
      <c r="K52" s="492">
        <f>'Biogas Information'!H9</f>
        <v>56.406666666666673</v>
      </c>
    </row>
  </sheetData>
  <mergeCells count="1">
    <mergeCell ref="A40:F40"/>
  </mergeCells>
  <dataValidations count="1">
    <dataValidation allowBlank="1" showInputMessage="1" showErrorMessage="1" sqref="D13 D5" xr:uid="{FBB8BA8E-025E-473B-B1A9-BD9B187B1E57}"/>
  </dataValidations>
  <hyperlinks>
    <hyperlink ref="F22" r:id="rId1" xr:uid="{BE90B53C-2E22-4E1C-B1F4-788EDE3D7B8E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DAD38-C394-4486-8465-B79EDBCF5BAE}">
  <dimension ref="A1:O50"/>
  <sheetViews>
    <sheetView topLeftCell="A18" zoomScale="65" workbookViewId="0">
      <selection activeCell="D25" sqref="D25"/>
    </sheetView>
  </sheetViews>
  <sheetFormatPr defaultRowHeight="12.75"/>
  <cols>
    <col min="3" max="3" width="20.875" customWidth="1"/>
    <col min="4" max="4" width="29.25" customWidth="1"/>
    <col min="5" max="5" width="51.5" customWidth="1"/>
    <col min="6" max="6" width="51.75" customWidth="1"/>
    <col min="7" max="7" width="95.5" customWidth="1"/>
    <col min="10" max="10" width="39.5" customWidth="1"/>
    <col min="11" max="11" width="33.875" customWidth="1"/>
    <col min="12" max="12" width="25.75" customWidth="1"/>
  </cols>
  <sheetData>
    <row r="1" spans="1:7" ht="32.25" thickBot="1">
      <c r="A1" s="366" t="s">
        <v>15</v>
      </c>
      <c r="B1" s="366" t="s">
        <v>0</v>
      </c>
      <c r="C1" s="366" t="s">
        <v>3</v>
      </c>
      <c r="D1" s="366" t="s">
        <v>16</v>
      </c>
      <c r="E1" s="366" t="s">
        <v>1</v>
      </c>
      <c r="F1" s="366" t="s">
        <v>2</v>
      </c>
      <c r="G1" s="366" t="s">
        <v>5</v>
      </c>
    </row>
    <row r="2" spans="1:7" ht="63">
      <c r="A2" s="377" t="s">
        <v>165</v>
      </c>
      <c r="B2" s="378" t="s">
        <v>36</v>
      </c>
      <c r="C2" s="378" t="s">
        <v>52</v>
      </c>
      <c r="D2" s="379">
        <f>D3*D4*D5</f>
        <v>747.11015635199988</v>
      </c>
      <c r="E2" s="378" t="s">
        <v>333</v>
      </c>
      <c r="F2" s="378" t="s">
        <v>166</v>
      </c>
      <c r="G2" s="380" t="s">
        <v>181</v>
      </c>
    </row>
    <row r="3" spans="1:7" ht="63.75" thickBot="1">
      <c r="A3" s="381" t="s">
        <v>334</v>
      </c>
      <c r="B3" s="382" t="s">
        <v>335</v>
      </c>
      <c r="C3" s="382" t="s">
        <v>138</v>
      </c>
      <c r="D3" s="229">
        <f>2370514*0.6*D6</f>
        <v>952.94662799999992</v>
      </c>
      <c r="E3" s="127" t="s">
        <v>425</v>
      </c>
      <c r="F3" s="228" t="s">
        <v>426</v>
      </c>
      <c r="G3" s="230" t="s">
        <v>428</v>
      </c>
    </row>
    <row r="4" spans="1:7" ht="37.5">
      <c r="A4" s="381" t="s">
        <v>336</v>
      </c>
      <c r="B4" s="382" t="s">
        <v>139</v>
      </c>
      <c r="C4" s="382"/>
      <c r="D4" s="384">
        <v>2.8000000000000001E-2</v>
      </c>
      <c r="E4" s="382"/>
      <c r="F4" s="378" t="s">
        <v>166</v>
      </c>
      <c r="G4" s="383" t="s">
        <v>140</v>
      </c>
    </row>
    <row r="5" spans="1:7" ht="32.25" thickBot="1">
      <c r="A5" s="385" t="s">
        <v>317</v>
      </c>
      <c r="B5" s="386"/>
      <c r="C5" s="387" t="s">
        <v>26</v>
      </c>
      <c r="D5" s="388">
        <v>28</v>
      </c>
      <c r="E5" s="386"/>
      <c r="F5" s="386" t="s">
        <v>149</v>
      </c>
      <c r="G5" s="389"/>
    </row>
    <row r="6" spans="1:7" ht="47.25">
      <c r="A6" s="390" t="s">
        <v>318</v>
      </c>
      <c r="B6" s="366" t="s">
        <v>319</v>
      </c>
      <c r="C6" s="366" t="s">
        <v>29</v>
      </c>
      <c r="D6" s="366">
        <v>6.7000000000000002E-4</v>
      </c>
      <c r="E6" s="366"/>
      <c r="F6" s="366" t="s">
        <v>122</v>
      </c>
      <c r="G6" s="391"/>
    </row>
    <row r="7" spans="1:7" ht="47.25">
      <c r="A7" s="390" t="s">
        <v>320</v>
      </c>
      <c r="B7" s="366"/>
      <c r="C7" s="366" t="s">
        <v>235</v>
      </c>
      <c r="D7" s="392">
        <f>'Baseline Emission in 2024'!D6</f>
        <v>0.7</v>
      </c>
      <c r="E7" s="366"/>
      <c r="F7" s="366" t="s">
        <v>47</v>
      </c>
      <c r="G7" s="391" t="s">
        <v>144</v>
      </c>
    </row>
    <row r="8" spans="1:7" ht="63">
      <c r="A8" s="390" t="s">
        <v>322</v>
      </c>
      <c r="B8" s="366" t="s">
        <v>323</v>
      </c>
      <c r="C8" s="366" t="s">
        <v>238</v>
      </c>
      <c r="D8" s="366">
        <f>'Baseline Emission in 2024'!D8</f>
        <v>0.24</v>
      </c>
      <c r="E8" s="366"/>
      <c r="F8" s="366" t="s">
        <v>48</v>
      </c>
      <c r="G8" s="391" t="s">
        <v>114</v>
      </c>
    </row>
    <row r="9" spans="1:7" ht="47.25">
      <c r="A9" s="390" t="s">
        <v>337</v>
      </c>
      <c r="B9" s="366"/>
      <c r="C9" s="366" t="s">
        <v>56</v>
      </c>
      <c r="D9" s="393">
        <v>1</v>
      </c>
      <c r="E9" s="366"/>
      <c r="F9" s="366"/>
      <c r="G9" s="391"/>
    </row>
    <row r="10" spans="1:7" ht="16.5" thickBot="1">
      <c r="A10" s="394" t="s">
        <v>266</v>
      </c>
      <c r="B10" s="395"/>
      <c r="C10" s="395" t="s">
        <v>267</v>
      </c>
      <c r="D10" s="395"/>
      <c r="E10" s="395"/>
      <c r="F10" s="395"/>
      <c r="G10" s="396"/>
    </row>
    <row r="11" spans="1:7" ht="16.5" thickBot="1">
      <c r="A11" s="366"/>
      <c r="B11" s="366"/>
      <c r="C11" s="366"/>
      <c r="D11" s="366"/>
      <c r="E11" s="366"/>
      <c r="F11" s="366"/>
      <c r="G11" s="366"/>
    </row>
    <row r="12" spans="1:7" ht="47.25">
      <c r="A12" s="397" t="s">
        <v>338</v>
      </c>
      <c r="B12" s="398" t="s">
        <v>37</v>
      </c>
      <c r="C12" s="398" t="s">
        <v>38</v>
      </c>
      <c r="D12" s="398">
        <f>D15*(1-D14)*D13</f>
        <v>0</v>
      </c>
      <c r="E12" s="398" t="s">
        <v>339</v>
      </c>
      <c r="F12" s="398" t="s">
        <v>39</v>
      </c>
      <c r="G12" s="399" t="s">
        <v>41</v>
      </c>
    </row>
    <row r="13" spans="1:7" ht="31.5">
      <c r="A13" s="400" t="s">
        <v>317</v>
      </c>
      <c r="B13" s="401"/>
      <c r="C13" s="402" t="s">
        <v>26</v>
      </c>
      <c r="D13" s="403">
        <v>28</v>
      </c>
      <c r="E13" s="401"/>
      <c r="F13" s="401"/>
      <c r="G13" s="404"/>
    </row>
    <row r="14" spans="1:7" ht="18.75">
      <c r="A14" s="400" t="s">
        <v>340</v>
      </c>
      <c r="B14" s="401"/>
      <c r="C14" s="401" t="s">
        <v>40</v>
      </c>
      <c r="D14" s="405">
        <v>0.5</v>
      </c>
      <c r="E14" s="401"/>
      <c r="F14" s="401" t="s">
        <v>115</v>
      </c>
      <c r="G14" s="404" t="s">
        <v>118</v>
      </c>
    </row>
    <row r="15" spans="1:7" ht="47.25">
      <c r="A15" s="400" t="s">
        <v>341</v>
      </c>
      <c r="B15" s="401"/>
      <c r="C15" s="401" t="s">
        <v>42</v>
      </c>
      <c r="D15" s="401">
        <f>D16*D17*D18</f>
        <v>0</v>
      </c>
      <c r="E15" s="401" t="s">
        <v>342</v>
      </c>
      <c r="F15" s="401"/>
      <c r="G15" s="404"/>
    </row>
    <row r="16" spans="1:7" ht="63">
      <c r="A16" s="400" t="s">
        <v>343</v>
      </c>
      <c r="B16" s="401" t="s">
        <v>344</v>
      </c>
      <c r="C16" s="401" t="s">
        <v>60</v>
      </c>
      <c r="D16" s="401">
        <v>0</v>
      </c>
      <c r="E16" s="401"/>
      <c r="F16" s="401"/>
      <c r="G16" s="404"/>
    </row>
    <row r="17" spans="1:7" ht="63">
      <c r="A17" s="400" t="s">
        <v>345</v>
      </c>
      <c r="B17" s="401" t="s">
        <v>61</v>
      </c>
      <c r="C17" s="401" t="s">
        <v>59</v>
      </c>
      <c r="D17" s="405">
        <v>0.6</v>
      </c>
      <c r="E17" s="401"/>
      <c r="F17" s="401"/>
      <c r="G17" s="404" t="s">
        <v>62</v>
      </c>
    </row>
    <row r="18" spans="1:7" ht="32.25" thickBot="1">
      <c r="A18" s="406" t="s">
        <v>346</v>
      </c>
      <c r="B18" s="407" t="s">
        <v>319</v>
      </c>
      <c r="C18" s="407" t="s">
        <v>43</v>
      </c>
      <c r="D18" s="407">
        <v>6.7000000000000002E-4</v>
      </c>
      <c r="E18" s="407"/>
      <c r="F18" s="407"/>
      <c r="G18" s="408"/>
    </row>
    <row r="19" spans="1:7" ht="16.5" thickBot="1">
      <c r="A19" s="366"/>
      <c r="B19" s="366"/>
      <c r="C19" s="366"/>
      <c r="D19" s="366"/>
      <c r="E19" s="366"/>
      <c r="F19" s="366"/>
      <c r="G19" s="366"/>
    </row>
    <row r="20" spans="1:7" ht="31.5">
      <c r="A20" s="409" t="s">
        <v>347</v>
      </c>
      <c r="B20" s="410" t="s">
        <v>4</v>
      </c>
      <c r="C20" s="410" t="s">
        <v>120</v>
      </c>
      <c r="D20" s="411">
        <f>D21*D24*(1+D22)</f>
        <v>658.57222825553595</v>
      </c>
      <c r="E20" s="410" t="s">
        <v>348</v>
      </c>
      <c r="F20" s="412"/>
      <c r="G20" s="413"/>
    </row>
    <row r="21" spans="1:7" ht="94.5">
      <c r="A21" s="414" t="s">
        <v>349</v>
      </c>
      <c r="B21" s="415" t="s">
        <v>63</v>
      </c>
      <c r="C21" s="415" t="s">
        <v>350</v>
      </c>
      <c r="D21" s="416">
        <f>'Baseline Emission in 2024'!D23*0.1</f>
        <v>1122.2224899999999</v>
      </c>
      <c r="E21" s="415"/>
      <c r="F21" s="417" t="s">
        <v>121</v>
      </c>
      <c r="G21" s="418"/>
    </row>
    <row r="22" spans="1:7" ht="31.5">
      <c r="A22" s="414" t="s">
        <v>147</v>
      </c>
      <c r="B22" s="415" t="s">
        <v>61</v>
      </c>
      <c r="C22" s="415" t="s">
        <v>148</v>
      </c>
      <c r="D22" s="419">
        <f>5.7%</f>
        <v>5.7000000000000002E-2</v>
      </c>
      <c r="E22" s="415"/>
      <c r="F22" s="108" t="s">
        <v>430</v>
      </c>
      <c r="G22" s="265" t="s">
        <v>433</v>
      </c>
    </row>
    <row r="23" spans="1:7" ht="15.75">
      <c r="A23" s="414" t="s">
        <v>14</v>
      </c>
      <c r="B23" s="415" t="s">
        <v>13</v>
      </c>
      <c r="C23" s="415" t="s">
        <v>12</v>
      </c>
      <c r="D23" s="420">
        <v>7000</v>
      </c>
      <c r="E23" s="415"/>
      <c r="F23" s="417"/>
      <c r="G23" s="418"/>
    </row>
    <row r="24" spans="1:7" ht="35.25" thickBot="1">
      <c r="A24" s="421" t="s">
        <v>351</v>
      </c>
      <c r="B24" s="422" t="s">
        <v>11</v>
      </c>
      <c r="C24" s="422" t="s">
        <v>352</v>
      </c>
      <c r="D24" s="423">
        <v>0.55520000000000003</v>
      </c>
      <c r="E24" s="422"/>
      <c r="F24" s="422"/>
      <c r="G24" s="424"/>
    </row>
    <row r="25" spans="1:7" ht="16.5" thickBot="1">
      <c r="A25" s="425"/>
      <c r="B25" s="425"/>
      <c r="C25" s="425"/>
      <c r="D25" s="426"/>
      <c r="E25" s="425"/>
      <c r="F25" s="425"/>
      <c r="G25" s="366"/>
    </row>
    <row r="26" spans="1:7" ht="63">
      <c r="A26" s="427" t="s">
        <v>353</v>
      </c>
      <c r="B26" s="428" t="s">
        <v>354</v>
      </c>
      <c r="C26" s="428" t="s">
        <v>53</v>
      </c>
      <c r="D26" s="429">
        <f>+D27*D29*D30*0.000001</f>
        <v>1627.2266399999999</v>
      </c>
      <c r="E26" s="430"/>
      <c r="F26" s="431" t="s">
        <v>155</v>
      </c>
      <c r="G26" s="432" t="s">
        <v>156</v>
      </c>
    </row>
    <row r="27" spans="1:7" ht="100.5" customHeight="1">
      <c r="A27" s="433" t="s">
        <v>355</v>
      </c>
      <c r="B27" s="434" t="s">
        <v>54</v>
      </c>
      <c r="C27" s="434" t="s">
        <v>51</v>
      </c>
      <c r="D27" s="435">
        <f>K38</f>
        <v>74640</v>
      </c>
      <c r="E27" s="436"/>
      <c r="F27" s="434"/>
      <c r="G27" s="437"/>
    </row>
    <row r="28" spans="1:7" ht="78.75">
      <c r="A28" s="433" t="s">
        <v>157</v>
      </c>
      <c r="B28" s="434" t="s">
        <v>141</v>
      </c>
      <c r="C28" s="434" t="s">
        <v>158</v>
      </c>
      <c r="D28" s="435">
        <f>+D27</f>
        <v>74640</v>
      </c>
      <c r="E28" s="436"/>
      <c r="F28" s="435"/>
      <c r="G28" s="437"/>
    </row>
    <row r="29" spans="1:7" ht="63">
      <c r="A29" s="433" t="s">
        <v>152</v>
      </c>
      <c r="B29" s="434" t="s">
        <v>153</v>
      </c>
      <c r="C29" s="434" t="s">
        <v>154</v>
      </c>
      <c r="D29" s="435">
        <v>129</v>
      </c>
      <c r="E29" s="436"/>
      <c r="F29" s="434" t="s">
        <v>155</v>
      </c>
      <c r="G29" s="437" t="s">
        <v>156</v>
      </c>
    </row>
    <row r="30" spans="1:7" ht="95.25" thickBot="1">
      <c r="A30" s="438" t="s">
        <v>159</v>
      </c>
      <c r="B30" s="439" t="s">
        <v>142</v>
      </c>
      <c r="C30" s="439" t="s">
        <v>160</v>
      </c>
      <c r="D30" s="440">
        <v>169</v>
      </c>
      <c r="E30" s="441"/>
      <c r="F30" s="439"/>
      <c r="G30" s="442"/>
    </row>
    <row r="31" spans="1:7" ht="15.75">
      <c r="A31" s="443"/>
      <c r="B31" s="425"/>
      <c r="C31" s="366"/>
      <c r="D31" s="366"/>
      <c r="E31" s="391"/>
      <c r="F31" s="425"/>
      <c r="G31" s="425"/>
    </row>
    <row r="32" spans="1:7" ht="15.75">
      <c r="A32" s="443"/>
      <c r="B32" s="444"/>
      <c r="C32" s="366"/>
      <c r="D32" s="366"/>
      <c r="E32" s="366"/>
      <c r="F32" s="425"/>
      <c r="G32" s="425"/>
    </row>
    <row r="33" spans="1:15" ht="16.5" thickBot="1">
      <c r="A33" s="443"/>
      <c r="B33" s="444"/>
      <c r="C33" s="366"/>
      <c r="D33" s="366"/>
      <c r="E33" s="391"/>
      <c r="F33" s="425"/>
      <c r="G33" s="445"/>
    </row>
    <row r="34" spans="1:15" ht="19.5" thickBot="1">
      <c r="A34" s="446" t="s">
        <v>44</v>
      </c>
      <c r="B34" s="447" t="s">
        <v>36</v>
      </c>
      <c r="C34" s="447" t="s">
        <v>45</v>
      </c>
      <c r="D34" s="448">
        <f>ROUNDDOWN(D2+D12+D20+D26,0)</f>
        <v>3032</v>
      </c>
      <c r="E34" s="447" t="s">
        <v>356</v>
      </c>
      <c r="F34" s="447"/>
      <c r="G34" s="449"/>
    </row>
    <row r="35" spans="1:15" ht="13.5" thickBot="1">
      <c r="J35" s="468"/>
      <c r="K35" s="469" t="s">
        <v>441</v>
      </c>
      <c r="L35" s="470" t="s">
        <v>442</v>
      </c>
    </row>
    <row r="36" spans="1:15" ht="15.75">
      <c r="J36" s="471" t="s">
        <v>483</v>
      </c>
      <c r="K36" s="472">
        <v>70191</v>
      </c>
      <c r="L36" s="472">
        <v>13633</v>
      </c>
      <c r="N36" s="116">
        <f>SUM(K36:L36)</f>
        <v>83824</v>
      </c>
      <c r="O36" s="473"/>
    </row>
    <row r="37" spans="1:15" ht="16.5" thickBot="1">
      <c r="J37" s="474">
        <v>2023</v>
      </c>
      <c r="K37" s="472">
        <v>160156</v>
      </c>
      <c r="L37" s="472">
        <v>22293</v>
      </c>
      <c r="N37" s="116">
        <f>SUM(K37:L37)</f>
        <v>182449</v>
      </c>
      <c r="O37" s="473"/>
    </row>
    <row r="38" spans="1:15" ht="53.25" customHeight="1" thickBot="1">
      <c r="B38" s="575" t="s">
        <v>444</v>
      </c>
      <c r="C38" s="576"/>
      <c r="D38" s="576"/>
      <c r="E38" s="576"/>
      <c r="F38" s="576"/>
      <c r="G38" s="577"/>
      <c r="J38" s="475" t="s">
        <v>484</v>
      </c>
      <c r="K38" s="472">
        <v>74640</v>
      </c>
      <c r="L38" s="472">
        <v>8869</v>
      </c>
      <c r="N38" s="116">
        <f>SUM(K38:L38)</f>
        <v>83509</v>
      </c>
      <c r="O38" s="473"/>
    </row>
    <row r="39" spans="1:15" ht="25.5">
      <c r="B39" s="478" t="s">
        <v>15</v>
      </c>
      <c r="C39" s="478" t="s">
        <v>0</v>
      </c>
      <c r="D39" s="478" t="s">
        <v>3</v>
      </c>
      <c r="E39" s="478" t="s">
        <v>16</v>
      </c>
      <c r="F39" s="478" t="s">
        <v>113</v>
      </c>
      <c r="G39" s="479" t="s">
        <v>2</v>
      </c>
      <c r="J39" t="s">
        <v>443</v>
      </c>
      <c r="K39" s="116">
        <f>SUM(K36:K38)</f>
        <v>304987</v>
      </c>
      <c r="L39" s="116">
        <f>SUM(L36:L38)</f>
        <v>44795</v>
      </c>
      <c r="N39" s="116">
        <f>K39+L39</f>
        <v>349782</v>
      </c>
    </row>
    <row r="40" spans="1:15" ht="20.25" customHeight="1">
      <c r="B40" s="481" t="s">
        <v>447</v>
      </c>
      <c r="C40" s="482" t="s">
        <v>448</v>
      </c>
      <c r="D40" s="482" t="s">
        <v>449</v>
      </c>
      <c r="E40" s="483">
        <f>L45</f>
        <v>5433.7835029026819</v>
      </c>
      <c r="F40" s="484" t="s">
        <v>181</v>
      </c>
      <c r="G40" s="485" t="s">
        <v>450</v>
      </c>
      <c r="K40" s="116"/>
    </row>
    <row r="41" spans="1:15" ht="39" thickBot="1">
      <c r="B41" s="481" t="s">
        <v>451</v>
      </c>
      <c r="C41" s="482" t="s">
        <v>452</v>
      </c>
      <c r="D41" s="482" t="s">
        <v>449</v>
      </c>
      <c r="E41" s="486">
        <f>E40*1000</f>
        <v>5433783.5029026819</v>
      </c>
      <c r="F41" s="482"/>
      <c r="G41" s="485" t="s">
        <v>450</v>
      </c>
    </row>
    <row r="42" spans="1:15" ht="39" thickBot="1">
      <c r="B42" s="481" t="s">
        <v>453</v>
      </c>
      <c r="C42" s="482" t="s">
        <v>454</v>
      </c>
      <c r="D42" s="482" t="s">
        <v>455</v>
      </c>
      <c r="E42" s="486">
        <f>K43+K44+K45</f>
        <v>22663794</v>
      </c>
      <c r="F42" s="484" t="s">
        <v>181</v>
      </c>
      <c r="G42" s="485"/>
      <c r="K42" s="476" t="s">
        <v>445</v>
      </c>
      <c r="L42" s="477" t="s">
        <v>446</v>
      </c>
    </row>
    <row r="43" spans="1:15" ht="84.75" customHeight="1" thickBot="1">
      <c r="B43" s="481" t="s">
        <v>453</v>
      </c>
      <c r="C43" s="482" t="s">
        <v>456</v>
      </c>
      <c r="D43" s="482" t="s">
        <v>455</v>
      </c>
      <c r="E43" s="486"/>
      <c r="F43" s="484" t="s">
        <v>181</v>
      </c>
      <c r="G43" s="485" t="s">
        <v>457</v>
      </c>
      <c r="J43" s="471" t="s">
        <v>483</v>
      </c>
      <c r="K43" s="501">
        <f>'Biogas Information'!B21</f>
        <v>5629623</v>
      </c>
      <c r="L43" s="480">
        <f>K43*L48/100*E45/1000</f>
        <v>13550.346953308548</v>
      </c>
    </row>
    <row r="44" spans="1:15" ht="51.75" thickBot="1">
      <c r="B44" s="481" t="s">
        <v>459</v>
      </c>
      <c r="C44" s="482" t="s">
        <v>460</v>
      </c>
      <c r="D44" s="482" t="s">
        <v>461</v>
      </c>
      <c r="E44" s="489"/>
      <c r="F44" s="490" t="s">
        <v>181</v>
      </c>
      <c r="G44" s="485" t="s">
        <v>462</v>
      </c>
      <c r="J44" s="474">
        <v>2023</v>
      </c>
      <c r="K44" s="501">
        <f>'Biogas Information'!B22</f>
        <v>14663657</v>
      </c>
      <c r="L44" s="480">
        <f>K44*L49/100*E45/1000</f>
        <v>32744.575193243909</v>
      </c>
    </row>
    <row r="45" spans="1:15" ht="39" thickBot="1">
      <c r="B45" s="481" t="s">
        <v>463</v>
      </c>
      <c r="C45" s="482" t="s">
        <v>464</v>
      </c>
      <c r="D45" s="482" t="s">
        <v>465</v>
      </c>
      <c r="E45" s="493">
        <f>+(E46*E47)/(E48*E49)</f>
        <v>4.0637723436223547</v>
      </c>
      <c r="F45" s="482"/>
      <c r="G45" s="485" t="s">
        <v>466</v>
      </c>
      <c r="J45" s="475" t="s">
        <v>484</v>
      </c>
      <c r="K45" s="501">
        <f>'Biogas Information'!B23</f>
        <v>2370514</v>
      </c>
      <c r="L45" s="480">
        <f>K45*L50/100*E45/1000</f>
        <v>5433.7835029026819</v>
      </c>
    </row>
    <row r="46" spans="1:15" ht="96.75" customHeight="1" thickBot="1">
      <c r="B46" s="481" t="s">
        <v>467</v>
      </c>
      <c r="C46" s="482" t="s">
        <v>468</v>
      </c>
      <c r="D46" s="482" t="s">
        <v>469</v>
      </c>
      <c r="E46" s="482">
        <v>600</v>
      </c>
      <c r="F46" s="484" t="s">
        <v>181</v>
      </c>
      <c r="G46" s="485" t="s">
        <v>470</v>
      </c>
    </row>
    <row r="47" spans="1:15" ht="82.5" customHeight="1" thickBot="1">
      <c r="B47" s="481" t="s">
        <v>471</v>
      </c>
      <c r="C47" s="482" t="s">
        <v>472</v>
      </c>
      <c r="D47" s="482" t="s">
        <v>473</v>
      </c>
      <c r="E47" s="482">
        <v>16.04</v>
      </c>
      <c r="F47" s="484" t="s">
        <v>181</v>
      </c>
      <c r="G47" s="485" t="s">
        <v>474</v>
      </c>
      <c r="K47" s="487"/>
      <c r="L47" s="488" t="s">
        <v>458</v>
      </c>
    </row>
    <row r="48" spans="1:15">
      <c r="B48" s="481" t="s">
        <v>475</v>
      </c>
      <c r="C48" s="482" t="s">
        <v>476</v>
      </c>
      <c r="D48" s="482" t="s">
        <v>477</v>
      </c>
      <c r="E48" s="482">
        <v>8.3140000000000001</v>
      </c>
      <c r="F48" s="484" t="s">
        <v>181</v>
      </c>
      <c r="G48" s="485" t="s">
        <v>478</v>
      </c>
      <c r="K48" s="491">
        <v>2022</v>
      </c>
      <c r="L48" s="492">
        <f>'Biogas Information'!B9</f>
        <v>59.23</v>
      </c>
      <c r="N48">
        <f>(L48+L49+L50)/3</f>
        <v>56.862222222222222</v>
      </c>
    </row>
    <row r="49" spans="2:12" ht="25.5">
      <c r="B49" s="496" t="s">
        <v>479</v>
      </c>
      <c r="C49" s="497" t="s">
        <v>480</v>
      </c>
      <c r="D49" s="497" t="s">
        <v>481</v>
      </c>
      <c r="E49" s="497">
        <f>273.15+11.7</f>
        <v>284.84999999999997</v>
      </c>
      <c r="F49" s="498" t="s">
        <v>181</v>
      </c>
      <c r="G49" s="499" t="s">
        <v>482</v>
      </c>
      <c r="K49" s="494">
        <v>2023</v>
      </c>
      <c r="L49" s="492">
        <f>'Biogas Information'!E15</f>
        <v>54.949999999999996</v>
      </c>
    </row>
    <row r="50" spans="2:12" ht="13.5" thickBot="1">
      <c r="K50" s="495">
        <v>2024</v>
      </c>
      <c r="L50" s="492">
        <f>'Biogas Information'!H9</f>
        <v>56.406666666666673</v>
      </c>
    </row>
  </sheetData>
  <mergeCells count="1">
    <mergeCell ref="B38:G38"/>
  </mergeCells>
  <dataValidations count="1">
    <dataValidation allowBlank="1" showInputMessage="1" showErrorMessage="1" sqref="D13 D5" xr:uid="{96713C17-48A9-4CAD-B66D-3F475DB73756}"/>
  </dataValidations>
  <hyperlinks>
    <hyperlink ref="F22" r:id="rId1" xr:uid="{2E4FEE72-566C-427D-AE12-E105FEB90EDF}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69C27-172C-4549-B6AF-E57F516A8DED}">
  <dimension ref="A1:P19"/>
  <sheetViews>
    <sheetView topLeftCell="E1" zoomScale="70" zoomScaleNormal="70" workbookViewId="0">
      <selection activeCell="G22" sqref="G22"/>
    </sheetView>
  </sheetViews>
  <sheetFormatPr defaultRowHeight="12.75"/>
  <cols>
    <col min="2" max="2" width="22" customWidth="1"/>
    <col min="3" max="3" width="28.125" customWidth="1"/>
    <col min="6" max="6" width="21.25" customWidth="1"/>
    <col min="7" max="7" width="31.125" customWidth="1"/>
    <col min="10" max="10" width="19.25" customWidth="1"/>
    <col min="11" max="11" width="31.75" customWidth="1"/>
    <col min="12" max="12" width="10.375" customWidth="1"/>
    <col min="14" max="14" width="18.875" customWidth="1"/>
    <col min="15" max="15" width="31" customWidth="1"/>
  </cols>
  <sheetData>
    <row r="1" spans="1:16" ht="42.75" customHeight="1">
      <c r="A1" s="578" t="s">
        <v>311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</row>
    <row r="2" spans="1:16" ht="14.25">
      <c r="A2" s="317" t="s">
        <v>313</v>
      </c>
      <c r="B2" s="317" t="s">
        <v>308</v>
      </c>
      <c r="C2" s="317" t="s">
        <v>309</v>
      </c>
      <c r="D2" s="317" t="s">
        <v>310</v>
      </c>
      <c r="E2" s="317" t="s">
        <v>313</v>
      </c>
      <c r="F2" s="317" t="s">
        <v>308</v>
      </c>
      <c r="G2" s="317" t="s">
        <v>309</v>
      </c>
      <c r="H2" s="317" t="s">
        <v>310</v>
      </c>
      <c r="I2" s="317" t="s">
        <v>313</v>
      </c>
      <c r="J2" s="317" t="s">
        <v>308</v>
      </c>
      <c r="K2" s="317" t="s">
        <v>309</v>
      </c>
      <c r="L2" s="317" t="s">
        <v>310</v>
      </c>
      <c r="M2" s="317" t="s">
        <v>313</v>
      </c>
      <c r="N2" s="317" t="s">
        <v>308</v>
      </c>
      <c r="O2" s="317" t="s">
        <v>309</v>
      </c>
      <c r="P2" s="317" t="s">
        <v>310</v>
      </c>
    </row>
    <row r="3" spans="1:16" ht="14.25">
      <c r="A3" s="318">
        <v>42735</v>
      </c>
      <c r="B3" s="327"/>
      <c r="C3" s="327"/>
      <c r="D3" s="327"/>
      <c r="E3" s="319">
        <v>43100</v>
      </c>
      <c r="F3" s="330"/>
      <c r="G3" s="330"/>
      <c r="H3" s="330"/>
      <c r="I3" s="321">
        <v>43465</v>
      </c>
      <c r="J3" s="322">
        <v>2069.9319999999998</v>
      </c>
      <c r="K3" s="322">
        <v>0.17949999999999999</v>
      </c>
      <c r="L3" s="322">
        <f>J3-K3</f>
        <v>2069.7524999999996</v>
      </c>
      <c r="M3" s="323">
        <v>43830</v>
      </c>
      <c r="N3" s="331">
        <v>2380.3528999999999</v>
      </c>
      <c r="O3" s="331">
        <v>0.10390000000000001</v>
      </c>
      <c r="P3" s="331">
        <f>N3-O3</f>
        <v>2380.2489999999998</v>
      </c>
    </row>
    <row r="4" spans="1:16" ht="14.25">
      <c r="A4" s="318">
        <v>42766</v>
      </c>
      <c r="B4" s="327"/>
      <c r="C4" s="327"/>
      <c r="D4" s="327"/>
      <c r="E4" s="319">
        <v>43131</v>
      </c>
      <c r="F4" s="330"/>
      <c r="G4" s="330"/>
      <c r="H4" s="330"/>
      <c r="I4" s="321">
        <v>43496</v>
      </c>
      <c r="J4" s="322">
        <v>2218.5679</v>
      </c>
      <c r="K4" s="322">
        <v>0.16059999999999999</v>
      </c>
      <c r="L4" s="322">
        <f t="shared" ref="L4:L15" si="0">J4-K4</f>
        <v>2218.4072999999999</v>
      </c>
      <c r="M4" s="323">
        <v>43861</v>
      </c>
      <c r="N4" s="331">
        <v>1938.4730999999999</v>
      </c>
      <c r="O4" s="331">
        <v>0.1134</v>
      </c>
      <c r="P4" s="331">
        <f t="shared" ref="P4:P8" si="1">N4-O4</f>
        <v>1938.3597</v>
      </c>
    </row>
    <row r="5" spans="1:16" ht="14.25">
      <c r="A5" s="318">
        <v>42794</v>
      </c>
      <c r="B5" s="327"/>
      <c r="C5" s="327"/>
      <c r="D5" s="327"/>
      <c r="E5" s="319">
        <v>43159</v>
      </c>
      <c r="F5" s="330"/>
      <c r="G5" s="330"/>
      <c r="H5" s="330"/>
      <c r="I5" s="321">
        <v>43524</v>
      </c>
      <c r="J5" s="322">
        <v>2194.1113</v>
      </c>
      <c r="K5" s="322">
        <v>0.19839999999999999</v>
      </c>
      <c r="L5" s="322">
        <f t="shared" si="0"/>
        <v>2193.9128999999998</v>
      </c>
      <c r="M5" s="323">
        <v>43890</v>
      </c>
      <c r="N5" s="331">
        <v>1922.7086999999999</v>
      </c>
      <c r="O5" s="331">
        <v>0.1134</v>
      </c>
      <c r="P5" s="331">
        <f t="shared" si="1"/>
        <v>1922.5953</v>
      </c>
    </row>
    <row r="6" spans="1:16" ht="14.25">
      <c r="A6" s="318">
        <v>42825</v>
      </c>
      <c r="B6" s="327"/>
      <c r="C6" s="327"/>
      <c r="D6" s="327"/>
      <c r="E6" s="319">
        <v>43190</v>
      </c>
      <c r="F6" s="330"/>
      <c r="G6" s="330"/>
      <c r="H6" s="330"/>
      <c r="I6" s="321">
        <v>43555</v>
      </c>
      <c r="J6" s="322">
        <v>2333.0785000000001</v>
      </c>
      <c r="K6" s="322">
        <v>0.40629999999999999</v>
      </c>
      <c r="L6" s="322">
        <f t="shared" si="0"/>
        <v>2332.6722</v>
      </c>
      <c r="M6" s="323">
        <v>43921</v>
      </c>
      <c r="N6" s="331">
        <v>1678.414</v>
      </c>
      <c r="O6" s="331">
        <v>0.61419999999999997</v>
      </c>
      <c r="P6" s="331">
        <f t="shared" si="1"/>
        <v>1677.7998</v>
      </c>
    </row>
    <row r="7" spans="1:16" ht="14.25">
      <c r="A7" s="318">
        <v>42855</v>
      </c>
      <c r="B7" s="327"/>
      <c r="C7" s="327"/>
      <c r="D7" s="327"/>
      <c r="E7" s="319">
        <v>43220</v>
      </c>
      <c r="F7" s="330"/>
      <c r="G7" s="330"/>
      <c r="H7" s="330"/>
      <c r="I7" s="321">
        <v>43585</v>
      </c>
      <c r="J7" s="322">
        <v>2544.3195000000001</v>
      </c>
      <c r="K7" s="322">
        <v>0.38740000000000002</v>
      </c>
      <c r="L7" s="322">
        <f t="shared" si="0"/>
        <v>2543.9321</v>
      </c>
      <c r="M7" s="323">
        <v>43951</v>
      </c>
      <c r="N7" s="452">
        <v>1679.7047</v>
      </c>
      <c r="O7" s="331">
        <v>1.323</v>
      </c>
      <c r="P7" s="331">
        <f t="shared" si="1"/>
        <v>1678.3816999999999</v>
      </c>
    </row>
    <row r="8" spans="1:16" ht="14.25">
      <c r="A8" s="318">
        <v>42886</v>
      </c>
      <c r="B8" s="327"/>
      <c r="C8" s="327"/>
      <c r="D8" s="327"/>
      <c r="E8" s="319">
        <v>43251</v>
      </c>
      <c r="F8" s="330"/>
      <c r="G8" s="330"/>
      <c r="H8" s="330"/>
      <c r="I8" s="321">
        <v>43616</v>
      </c>
      <c r="J8" s="322">
        <v>2489.4661000000001</v>
      </c>
      <c r="K8" s="322">
        <v>0.69930000000000003</v>
      </c>
      <c r="L8" s="322">
        <f t="shared" si="0"/>
        <v>2488.7667999999999</v>
      </c>
      <c r="M8" s="323">
        <v>43982</v>
      </c>
      <c r="N8" s="331">
        <v>1625.4064000000001</v>
      </c>
      <c r="O8" s="331">
        <v>0.56699999999999995</v>
      </c>
      <c r="P8" s="331">
        <f t="shared" si="1"/>
        <v>1624.8394000000001</v>
      </c>
    </row>
    <row r="9" spans="1:16" ht="14.25">
      <c r="A9" s="318">
        <v>42916</v>
      </c>
      <c r="B9" s="327"/>
      <c r="C9" s="327"/>
      <c r="D9" s="327"/>
      <c r="E9" s="319">
        <v>43281</v>
      </c>
      <c r="F9" s="320">
        <v>1598.1751999999999</v>
      </c>
      <c r="G9" s="320">
        <v>0.93559999999999999</v>
      </c>
      <c r="H9" s="320">
        <f t="shared" ref="H9:H15" si="2">F9-G9</f>
        <v>1597.2395999999999</v>
      </c>
      <c r="I9" s="321">
        <v>43646</v>
      </c>
      <c r="J9" s="322">
        <v>2181.5821000000001</v>
      </c>
      <c r="K9" s="322">
        <v>0.17949999999999999</v>
      </c>
      <c r="L9" s="322">
        <f t="shared" si="0"/>
        <v>2181.4025999999999</v>
      </c>
      <c r="M9" s="323">
        <v>44012</v>
      </c>
      <c r="N9" s="326"/>
      <c r="O9" s="326"/>
      <c r="P9" s="326"/>
    </row>
    <row r="10" spans="1:16" ht="14.25">
      <c r="A10" s="318">
        <v>42947</v>
      </c>
      <c r="B10" s="327"/>
      <c r="C10" s="327"/>
      <c r="D10" s="327"/>
      <c r="E10" s="319">
        <v>43312</v>
      </c>
      <c r="F10" s="320">
        <v>1663.3721</v>
      </c>
      <c r="G10" s="320">
        <v>0.28349999999999997</v>
      </c>
      <c r="H10" s="320">
        <f t="shared" si="2"/>
        <v>1663.0886</v>
      </c>
      <c r="I10" s="321">
        <v>43677</v>
      </c>
      <c r="J10" s="322">
        <v>1926.0398</v>
      </c>
      <c r="K10" s="322">
        <v>0.27400000000000002</v>
      </c>
      <c r="L10" s="322">
        <f t="shared" si="0"/>
        <v>1925.7658000000001</v>
      </c>
      <c r="M10" s="323">
        <v>44043</v>
      </c>
      <c r="N10" s="326"/>
      <c r="O10" s="326"/>
      <c r="P10" s="326"/>
    </row>
    <row r="11" spans="1:16" ht="14.25">
      <c r="A11" s="318">
        <v>42978</v>
      </c>
      <c r="B11" s="327"/>
      <c r="C11" s="327"/>
      <c r="D11" s="327"/>
      <c r="E11" s="319">
        <v>43343</v>
      </c>
      <c r="F11" s="320">
        <v>1522.7363</v>
      </c>
      <c r="G11" s="320">
        <v>0.1512</v>
      </c>
      <c r="H11" s="320">
        <f t="shared" si="2"/>
        <v>1522.5851</v>
      </c>
      <c r="I11" s="321">
        <v>43708</v>
      </c>
      <c r="J11" s="322">
        <v>1923.6913999999999</v>
      </c>
      <c r="K11" s="322">
        <v>0.10390000000000001</v>
      </c>
      <c r="L11" s="322">
        <f t="shared" si="0"/>
        <v>1923.5874999999999</v>
      </c>
      <c r="M11" s="323">
        <v>44074</v>
      </c>
      <c r="N11" s="326"/>
      <c r="O11" s="326"/>
      <c r="P11" s="326"/>
    </row>
    <row r="12" spans="1:16" ht="14.25">
      <c r="A12" s="318">
        <v>43008</v>
      </c>
      <c r="B12" s="327"/>
      <c r="C12" s="327"/>
      <c r="D12" s="327"/>
      <c r="E12" s="319">
        <v>43373</v>
      </c>
      <c r="F12" s="320">
        <v>1465.7092</v>
      </c>
      <c r="G12" s="320">
        <v>0.25509999999999999</v>
      </c>
      <c r="H12" s="320">
        <f t="shared" si="2"/>
        <v>1465.4540999999999</v>
      </c>
      <c r="I12" s="321">
        <v>43738</v>
      </c>
      <c r="J12" s="322">
        <v>1943.8161</v>
      </c>
      <c r="K12" s="322">
        <v>0.31180000000000002</v>
      </c>
      <c r="L12" s="322">
        <f t="shared" si="0"/>
        <v>1943.5043000000001</v>
      </c>
      <c r="M12" s="323">
        <v>44104</v>
      </c>
      <c r="N12" s="326"/>
      <c r="O12" s="326"/>
      <c r="P12" s="326"/>
    </row>
    <row r="13" spans="1:16" ht="14.25">
      <c r="A13" s="318">
        <v>43039</v>
      </c>
      <c r="B13" s="327"/>
      <c r="C13" s="327"/>
      <c r="D13" s="327"/>
      <c r="E13" s="319">
        <v>43404</v>
      </c>
      <c r="F13" s="320">
        <v>1583.5967000000001</v>
      </c>
      <c r="G13" s="320">
        <v>0.2457</v>
      </c>
      <c r="H13" s="320">
        <f t="shared" si="2"/>
        <v>1583.3510000000001</v>
      </c>
      <c r="I13" s="321">
        <v>43769</v>
      </c>
      <c r="J13" s="322">
        <v>1951.2854</v>
      </c>
      <c r="K13" s="322">
        <v>0.1512</v>
      </c>
      <c r="L13" s="322">
        <f t="shared" si="0"/>
        <v>1951.1342</v>
      </c>
      <c r="M13" s="323">
        <v>44135</v>
      </c>
      <c r="N13" s="326"/>
      <c r="O13" s="326"/>
      <c r="P13" s="326"/>
    </row>
    <row r="14" spans="1:16" ht="14.25">
      <c r="A14" s="318">
        <v>43069</v>
      </c>
      <c r="B14" s="327"/>
      <c r="C14" s="327"/>
      <c r="D14" s="327"/>
      <c r="E14" s="319">
        <v>43434</v>
      </c>
      <c r="F14" s="320">
        <v>1984.6869999999999</v>
      </c>
      <c r="G14" s="320">
        <v>0.34960000000000002</v>
      </c>
      <c r="H14" s="320">
        <f t="shared" si="2"/>
        <v>1984.3373999999999</v>
      </c>
      <c r="I14" s="321">
        <v>43799</v>
      </c>
      <c r="J14" s="322">
        <v>2442.7847999999999</v>
      </c>
      <c r="K14" s="322">
        <v>0.4536</v>
      </c>
      <c r="L14" s="322">
        <f t="shared" si="0"/>
        <v>2442.3312000000001</v>
      </c>
      <c r="M14" s="323">
        <v>44165</v>
      </c>
      <c r="N14" s="326"/>
      <c r="O14" s="326"/>
      <c r="P14" s="326"/>
    </row>
    <row r="15" spans="1:16" ht="14.25">
      <c r="A15" s="324" t="s">
        <v>312</v>
      </c>
      <c r="B15" s="327"/>
      <c r="C15" s="327"/>
      <c r="D15" s="327"/>
      <c r="E15" s="324" t="s">
        <v>312</v>
      </c>
      <c r="F15" s="325">
        <f>SUM(F8:F14)</f>
        <v>9818.2764999999999</v>
      </c>
      <c r="G15" s="325">
        <f>SUM(G8:G14)</f>
        <v>2.2206999999999999</v>
      </c>
      <c r="H15" s="325">
        <f t="shared" si="2"/>
        <v>9816.0558000000001</v>
      </c>
      <c r="I15" s="324" t="s">
        <v>312</v>
      </c>
      <c r="J15" s="325">
        <f>SUM(J3:J14)</f>
        <v>26218.674899999998</v>
      </c>
      <c r="K15" s="325">
        <f>SUM(K3:K14)</f>
        <v>3.5054999999999996</v>
      </c>
      <c r="L15" s="325">
        <f t="shared" si="0"/>
        <v>26215.169399999999</v>
      </c>
      <c r="M15" s="324" t="s">
        <v>312</v>
      </c>
      <c r="N15" s="325">
        <f>SUM(N3:N8)</f>
        <v>11225.059799999999</v>
      </c>
      <c r="O15" s="325">
        <f>SUM(O3:O8)</f>
        <v>2.8349000000000002</v>
      </c>
      <c r="P15" s="325">
        <f>N15-O15</f>
        <v>11222.224899999999</v>
      </c>
    </row>
    <row r="19" spans="2:3">
      <c r="B19" t="s">
        <v>312</v>
      </c>
      <c r="C19">
        <f>H15+L15+P15</f>
        <v>47253.450100000002</v>
      </c>
    </row>
  </sheetData>
  <mergeCells count="1">
    <mergeCell ref="A1:P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2"/>
  <sheetViews>
    <sheetView zoomScale="130" zoomScaleNormal="130" workbookViewId="0">
      <selection activeCell="B3" sqref="B3"/>
    </sheetView>
  </sheetViews>
  <sheetFormatPr defaultColWidth="9" defaultRowHeight="12.75"/>
  <cols>
    <col min="1" max="1" width="24.875" customWidth="1"/>
    <col min="2" max="2" width="21.75" customWidth="1"/>
    <col min="4" max="4" width="21.5" customWidth="1"/>
    <col min="7" max="7" width="21.875" customWidth="1"/>
    <col min="8" max="8" width="20.25" customWidth="1"/>
    <col min="9" max="9" width="10.375" bestFit="1" customWidth="1"/>
  </cols>
  <sheetData>
    <row r="1" spans="1:10" ht="44.25" customHeight="1">
      <c r="A1" s="71" t="s">
        <v>315</v>
      </c>
      <c r="B1" s="122" t="s">
        <v>195</v>
      </c>
      <c r="C1" s="122" t="s">
        <v>196</v>
      </c>
      <c r="D1" s="122" t="s">
        <v>197</v>
      </c>
    </row>
    <row r="2" spans="1:10">
      <c r="A2" s="579"/>
      <c r="B2" s="580"/>
      <c r="C2" s="580"/>
      <c r="D2" s="581"/>
      <c r="G2" s="117"/>
      <c r="H2" s="117"/>
      <c r="I2" s="116"/>
      <c r="J2" s="116"/>
    </row>
    <row r="3" spans="1:10">
      <c r="A3" s="66" t="s">
        <v>362</v>
      </c>
      <c r="B3" s="67">
        <f>ROUNDDOWN('Baseline Emission in 2022'!D$25/365*I10,0)</f>
        <v>47709</v>
      </c>
      <c r="C3" s="67">
        <f>ROUNDUP('Project emission in 2022'!D$34/365*I10,0)</f>
        <v>1958</v>
      </c>
      <c r="D3" s="67">
        <f t="shared" ref="D3:D8" si="0">B3-C3</f>
        <v>45751</v>
      </c>
      <c r="G3" s="117"/>
      <c r="H3" s="117"/>
      <c r="I3" s="116"/>
      <c r="J3" s="116"/>
    </row>
    <row r="4" spans="1:10">
      <c r="A4" s="66">
        <v>2023</v>
      </c>
      <c r="B4" s="67">
        <f>ROUNDDOWN('Baseline Emission in 2023'!D$25,0)</f>
        <v>78583</v>
      </c>
      <c r="C4" s="67">
        <f>ROUNDUP('Project emission in 2023'!D$34,0)</f>
        <v>9651</v>
      </c>
      <c r="D4" s="67">
        <f t="shared" si="0"/>
        <v>68932</v>
      </c>
      <c r="G4" s="117"/>
      <c r="H4" s="117"/>
      <c r="I4" s="116"/>
      <c r="J4" s="116"/>
    </row>
    <row r="5" spans="1:10">
      <c r="A5" s="579"/>
      <c r="B5" s="580"/>
      <c r="C5" s="580"/>
      <c r="D5" s="581"/>
      <c r="G5" s="117"/>
      <c r="H5" s="117"/>
      <c r="I5" s="116"/>
      <c r="J5" s="116"/>
    </row>
    <row r="6" spans="1:10">
      <c r="A6" s="450" t="s">
        <v>361</v>
      </c>
      <c r="B6" s="67">
        <f>ROUNDDOWN('Baseline Emission in 2024'!D$25/365*I12,0)</f>
        <v>31178</v>
      </c>
      <c r="C6" s="67">
        <f>ROUNDUP('Project emission in 2024'!D$34/365*I12,0)</f>
        <v>1512</v>
      </c>
      <c r="D6" s="451">
        <f>B6-C6</f>
        <v>29666</v>
      </c>
      <c r="G6" s="117"/>
      <c r="H6" s="117"/>
      <c r="I6" s="116"/>
      <c r="J6" s="116"/>
    </row>
    <row r="7" spans="1:10">
      <c r="A7" s="68" t="s">
        <v>137</v>
      </c>
      <c r="B7" s="69">
        <f>B8/2</f>
        <v>78735</v>
      </c>
      <c r="C7" s="69">
        <f>C8/2</f>
        <v>6560.5</v>
      </c>
      <c r="D7" s="69">
        <f>B7-C7</f>
        <v>72174.5</v>
      </c>
      <c r="G7" s="117"/>
      <c r="H7" s="117"/>
      <c r="I7" s="116"/>
      <c r="J7" s="116"/>
    </row>
    <row r="8" spans="1:10">
      <c r="A8" s="70" t="s">
        <v>46</v>
      </c>
      <c r="B8" s="67">
        <f>B3+B4+B6</f>
        <v>157470</v>
      </c>
      <c r="C8" s="67">
        <f>C3+C4+C6</f>
        <v>13121</v>
      </c>
      <c r="D8" s="67">
        <f t="shared" si="0"/>
        <v>144349</v>
      </c>
      <c r="G8" s="117"/>
      <c r="H8" s="117"/>
      <c r="I8" s="116"/>
      <c r="J8" s="116"/>
    </row>
    <row r="9" spans="1:10">
      <c r="G9" s="582" t="s">
        <v>357</v>
      </c>
      <c r="H9" s="582"/>
      <c r="I9" s="582"/>
      <c r="J9" s="116"/>
    </row>
    <row r="10" spans="1:10">
      <c r="G10" s="328">
        <v>43281</v>
      </c>
      <c r="H10" s="328">
        <v>43464</v>
      </c>
      <c r="I10" s="329">
        <f>H10-G10+1</f>
        <v>184</v>
      </c>
      <c r="J10" s="116"/>
    </row>
    <row r="11" spans="1:10">
      <c r="G11" s="328">
        <v>43465</v>
      </c>
      <c r="H11" s="328">
        <v>43829</v>
      </c>
      <c r="I11" s="329">
        <f>H11-G11+1</f>
        <v>365</v>
      </c>
      <c r="J11" s="116"/>
    </row>
    <row r="12" spans="1:10">
      <c r="G12" s="328">
        <v>43830</v>
      </c>
      <c r="H12" s="328">
        <v>44011</v>
      </c>
      <c r="I12" s="329">
        <f>H12-G12+1</f>
        <v>182</v>
      </c>
      <c r="J12" s="116"/>
    </row>
  </sheetData>
  <mergeCells count="3">
    <mergeCell ref="A5:D5"/>
    <mergeCell ref="G9:I9"/>
    <mergeCell ref="A2:D2"/>
  </mergeCells>
  <phoneticPr fontId="4" type="noConversion"/>
  <pageMargins left="0.7" right="0.7" top="0.75" bottom="0.75" header="0.3" footer="0.3"/>
  <pageSetup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A716B-DCEE-4CED-8E5C-CDD90B727572}">
  <dimension ref="A1:H23"/>
  <sheetViews>
    <sheetView workbookViewId="0">
      <selection activeCell="B20" sqref="B20"/>
    </sheetView>
  </sheetViews>
  <sheetFormatPr defaultRowHeight="12.75"/>
  <cols>
    <col min="1" max="1" width="31" customWidth="1"/>
    <col min="2" max="2" width="30.625" customWidth="1"/>
    <col min="5" max="5" width="37" customWidth="1"/>
    <col min="8" max="8" width="29.75" customWidth="1"/>
  </cols>
  <sheetData>
    <row r="1" spans="1:8" ht="14.25">
      <c r="A1" s="463"/>
      <c r="B1" s="464" t="s">
        <v>437</v>
      </c>
      <c r="D1" s="463"/>
      <c r="E1" s="464" t="s">
        <v>437</v>
      </c>
      <c r="G1" s="463"/>
      <c r="H1" s="464" t="s">
        <v>437</v>
      </c>
    </row>
    <row r="2" spans="1:8">
      <c r="A2" s="465">
        <v>43281</v>
      </c>
      <c r="B2" s="463">
        <v>60</v>
      </c>
      <c r="D2" s="466">
        <v>43465</v>
      </c>
      <c r="E2" s="463">
        <v>50.35</v>
      </c>
      <c r="G2" s="467">
        <v>43830</v>
      </c>
      <c r="H2" s="463">
        <v>58.84</v>
      </c>
    </row>
    <row r="3" spans="1:8">
      <c r="A3" s="465">
        <v>43312</v>
      </c>
      <c r="B3" s="463">
        <v>59.72</v>
      </c>
      <c r="D3" s="466">
        <v>43496</v>
      </c>
      <c r="E3" s="463">
        <v>51.38</v>
      </c>
      <c r="G3" s="467">
        <v>43861</v>
      </c>
      <c r="H3" s="463">
        <v>57.2</v>
      </c>
    </row>
    <row r="4" spans="1:8">
      <c r="A4" s="465">
        <v>43343</v>
      </c>
      <c r="B4" s="463">
        <v>60.37</v>
      </c>
      <c r="D4" s="466">
        <v>43524</v>
      </c>
      <c r="E4" s="463">
        <v>52.8</v>
      </c>
      <c r="G4" s="467">
        <v>43890</v>
      </c>
      <c r="H4" s="463">
        <v>56.25</v>
      </c>
    </row>
    <row r="5" spans="1:8">
      <c r="A5" s="465">
        <v>43373</v>
      </c>
      <c r="B5" s="463">
        <v>59.27</v>
      </c>
      <c r="D5" s="466">
        <v>43555</v>
      </c>
      <c r="E5" s="463">
        <v>52.15</v>
      </c>
      <c r="G5" s="467">
        <v>43921</v>
      </c>
      <c r="H5" s="463">
        <v>53.57</v>
      </c>
    </row>
    <row r="6" spans="1:8">
      <c r="A6" s="465">
        <v>43404</v>
      </c>
      <c r="B6" s="463">
        <v>58.52</v>
      </c>
      <c r="D6" s="466">
        <v>43585</v>
      </c>
      <c r="E6" s="463">
        <v>56.61</v>
      </c>
      <c r="G6" s="467">
        <v>43951</v>
      </c>
      <c r="H6" s="463">
        <v>55.72</v>
      </c>
    </row>
    <row r="7" spans="1:8">
      <c r="A7" s="465">
        <v>43434</v>
      </c>
      <c r="B7" s="463">
        <v>57.5</v>
      </c>
      <c r="D7" s="466">
        <v>43616</v>
      </c>
      <c r="E7" s="463">
        <v>58.01</v>
      </c>
      <c r="G7" s="467">
        <v>43982</v>
      </c>
      <c r="H7" s="463">
        <v>56.86</v>
      </c>
    </row>
    <row r="8" spans="1:8">
      <c r="A8" s="463"/>
      <c r="B8" s="463"/>
      <c r="D8" s="466">
        <v>43646</v>
      </c>
      <c r="E8" s="463">
        <v>57.8</v>
      </c>
      <c r="G8" s="463"/>
      <c r="H8" s="463"/>
    </row>
    <row r="9" spans="1:8">
      <c r="A9" s="463" t="s">
        <v>438</v>
      </c>
      <c r="B9" s="463">
        <f>AVERAGE(B2:B7)</f>
        <v>59.23</v>
      </c>
      <c r="D9" s="466">
        <v>43677</v>
      </c>
      <c r="E9" s="463">
        <v>55.17</v>
      </c>
      <c r="G9" s="463" t="s">
        <v>438</v>
      </c>
      <c r="H9" s="463">
        <f>AVERAGE(H2:H7)</f>
        <v>56.406666666666673</v>
      </c>
    </row>
    <row r="10" spans="1:8">
      <c r="D10" s="466">
        <v>43708</v>
      </c>
      <c r="E10" s="463">
        <v>56.45</v>
      </c>
    </row>
    <row r="11" spans="1:8">
      <c r="D11" s="466">
        <v>43738</v>
      </c>
      <c r="E11" s="463">
        <v>56.51</v>
      </c>
    </row>
    <row r="12" spans="1:8">
      <c r="D12" s="466">
        <v>43769</v>
      </c>
      <c r="E12" s="463">
        <v>54.87</v>
      </c>
    </row>
    <row r="13" spans="1:8">
      <c r="D13" s="466">
        <v>43799</v>
      </c>
      <c r="E13" s="463">
        <v>57.3</v>
      </c>
    </row>
    <row r="14" spans="1:8">
      <c r="D14" s="463"/>
      <c r="E14" s="463"/>
    </row>
    <row r="15" spans="1:8">
      <c r="D15" s="463" t="s">
        <v>438</v>
      </c>
      <c r="E15" s="463">
        <f>AVERAGE(E2:E13)</f>
        <v>54.949999999999996</v>
      </c>
    </row>
    <row r="19" spans="1:2" ht="13.5" thickBot="1"/>
    <row r="20" spans="1:2" ht="13.5" thickBot="1">
      <c r="A20" s="463"/>
      <c r="B20" s="476" t="s">
        <v>445</v>
      </c>
    </row>
    <row r="21" spans="1:2">
      <c r="A21" s="463" t="s">
        <v>439</v>
      </c>
      <c r="B21" s="502">
        <v>5629623</v>
      </c>
    </row>
    <row r="22" spans="1:2">
      <c r="A22" s="463" t="s">
        <v>440</v>
      </c>
      <c r="B22" s="502">
        <v>14663657</v>
      </c>
    </row>
    <row r="23" spans="1:2">
      <c r="A23" s="463" t="s">
        <v>361</v>
      </c>
      <c r="B23" s="502">
        <v>2370514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C1:AH57"/>
  <sheetViews>
    <sheetView showGridLines="0" view="pageBreakPreview" zoomScale="51" zoomScaleNormal="75" zoomScaleSheetLayoutView="100" workbookViewId="0">
      <selection activeCell="P3" sqref="P3"/>
    </sheetView>
  </sheetViews>
  <sheetFormatPr defaultColWidth="10" defaultRowHeight="12.75"/>
  <cols>
    <col min="1" max="1" width="5" style="12" customWidth="1"/>
    <col min="2" max="2" width="1" style="12" customWidth="1"/>
    <col min="3" max="3" width="9.25" style="13" customWidth="1"/>
    <col min="4" max="4" width="11.625" style="12" customWidth="1"/>
    <col min="5" max="5" width="0.625" style="12" customWidth="1"/>
    <col min="6" max="6" width="10.125" style="12" customWidth="1"/>
    <col min="7" max="7" width="0.625" style="12" customWidth="1"/>
    <col min="8" max="8" width="15.75" style="12" customWidth="1"/>
    <col min="9" max="9" width="3.25" style="12" customWidth="1"/>
    <col min="10" max="10" width="8" style="12" customWidth="1"/>
    <col min="11" max="11" width="1.625" style="12" customWidth="1"/>
    <col min="12" max="12" width="13.375" style="12" customWidth="1"/>
    <col min="13" max="13" width="1.5" style="12" customWidth="1"/>
    <col min="14" max="14" width="9.625" style="12" customWidth="1"/>
    <col min="15" max="15" width="2.375" style="12" customWidth="1"/>
    <col min="16" max="16" width="18.875" style="12" customWidth="1"/>
    <col min="17" max="17" width="1.125" style="12" customWidth="1"/>
    <col min="18" max="18" width="12.375" style="12" customWidth="1"/>
    <col min="19" max="19" width="3.625" style="12" customWidth="1"/>
    <col min="20" max="20" width="8.25" style="12" customWidth="1"/>
    <col min="21" max="21" width="12.625" style="12" customWidth="1"/>
    <col min="22" max="22" width="3.75" style="12" customWidth="1"/>
    <col min="23" max="23" width="7.75" style="12" customWidth="1"/>
    <col min="24" max="24" width="16.625" style="12" customWidth="1"/>
    <col min="25" max="25" width="0.625" style="12" customWidth="1"/>
    <col min="26" max="26" width="9.625" style="12" customWidth="1"/>
    <col min="27" max="27" width="0.625" style="12" customWidth="1"/>
    <col min="28" max="28" width="12.875" style="12" customWidth="1"/>
    <col min="29" max="29" width="1.875" style="12" customWidth="1"/>
    <col min="30" max="30" width="13.625" style="12" customWidth="1"/>
    <col min="31" max="31" width="1" style="12" customWidth="1"/>
    <col min="32" max="32" width="3.625" style="12" customWidth="1"/>
    <col min="33" max="33" width="10.75" style="12" customWidth="1"/>
    <col min="34" max="34" width="6.75" style="12" customWidth="1"/>
    <col min="35" max="253" width="7.625" style="12" customWidth="1"/>
    <col min="254" max="16384" width="10" style="12"/>
  </cols>
  <sheetData>
    <row r="1" spans="3:34" ht="15">
      <c r="C1" s="63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4"/>
    </row>
    <row r="2" spans="3:34" ht="23.25">
      <c r="C2" s="62" t="s">
        <v>112</v>
      </c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59"/>
    </row>
    <row r="3" spans="3:34" ht="20.25">
      <c r="C3" s="61" t="s">
        <v>111</v>
      </c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59"/>
    </row>
    <row r="4" spans="3:34" ht="15.75" customHeight="1">
      <c r="C4" s="583" t="s">
        <v>110</v>
      </c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4"/>
      <c r="W4" s="584"/>
      <c r="X4" s="584"/>
      <c r="Y4" s="584"/>
      <c r="Z4" s="584"/>
      <c r="AA4" s="584"/>
      <c r="AB4" s="584"/>
      <c r="AC4" s="584"/>
      <c r="AD4" s="584"/>
      <c r="AE4" s="584"/>
      <c r="AF4" s="584"/>
      <c r="AG4" s="584"/>
      <c r="AH4" s="585"/>
    </row>
    <row r="5" spans="3:34" ht="16.5" thickBot="1">
      <c r="C5" s="58"/>
      <c r="D5" s="33"/>
      <c r="E5" s="33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33"/>
      <c r="Z5" s="33"/>
      <c r="AA5" s="33"/>
      <c r="AB5" s="33"/>
      <c r="AC5" s="33"/>
      <c r="AD5" s="33"/>
      <c r="AE5" s="33"/>
      <c r="AF5" s="33"/>
      <c r="AG5" s="33"/>
      <c r="AH5" s="30"/>
    </row>
    <row r="6" spans="3:34" ht="15.75" thickBot="1"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</row>
    <row r="7" spans="3:34" ht="15">
      <c r="C7" s="56"/>
      <c r="D7" s="55"/>
      <c r="E7" s="55"/>
      <c r="F7" s="55"/>
      <c r="G7" s="55"/>
      <c r="H7" s="55"/>
      <c r="I7" s="55"/>
      <c r="J7" s="55" t="s">
        <v>101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4"/>
    </row>
    <row r="8" spans="3:34" ht="15.75">
      <c r="C8" s="53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18" t="s">
        <v>109</v>
      </c>
      <c r="S8" s="18"/>
      <c r="V8" s="17" t="s">
        <v>108</v>
      </c>
      <c r="X8" s="17"/>
      <c r="Y8" s="20"/>
      <c r="Z8" s="20"/>
      <c r="AA8" s="20"/>
      <c r="AB8" s="20"/>
      <c r="AC8" s="20"/>
      <c r="AD8" s="20"/>
      <c r="AE8" s="20"/>
      <c r="AF8" s="20"/>
      <c r="AG8" s="20"/>
      <c r="AH8" s="39"/>
    </row>
    <row r="9" spans="3:34" ht="15.75">
      <c r="C9" s="53"/>
      <c r="D9" s="52"/>
      <c r="E9" s="52"/>
      <c r="F9" s="52"/>
      <c r="G9" s="52"/>
      <c r="I9" s="48"/>
      <c r="K9" s="47"/>
      <c r="L9" s="47"/>
      <c r="M9" s="48"/>
      <c r="N9" s="48"/>
      <c r="O9" s="48"/>
      <c r="P9" s="47"/>
      <c r="Q9" s="47"/>
      <c r="R9" s="47"/>
      <c r="S9" s="47"/>
      <c r="T9" s="47"/>
      <c r="U9" s="47"/>
      <c r="V9" s="47"/>
      <c r="W9" s="47"/>
      <c r="Y9" s="47"/>
      <c r="Z9" s="47"/>
      <c r="AA9" s="48"/>
      <c r="AB9" s="48"/>
      <c r="AC9" s="48"/>
      <c r="AD9" s="48"/>
      <c r="AE9" s="52"/>
      <c r="AF9" s="52"/>
      <c r="AG9" s="52"/>
      <c r="AH9" s="51"/>
    </row>
    <row r="10" spans="3:34" ht="15.75">
      <c r="C10" s="53"/>
      <c r="D10" s="52" t="s">
        <v>107</v>
      </c>
      <c r="E10" s="52"/>
      <c r="F10" s="52" t="s">
        <v>106</v>
      </c>
      <c r="G10" s="52"/>
      <c r="H10" s="18" t="s">
        <v>105</v>
      </c>
      <c r="I10" s="52"/>
      <c r="J10" s="52"/>
      <c r="K10" s="52"/>
      <c r="L10" s="52" t="s">
        <v>102</v>
      </c>
      <c r="M10" s="52"/>
      <c r="N10" s="52" t="s">
        <v>101</v>
      </c>
      <c r="O10" s="52"/>
      <c r="P10" s="52" t="s">
        <v>104</v>
      </c>
      <c r="Q10" s="52"/>
      <c r="R10" s="52"/>
      <c r="S10" s="52"/>
      <c r="T10" s="52"/>
      <c r="V10" s="52"/>
      <c r="W10" s="52"/>
      <c r="Y10" s="52" t="s">
        <v>103</v>
      </c>
      <c r="Z10" s="52" t="s">
        <v>101</v>
      </c>
      <c r="AA10" s="52"/>
      <c r="AB10" s="52"/>
      <c r="AC10" s="52"/>
      <c r="AD10" s="52" t="s">
        <v>102</v>
      </c>
      <c r="AE10" s="52"/>
      <c r="AF10" s="52"/>
      <c r="AG10" s="52" t="s">
        <v>101</v>
      </c>
      <c r="AH10" s="51"/>
    </row>
    <row r="11" spans="3:34" ht="18.75">
      <c r="C11" s="45" t="s">
        <v>100</v>
      </c>
      <c r="D11" s="52" t="s">
        <v>98</v>
      </c>
      <c r="E11" s="52"/>
      <c r="F11" s="52"/>
      <c r="G11" s="52"/>
      <c r="H11" s="49" t="s">
        <v>99</v>
      </c>
      <c r="I11" s="52"/>
      <c r="J11" s="52" t="s">
        <v>92</v>
      </c>
      <c r="K11" s="52"/>
      <c r="L11" s="52" t="s">
        <v>98</v>
      </c>
      <c r="M11" s="52"/>
      <c r="N11" s="52" t="s">
        <v>97</v>
      </c>
      <c r="O11" s="52"/>
      <c r="P11" s="52" t="s">
        <v>96</v>
      </c>
      <c r="Q11" s="52"/>
      <c r="R11" s="18" t="s">
        <v>95</v>
      </c>
      <c r="S11" s="18"/>
      <c r="T11" s="52" t="s">
        <v>92</v>
      </c>
      <c r="U11" s="18" t="s">
        <v>94</v>
      </c>
      <c r="V11" s="52"/>
      <c r="W11" s="52" t="s">
        <v>92</v>
      </c>
      <c r="X11" s="18" t="s">
        <v>93</v>
      </c>
      <c r="Y11" s="52"/>
      <c r="Z11" s="52" t="s">
        <v>92</v>
      </c>
      <c r="AA11" s="52"/>
      <c r="AB11" s="52" t="s">
        <v>91</v>
      </c>
      <c r="AC11" s="52"/>
      <c r="AD11" s="52" t="s">
        <v>90</v>
      </c>
      <c r="AE11" s="52"/>
      <c r="AF11" s="52"/>
      <c r="AG11" s="52" t="s">
        <v>89</v>
      </c>
      <c r="AH11" s="51"/>
    </row>
    <row r="12" spans="3:34" ht="17.25">
      <c r="C12" s="50" t="s">
        <v>88</v>
      </c>
      <c r="D12" s="47" t="s">
        <v>87</v>
      </c>
      <c r="E12" s="47"/>
      <c r="F12" s="47" t="s">
        <v>77</v>
      </c>
      <c r="G12" s="48"/>
      <c r="H12" s="49" t="s">
        <v>86</v>
      </c>
      <c r="I12" s="48"/>
      <c r="J12" s="48"/>
      <c r="K12" s="48"/>
      <c r="L12" s="47" t="s">
        <v>85</v>
      </c>
      <c r="M12" s="48"/>
      <c r="N12" s="47" t="s">
        <v>84</v>
      </c>
      <c r="O12" s="47"/>
      <c r="P12" s="47" t="s">
        <v>83</v>
      </c>
      <c r="Q12" s="47"/>
      <c r="R12" s="49" t="s">
        <v>82</v>
      </c>
      <c r="S12" s="49"/>
      <c r="T12" s="47"/>
      <c r="U12" s="49" t="s">
        <v>81</v>
      </c>
      <c r="V12" s="47"/>
      <c r="W12" s="47"/>
      <c r="X12" s="49" t="s">
        <v>80</v>
      </c>
      <c r="Y12" s="48"/>
      <c r="Z12" s="48"/>
      <c r="AA12" s="48"/>
      <c r="AB12" s="47" t="s">
        <v>79</v>
      </c>
      <c r="AC12" s="48"/>
      <c r="AD12" s="47" t="s">
        <v>78</v>
      </c>
      <c r="AE12" s="48"/>
      <c r="AF12" s="48"/>
      <c r="AG12" s="47" t="s">
        <v>77</v>
      </c>
      <c r="AH12" s="46"/>
    </row>
    <row r="13" spans="3:34" ht="21.75" customHeight="1">
      <c r="C13" s="50"/>
      <c r="D13" s="47"/>
      <c r="E13" s="47"/>
      <c r="F13" s="47"/>
      <c r="G13" s="48"/>
      <c r="H13" s="48"/>
      <c r="I13" s="48"/>
      <c r="J13" s="48"/>
      <c r="K13" s="48"/>
      <c r="L13" s="47"/>
      <c r="M13" s="48"/>
      <c r="N13" s="47"/>
      <c r="O13" s="47"/>
      <c r="P13" s="47" t="s">
        <v>76</v>
      </c>
      <c r="Q13" s="47"/>
      <c r="R13" s="47"/>
      <c r="S13" s="47"/>
      <c r="T13" s="47"/>
      <c r="U13" s="47"/>
      <c r="V13" s="47"/>
      <c r="W13" s="47"/>
      <c r="X13" s="49"/>
      <c r="Y13" s="48"/>
      <c r="Z13" s="48"/>
      <c r="AA13" s="48"/>
      <c r="AB13" s="47"/>
      <c r="AC13" s="48"/>
      <c r="AD13" s="47"/>
      <c r="AE13" s="48"/>
      <c r="AF13" s="48"/>
      <c r="AG13" s="47"/>
      <c r="AH13" s="46"/>
    </row>
    <row r="14" spans="3:34" ht="15.75">
      <c r="C14" s="45"/>
      <c r="D14" s="25"/>
      <c r="E14" s="25"/>
      <c r="F14" s="25"/>
      <c r="G14" s="25"/>
      <c r="H14" s="25"/>
      <c r="I14" s="25"/>
      <c r="J14" s="25"/>
      <c r="K14" s="25"/>
      <c r="L14" s="20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0"/>
      <c r="AC14" s="20"/>
      <c r="AD14" s="25"/>
      <c r="AE14" s="25"/>
      <c r="AF14" s="25"/>
      <c r="AG14" s="25"/>
      <c r="AH14" s="39"/>
    </row>
    <row r="15" spans="3:34" ht="22.5" customHeight="1">
      <c r="C15" s="43">
        <v>1984</v>
      </c>
      <c r="D15" s="40">
        <v>30613.5</v>
      </c>
      <c r="E15" s="40"/>
      <c r="F15" s="40">
        <v>11.945456141120726</v>
      </c>
      <c r="G15" s="40"/>
      <c r="H15" s="40">
        <v>1890.7</v>
      </c>
      <c r="I15" s="40"/>
      <c r="J15" s="40">
        <f t="shared" ref="J15:J41" si="0">SUM((H15/D15)*100)</f>
        <v>6.1760334492952458</v>
      </c>
      <c r="K15" s="40"/>
      <c r="L15" s="40">
        <f t="shared" ref="L15:L41" si="1">SUM(D15-H15)</f>
        <v>28722.799999999999</v>
      </c>
      <c r="M15" s="40"/>
      <c r="N15" s="40">
        <v>2653</v>
      </c>
      <c r="O15" s="40"/>
      <c r="P15" s="40">
        <f t="shared" ref="P15:P35" si="2">SUM(L15+N15)</f>
        <v>31375.8</v>
      </c>
      <c r="Q15" s="40"/>
      <c r="R15" s="40">
        <v>1577.4</v>
      </c>
      <c r="S15" s="40"/>
      <c r="T15" s="40">
        <f t="shared" ref="T15:T41" si="3">SUM(R15/P15)*100</f>
        <v>5.0274415313713119</v>
      </c>
      <c r="U15" s="40">
        <f t="shared" ref="U15:U26" si="4">SUM(X15-R15)</f>
        <v>2163.1999999999998</v>
      </c>
      <c r="V15" s="40"/>
      <c r="W15" s="40">
        <f t="shared" ref="W15:W41" si="5">SUM(U15/P15)*100</f>
        <v>6.8944855589339546</v>
      </c>
      <c r="X15" s="40">
        <v>3740.6</v>
      </c>
      <c r="Y15" s="40"/>
      <c r="Z15" s="40">
        <f t="shared" ref="Z15:Z41" si="6">SUM((X15/P15)*100)</f>
        <v>11.921927090305267</v>
      </c>
      <c r="AA15" s="40"/>
      <c r="AB15" s="16"/>
      <c r="AC15" s="16"/>
      <c r="AD15" s="40">
        <f t="shared" ref="AD15:AD41" si="7">SUM(P15-X15-AB15)</f>
        <v>27635.200000000001</v>
      </c>
      <c r="AE15" s="40"/>
      <c r="AF15" s="40"/>
      <c r="AG15" s="40">
        <v>12.95764170185285</v>
      </c>
      <c r="AH15" s="39"/>
    </row>
    <row r="16" spans="3:34" ht="22.5" customHeight="1">
      <c r="C16" s="43">
        <v>1985</v>
      </c>
      <c r="D16" s="40">
        <v>34218.9</v>
      </c>
      <c r="E16" s="40"/>
      <c r="F16" s="40">
        <f t="shared" ref="F16:F41" si="8">((+D16/D15)-1)*100</f>
        <v>11.777157136557403</v>
      </c>
      <c r="G16" s="40"/>
      <c r="H16" s="40">
        <v>2306.8000000000002</v>
      </c>
      <c r="I16" s="40"/>
      <c r="J16" s="40">
        <f t="shared" si="0"/>
        <v>6.7413037824126425</v>
      </c>
      <c r="K16" s="40"/>
      <c r="L16" s="40">
        <f t="shared" si="1"/>
        <v>31912.100000000002</v>
      </c>
      <c r="M16" s="40"/>
      <c r="N16" s="40">
        <v>2142.4</v>
      </c>
      <c r="O16" s="40"/>
      <c r="P16" s="40">
        <f t="shared" si="2"/>
        <v>34054.5</v>
      </c>
      <c r="Q16" s="40"/>
      <c r="R16" s="40">
        <v>1611.4</v>
      </c>
      <c r="S16" s="40"/>
      <c r="T16" s="40">
        <f t="shared" si="3"/>
        <v>4.7318269244886881</v>
      </c>
      <c r="U16" s="40">
        <f t="shared" si="4"/>
        <v>2734.4999999999995</v>
      </c>
      <c r="V16" s="40"/>
      <c r="W16" s="40">
        <f t="shared" si="5"/>
        <v>8.029775800554992</v>
      </c>
      <c r="X16" s="40">
        <v>4345.8999999999996</v>
      </c>
      <c r="Y16" s="40"/>
      <c r="Z16" s="40">
        <f t="shared" si="6"/>
        <v>12.761602725043678</v>
      </c>
      <c r="AA16" s="40"/>
      <c r="AB16" s="16"/>
      <c r="AC16" s="16"/>
      <c r="AD16" s="40">
        <f t="shared" si="7"/>
        <v>29708.6</v>
      </c>
      <c r="AE16" s="40"/>
      <c r="AF16" s="40"/>
      <c r="AG16" s="40">
        <f t="shared" ref="AG16:AG41" si="9">((+AD16/AD15)-1)*100</f>
        <v>7.5027501157943322</v>
      </c>
      <c r="AH16" s="39"/>
    </row>
    <row r="17" spans="3:34" ht="22.5" customHeight="1">
      <c r="C17" s="43">
        <v>1986</v>
      </c>
      <c r="D17" s="40">
        <v>39694.800000000003</v>
      </c>
      <c r="E17" s="40"/>
      <c r="F17" s="40">
        <f t="shared" si="8"/>
        <v>16.002559988778131</v>
      </c>
      <c r="G17" s="40"/>
      <c r="H17" s="40">
        <v>2815</v>
      </c>
      <c r="I17" s="40"/>
      <c r="J17" s="40">
        <f t="shared" si="0"/>
        <v>7.0916089764906225</v>
      </c>
      <c r="K17" s="40"/>
      <c r="L17" s="40">
        <f t="shared" si="1"/>
        <v>36879.800000000003</v>
      </c>
      <c r="M17" s="40"/>
      <c r="N17" s="40">
        <v>776.6</v>
      </c>
      <c r="O17" s="40"/>
      <c r="P17" s="40">
        <f t="shared" si="2"/>
        <v>37656.400000000001</v>
      </c>
      <c r="Q17" s="40"/>
      <c r="R17" s="40">
        <v>1344.3</v>
      </c>
      <c r="S17" s="40"/>
      <c r="T17" s="40">
        <f t="shared" si="3"/>
        <v>3.5699110908105922</v>
      </c>
      <c r="U17" s="40">
        <f t="shared" si="4"/>
        <v>4102.3999999999996</v>
      </c>
      <c r="V17" s="40"/>
      <c r="W17" s="40">
        <f t="shared" si="5"/>
        <v>10.894296852593449</v>
      </c>
      <c r="X17" s="40">
        <v>5446.7</v>
      </c>
      <c r="Y17" s="40"/>
      <c r="Z17" s="40">
        <f t="shared" si="6"/>
        <v>14.464207943404043</v>
      </c>
      <c r="AA17" s="40"/>
      <c r="AB17" s="16"/>
      <c r="AC17" s="16"/>
      <c r="AD17" s="40">
        <f t="shared" si="7"/>
        <v>32209.7</v>
      </c>
      <c r="AE17" s="40"/>
      <c r="AF17" s="40"/>
      <c r="AG17" s="40">
        <f t="shared" si="9"/>
        <v>8.4187743616326749</v>
      </c>
      <c r="AH17" s="39"/>
    </row>
    <row r="18" spans="3:34" ht="22.5" customHeight="1">
      <c r="C18" s="43">
        <v>1987</v>
      </c>
      <c r="D18" s="40">
        <v>44352.9</v>
      </c>
      <c r="E18" s="40"/>
      <c r="F18" s="40">
        <f t="shared" si="8"/>
        <v>11.734786420387543</v>
      </c>
      <c r="G18" s="40"/>
      <c r="H18" s="40">
        <v>2607.6999999999998</v>
      </c>
      <c r="I18" s="40"/>
      <c r="J18" s="40">
        <f t="shared" si="0"/>
        <v>5.8794351665843712</v>
      </c>
      <c r="K18" s="40"/>
      <c r="L18" s="40">
        <f t="shared" si="1"/>
        <v>41745.200000000004</v>
      </c>
      <c r="M18" s="40"/>
      <c r="N18" s="40">
        <v>572.1</v>
      </c>
      <c r="O18" s="40"/>
      <c r="P18" s="40">
        <f t="shared" si="2"/>
        <v>42317.3</v>
      </c>
      <c r="Q18" s="40"/>
      <c r="R18" s="40">
        <v>1627.4</v>
      </c>
      <c r="S18" s="40"/>
      <c r="T18" s="40">
        <f t="shared" si="3"/>
        <v>3.8457084927441021</v>
      </c>
      <c r="U18" s="40">
        <f t="shared" si="4"/>
        <v>3992.6</v>
      </c>
      <c r="V18" s="40"/>
      <c r="W18" s="40">
        <f t="shared" si="5"/>
        <v>9.4349119627197364</v>
      </c>
      <c r="X18" s="40">
        <v>5620</v>
      </c>
      <c r="Y18" s="40"/>
      <c r="Z18" s="40">
        <f t="shared" si="6"/>
        <v>13.28062045546384</v>
      </c>
      <c r="AA18" s="40"/>
      <c r="AB18" s="16"/>
      <c r="AC18" s="16"/>
      <c r="AD18" s="40">
        <f t="shared" si="7"/>
        <v>36697.300000000003</v>
      </c>
      <c r="AE18" s="40"/>
      <c r="AF18" s="40"/>
      <c r="AG18" s="40">
        <f t="shared" si="9"/>
        <v>13.932448920666761</v>
      </c>
      <c r="AH18" s="39"/>
    </row>
    <row r="19" spans="3:34" ht="22.5" customHeight="1">
      <c r="C19" s="43">
        <v>1988</v>
      </c>
      <c r="D19" s="40">
        <v>48048.800000000003</v>
      </c>
      <c r="E19" s="40"/>
      <c r="F19" s="40">
        <f t="shared" si="8"/>
        <v>8.3329387706328149</v>
      </c>
      <c r="G19" s="40"/>
      <c r="H19" s="40">
        <v>2400</v>
      </c>
      <c r="I19" s="40"/>
      <c r="J19" s="40">
        <f t="shared" si="0"/>
        <v>4.9949218294733688</v>
      </c>
      <c r="K19" s="40"/>
      <c r="L19" s="40">
        <f t="shared" si="1"/>
        <v>45648.800000000003</v>
      </c>
      <c r="M19" s="40"/>
      <c r="N19" s="40">
        <v>381.2</v>
      </c>
      <c r="O19" s="40"/>
      <c r="P19" s="40">
        <f t="shared" si="2"/>
        <v>46030</v>
      </c>
      <c r="Q19" s="40"/>
      <c r="R19" s="40">
        <v>2016.6</v>
      </c>
      <c r="S19" s="40"/>
      <c r="T19" s="40">
        <f t="shared" si="3"/>
        <v>4.381055833152292</v>
      </c>
      <c r="U19" s="40">
        <f t="shared" si="4"/>
        <v>4291.8999999999996</v>
      </c>
      <c r="V19" s="40"/>
      <c r="W19" s="40">
        <f t="shared" si="5"/>
        <v>9.3241364327612413</v>
      </c>
      <c r="X19" s="40">
        <v>6308.5</v>
      </c>
      <c r="Y19" s="40"/>
      <c r="Z19" s="40">
        <f t="shared" si="6"/>
        <v>13.705192265913535</v>
      </c>
      <c r="AA19" s="40"/>
      <c r="AB19" s="16"/>
      <c r="AC19" s="16"/>
      <c r="AD19" s="40">
        <f t="shared" si="7"/>
        <v>39721.5</v>
      </c>
      <c r="AE19" s="40"/>
      <c r="AF19" s="40"/>
      <c r="AG19" s="40">
        <f t="shared" si="9"/>
        <v>8.2409332566701021</v>
      </c>
      <c r="AH19" s="39"/>
    </row>
    <row r="20" spans="3:34" ht="22.5" customHeight="1">
      <c r="C20" s="43">
        <v>1989</v>
      </c>
      <c r="D20" s="40">
        <v>52043.199999999997</v>
      </c>
      <c r="E20" s="40"/>
      <c r="F20" s="40">
        <f t="shared" si="8"/>
        <v>8.313214898186839</v>
      </c>
      <c r="G20" s="40"/>
      <c r="H20" s="40">
        <v>3234.5</v>
      </c>
      <c r="I20" s="40"/>
      <c r="J20" s="40">
        <f t="shared" si="0"/>
        <v>6.2150290527869156</v>
      </c>
      <c r="K20" s="40"/>
      <c r="L20" s="40">
        <f t="shared" si="1"/>
        <v>48808.7</v>
      </c>
      <c r="M20" s="40"/>
      <c r="N20" s="40">
        <v>558.5</v>
      </c>
      <c r="O20" s="40"/>
      <c r="P20" s="40">
        <f t="shared" si="2"/>
        <v>49367.199999999997</v>
      </c>
      <c r="Q20" s="40"/>
      <c r="R20" s="40">
        <v>1544</v>
      </c>
      <c r="S20" s="40"/>
      <c r="T20" s="40">
        <f t="shared" si="3"/>
        <v>3.1275826864800926</v>
      </c>
      <c r="U20" s="40">
        <f t="shared" si="4"/>
        <v>4703.2</v>
      </c>
      <c r="V20" s="40"/>
      <c r="W20" s="40">
        <f t="shared" si="5"/>
        <v>9.5269733750344372</v>
      </c>
      <c r="X20" s="40">
        <v>6247.2</v>
      </c>
      <c r="Y20" s="40"/>
      <c r="Z20" s="40">
        <f t="shared" si="6"/>
        <v>12.654556061514526</v>
      </c>
      <c r="AA20" s="40"/>
      <c r="AB20" s="16"/>
      <c r="AC20" s="16"/>
      <c r="AD20" s="40">
        <f t="shared" si="7"/>
        <v>43120</v>
      </c>
      <c r="AE20" s="40"/>
      <c r="AF20" s="40"/>
      <c r="AG20" s="40">
        <f t="shared" si="9"/>
        <v>8.5558198960260725</v>
      </c>
      <c r="AH20" s="39"/>
    </row>
    <row r="21" spans="3:34" ht="22.5" customHeight="1">
      <c r="C21" s="43">
        <v>1990</v>
      </c>
      <c r="D21" s="40">
        <v>57543</v>
      </c>
      <c r="E21" s="40"/>
      <c r="F21" s="40">
        <f t="shared" si="8"/>
        <v>10.567759092446272</v>
      </c>
      <c r="G21" s="40"/>
      <c r="H21" s="40">
        <v>3311.4</v>
      </c>
      <c r="I21" s="40"/>
      <c r="J21" s="40">
        <f t="shared" si="0"/>
        <v>5.754653042072885</v>
      </c>
      <c r="K21" s="40"/>
      <c r="L21" s="40">
        <f t="shared" si="1"/>
        <v>54231.6</v>
      </c>
      <c r="M21" s="40"/>
      <c r="N21" s="40">
        <v>175.5</v>
      </c>
      <c r="O21" s="40"/>
      <c r="P21" s="40">
        <f t="shared" si="2"/>
        <v>54407.1</v>
      </c>
      <c r="Q21" s="40"/>
      <c r="R21" s="40">
        <v>1787.2</v>
      </c>
      <c r="S21" s="40"/>
      <c r="T21" s="40">
        <f t="shared" si="3"/>
        <v>3.2848653944062454</v>
      </c>
      <c r="U21" s="40">
        <f t="shared" si="4"/>
        <v>4893.1000000000004</v>
      </c>
      <c r="V21" s="40"/>
      <c r="W21" s="40">
        <f t="shared" si="5"/>
        <v>8.9934953342486565</v>
      </c>
      <c r="X21" s="40">
        <v>6680.3</v>
      </c>
      <c r="Y21" s="40"/>
      <c r="Z21" s="40">
        <f t="shared" si="6"/>
        <v>12.278360728654901</v>
      </c>
      <c r="AA21" s="40"/>
      <c r="AB21" s="16">
        <v>906.8</v>
      </c>
      <c r="AC21" s="16"/>
      <c r="AD21" s="40">
        <f t="shared" si="7"/>
        <v>46819.999999999993</v>
      </c>
      <c r="AE21" s="40"/>
      <c r="AF21" s="40"/>
      <c r="AG21" s="40">
        <f t="shared" si="9"/>
        <v>8.5807050092764126</v>
      </c>
      <c r="AH21" s="39"/>
    </row>
    <row r="22" spans="3:34" ht="22.5" customHeight="1">
      <c r="C22" s="43">
        <v>1991</v>
      </c>
      <c r="D22" s="40">
        <v>60246.3</v>
      </c>
      <c r="E22" s="40"/>
      <c r="F22" s="40">
        <f t="shared" si="8"/>
        <v>4.6978781085449173</v>
      </c>
      <c r="G22" s="40"/>
      <c r="H22" s="40">
        <v>3655.2</v>
      </c>
      <c r="I22" s="40"/>
      <c r="J22" s="40">
        <f t="shared" si="0"/>
        <v>6.0670945767623898</v>
      </c>
      <c r="K22" s="40"/>
      <c r="L22" s="40">
        <f t="shared" si="1"/>
        <v>56591.100000000006</v>
      </c>
      <c r="M22" s="40"/>
      <c r="N22" s="40">
        <v>759.4</v>
      </c>
      <c r="O22" s="40"/>
      <c r="P22" s="40">
        <f t="shared" si="2"/>
        <v>57350.500000000007</v>
      </c>
      <c r="Q22" s="40"/>
      <c r="R22" s="40">
        <v>1437.8</v>
      </c>
      <c r="S22" s="40"/>
      <c r="T22" s="40">
        <f t="shared" si="3"/>
        <v>2.5070400432428657</v>
      </c>
      <c r="U22" s="40">
        <f t="shared" si="4"/>
        <v>6123.4</v>
      </c>
      <c r="V22" s="40"/>
      <c r="W22" s="40">
        <f t="shared" si="5"/>
        <v>10.677151899285969</v>
      </c>
      <c r="X22" s="40">
        <v>7561.2</v>
      </c>
      <c r="Y22" s="40"/>
      <c r="Z22" s="40">
        <f t="shared" si="6"/>
        <v>13.184191942528834</v>
      </c>
      <c r="AA22" s="40"/>
      <c r="AB22" s="16">
        <v>506.4</v>
      </c>
      <c r="AC22" s="16"/>
      <c r="AD22" s="40">
        <f t="shared" si="7"/>
        <v>49282.900000000009</v>
      </c>
      <c r="AE22" s="40"/>
      <c r="AF22" s="40"/>
      <c r="AG22" s="40">
        <f t="shared" si="9"/>
        <v>5.2603588210166974</v>
      </c>
      <c r="AH22" s="39"/>
    </row>
    <row r="23" spans="3:34" ht="22.5" customHeight="1">
      <c r="C23" s="43">
        <v>1992</v>
      </c>
      <c r="D23" s="44">
        <v>67342.2</v>
      </c>
      <c r="E23" s="16"/>
      <c r="F23" s="40">
        <f t="shared" si="8"/>
        <v>11.778150691411749</v>
      </c>
      <c r="G23" s="16"/>
      <c r="H23" s="41">
        <v>4237.3</v>
      </c>
      <c r="I23" s="16"/>
      <c r="J23" s="40">
        <f t="shared" si="0"/>
        <v>6.2921912263038626</v>
      </c>
      <c r="K23" s="16"/>
      <c r="L23" s="40">
        <f t="shared" si="1"/>
        <v>63104.899999999994</v>
      </c>
      <c r="M23" s="16"/>
      <c r="N23" s="16">
        <v>188.8</v>
      </c>
      <c r="O23" s="16"/>
      <c r="P23" s="40">
        <f t="shared" si="2"/>
        <v>63293.7</v>
      </c>
      <c r="Q23" s="16"/>
      <c r="R23" s="16">
        <v>1342.9</v>
      </c>
      <c r="S23" s="16"/>
      <c r="T23" s="40">
        <f t="shared" si="3"/>
        <v>2.1216961561735213</v>
      </c>
      <c r="U23" s="40">
        <f t="shared" si="4"/>
        <v>7651.9</v>
      </c>
      <c r="V23" s="40"/>
      <c r="W23" s="40">
        <f t="shared" si="5"/>
        <v>12.089512858309753</v>
      </c>
      <c r="X23" s="41">
        <v>8994.7999999999993</v>
      </c>
      <c r="Y23" s="16"/>
      <c r="Z23" s="40">
        <f t="shared" si="6"/>
        <v>14.211209014483273</v>
      </c>
      <c r="AA23" s="16"/>
      <c r="AB23" s="16">
        <v>314.2</v>
      </c>
      <c r="AC23" s="16"/>
      <c r="AD23" s="40">
        <f t="shared" si="7"/>
        <v>53984.7</v>
      </c>
      <c r="AE23" s="16"/>
      <c r="AF23" s="16"/>
      <c r="AG23" s="40">
        <f t="shared" si="9"/>
        <v>9.5404288302838971</v>
      </c>
      <c r="AH23" s="39"/>
    </row>
    <row r="24" spans="3:34" ht="22.5" customHeight="1">
      <c r="C24" s="43">
        <v>1993</v>
      </c>
      <c r="D24" s="44">
        <v>73807.5</v>
      </c>
      <c r="E24" s="16"/>
      <c r="F24" s="40">
        <f t="shared" si="8"/>
        <v>9.6006664468936354</v>
      </c>
      <c r="G24" s="16"/>
      <c r="H24" s="41">
        <v>3943.1</v>
      </c>
      <c r="I24" s="16"/>
      <c r="J24" s="40">
        <f t="shared" si="0"/>
        <v>5.3424110015919792</v>
      </c>
      <c r="K24" s="16"/>
      <c r="L24" s="40">
        <f t="shared" si="1"/>
        <v>69864.399999999994</v>
      </c>
      <c r="M24" s="16"/>
      <c r="N24" s="16">
        <v>212.9</v>
      </c>
      <c r="O24" s="16"/>
      <c r="P24" s="40">
        <f t="shared" si="2"/>
        <v>70077.299999999988</v>
      </c>
      <c r="Q24" s="16"/>
      <c r="R24" s="16">
        <v>1634.9</v>
      </c>
      <c r="S24" s="16"/>
      <c r="T24" s="40">
        <f t="shared" si="3"/>
        <v>2.3329951353719398</v>
      </c>
      <c r="U24" s="40">
        <f t="shared" si="4"/>
        <v>8616.7000000000007</v>
      </c>
      <c r="V24" s="40"/>
      <c r="W24" s="40">
        <f t="shared" si="5"/>
        <v>12.295993139005073</v>
      </c>
      <c r="X24" s="41">
        <v>10251.6</v>
      </c>
      <c r="Y24" s="16"/>
      <c r="Z24" s="40">
        <f t="shared" si="6"/>
        <v>14.628988274377011</v>
      </c>
      <c r="AA24" s="16"/>
      <c r="AB24" s="16">
        <v>588.70000000000005</v>
      </c>
      <c r="AC24" s="16"/>
      <c r="AD24" s="40">
        <f t="shared" si="7"/>
        <v>59236.999999999993</v>
      </c>
      <c r="AE24" s="16"/>
      <c r="AF24" s="16"/>
      <c r="AG24" s="40">
        <f t="shared" si="9"/>
        <v>9.7292380989428384</v>
      </c>
      <c r="AH24" s="39"/>
    </row>
    <row r="25" spans="3:34" ht="22.5" customHeight="1">
      <c r="C25" s="43">
        <v>1994</v>
      </c>
      <c r="D25" s="44">
        <v>78321.7</v>
      </c>
      <c r="E25" s="16"/>
      <c r="F25" s="40">
        <f t="shared" si="8"/>
        <v>6.1161806049520706</v>
      </c>
      <c r="G25" s="16"/>
      <c r="H25" s="41">
        <v>4539.1000000000004</v>
      </c>
      <c r="I25" s="16"/>
      <c r="J25" s="40">
        <f t="shared" si="0"/>
        <v>5.7954564316147383</v>
      </c>
      <c r="K25" s="16"/>
      <c r="L25" s="40">
        <f t="shared" si="1"/>
        <v>73782.599999999991</v>
      </c>
      <c r="M25" s="16"/>
      <c r="N25" s="16">
        <v>31.4</v>
      </c>
      <c r="O25" s="16"/>
      <c r="P25" s="40">
        <f t="shared" si="2"/>
        <v>73813.999999999985</v>
      </c>
      <c r="Q25" s="16" t="s">
        <v>75</v>
      </c>
      <c r="R25" s="16">
        <v>1800.3</v>
      </c>
      <c r="S25" s="16"/>
      <c r="T25" s="40">
        <f t="shared" si="3"/>
        <v>2.4389682174113316</v>
      </c>
      <c r="U25" s="40">
        <f t="shared" si="4"/>
        <v>10042.700000000001</v>
      </c>
      <c r="V25" s="27" t="s">
        <v>73</v>
      </c>
      <c r="W25" s="40">
        <f t="shared" si="5"/>
        <v>13.605413607174793</v>
      </c>
      <c r="X25" s="41">
        <v>11843</v>
      </c>
      <c r="Y25" s="16"/>
      <c r="Z25" s="40">
        <f t="shared" si="6"/>
        <v>16.044381824586125</v>
      </c>
      <c r="AA25" s="16"/>
      <c r="AB25" s="16">
        <v>570.1</v>
      </c>
      <c r="AC25" s="16"/>
      <c r="AD25" s="40">
        <f t="shared" si="7"/>
        <v>61400.899999999987</v>
      </c>
      <c r="AE25" s="16"/>
      <c r="AF25" s="24" t="s">
        <v>73</v>
      </c>
      <c r="AG25" s="40">
        <f t="shared" si="9"/>
        <v>3.6529533906173306</v>
      </c>
      <c r="AH25" s="39"/>
    </row>
    <row r="26" spans="3:34" ht="22.5" customHeight="1">
      <c r="C26" s="43">
        <v>1995</v>
      </c>
      <c r="D26" s="44">
        <v>86247.4</v>
      </c>
      <c r="E26" s="16"/>
      <c r="F26" s="40">
        <f t="shared" si="8"/>
        <v>10.119417734804026</v>
      </c>
      <c r="G26" s="16"/>
      <c r="H26" s="41">
        <f>4348.3+40.5</f>
        <v>4388.8</v>
      </c>
      <c r="I26" s="16"/>
      <c r="J26" s="40">
        <f t="shared" si="0"/>
        <v>5.0886171641116142</v>
      </c>
      <c r="K26" s="16"/>
      <c r="L26" s="40">
        <f t="shared" si="1"/>
        <v>81858.599999999991</v>
      </c>
      <c r="M26" s="16"/>
      <c r="N26" s="16">
        <v>0</v>
      </c>
      <c r="O26" s="16"/>
      <c r="P26" s="40">
        <f t="shared" si="2"/>
        <v>81858.599999999991</v>
      </c>
      <c r="Q26" s="16" t="s">
        <v>75</v>
      </c>
      <c r="R26" s="16">
        <v>2034.9</v>
      </c>
      <c r="S26" s="16"/>
      <c r="T26" s="40">
        <f t="shared" si="3"/>
        <v>2.4858719792422548</v>
      </c>
      <c r="U26" s="40">
        <f t="shared" si="4"/>
        <v>11733.9</v>
      </c>
      <c r="V26" s="27" t="s">
        <v>73</v>
      </c>
      <c r="W26" s="40">
        <f t="shared" si="5"/>
        <v>14.334352163364633</v>
      </c>
      <c r="X26" s="41">
        <v>13768.8</v>
      </c>
      <c r="Y26" s="16"/>
      <c r="Z26" s="40">
        <f t="shared" si="6"/>
        <v>16.820224142606889</v>
      </c>
      <c r="AA26" s="16"/>
      <c r="AB26" s="16">
        <v>695.9</v>
      </c>
      <c r="AC26" s="16"/>
      <c r="AD26" s="40">
        <f t="shared" si="7"/>
        <v>67393.899999999994</v>
      </c>
      <c r="AE26" s="16"/>
      <c r="AF26" s="24" t="s">
        <v>73</v>
      </c>
      <c r="AG26" s="40">
        <f t="shared" si="9"/>
        <v>9.7604432508318517</v>
      </c>
      <c r="AH26" s="39"/>
    </row>
    <row r="27" spans="3:34" ht="22.5" customHeight="1">
      <c r="C27" s="43">
        <v>1996</v>
      </c>
      <c r="D27" s="44">
        <v>94861.7</v>
      </c>
      <c r="E27" s="16"/>
      <c r="F27" s="40">
        <f t="shared" si="8"/>
        <v>9.9878952872782367</v>
      </c>
      <c r="G27" s="16"/>
      <c r="H27" s="41">
        <v>4777.3</v>
      </c>
      <c r="I27" s="16"/>
      <c r="J27" s="40">
        <f t="shared" si="0"/>
        <v>5.0360682973212585</v>
      </c>
      <c r="K27" s="16"/>
      <c r="L27" s="40">
        <f t="shared" si="1"/>
        <v>90084.4</v>
      </c>
      <c r="M27" s="16"/>
      <c r="N27" s="16">
        <v>270.10000000000002</v>
      </c>
      <c r="O27" s="16"/>
      <c r="P27" s="40">
        <f t="shared" si="2"/>
        <v>90354.5</v>
      </c>
      <c r="Q27" s="16" t="s">
        <v>75</v>
      </c>
      <c r="R27" s="16">
        <v>2461.6999999999998</v>
      </c>
      <c r="S27" s="16"/>
      <c r="T27" s="40">
        <f t="shared" si="3"/>
        <v>2.7244907558560998</v>
      </c>
      <c r="U27" s="40">
        <v>13393.1</v>
      </c>
      <c r="V27" s="27" t="s">
        <v>73</v>
      </c>
      <c r="W27" s="40">
        <f t="shared" si="5"/>
        <v>14.82283671538219</v>
      </c>
      <c r="X27" s="41">
        <f t="shared" ref="X27:X33" si="10">SUM(R27+U27)</f>
        <v>15854.8</v>
      </c>
      <c r="Y27" s="16"/>
      <c r="Z27" s="40">
        <f t="shared" si="6"/>
        <v>17.54732747123829</v>
      </c>
      <c r="AA27" s="16"/>
      <c r="AB27" s="16">
        <v>343.1</v>
      </c>
      <c r="AC27" s="16"/>
      <c r="AD27" s="40">
        <f t="shared" si="7"/>
        <v>74156.599999999991</v>
      </c>
      <c r="AE27" s="16"/>
      <c r="AF27" s="24" t="s">
        <v>73</v>
      </c>
      <c r="AG27" s="40">
        <f t="shared" si="9"/>
        <v>10.03458770007375</v>
      </c>
      <c r="AH27" s="39"/>
    </row>
    <row r="28" spans="3:34" ht="22.5" customHeight="1">
      <c r="C28" s="43">
        <v>1997</v>
      </c>
      <c r="D28" s="44">
        <v>103295.8</v>
      </c>
      <c r="E28" s="16"/>
      <c r="F28" s="40">
        <f t="shared" si="8"/>
        <v>8.8909433417280184</v>
      </c>
      <c r="G28" s="16"/>
      <c r="H28" s="41">
        <v>5050.2</v>
      </c>
      <c r="I28" s="16"/>
      <c r="J28" s="40">
        <f t="shared" si="0"/>
        <v>4.8890661575785268</v>
      </c>
      <c r="K28" s="16"/>
      <c r="L28" s="40">
        <f t="shared" si="1"/>
        <v>98245.6</v>
      </c>
      <c r="M28" s="16"/>
      <c r="N28" s="16">
        <v>2492.3000000000002</v>
      </c>
      <c r="O28" s="16"/>
      <c r="P28" s="40">
        <f t="shared" si="2"/>
        <v>100737.90000000001</v>
      </c>
      <c r="Q28" s="16" t="s">
        <v>75</v>
      </c>
      <c r="R28" s="16">
        <v>2935.5</v>
      </c>
      <c r="S28" s="16"/>
      <c r="T28" s="40">
        <f t="shared" si="3"/>
        <v>2.9139976116238273</v>
      </c>
      <c r="U28" s="40">
        <v>15646.4</v>
      </c>
      <c r="V28" s="27" t="s">
        <v>73</v>
      </c>
      <c r="W28" s="40">
        <f t="shared" si="5"/>
        <v>15.5317909148394</v>
      </c>
      <c r="X28" s="42">
        <f t="shared" si="10"/>
        <v>18581.900000000001</v>
      </c>
      <c r="Y28" s="16"/>
      <c r="Z28" s="40">
        <f t="shared" si="6"/>
        <v>18.445788526463229</v>
      </c>
      <c r="AA28" s="16"/>
      <c r="AB28" s="41">
        <v>271</v>
      </c>
      <c r="AC28" s="16"/>
      <c r="AD28" s="40">
        <f t="shared" si="7"/>
        <v>81885</v>
      </c>
      <c r="AE28" s="16"/>
      <c r="AF28" s="24" t="s">
        <v>73</v>
      </c>
      <c r="AG28" s="40">
        <f t="shared" si="9"/>
        <v>10.421729151552261</v>
      </c>
      <c r="AH28" s="39"/>
    </row>
    <row r="29" spans="3:34" ht="22.5" customHeight="1">
      <c r="C29" s="43">
        <v>1998</v>
      </c>
      <c r="D29" s="44">
        <v>111022.39999999999</v>
      </c>
      <c r="E29" s="16"/>
      <c r="F29" s="40">
        <f t="shared" si="8"/>
        <v>7.4800717938192873</v>
      </c>
      <c r="G29" s="16"/>
      <c r="H29" s="41">
        <f>5484.8+38.4</f>
        <v>5523.2</v>
      </c>
      <c r="I29" s="16"/>
      <c r="J29" s="40">
        <f t="shared" si="0"/>
        <v>4.974851921774345</v>
      </c>
      <c r="K29" s="16"/>
      <c r="L29" s="40">
        <f t="shared" si="1"/>
        <v>105499.2</v>
      </c>
      <c r="M29" s="16"/>
      <c r="N29" s="16">
        <v>3298.5</v>
      </c>
      <c r="O29" s="16"/>
      <c r="P29" s="40">
        <f t="shared" si="2"/>
        <v>108797.7</v>
      </c>
      <c r="Q29" s="16" t="s">
        <v>75</v>
      </c>
      <c r="R29" s="16">
        <v>3337.1</v>
      </c>
      <c r="S29" s="16"/>
      <c r="T29" s="40">
        <f t="shared" si="3"/>
        <v>3.067252340812352</v>
      </c>
      <c r="U29" s="40">
        <v>17457.8</v>
      </c>
      <c r="V29" s="27" t="s">
        <v>73</v>
      </c>
      <c r="W29" s="40">
        <f t="shared" si="5"/>
        <v>16.046111268896311</v>
      </c>
      <c r="X29" s="42">
        <f t="shared" si="10"/>
        <v>20794.899999999998</v>
      </c>
      <c r="Y29" s="16"/>
      <c r="Z29" s="40">
        <f t="shared" si="6"/>
        <v>19.11336360970866</v>
      </c>
      <c r="AA29" s="16"/>
      <c r="AB29" s="41">
        <v>298.2</v>
      </c>
      <c r="AC29" s="16"/>
      <c r="AD29" s="40">
        <f t="shared" si="7"/>
        <v>87704.6</v>
      </c>
      <c r="AE29" s="16"/>
      <c r="AF29" s="24" t="s">
        <v>73</v>
      </c>
      <c r="AG29" s="40">
        <f t="shared" si="9"/>
        <v>7.107040361482575</v>
      </c>
      <c r="AH29" s="39"/>
    </row>
    <row r="30" spans="3:34" ht="22.5" customHeight="1">
      <c r="C30" s="43">
        <v>1999</v>
      </c>
      <c r="D30" s="44">
        <v>116439.9</v>
      </c>
      <c r="E30" s="16"/>
      <c r="F30" s="40">
        <f t="shared" si="8"/>
        <v>4.8796459092939726</v>
      </c>
      <c r="G30" s="16"/>
      <c r="H30" s="41">
        <v>5738</v>
      </c>
      <c r="I30" s="16"/>
      <c r="J30" s="40">
        <f t="shared" si="0"/>
        <v>4.9278640740845709</v>
      </c>
      <c r="K30" s="16"/>
      <c r="L30" s="40">
        <f t="shared" si="1"/>
        <v>110701.9</v>
      </c>
      <c r="M30" s="16"/>
      <c r="N30" s="16">
        <v>2330.3000000000002</v>
      </c>
      <c r="O30" s="16"/>
      <c r="P30" s="40">
        <f t="shared" si="2"/>
        <v>113032.2</v>
      </c>
      <c r="Q30" s="16" t="s">
        <v>75</v>
      </c>
      <c r="R30" s="16">
        <v>2985.1</v>
      </c>
      <c r="S30" s="16"/>
      <c r="T30" s="40">
        <f t="shared" si="3"/>
        <v>2.6409288680570668</v>
      </c>
      <c r="U30" s="40">
        <f>18539.7+20.2</f>
        <v>18559.900000000001</v>
      </c>
      <c r="V30" s="27" t="s">
        <v>73</v>
      </c>
      <c r="W30" s="40">
        <f t="shared" si="5"/>
        <v>16.420011288818586</v>
      </c>
      <c r="X30" s="42">
        <f t="shared" si="10"/>
        <v>21545</v>
      </c>
      <c r="Y30" s="16"/>
      <c r="Z30" s="40">
        <f t="shared" si="6"/>
        <v>19.060940156875652</v>
      </c>
      <c r="AA30" s="16"/>
      <c r="AB30" s="41">
        <v>285.3</v>
      </c>
      <c r="AC30" s="16"/>
      <c r="AD30" s="40">
        <f t="shared" si="7"/>
        <v>91201.9</v>
      </c>
      <c r="AE30" s="16"/>
      <c r="AF30" s="24" t="s">
        <v>73</v>
      </c>
      <c r="AG30" s="40">
        <f t="shared" si="9"/>
        <v>3.9875901606073016</v>
      </c>
      <c r="AH30" s="39"/>
    </row>
    <row r="31" spans="3:34" ht="22.5" customHeight="1">
      <c r="C31" s="43">
        <v>2000</v>
      </c>
      <c r="D31" s="44">
        <v>124921.60000000001</v>
      </c>
      <c r="E31" s="16"/>
      <c r="F31" s="40">
        <f t="shared" si="8"/>
        <v>7.2841869496624634</v>
      </c>
      <c r="G31" s="16"/>
      <c r="H31" s="41">
        <v>6224</v>
      </c>
      <c r="I31" s="16"/>
      <c r="J31" s="40">
        <f t="shared" si="0"/>
        <v>4.9823249141861776</v>
      </c>
      <c r="K31" s="16"/>
      <c r="L31" s="40">
        <f t="shared" si="1"/>
        <v>118697.60000000001</v>
      </c>
      <c r="M31" s="16"/>
      <c r="N31" s="16">
        <v>3791.3</v>
      </c>
      <c r="O31" s="16"/>
      <c r="P31" s="40">
        <f t="shared" si="2"/>
        <v>122488.90000000001</v>
      </c>
      <c r="Q31" s="16"/>
      <c r="R31" s="16">
        <v>3181.8</v>
      </c>
      <c r="S31" s="16"/>
      <c r="T31" s="40">
        <f t="shared" si="3"/>
        <v>2.597623131565391</v>
      </c>
      <c r="U31" s="40">
        <f>19141+1433.1</f>
        <v>20574.099999999999</v>
      </c>
      <c r="V31" s="27" t="s">
        <v>73</v>
      </c>
      <c r="W31" s="40">
        <f t="shared" si="5"/>
        <v>16.796705660676189</v>
      </c>
      <c r="X31" s="42">
        <f t="shared" si="10"/>
        <v>23755.899999999998</v>
      </c>
      <c r="Y31" s="16"/>
      <c r="Z31" s="40">
        <f t="shared" si="6"/>
        <v>19.394328792241581</v>
      </c>
      <c r="AA31" s="16"/>
      <c r="AB31" s="41">
        <v>437.3</v>
      </c>
      <c r="AC31" s="16"/>
      <c r="AD31" s="40">
        <f t="shared" si="7"/>
        <v>98295.700000000012</v>
      </c>
      <c r="AE31" s="16"/>
      <c r="AF31" s="24" t="s">
        <v>73</v>
      </c>
      <c r="AG31" s="40">
        <f t="shared" si="9"/>
        <v>7.7781274293627911</v>
      </c>
      <c r="AH31" s="39"/>
    </row>
    <row r="32" spans="3:34" ht="22.5" customHeight="1">
      <c r="C32" s="43">
        <v>2001</v>
      </c>
      <c r="D32" s="44">
        <v>122724.7</v>
      </c>
      <c r="E32" s="16"/>
      <c r="F32" s="40">
        <f t="shared" si="8"/>
        <v>-1.7586230083508458</v>
      </c>
      <c r="G32" s="16"/>
      <c r="H32" s="41">
        <f>6395.8+76.8</f>
        <v>6472.6</v>
      </c>
      <c r="I32" s="16"/>
      <c r="J32" s="40">
        <f t="shared" si="0"/>
        <v>5.2740809307335859</v>
      </c>
      <c r="K32" s="16"/>
      <c r="L32" s="40">
        <f t="shared" si="1"/>
        <v>116252.09999999999</v>
      </c>
      <c r="M32" s="16"/>
      <c r="N32" s="16">
        <v>4579.3999999999996</v>
      </c>
      <c r="O32" s="16"/>
      <c r="P32" s="40">
        <f t="shared" si="2"/>
        <v>120831.49999999999</v>
      </c>
      <c r="Q32" s="16"/>
      <c r="R32" s="41">
        <v>3374.4</v>
      </c>
      <c r="S32" s="41"/>
      <c r="T32" s="40">
        <f t="shared" si="3"/>
        <v>2.7926492677819943</v>
      </c>
      <c r="U32" s="40">
        <f>19891+63.3</f>
        <v>19954.3</v>
      </c>
      <c r="V32" s="27" t="s">
        <v>73</v>
      </c>
      <c r="W32" s="40">
        <f t="shared" si="5"/>
        <v>16.514154007853911</v>
      </c>
      <c r="X32" s="42">
        <f t="shared" si="10"/>
        <v>23328.7</v>
      </c>
      <c r="Y32" s="27" t="s">
        <v>74</v>
      </c>
      <c r="Z32" s="40">
        <f t="shared" si="6"/>
        <v>19.306803275635907</v>
      </c>
      <c r="AA32" s="16"/>
      <c r="AB32" s="41">
        <v>432.8</v>
      </c>
      <c r="AC32" s="16"/>
      <c r="AD32" s="40">
        <f t="shared" si="7"/>
        <v>97069.999999999985</v>
      </c>
      <c r="AE32" s="16"/>
      <c r="AF32" s="24" t="s">
        <v>73</v>
      </c>
      <c r="AG32" s="40">
        <f t="shared" si="9"/>
        <v>-1.2469517995192358</v>
      </c>
      <c r="AH32" s="39"/>
    </row>
    <row r="33" spans="3:34" ht="22.5" customHeight="1">
      <c r="C33" s="43">
        <v>2002</v>
      </c>
      <c r="D33" s="42">
        <v>129399.5</v>
      </c>
      <c r="E33" s="16"/>
      <c r="F33" s="40">
        <f t="shared" si="8"/>
        <v>5.43883994012615</v>
      </c>
      <c r="G33" s="16"/>
      <c r="H33" s="41">
        <f>5604.1+68.6</f>
        <v>5672.7000000000007</v>
      </c>
      <c r="I33" s="16"/>
      <c r="J33" s="40">
        <f t="shared" si="0"/>
        <v>4.3838654708866738</v>
      </c>
      <c r="K33" s="16"/>
      <c r="L33" s="40">
        <f t="shared" si="1"/>
        <v>123726.8</v>
      </c>
      <c r="M33" s="16"/>
      <c r="N33" s="16">
        <v>3588.2</v>
      </c>
      <c r="O33" s="16"/>
      <c r="P33" s="40">
        <f t="shared" si="2"/>
        <v>127315</v>
      </c>
      <c r="Q33" s="16"/>
      <c r="R33" s="41">
        <v>3440.7</v>
      </c>
      <c r="S33" s="41"/>
      <c r="T33" s="40">
        <f t="shared" si="3"/>
        <v>2.7025095236225107</v>
      </c>
      <c r="U33" s="40">
        <v>20491.2</v>
      </c>
      <c r="V33" s="27" t="s">
        <v>73</v>
      </c>
      <c r="W33" s="40">
        <f t="shared" si="5"/>
        <v>16.094882771079604</v>
      </c>
      <c r="X33" s="42">
        <f t="shared" si="10"/>
        <v>23931.9</v>
      </c>
      <c r="Y33" s="27"/>
      <c r="Z33" s="40">
        <f t="shared" si="6"/>
        <v>18.797392294702117</v>
      </c>
      <c r="AA33" s="16"/>
      <c r="AB33" s="41">
        <v>435.1</v>
      </c>
      <c r="AC33" s="16"/>
      <c r="AD33" s="40">
        <f t="shared" si="7"/>
        <v>102948</v>
      </c>
      <c r="AE33" s="16"/>
      <c r="AF33" s="24" t="s">
        <v>73</v>
      </c>
      <c r="AG33" s="40">
        <f t="shared" si="9"/>
        <v>6.0554239208818528</v>
      </c>
      <c r="AH33" s="39"/>
    </row>
    <row r="34" spans="3:34" ht="22.5" customHeight="1">
      <c r="C34" s="43">
        <v>2003</v>
      </c>
      <c r="D34" s="42">
        <v>140580.5</v>
      </c>
      <c r="E34" s="16"/>
      <c r="F34" s="40">
        <f t="shared" si="8"/>
        <v>8.6406825374132126</v>
      </c>
      <c r="G34" s="16"/>
      <c r="H34" s="41">
        <f>5252.2+80</f>
        <v>5332.2</v>
      </c>
      <c r="I34" s="16"/>
      <c r="J34" s="40">
        <f t="shared" si="0"/>
        <v>3.7929869363105122</v>
      </c>
      <c r="K34" s="16"/>
      <c r="L34" s="40">
        <f t="shared" si="1"/>
        <v>135248.29999999999</v>
      </c>
      <c r="M34" s="16"/>
      <c r="N34" s="41">
        <v>1158</v>
      </c>
      <c r="O34" s="16"/>
      <c r="P34" s="40">
        <f t="shared" si="2"/>
        <v>136406.29999999999</v>
      </c>
      <c r="Q34" s="16"/>
      <c r="R34" s="41">
        <v>3330.7</v>
      </c>
      <c r="S34" s="41"/>
      <c r="T34" s="40">
        <f t="shared" si="3"/>
        <v>2.4417493913404296</v>
      </c>
      <c r="U34" s="40">
        <f>+X34-R34</f>
        <v>20722</v>
      </c>
      <c r="V34" s="27" t="s">
        <v>73</v>
      </c>
      <c r="W34" s="40">
        <f t="shared" si="5"/>
        <v>15.191380456767762</v>
      </c>
      <c r="X34" s="42">
        <v>24052.7</v>
      </c>
      <c r="Y34" s="27"/>
      <c r="Z34" s="40">
        <f t="shared" si="6"/>
        <v>17.63312984810819</v>
      </c>
      <c r="AA34" s="16"/>
      <c r="AB34" s="41">
        <v>587.6</v>
      </c>
      <c r="AC34" s="16"/>
      <c r="AD34" s="40">
        <f t="shared" si="7"/>
        <v>111765.99999999999</v>
      </c>
      <c r="AE34" s="16"/>
      <c r="AF34" s="24" t="s">
        <v>73</v>
      </c>
      <c r="AG34" s="40">
        <f t="shared" si="9"/>
        <v>8.5654893732758133</v>
      </c>
      <c r="AH34" s="39"/>
    </row>
    <row r="35" spans="3:34" ht="22.5" customHeight="1">
      <c r="C35" s="43">
        <v>2004</v>
      </c>
      <c r="D35" s="42">
        <v>150698.29999999999</v>
      </c>
      <c r="E35" s="16"/>
      <c r="F35" s="40">
        <f t="shared" si="8"/>
        <v>7.1971575005068233</v>
      </c>
      <c r="G35" s="16"/>
      <c r="H35" s="41">
        <f>5604.8+27.8</f>
        <v>5632.6</v>
      </c>
      <c r="I35" s="16"/>
      <c r="J35" s="40">
        <f t="shared" si="0"/>
        <v>3.7376665828347111</v>
      </c>
      <c r="K35" s="16"/>
      <c r="L35" s="40">
        <f t="shared" si="1"/>
        <v>145065.69999999998</v>
      </c>
      <c r="M35" s="16"/>
      <c r="N35" s="41">
        <v>463.5</v>
      </c>
      <c r="O35" s="16"/>
      <c r="P35" s="40">
        <f t="shared" si="2"/>
        <v>145529.19999999998</v>
      </c>
      <c r="Q35" s="16"/>
      <c r="R35" s="41">
        <v>3422.8</v>
      </c>
      <c r="S35" s="41"/>
      <c r="T35" s="40">
        <f t="shared" si="3"/>
        <v>2.3519678524997047</v>
      </c>
      <c r="U35" s="40">
        <v>19820.2</v>
      </c>
      <c r="V35" s="27" t="s">
        <v>73</v>
      </c>
      <c r="W35" s="40">
        <f t="shared" si="5"/>
        <v>13.619397344313033</v>
      </c>
      <c r="X35" s="42">
        <f t="shared" ref="X35:X41" si="11">+R35+U35</f>
        <v>23243</v>
      </c>
      <c r="Y35" s="27"/>
      <c r="Z35" s="40">
        <f t="shared" si="6"/>
        <v>15.971365196812737</v>
      </c>
      <c r="AA35" s="16"/>
      <c r="AB35" s="41">
        <v>1144.3</v>
      </c>
      <c r="AC35" s="16"/>
      <c r="AD35" s="40">
        <f t="shared" si="7"/>
        <v>121141.89999999998</v>
      </c>
      <c r="AE35" s="16"/>
      <c r="AF35" s="24" t="s">
        <v>73</v>
      </c>
      <c r="AG35" s="40">
        <f t="shared" si="9"/>
        <v>8.3888660236565613</v>
      </c>
      <c r="AH35" s="39"/>
    </row>
    <row r="36" spans="3:34" ht="22.5" customHeight="1">
      <c r="C36" s="43">
        <v>2005</v>
      </c>
      <c r="D36" s="42">
        <v>161956.20000000001</v>
      </c>
      <c r="E36" s="16"/>
      <c r="F36" s="40">
        <f t="shared" si="8"/>
        <v>7.4704890499760257</v>
      </c>
      <c r="G36" s="16"/>
      <c r="H36" s="41">
        <v>6487.1</v>
      </c>
      <c r="I36" s="16"/>
      <c r="J36" s="40">
        <f t="shared" si="0"/>
        <v>4.0054656752875157</v>
      </c>
      <c r="K36" s="16"/>
      <c r="L36" s="40">
        <f t="shared" si="1"/>
        <v>155469.1</v>
      </c>
      <c r="M36" s="16"/>
      <c r="N36" s="41">
        <v>635.9</v>
      </c>
      <c r="O36" s="16"/>
      <c r="P36" s="40">
        <f t="shared" ref="P36:P41" si="12">+L36+N36</f>
        <v>156105</v>
      </c>
      <c r="Q36" s="16"/>
      <c r="R36" s="41">
        <v>3695.3</v>
      </c>
      <c r="S36" s="41"/>
      <c r="T36" s="40">
        <f t="shared" si="3"/>
        <v>2.3671887511610779</v>
      </c>
      <c r="U36" s="40">
        <v>20348.7</v>
      </c>
      <c r="V36" s="27" t="s">
        <v>73</v>
      </c>
      <c r="W36" s="40">
        <f t="shared" si="5"/>
        <v>13.035264725665419</v>
      </c>
      <c r="X36" s="42">
        <f t="shared" si="11"/>
        <v>24044</v>
      </c>
      <c r="Y36" s="27"/>
      <c r="Z36" s="40">
        <f t="shared" si="6"/>
        <v>15.402453476826494</v>
      </c>
      <c r="AA36" s="16"/>
      <c r="AB36" s="41">
        <v>1798.1</v>
      </c>
      <c r="AC36" s="16"/>
      <c r="AD36" s="40">
        <f t="shared" si="7"/>
        <v>130262.9</v>
      </c>
      <c r="AE36" s="16"/>
      <c r="AF36" s="24" t="s">
        <v>73</v>
      </c>
      <c r="AG36" s="40">
        <f t="shared" si="9"/>
        <v>7.5291868461696776</v>
      </c>
      <c r="AH36" s="39"/>
    </row>
    <row r="37" spans="3:34" ht="22.5" customHeight="1">
      <c r="C37" s="43">
        <v>2006</v>
      </c>
      <c r="D37" s="42">
        <v>176299.8</v>
      </c>
      <c r="E37" s="16"/>
      <c r="F37" s="40">
        <f t="shared" si="8"/>
        <v>8.8564686007698299</v>
      </c>
      <c r="G37" s="16"/>
      <c r="H37" s="41">
        <v>6756.7</v>
      </c>
      <c r="I37" s="16"/>
      <c r="J37" s="40">
        <f t="shared" si="0"/>
        <v>3.8325057657467561</v>
      </c>
      <c r="K37" s="16"/>
      <c r="L37" s="40">
        <f t="shared" si="1"/>
        <v>169543.09999999998</v>
      </c>
      <c r="M37" s="16"/>
      <c r="N37" s="41">
        <v>573.20000000000005</v>
      </c>
      <c r="O37" s="16"/>
      <c r="P37" s="40">
        <f t="shared" si="12"/>
        <v>170116.3</v>
      </c>
      <c r="Q37" s="16"/>
      <c r="R37" s="41">
        <v>4543.8</v>
      </c>
      <c r="S37" s="41"/>
      <c r="T37" s="40">
        <f t="shared" si="3"/>
        <v>2.6709962537393541</v>
      </c>
      <c r="U37" s="40">
        <v>19245.400000000001</v>
      </c>
      <c r="V37" s="27" t="s">
        <v>73</v>
      </c>
      <c r="W37" s="40">
        <f t="shared" si="5"/>
        <v>11.313084048971206</v>
      </c>
      <c r="X37" s="42">
        <f t="shared" si="11"/>
        <v>23789.200000000001</v>
      </c>
      <c r="Y37" s="27"/>
      <c r="Z37" s="40">
        <f t="shared" si="6"/>
        <v>13.984080302710558</v>
      </c>
      <c r="AA37" s="16"/>
      <c r="AB37" s="41">
        <v>2235.6999999999998</v>
      </c>
      <c r="AC37" s="16"/>
      <c r="AD37" s="40">
        <f t="shared" si="7"/>
        <v>144091.39999999997</v>
      </c>
      <c r="AE37" s="16"/>
      <c r="AF37" s="24" t="s">
        <v>73</v>
      </c>
      <c r="AG37" s="40">
        <f t="shared" si="9"/>
        <v>10.615839199035172</v>
      </c>
      <c r="AH37" s="39"/>
    </row>
    <row r="38" spans="3:34" ht="22.5" customHeight="1">
      <c r="C38" s="43">
        <v>2007</v>
      </c>
      <c r="D38" s="42">
        <v>191558.1</v>
      </c>
      <c r="E38" s="16"/>
      <c r="F38" s="40">
        <f t="shared" si="8"/>
        <v>8.6547460632400153</v>
      </c>
      <c r="G38" s="16"/>
      <c r="H38" s="41">
        <v>8218.4</v>
      </c>
      <c r="I38" s="16"/>
      <c r="J38" s="40">
        <f t="shared" si="0"/>
        <v>4.290291039637582</v>
      </c>
      <c r="K38" s="16"/>
      <c r="L38" s="40">
        <f t="shared" si="1"/>
        <v>183339.7</v>
      </c>
      <c r="M38" s="16"/>
      <c r="N38" s="41">
        <v>864.3</v>
      </c>
      <c r="O38" s="16"/>
      <c r="P38" s="40">
        <f t="shared" si="12"/>
        <v>184204</v>
      </c>
      <c r="Q38" s="16"/>
      <c r="R38" s="41">
        <v>4523</v>
      </c>
      <c r="S38" s="41"/>
      <c r="T38" s="40">
        <f t="shared" si="3"/>
        <v>2.4554298495146685</v>
      </c>
      <c r="U38" s="40">
        <v>22123.599999999999</v>
      </c>
      <c r="V38" s="27" t="s">
        <v>73</v>
      </c>
      <c r="W38" s="40">
        <f t="shared" si="5"/>
        <v>12.010379796312783</v>
      </c>
      <c r="X38" s="42">
        <f t="shared" si="11"/>
        <v>26646.6</v>
      </c>
      <c r="Y38" s="27"/>
      <c r="Z38" s="40">
        <f t="shared" si="6"/>
        <v>14.465809645827452</v>
      </c>
      <c r="AA38" s="16"/>
      <c r="AB38" s="41">
        <v>2422.1999999999998</v>
      </c>
      <c r="AC38" s="16"/>
      <c r="AD38" s="40">
        <f t="shared" si="7"/>
        <v>155135.19999999998</v>
      </c>
      <c r="AE38" s="16"/>
      <c r="AF38" s="24" t="s">
        <v>73</v>
      </c>
      <c r="AG38" s="40">
        <f t="shared" si="9"/>
        <v>7.6644407646813129</v>
      </c>
      <c r="AH38" s="39"/>
    </row>
    <row r="39" spans="3:34" ht="22.5" customHeight="1">
      <c r="C39" s="43">
        <v>2008</v>
      </c>
      <c r="D39" s="42">
        <v>198418</v>
      </c>
      <c r="E39" s="16"/>
      <c r="F39" s="40">
        <f t="shared" si="8"/>
        <v>3.5811067242784267</v>
      </c>
      <c r="G39" s="16"/>
      <c r="H39" s="41">
        <v>8656.1</v>
      </c>
      <c r="I39" s="16"/>
      <c r="J39" s="40">
        <f t="shared" si="0"/>
        <v>4.3625578324547174</v>
      </c>
      <c r="K39" s="16"/>
      <c r="L39" s="40">
        <f t="shared" si="1"/>
        <v>189761.9</v>
      </c>
      <c r="M39" s="16"/>
      <c r="N39" s="41">
        <v>789.4</v>
      </c>
      <c r="O39" s="16"/>
      <c r="P39" s="40">
        <f t="shared" si="12"/>
        <v>190551.3</v>
      </c>
      <c r="Q39" s="16"/>
      <c r="R39" s="41">
        <v>4388.3999999999996</v>
      </c>
      <c r="S39" s="41"/>
      <c r="T39" s="40">
        <f t="shared" si="3"/>
        <v>2.30300186878809</v>
      </c>
      <c r="U39" s="40">
        <v>23093.1</v>
      </c>
      <c r="V39" s="27" t="s">
        <v>73</v>
      </c>
      <c r="W39" s="40">
        <f t="shared" si="5"/>
        <v>12.11909863643019</v>
      </c>
      <c r="X39" s="42">
        <f t="shared" si="11"/>
        <v>27481.5</v>
      </c>
      <c r="Y39" s="27"/>
      <c r="Z39" s="40">
        <f t="shared" si="6"/>
        <v>14.42210050521828</v>
      </c>
      <c r="AA39" s="16"/>
      <c r="AB39" s="41">
        <v>1122.2</v>
      </c>
      <c r="AC39" s="16"/>
      <c r="AD39" s="40">
        <f t="shared" si="7"/>
        <v>161947.59999999998</v>
      </c>
      <c r="AE39" s="16"/>
      <c r="AF39" s="24" t="s">
        <v>73</v>
      </c>
      <c r="AG39" s="40">
        <f t="shared" si="9"/>
        <v>4.3912664566133186</v>
      </c>
      <c r="AH39" s="39"/>
    </row>
    <row r="40" spans="3:34" ht="22.5" customHeight="1">
      <c r="C40" s="43">
        <v>2009</v>
      </c>
      <c r="D40" s="42">
        <v>194812.9</v>
      </c>
      <c r="E40" s="16"/>
      <c r="F40" s="40">
        <f t="shared" si="8"/>
        <v>-1.8169218518481189</v>
      </c>
      <c r="G40" s="16"/>
      <c r="H40" s="41">
        <v>8193.6</v>
      </c>
      <c r="I40" s="16"/>
      <c r="J40" s="40">
        <f t="shared" si="0"/>
        <v>4.2058816433613995</v>
      </c>
      <c r="K40" s="16"/>
      <c r="L40" s="40">
        <f t="shared" si="1"/>
        <v>186619.3</v>
      </c>
      <c r="M40" s="16"/>
      <c r="N40" s="41">
        <v>812</v>
      </c>
      <c r="O40" s="16"/>
      <c r="P40" s="40">
        <f t="shared" si="12"/>
        <v>187431.3</v>
      </c>
      <c r="Q40" s="16"/>
      <c r="R40" s="41">
        <v>3973.4</v>
      </c>
      <c r="S40" s="41"/>
      <c r="T40" s="40">
        <f t="shared" si="3"/>
        <v>2.1199234066028461</v>
      </c>
      <c r="U40" s="40">
        <v>25018</v>
      </c>
      <c r="V40" s="27" t="s">
        <v>73</v>
      </c>
      <c r="W40" s="40">
        <f t="shared" si="5"/>
        <v>13.347823976038153</v>
      </c>
      <c r="X40" s="42">
        <f t="shared" si="11"/>
        <v>28991.4</v>
      </c>
      <c r="Y40" s="27"/>
      <c r="Z40" s="40">
        <f t="shared" si="6"/>
        <v>15.467747382641001</v>
      </c>
      <c r="AA40" s="16"/>
      <c r="AB40" s="41">
        <v>1545.8</v>
      </c>
      <c r="AC40" s="16"/>
      <c r="AD40" s="40">
        <f t="shared" si="7"/>
        <v>156894.1</v>
      </c>
      <c r="AE40" s="16"/>
      <c r="AF40" s="24" t="s">
        <v>73</v>
      </c>
      <c r="AG40" s="40">
        <f t="shared" si="9"/>
        <v>-3.1204537764066731</v>
      </c>
      <c r="AH40" s="39"/>
    </row>
    <row r="41" spans="3:34" ht="22.5" customHeight="1">
      <c r="C41" s="43">
        <v>2010</v>
      </c>
      <c r="D41" s="42">
        <v>211207.7</v>
      </c>
      <c r="E41" s="16"/>
      <c r="F41" s="40">
        <f t="shared" si="8"/>
        <v>8.4156644657515045</v>
      </c>
      <c r="G41" s="16"/>
      <c r="H41" s="41">
        <v>8161.6</v>
      </c>
      <c r="I41" s="16"/>
      <c r="J41" s="40">
        <f t="shared" si="0"/>
        <v>3.8642530551679695</v>
      </c>
      <c r="K41" s="16"/>
      <c r="L41" s="40">
        <f t="shared" si="1"/>
        <v>203046.1</v>
      </c>
      <c r="M41" s="16"/>
      <c r="N41" s="41">
        <v>1143.8</v>
      </c>
      <c r="O41" s="16"/>
      <c r="P41" s="40">
        <f t="shared" si="12"/>
        <v>204189.9</v>
      </c>
      <c r="Q41" s="16"/>
      <c r="R41" s="41">
        <v>5690.5</v>
      </c>
      <c r="S41" s="41"/>
      <c r="T41" s="40">
        <f t="shared" si="3"/>
        <v>2.7868665394321659</v>
      </c>
      <c r="U41" s="40">
        <v>24531.200000000001</v>
      </c>
      <c r="V41" s="27" t="s">
        <v>73</v>
      </c>
      <c r="W41" s="40">
        <f t="shared" si="5"/>
        <v>12.013914498219551</v>
      </c>
      <c r="X41" s="42">
        <f t="shared" si="11"/>
        <v>30221.7</v>
      </c>
      <c r="Y41" s="27"/>
      <c r="Z41" s="40">
        <f t="shared" si="6"/>
        <v>14.800781037651717</v>
      </c>
      <c r="AA41" s="16"/>
      <c r="AB41" s="41">
        <v>1917.6</v>
      </c>
      <c r="AC41" s="16"/>
      <c r="AD41" s="40">
        <f t="shared" si="7"/>
        <v>172050.59999999998</v>
      </c>
      <c r="AE41" s="16"/>
      <c r="AF41" s="24" t="s">
        <v>73</v>
      </c>
      <c r="AG41" s="40">
        <f t="shared" si="9"/>
        <v>9.6603377692341397</v>
      </c>
      <c r="AH41" s="39"/>
    </row>
    <row r="42" spans="3:34" ht="18.75" thickBot="1">
      <c r="C42" s="38"/>
      <c r="D42" s="37"/>
      <c r="E42" s="33"/>
      <c r="F42" s="31"/>
      <c r="G42" s="33"/>
      <c r="H42" s="34"/>
      <c r="I42" s="33"/>
      <c r="J42" s="31"/>
      <c r="K42" s="33"/>
      <c r="L42" s="31"/>
      <c r="M42" s="33"/>
      <c r="N42" s="33"/>
      <c r="O42" s="33"/>
      <c r="P42" s="31"/>
      <c r="Q42" s="33"/>
      <c r="R42" s="33"/>
      <c r="S42" s="33"/>
      <c r="T42" s="31"/>
      <c r="U42" s="31"/>
      <c r="V42" s="36"/>
      <c r="W42" s="31"/>
      <c r="X42" s="35"/>
      <c r="Y42" s="33"/>
      <c r="Z42" s="31"/>
      <c r="AA42" s="33"/>
      <c r="AB42" s="34"/>
      <c r="AC42" s="33"/>
      <c r="AD42" s="31"/>
      <c r="AE42" s="33"/>
      <c r="AF42" s="32"/>
      <c r="AG42" s="31"/>
      <c r="AH42" s="30"/>
    </row>
    <row r="43" spans="3:34" ht="22.5" customHeight="1">
      <c r="C43" s="18" t="s">
        <v>72</v>
      </c>
      <c r="D43" s="29"/>
      <c r="E43" s="20"/>
      <c r="F43" s="25"/>
      <c r="G43" s="20"/>
      <c r="H43" s="21"/>
      <c r="I43" s="20"/>
      <c r="J43" s="25"/>
      <c r="K43" s="20"/>
      <c r="L43" s="25"/>
      <c r="M43" s="20"/>
      <c r="N43" s="20"/>
      <c r="O43" s="19"/>
      <c r="P43" s="28"/>
      <c r="Q43" s="19"/>
      <c r="R43" s="19"/>
      <c r="S43" s="19"/>
      <c r="T43" s="17" t="s">
        <v>71</v>
      </c>
      <c r="U43" s="17"/>
      <c r="V43" s="27"/>
      <c r="W43" s="25"/>
      <c r="X43" s="26"/>
      <c r="Y43" s="20"/>
      <c r="Z43" s="25"/>
      <c r="AA43" s="20"/>
      <c r="AB43" s="21"/>
      <c r="AC43" s="20"/>
      <c r="AD43" s="25"/>
      <c r="AE43" s="20"/>
      <c r="AF43" s="24"/>
      <c r="AG43" s="25"/>
    </row>
    <row r="44" spans="3:34" ht="22.5" customHeight="1">
      <c r="C44" s="18" t="s">
        <v>70</v>
      </c>
      <c r="D44" s="20"/>
      <c r="E44" s="20"/>
      <c r="F44" s="21"/>
      <c r="G44" s="20"/>
      <c r="H44" s="20"/>
      <c r="I44" s="20"/>
      <c r="J44" s="20"/>
      <c r="K44" s="20"/>
      <c r="L44" s="20"/>
      <c r="M44" s="20"/>
      <c r="N44" s="20"/>
      <c r="O44" s="19"/>
      <c r="P44" s="19"/>
      <c r="Q44" s="19"/>
      <c r="R44" s="19"/>
      <c r="S44" s="19"/>
      <c r="T44" s="17" t="s">
        <v>69</v>
      </c>
      <c r="U44" s="20"/>
    </row>
    <row r="45" spans="3:34" ht="22.5" customHeight="1">
      <c r="C45" s="18" t="s">
        <v>68</v>
      </c>
      <c r="D45" s="20"/>
      <c r="E45" s="20"/>
      <c r="F45" s="21"/>
      <c r="G45" s="20"/>
      <c r="H45" s="20"/>
      <c r="I45" s="20"/>
      <c r="J45" s="20"/>
      <c r="K45" s="20"/>
      <c r="L45" s="20"/>
      <c r="M45" s="20"/>
      <c r="N45" s="20"/>
      <c r="O45" s="19"/>
      <c r="P45" s="19"/>
      <c r="Q45" s="19"/>
      <c r="R45" s="19"/>
      <c r="S45" s="19"/>
      <c r="T45" s="17" t="s">
        <v>67</v>
      </c>
      <c r="U45" s="17"/>
    </row>
    <row r="46" spans="3:34" ht="22.5" customHeight="1">
      <c r="C46" s="24"/>
      <c r="D46" s="20"/>
      <c r="E46" s="20"/>
      <c r="F46" s="21"/>
      <c r="G46" s="20"/>
      <c r="H46" s="20"/>
      <c r="I46" s="20"/>
      <c r="J46" s="20"/>
      <c r="K46" s="20"/>
      <c r="L46" s="20"/>
      <c r="M46" s="20"/>
      <c r="N46" s="20"/>
      <c r="O46" s="19"/>
      <c r="P46" s="19"/>
      <c r="Q46" s="19"/>
      <c r="R46" s="19"/>
      <c r="S46" s="19"/>
      <c r="T46" s="23"/>
      <c r="U46" s="17"/>
    </row>
    <row r="47" spans="3:34" ht="21" customHeight="1">
      <c r="C47" s="22" t="s">
        <v>66</v>
      </c>
      <c r="D47" s="20"/>
      <c r="E47" s="20"/>
      <c r="F47" s="21"/>
      <c r="G47" s="20"/>
      <c r="H47" s="20"/>
      <c r="I47" s="20"/>
      <c r="J47" s="20"/>
      <c r="K47" s="20"/>
      <c r="L47" s="20"/>
      <c r="M47" s="20"/>
      <c r="N47" s="20"/>
      <c r="O47" s="19"/>
      <c r="P47" s="19"/>
      <c r="Q47" s="19"/>
      <c r="R47" s="19"/>
      <c r="S47" s="19"/>
      <c r="U47" s="18"/>
    </row>
    <row r="48" spans="3:34" ht="15.75">
      <c r="C48" s="18"/>
      <c r="F48" s="14"/>
      <c r="U48" s="17"/>
    </row>
    <row r="49" spans="3:18" ht="18">
      <c r="C49" s="17"/>
      <c r="F49" s="14"/>
      <c r="R49" s="16"/>
    </row>
    <row r="50" spans="3:18" ht="46.5" customHeight="1">
      <c r="C50" s="15"/>
      <c r="F50" s="14"/>
    </row>
    <row r="51" spans="3:18">
      <c r="F51" s="14"/>
    </row>
    <row r="52" spans="3:18">
      <c r="F52" s="14"/>
    </row>
    <row r="53" spans="3:18">
      <c r="F53" s="14"/>
    </row>
    <row r="54" spans="3:18">
      <c r="F54" s="14"/>
    </row>
    <row r="55" spans="3:18">
      <c r="F55" s="14"/>
    </row>
    <row r="56" spans="3:18">
      <c r="F56" s="14"/>
    </row>
    <row r="57" spans="3:18">
      <c r="F57" s="14"/>
    </row>
  </sheetData>
  <mergeCells count="1">
    <mergeCell ref="C4:AH4"/>
  </mergeCells>
  <hyperlinks>
    <hyperlink ref="C47" r:id="rId1" xr:uid="{00000000-0004-0000-0800-000000000000}"/>
  </hyperlinks>
  <printOptions horizontalCentered="1" verticalCentered="1"/>
  <pageMargins left="0.51" right="0" top="0.38" bottom="0" header="0.36" footer="0.51181102362204722"/>
  <pageSetup paperSize="9" scale="53" fitToWidth="2" fitToHeight="2" orientation="landscape" horizontalDpi="1200" r:id="rId2"/>
  <headerFooter alignWithMargins="0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6"/>
  <sheetViews>
    <sheetView workbookViewId="0">
      <selection activeCell="B14" sqref="B14"/>
    </sheetView>
  </sheetViews>
  <sheetFormatPr defaultRowHeight="12.75"/>
  <cols>
    <col min="1" max="1" width="21" customWidth="1"/>
    <col min="2" max="2" width="29.375" customWidth="1"/>
    <col min="3" max="3" width="25.875" customWidth="1"/>
    <col min="4" max="4" width="29.125" customWidth="1"/>
    <col min="5" max="5" width="26.625" customWidth="1"/>
  </cols>
  <sheetData>
    <row r="1" spans="1:6" ht="41.25" customHeight="1">
      <c r="A1" s="586" t="s">
        <v>168</v>
      </c>
      <c r="B1" s="586"/>
      <c r="C1" s="586"/>
      <c r="D1" s="586"/>
      <c r="E1" s="586"/>
      <c r="F1" s="9"/>
    </row>
    <row r="2" spans="1:6">
      <c r="A2" s="587" t="s">
        <v>434</v>
      </c>
      <c r="B2" s="587"/>
      <c r="C2" s="587"/>
      <c r="D2" s="587"/>
      <c r="E2" s="587"/>
      <c r="F2" s="9"/>
    </row>
    <row r="3" spans="1:6">
      <c r="A3" s="588" t="s">
        <v>169</v>
      </c>
      <c r="B3" s="588"/>
      <c r="C3" s="588"/>
      <c r="D3" s="588"/>
      <c r="E3" s="588"/>
      <c r="F3" s="588"/>
    </row>
    <row r="4" spans="1:6">
      <c r="A4" s="118" t="s">
        <v>170</v>
      </c>
      <c r="B4" s="118">
        <v>1778.259</v>
      </c>
      <c r="C4" s="118" t="s">
        <v>171</v>
      </c>
      <c r="D4" s="118" t="s">
        <v>172</v>
      </c>
      <c r="E4" s="118">
        <v>358.88</v>
      </c>
      <c r="F4" s="118" t="s">
        <v>171</v>
      </c>
    </row>
    <row r="5" spans="1:6" ht="38.25">
      <c r="A5" s="65" t="s">
        <v>173</v>
      </c>
      <c r="B5" s="119">
        <v>304801.90000000002</v>
      </c>
      <c r="C5" s="118" t="s">
        <v>174</v>
      </c>
      <c r="D5" s="65" t="s">
        <v>173</v>
      </c>
      <c r="E5" s="119">
        <f>B5</f>
        <v>304801.90000000002</v>
      </c>
      <c r="F5" s="118" t="s">
        <v>174</v>
      </c>
    </row>
    <row r="6" spans="1:6">
      <c r="A6" s="118" t="s">
        <v>175</v>
      </c>
      <c r="B6" s="120">
        <v>4.8499999999999996</v>
      </c>
      <c r="C6" s="118" t="s">
        <v>176</v>
      </c>
      <c r="D6" s="118" t="s">
        <v>177</v>
      </c>
      <c r="E6" s="120">
        <v>1.05</v>
      </c>
      <c r="F6" s="118" t="s">
        <v>176</v>
      </c>
    </row>
    <row r="7" spans="1:6" ht="38.25">
      <c r="A7" s="65" t="s">
        <v>178</v>
      </c>
      <c r="B7" s="121">
        <f>+B6*('Baseline Emission in 2022'!D23/1000)+(B6*('Baseline Emission in 2023'!D23/1000))+(B6*('Baseline Emission in 2024'!D23/1000))</f>
        <v>229.179232985</v>
      </c>
      <c r="C7" s="118" t="s">
        <v>179</v>
      </c>
      <c r="D7" s="65" t="s">
        <v>180</v>
      </c>
      <c r="E7" s="121">
        <f>+E6*('Baseline Emission in 2022'!D23/1000)+(E6*('Baseline Emission in 2023'!D23/1000))+(E6*('Baseline Emission in 2024'!D23/1000))</f>
        <v>49.616122605000001</v>
      </c>
      <c r="F7" s="118" t="s">
        <v>179</v>
      </c>
    </row>
    <row r="9" spans="1:6">
      <c r="B9">
        <v>47253.450100000002</v>
      </c>
      <c r="E9">
        <v>47253.450100000002</v>
      </c>
    </row>
    <row r="10" spans="1:6">
      <c r="B10" s="462">
        <f>B4/B5*1000</f>
        <v>5.8341467031537535</v>
      </c>
      <c r="E10" s="462">
        <f>E4/E5*1000</f>
        <v>1.1774204819589378</v>
      </c>
    </row>
    <row r="11" spans="1:6">
      <c r="B11">
        <f>B9*B6</f>
        <v>229179.23298499998</v>
      </c>
      <c r="E11">
        <f>E9*E6</f>
        <v>49616.122605000004</v>
      </c>
    </row>
    <row r="13" spans="1:6">
      <c r="A13" t="s">
        <v>170</v>
      </c>
      <c r="B13">
        <v>2514.11</v>
      </c>
      <c r="C13" t="s">
        <v>171</v>
      </c>
      <c r="D13" t="s">
        <v>172</v>
      </c>
      <c r="E13">
        <v>855.66</v>
      </c>
      <c r="F13" t="s">
        <v>171</v>
      </c>
    </row>
    <row r="14" spans="1:6">
      <c r="A14" t="s">
        <v>173</v>
      </c>
      <c r="B14">
        <v>304801.90000000002</v>
      </c>
      <c r="C14" t="s">
        <v>174</v>
      </c>
      <c r="D14" t="s">
        <v>173</v>
      </c>
      <c r="E14">
        <v>304801.90000000002</v>
      </c>
      <c r="F14" t="s">
        <v>174</v>
      </c>
    </row>
    <row r="15" spans="1:6">
      <c r="A15" t="s">
        <v>435</v>
      </c>
      <c r="B15">
        <f>B13/B14</f>
        <v>8.2483409716278006E-3</v>
      </c>
      <c r="C15">
        <f>B15*1000</f>
        <v>8.2483409716278011</v>
      </c>
      <c r="D15" t="s">
        <v>436</v>
      </c>
      <c r="E15">
        <f>E13/E14</f>
        <v>2.8072659652055971E-3</v>
      </c>
      <c r="F15">
        <f>E15*1000</f>
        <v>2.8072659652055969</v>
      </c>
    </row>
    <row r="16" spans="1:6">
      <c r="A16" t="s">
        <v>178</v>
      </c>
      <c r="B16">
        <f>B9*B15</f>
        <v>389.76256851059981</v>
      </c>
      <c r="C16" t="s">
        <v>179</v>
      </c>
      <c r="D16" t="s">
        <v>180</v>
      </c>
      <c r="E16">
        <f>E9*E15</f>
        <v>132.65300220427102</v>
      </c>
      <c r="F16" t="s">
        <v>179</v>
      </c>
    </row>
  </sheetData>
  <mergeCells count="3">
    <mergeCell ref="A1:E1"/>
    <mergeCell ref="A2:E2"/>
    <mergeCell ref="A3:F3"/>
  </mergeCells>
  <hyperlinks>
    <hyperlink ref="A2" r:id="rId1" xr:uid="{00000000-0004-0000-0900-000000000000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830BC-3891-4EEF-ADEE-294D6D45FB60}">
  <dimension ref="A1:L10"/>
  <sheetViews>
    <sheetView topLeftCell="A12" workbookViewId="0">
      <selection activeCell="B10" sqref="B10"/>
    </sheetView>
  </sheetViews>
  <sheetFormatPr defaultColWidth="9" defaultRowHeight="15"/>
  <cols>
    <col min="1" max="1" width="46.125" style="507" customWidth="1"/>
    <col min="2" max="3" width="12.125" style="507" customWidth="1"/>
    <col min="4" max="4" width="9" style="507"/>
    <col min="5" max="5" width="12.25" style="507" bestFit="1" customWidth="1"/>
    <col min="6" max="16384" width="9" style="507"/>
  </cols>
  <sheetData>
    <row r="1" spans="1:12" ht="15.75" thickBot="1">
      <c r="A1" s="589" t="s">
        <v>488</v>
      </c>
      <c r="B1" s="590"/>
      <c r="C1" s="590"/>
      <c r="D1" s="590"/>
      <c r="E1" s="590"/>
      <c r="F1" s="506"/>
      <c r="G1" s="591" t="s">
        <v>489</v>
      </c>
      <c r="H1" s="591"/>
      <c r="I1" s="591"/>
      <c r="J1" s="591"/>
      <c r="K1" s="591"/>
      <c r="L1" s="591"/>
    </row>
    <row r="2" spans="1:12">
      <c r="A2" s="508" t="s">
        <v>490</v>
      </c>
      <c r="B2" s="509">
        <v>0.7258</v>
      </c>
      <c r="C2" s="510"/>
      <c r="D2" s="510"/>
      <c r="E2" s="511"/>
      <c r="G2" s="591"/>
      <c r="H2" s="591"/>
      <c r="I2" s="591"/>
      <c r="J2" s="591"/>
      <c r="K2" s="591"/>
      <c r="L2" s="591"/>
    </row>
    <row r="3" spans="1:12">
      <c r="A3" s="508" t="s">
        <v>491</v>
      </c>
      <c r="B3" s="512">
        <v>0.4153</v>
      </c>
      <c r="C3" s="513"/>
      <c r="D3" s="513"/>
      <c r="E3" s="514"/>
      <c r="G3" s="591"/>
      <c r="H3" s="591"/>
      <c r="I3" s="591"/>
      <c r="J3" s="591"/>
      <c r="K3" s="591"/>
      <c r="L3" s="591"/>
    </row>
    <row r="4" spans="1:12">
      <c r="A4" s="515" t="s">
        <v>492</v>
      </c>
      <c r="B4" s="516"/>
      <c r="C4" s="517"/>
      <c r="E4" s="518"/>
    </row>
    <row r="5" spans="1:12">
      <c r="A5" s="519"/>
      <c r="B5" s="520" t="s">
        <v>493</v>
      </c>
      <c r="C5" s="521" t="s">
        <v>494</v>
      </c>
    </row>
    <row r="6" spans="1:12">
      <c r="A6" s="508" t="s">
        <v>495</v>
      </c>
      <c r="B6" s="522">
        <v>0.75</v>
      </c>
      <c r="C6" s="522">
        <v>0.25</v>
      </c>
    </row>
    <row r="7" spans="1:12" ht="15.75">
      <c r="A7" s="508" t="s">
        <v>496</v>
      </c>
      <c r="B7" s="522">
        <v>0.5</v>
      </c>
      <c r="C7" s="522">
        <v>0.5</v>
      </c>
    </row>
    <row r="8" spans="1:12" ht="15.75">
      <c r="A8" s="523" t="s">
        <v>497</v>
      </c>
      <c r="B8" s="522">
        <v>0.25</v>
      </c>
      <c r="C8" s="522">
        <v>0.75</v>
      </c>
    </row>
    <row r="10" spans="1:12">
      <c r="A10" s="524" t="s">
        <v>498</v>
      </c>
      <c r="B10" s="525">
        <f>+(B2*B7)+(B3*C7)</f>
        <v>0.57055</v>
      </c>
    </row>
  </sheetData>
  <mergeCells count="2">
    <mergeCell ref="A1:E1"/>
    <mergeCell ref="G1:L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2.7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2.75"/>
  <sheetData/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V65"/>
  <sheetViews>
    <sheetView tabSelected="1" zoomScale="111" workbookViewId="0">
      <selection activeCell="K39" sqref="K39"/>
    </sheetView>
  </sheetViews>
  <sheetFormatPr defaultRowHeight="12.75"/>
  <cols>
    <col min="1" max="1" width="23.5" customWidth="1"/>
    <col min="13" max="13" width="11.5" customWidth="1"/>
    <col min="15" max="15" width="12.875" customWidth="1"/>
    <col min="22" max="22" width="36.875" customWidth="1"/>
  </cols>
  <sheetData>
    <row r="2" spans="1:20" ht="15">
      <c r="A2" s="64"/>
      <c r="B2" s="64"/>
      <c r="C2" s="64"/>
      <c r="D2" s="64"/>
      <c r="E2" s="64"/>
      <c r="F2" s="64"/>
    </row>
    <row r="7" spans="1:20">
      <c r="M7" s="127" t="s">
        <v>225</v>
      </c>
    </row>
    <row r="8" spans="1:20">
      <c r="M8" s="526" t="s">
        <v>198</v>
      </c>
      <c r="N8" s="526"/>
      <c r="O8" s="526"/>
      <c r="P8" s="526"/>
      <c r="Q8" s="526"/>
      <c r="R8" s="526"/>
      <c r="S8" s="526"/>
      <c r="T8" s="526"/>
    </row>
    <row r="41" spans="1:7">
      <c r="A41" s="527"/>
      <c r="B41" s="527"/>
      <c r="C41" s="527"/>
      <c r="D41" s="527"/>
      <c r="E41" s="527"/>
      <c r="F41" s="527"/>
      <c r="G41" s="527"/>
    </row>
    <row r="65" spans="16:22">
      <c r="P65" s="528" t="s">
        <v>421</v>
      </c>
      <c r="Q65" s="528"/>
      <c r="R65" s="528"/>
      <c r="S65" s="528"/>
      <c r="T65" s="528"/>
      <c r="U65" s="528"/>
      <c r="V65" s="528"/>
    </row>
  </sheetData>
  <mergeCells count="3">
    <mergeCell ref="M8:T8"/>
    <mergeCell ref="A41:G41"/>
    <mergeCell ref="P65:V65"/>
  </mergeCells>
  <hyperlinks>
    <hyperlink ref="M8" r:id="rId1" xr:uid="{00000000-0004-0000-0300-000001000000}"/>
  </hyperlinks>
  <pageMargins left="0.7" right="0.7" top="0.75" bottom="0.75" header="0.3" footer="0.3"/>
  <pageSetup paperSize="9" orientation="portrait" horizontalDpi="4294967293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C7287-458C-4D8B-9E1D-5F01BB8DCDC4}">
  <dimension ref="B2:G31"/>
  <sheetViews>
    <sheetView topLeftCell="B1" zoomScale="60" workbookViewId="0">
      <selection activeCell="E20" sqref="E20:G20"/>
    </sheetView>
  </sheetViews>
  <sheetFormatPr defaultRowHeight="12.75"/>
  <cols>
    <col min="2" max="2" width="88.875" customWidth="1"/>
    <col min="3" max="3" width="33.5" customWidth="1"/>
    <col min="4" max="4" width="34.25" customWidth="1"/>
    <col min="5" max="5" width="33.375" customWidth="1"/>
    <col min="6" max="6" width="56" customWidth="1"/>
    <col min="7" max="7" width="66.125" customWidth="1"/>
  </cols>
  <sheetData>
    <row r="2" spans="2:7" ht="13.5" thickBot="1">
      <c r="B2" s="453"/>
      <c r="C2" s="453"/>
      <c r="D2" s="453"/>
      <c r="E2" s="453"/>
      <c r="F2" s="453"/>
      <c r="G2" s="453"/>
    </row>
    <row r="3" spans="2:7" ht="14.25">
      <c r="B3" s="542" t="s">
        <v>363</v>
      </c>
      <c r="C3" s="539" t="s">
        <v>364</v>
      </c>
      <c r="D3" s="539" t="s">
        <v>420</v>
      </c>
      <c r="E3" s="454"/>
      <c r="F3" s="539" t="s">
        <v>366</v>
      </c>
      <c r="G3" s="539" t="s">
        <v>367</v>
      </c>
    </row>
    <row r="4" spans="2:7" ht="14.25">
      <c r="B4" s="543"/>
      <c r="C4" s="540"/>
      <c r="D4" s="540"/>
      <c r="E4" s="455"/>
      <c r="F4" s="540"/>
      <c r="G4" s="540"/>
    </row>
    <row r="5" spans="2:7" ht="15" thickBot="1">
      <c r="B5" s="544"/>
      <c r="C5" s="541"/>
      <c r="D5" s="541"/>
      <c r="E5" s="456" t="s">
        <v>365</v>
      </c>
      <c r="F5" s="541"/>
      <c r="G5" s="541"/>
    </row>
    <row r="6" spans="2:7" ht="15" thickBot="1">
      <c r="B6" s="457" t="s">
        <v>214</v>
      </c>
      <c r="C6" s="458" t="s">
        <v>368</v>
      </c>
      <c r="D6" s="458">
        <v>2023</v>
      </c>
      <c r="E6" s="459" t="s">
        <v>369</v>
      </c>
      <c r="F6" s="458" t="s">
        <v>370</v>
      </c>
      <c r="G6" s="458" t="s">
        <v>371</v>
      </c>
    </row>
    <row r="7" spans="2:7" ht="15" thickBot="1">
      <c r="B7" s="457" t="s">
        <v>372</v>
      </c>
      <c r="C7" s="458" t="s">
        <v>368</v>
      </c>
      <c r="D7" s="458">
        <v>2022</v>
      </c>
      <c r="E7" s="459" t="s">
        <v>373</v>
      </c>
      <c r="F7" s="458" t="s">
        <v>374</v>
      </c>
      <c r="G7" s="458" t="s">
        <v>375</v>
      </c>
    </row>
    <row r="8" spans="2:7" ht="15" thickBot="1">
      <c r="B8" s="457" t="s">
        <v>376</v>
      </c>
      <c r="C8" s="458" t="s">
        <v>368</v>
      </c>
      <c r="D8" s="458">
        <v>2022</v>
      </c>
      <c r="E8" s="459" t="s">
        <v>377</v>
      </c>
      <c r="F8" s="458" t="s">
        <v>378</v>
      </c>
      <c r="G8" s="458" t="s">
        <v>379</v>
      </c>
    </row>
    <row r="9" spans="2:7" ht="15" thickBot="1">
      <c r="B9" s="460" t="s">
        <v>380</v>
      </c>
      <c r="C9" s="458" t="s">
        <v>368</v>
      </c>
      <c r="D9" s="458">
        <v>2022</v>
      </c>
      <c r="E9" s="459" t="s">
        <v>381</v>
      </c>
      <c r="F9" s="458" t="s">
        <v>382</v>
      </c>
      <c r="G9" s="458" t="s">
        <v>383</v>
      </c>
    </row>
    <row r="10" spans="2:7" ht="15" thickBot="1">
      <c r="B10" s="460" t="s">
        <v>384</v>
      </c>
      <c r="C10" s="458" t="s">
        <v>368</v>
      </c>
      <c r="D10" s="458">
        <v>2022</v>
      </c>
      <c r="E10" s="459" t="s">
        <v>385</v>
      </c>
      <c r="F10" s="458" t="s">
        <v>386</v>
      </c>
      <c r="G10" s="458" t="s">
        <v>387</v>
      </c>
    </row>
    <row r="11" spans="2:7" ht="15" thickBot="1">
      <c r="B11" s="460" t="s">
        <v>388</v>
      </c>
      <c r="C11" s="458" t="s">
        <v>221</v>
      </c>
      <c r="D11" s="458">
        <v>2022</v>
      </c>
      <c r="E11" s="459" t="s">
        <v>389</v>
      </c>
      <c r="F11" s="458" t="s">
        <v>390</v>
      </c>
      <c r="G11" s="458" t="s">
        <v>391</v>
      </c>
    </row>
    <row r="12" spans="2:7" ht="15" thickBot="1">
      <c r="B12" s="460" t="s">
        <v>218</v>
      </c>
      <c r="C12" s="458" t="s">
        <v>221</v>
      </c>
      <c r="D12" s="458">
        <v>2024</v>
      </c>
      <c r="E12" s="459" t="s">
        <v>392</v>
      </c>
      <c r="F12" s="458" t="s">
        <v>393</v>
      </c>
      <c r="G12" s="458" t="s">
        <v>394</v>
      </c>
    </row>
    <row r="13" spans="2:7" ht="15" thickBot="1">
      <c r="B13" s="460" t="s">
        <v>395</v>
      </c>
      <c r="C13" s="458" t="s">
        <v>221</v>
      </c>
      <c r="D13" s="458">
        <v>2022</v>
      </c>
      <c r="E13" s="459" t="s">
        <v>396</v>
      </c>
      <c r="F13" s="458" t="s">
        <v>397</v>
      </c>
      <c r="G13" s="458" t="s">
        <v>398</v>
      </c>
    </row>
    <row r="14" spans="2:7" ht="15" thickBot="1">
      <c r="B14" s="460" t="s">
        <v>399</v>
      </c>
      <c r="C14" s="458" t="s">
        <v>221</v>
      </c>
      <c r="D14" s="458">
        <v>2022</v>
      </c>
      <c r="E14" s="459" t="s">
        <v>400</v>
      </c>
      <c r="F14" s="458" t="s">
        <v>401</v>
      </c>
      <c r="G14" s="458" t="s">
        <v>402</v>
      </c>
    </row>
    <row r="15" spans="2:7" ht="15" thickBot="1">
      <c r="B15" s="460" t="s">
        <v>219</v>
      </c>
      <c r="C15" s="458" t="s">
        <v>221</v>
      </c>
      <c r="D15" s="458">
        <v>2024</v>
      </c>
      <c r="E15" s="459" t="s">
        <v>403</v>
      </c>
      <c r="F15" s="458" t="s">
        <v>404</v>
      </c>
      <c r="G15" s="458" t="s">
        <v>405</v>
      </c>
    </row>
    <row r="16" spans="2:7" ht="15" thickBot="1">
      <c r="B16" s="460" t="s">
        <v>406</v>
      </c>
      <c r="C16" s="458" t="s">
        <v>407</v>
      </c>
      <c r="D16" s="458"/>
      <c r="E16" s="459">
        <v>37.732262609912503</v>
      </c>
      <c r="F16" s="458">
        <v>32.4748433127656</v>
      </c>
      <c r="G16" s="458" t="s">
        <v>408</v>
      </c>
    </row>
    <row r="17" spans="2:7" ht="15" thickBot="1">
      <c r="B17" s="460" t="s">
        <v>409</v>
      </c>
      <c r="C17" s="458" t="s">
        <v>407</v>
      </c>
      <c r="D17" s="458"/>
      <c r="E17" s="459">
        <v>37.729683233686302</v>
      </c>
      <c r="F17" s="458">
        <v>32.526403559089097</v>
      </c>
      <c r="G17" s="458" t="s">
        <v>410</v>
      </c>
    </row>
    <row r="18" spans="2:7" ht="15" customHeight="1">
      <c r="B18" s="531" t="s">
        <v>411</v>
      </c>
      <c r="C18" s="533" t="s">
        <v>221</v>
      </c>
      <c r="D18" s="533">
        <v>2024</v>
      </c>
      <c r="E18" s="535">
        <v>37821301</v>
      </c>
      <c r="F18" s="537">
        <v>32587258</v>
      </c>
      <c r="G18" s="529" t="s">
        <v>412</v>
      </c>
    </row>
    <row r="19" spans="2:7" ht="13.5" thickBot="1">
      <c r="B19" s="532"/>
      <c r="C19" s="534"/>
      <c r="D19" s="534"/>
      <c r="E19" s="536"/>
      <c r="F19" s="538"/>
      <c r="G19" s="530"/>
    </row>
    <row r="20" spans="2:7" ht="15" thickBot="1">
      <c r="B20" s="460" t="s">
        <v>257</v>
      </c>
      <c r="C20" s="458" t="s">
        <v>368</v>
      </c>
      <c r="D20" s="458">
        <v>2023</v>
      </c>
      <c r="E20" s="503">
        <v>37.780999999999999</v>
      </c>
      <c r="F20" s="504">
        <v>32.5184</v>
      </c>
      <c r="G20" s="504" t="s">
        <v>487</v>
      </c>
    </row>
    <row r="21" spans="2:7" ht="15" customHeight="1">
      <c r="B21" s="531" t="s">
        <v>258</v>
      </c>
      <c r="C21" s="533" t="s">
        <v>368</v>
      </c>
      <c r="D21" s="533">
        <v>2023</v>
      </c>
      <c r="E21" s="535">
        <v>37797824</v>
      </c>
      <c r="F21" s="537">
        <v>32506814</v>
      </c>
      <c r="G21" s="529" t="s">
        <v>413</v>
      </c>
    </row>
    <row r="22" spans="2:7" ht="13.5" thickBot="1">
      <c r="B22" s="532"/>
      <c r="C22" s="534"/>
      <c r="D22" s="534"/>
      <c r="E22" s="536"/>
      <c r="F22" s="538"/>
      <c r="G22" s="530"/>
    </row>
    <row r="23" spans="2:7" ht="15" thickBot="1">
      <c r="B23" s="460" t="s">
        <v>259</v>
      </c>
      <c r="C23" s="458" t="s">
        <v>368</v>
      </c>
      <c r="D23" s="458">
        <v>2024</v>
      </c>
      <c r="E23" s="503">
        <v>37.700600000000001</v>
      </c>
      <c r="F23" s="504">
        <v>32.576799999999999</v>
      </c>
      <c r="G23" s="504" t="s">
        <v>486</v>
      </c>
    </row>
    <row r="24" spans="2:7" ht="15" customHeight="1">
      <c r="B24" s="531" t="s">
        <v>414</v>
      </c>
      <c r="C24" s="533" t="s">
        <v>221</v>
      </c>
      <c r="D24" s="533">
        <v>2024</v>
      </c>
      <c r="E24" s="535">
        <v>37766411</v>
      </c>
      <c r="F24" s="537">
        <v>32415073</v>
      </c>
      <c r="G24" s="529" t="s">
        <v>415</v>
      </c>
    </row>
    <row r="25" spans="2:7" ht="13.5" thickBot="1">
      <c r="B25" s="532"/>
      <c r="C25" s="534"/>
      <c r="D25" s="534"/>
      <c r="E25" s="536"/>
      <c r="F25" s="538"/>
      <c r="G25" s="530"/>
    </row>
    <row r="26" spans="2:7" ht="15" customHeight="1">
      <c r="B26" s="531" t="s">
        <v>416</v>
      </c>
      <c r="C26" s="533" t="s">
        <v>221</v>
      </c>
      <c r="D26" s="533">
        <v>2024</v>
      </c>
      <c r="E26" s="535">
        <v>37579900</v>
      </c>
      <c r="F26" s="537">
        <v>32656797</v>
      </c>
      <c r="G26" s="529" t="s">
        <v>417</v>
      </c>
    </row>
    <row r="27" spans="2:7" ht="13.5" thickBot="1">
      <c r="B27" s="532"/>
      <c r="C27" s="534"/>
      <c r="D27" s="534"/>
      <c r="E27" s="536"/>
      <c r="F27" s="538"/>
      <c r="G27" s="530"/>
    </row>
    <row r="28" spans="2:7" ht="15" customHeight="1">
      <c r="B28" s="531" t="s">
        <v>418</v>
      </c>
      <c r="C28" s="533" t="s">
        <v>368</v>
      </c>
      <c r="D28" s="533">
        <v>2024</v>
      </c>
      <c r="E28" s="535">
        <v>37766411</v>
      </c>
      <c r="F28" s="537">
        <v>32415073</v>
      </c>
      <c r="G28" s="529" t="s">
        <v>412</v>
      </c>
    </row>
    <row r="29" spans="2:7" ht="13.5" thickBot="1">
      <c r="B29" s="532"/>
      <c r="C29" s="534"/>
      <c r="D29" s="534"/>
      <c r="E29" s="536"/>
      <c r="F29" s="538"/>
      <c r="G29" s="530"/>
    </row>
    <row r="30" spans="2:7" ht="15" thickBot="1">
      <c r="B30" s="460" t="s">
        <v>419</v>
      </c>
      <c r="C30" s="458" t="s">
        <v>368</v>
      </c>
      <c r="D30" s="458">
        <v>2024</v>
      </c>
      <c r="E30" s="503">
        <v>37.760800000000003</v>
      </c>
      <c r="F30" s="504">
        <v>32.415599999999998</v>
      </c>
      <c r="G30" s="504" t="s">
        <v>485</v>
      </c>
    </row>
    <row r="31" spans="2:7">
      <c r="E31" s="505"/>
    </row>
  </sheetData>
  <mergeCells count="35">
    <mergeCell ref="F3:F5"/>
    <mergeCell ref="G3:G5"/>
    <mergeCell ref="C24:C25"/>
    <mergeCell ref="D24:D25"/>
    <mergeCell ref="B3:B5"/>
    <mergeCell ref="C3:C5"/>
    <mergeCell ref="D3:D5"/>
    <mergeCell ref="G18:G19"/>
    <mergeCell ref="B21:B22"/>
    <mergeCell ref="C21:C22"/>
    <mergeCell ref="D21:D22"/>
    <mergeCell ref="E21:E22"/>
    <mergeCell ref="F21:F22"/>
    <mergeCell ref="G21:G22"/>
    <mergeCell ref="B18:B19"/>
    <mergeCell ref="C18:C19"/>
    <mergeCell ref="D18:D19"/>
    <mergeCell ref="E18:E19"/>
    <mergeCell ref="F18:F19"/>
    <mergeCell ref="E24:E25"/>
    <mergeCell ref="F24:F25"/>
    <mergeCell ref="G24:G25"/>
    <mergeCell ref="B24:B25"/>
    <mergeCell ref="G28:G29"/>
    <mergeCell ref="B26:B27"/>
    <mergeCell ref="C26:C27"/>
    <mergeCell ref="D26:D27"/>
    <mergeCell ref="E26:E27"/>
    <mergeCell ref="F26:F27"/>
    <mergeCell ref="G26:G27"/>
    <mergeCell ref="B28:B29"/>
    <mergeCell ref="C28:C29"/>
    <mergeCell ref="D28:D29"/>
    <mergeCell ref="E28:E29"/>
    <mergeCell ref="F28:F2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09573-CFD2-48FD-B657-73628DDDDA09}">
  <dimension ref="A1:H55"/>
  <sheetViews>
    <sheetView topLeftCell="A13" zoomScale="70" zoomScaleNormal="70" workbookViewId="0">
      <selection activeCell="D25" sqref="D25"/>
    </sheetView>
  </sheetViews>
  <sheetFormatPr defaultRowHeight="12.75"/>
  <cols>
    <col min="1" max="1" width="16" customWidth="1"/>
    <col min="2" max="2" width="38.875" customWidth="1"/>
    <col min="3" max="3" width="18.375" customWidth="1"/>
    <col min="4" max="4" width="22.5" customWidth="1"/>
    <col min="5" max="5" width="93.125" customWidth="1"/>
    <col min="6" max="6" width="92.5" customWidth="1"/>
    <col min="7" max="7" width="98.375" customWidth="1"/>
    <col min="8" max="8" width="105.125" customWidth="1"/>
  </cols>
  <sheetData>
    <row r="1" spans="1:8" ht="15" thickBot="1">
      <c r="A1" s="189" t="s">
        <v>15</v>
      </c>
      <c r="B1" s="189" t="s">
        <v>0</v>
      </c>
      <c r="C1" s="189" t="s">
        <v>3</v>
      </c>
      <c r="D1" s="189" t="s">
        <v>16</v>
      </c>
      <c r="E1" s="189" t="s">
        <v>113</v>
      </c>
      <c r="F1" s="189" t="s">
        <v>2</v>
      </c>
      <c r="G1" s="189" t="s">
        <v>5</v>
      </c>
      <c r="H1" s="1"/>
    </row>
    <row r="2" spans="1:8" ht="14.25">
      <c r="A2" s="545" t="s">
        <v>194</v>
      </c>
      <c r="B2" s="546"/>
      <c r="C2" s="546"/>
      <c r="D2" s="546"/>
      <c r="E2" s="546"/>
      <c r="F2" s="546"/>
      <c r="G2" s="547"/>
      <c r="H2" s="1"/>
    </row>
    <row r="3" spans="1:8" ht="154.5" customHeight="1">
      <c r="A3" s="190" t="s">
        <v>230</v>
      </c>
      <c r="B3" s="191" t="s">
        <v>130</v>
      </c>
      <c r="C3" s="191" t="s">
        <v>24</v>
      </c>
      <c r="D3" s="192">
        <f>(D4*D5*D6*(D8*D10*D12*D7))+(D4*D5*D6*(D9*D11*D13*D7))</f>
        <v>89191.520829600006</v>
      </c>
      <c r="E3" s="191"/>
      <c r="F3" s="193" t="s">
        <v>211</v>
      </c>
      <c r="G3" s="194" t="s">
        <v>210</v>
      </c>
      <c r="H3" s="1"/>
    </row>
    <row r="4" spans="1:8" ht="42.75">
      <c r="A4" s="190" t="s">
        <v>231</v>
      </c>
      <c r="B4" s="191"/>
      <c r="C4" s="195" t="s">
        <v>26</v>
      </c>
      <c r="D4" s="196">
        <v>28</v>
      </c>
      <c r="E4" s="197" t="s">
        <v>181</v>
      </c>
      <c r="F4" s="191" t="s">
        <v>149</v>
      </c>
      <c r="G4" s="198"/>
      <c r="H4" s="1"/>
    </row>
    <row r="5" spans="1:8" ht="57">
      <c r="A5" s="190" t="s">
        <v>232</v>
      </c>
      <c r="B5" s="191" t="s">
        <v>233</v>
      </c>
      <c r="C5" s="191" t="s">
        <v>29</v>
      </c>
      <c r="D5" s="191">
        <v>6.7000000000000002E-4</v>
      </c>
      <c r="E5" s="197" t="s">
        <v>181</v>
      </c>
      <c r="F5" s="191" t="s">
        <v>122</v>
      </c>
      <c r="G5" s="198"/>
      <c r="H5" s="1"/>
    </row>
    <row r="6" spans="1:8" ht="42.75">
      <c r="A6" s="190" t="s">
        <v>234</v>
      </c>
      <c r="B6" s="191"/>
      <c r="C6" s="191" t="s">
        <v>235</v>
      </c>
      <c r="D6" s="199">
        <v>0.67</v>
      </c>
      <c r="E6" s="197" t="s">
        <v>181</v>
      </c>
      <c r="F6" s="191" t="s">
        <v>422</v>
      </c>
      <c r="G6" s="198" t="s">
        <v>423</v>
      </c>
      <c r="H6" s="461" t="s">
        <v>424</v>
      </c>
    </row>
    <row r="7" spans="1:8" ht="71.25">
      <c r="A7" s="190" t="s">
        <v>189</v>
      </c>
      <c r="B7" s="191" t="s">
        <v>61</v>
      </c>
      <c r="C7" s="191" t="s">
        <v>188</v>
      </c>
      <c r="D7" s="200">
        <v>1</v>
      </c>
      <c r="E7" s="197" t="s">
        <v>181</v>
      </c>
      <c r="F7" s="191"/>
      <c r="G7" s="198"/>
      <c r="H7" s="1"/>
    </row>
    <row r="8" spans="1:8" ht="85.5">
      <c r="A8" s="190" t="s">
        <v>236</v>
      </c>
      <c r="B8" s="191" t="s">
        <v>237</v>
      </c>
      <c r="C8" s="191" t="s">
        <v>238</v>
      </c>
      <c r="D8" s="191">
        <v>0.24</v>
      </c>
      <c r="E8" s="197" t="s">
        <v>181</v>
      </c>
      <c r="F8" s="191" t="s">
        <v>206</v>
      </c>
      <c r="G8" s="198" t="s">
        <v>116</v>
      </c>
      <c r="H8" s="1"/>
    </row>
    <row r="9" spans="1:8" ht="85.5">
      <c r="A9" s="190" t="s">
        <v>236</v>
      </c>
      <c r="B9" s="191" t="s">
        <v>237</v>
      </c>
      <c r="C9" s="191" t="s">
        <v>238</v>
      </c>
      <c r="D9" s="191">
        <v>0.39</v>
      </c>
      <c r="E9" s="197" t="s">
        <v>181</v>
      </c>
      <c r="F9" s="191" t="s">
        <v>207</v>
      </c>
      <c r="G9" s="198" t="s">
        <v>150</v>
      </c>
      <c r="H9" s="126" t="s">
        <v>151</v>
      </c>
    </row>
    <row r="10" spans="1:8" ht="57">
      <c r="A10" s="201" t="s">
        <v>182</v>
      </c>
      <c r="B10" s="191" t="s">
        <v>183</v>
      </c>
      <c r="C10" s="191" t="s">
        <v>184</v>
      </c>
      <c r="D10" s="202">
        <f>+G33</f>
        <v>3600</v>
      </c>
      <c r="E10" s="197" t="s">
        <v>181</v>
      </c>
      <c r="F10" s="191" t="s">
        <v>201</v>
      </c>
      <c r="G10" s="198" t="s">
        <v>116</v>
      </c>
      <c r="H10" s="124"/>
    </row>
    <row r="11" spans="1:8" ht="57">
      <c r="A11" s="201" t="s">
        <v>182</v>
      </c>
      <c r="B11" s="191" t="s">
        <v>183</v>
      </c>
      <c r="C11" s="191" t="s">
        <v>184</v>
      </c>
      <c r="D11" s="202">
        <f>+G44</f>
        <v>1994000</v>
      </c>
      <c r="E11" s="197" t="s">
        <v>181</v>
      </c>
      <c r="F11" s="191" t="s">
        <v>201</v>
      </c>
      <c r="G11" s="198" t="s">
        <v>221</v>
      </c>
      <c r="H11" s="124"/>
    </row>
    <row r="12" spans="1:8" ht="85.5">
      <c r="A12" s="201" t="s">
        <v>185</v>
      </c>
      <c r="B12" s="191" t="s">
        <v>186</v>
      </c>
      <c r="C12" s="191" t="s">
        <v>187</v>
      </c>
      <c r="D12" s="202">
        <f>4.5*365</f>
        <v>1642.5</v>
      </c>
      <c r="E12" s="203">
        <f>+D12/365</f>
        <v>4.5</v>
      </c>
      <c r="F12" s="191" t="s">
        <v>212</v>
      </c>
      <c r="G12" s="198" t="s">
        <v>209</v>
      </c>
      <c r="H12" s="124"/>
    </row>
    <row r="13" spans="1:8" ht="85.5">
      <c r="A13" s="201" t="s">
        <v>185</v>
      </c>
      <c r="B13" s="191" t="s">
        <v>186</v>
      </c>
      <c r="C13" s="191" t="s">
        <v>187</v>
      </c>
      <c r="D13" s="204">
        <f>0.02*365</f>
        <v>7.3</v>
      </c>
      <c r="E13" s="203">
        <f>+D13/365</f>
        <v>0.02</v>
      </c>
      <c r="F13" s="191" t="s">
        <v>213</v>
      </c>
      <c r="G13" s="198" t="s">
        <v>208</v>
      </c>
      <c r="H13" s="124"/>
    </row>
    <row r="14" spans="1:8" ht="42.75">
      <c r="A14" s="190" t="s">
        <v>123</v>
      </c>
      <c r="B14" s="191" t="s">
        <v>127</v>
      </c>
      <c r="C14" s="191"/>
      <c r="D14" s="205">
        <v>6830</v>
      </c>
      <c r="E14" s="191"/>
      <c r="F14" s="191" t="s">
        <v>200</v>
      </c>
      <c r="G14" s="198"/>
      <c r="H14" s="1"/>
    </row>
    <row r="15" spans="1:8" ht="14.25">
      <c r="A15" s="190" t="s">
        <v>124</v>
      </c>
      <c r="B15" s="191" t="s">
        <v>128</v>
      </c>
      <c r="C15" s="191"/>
      <c r="D15" s="191">
        <v>190</v>
      </c>
      <c r="E15" s="191"/>
      <c r="F15" s="191" t="s">
        <v>132</v>
      </c>
      <c r="G15" s="198"/>
      <c r="H15" s="1"/>
    </row>
    <row r="16" spans="1:8" ht="28.5">
      <c r="A16" s="190" t="s">
        <v>125</v>
      </c>
      <c r="B16" s="206" t="s">
        <v>136</v>
      </c>
      <c r="C16" s="206"/>
      <c r="D16" s="206">
        <v>11.5</v>
      </c>
      <c r="E16" s="206"/>
      <c r="F16" s="206" t="s">
        <v>132</v>
      </c>
      <c r="G16" s="207"/>
      <c r="H16" s="3"/>
    </row>
    <row r="17" spans="1:8" ht="57">
      <c r="A17" s="190" t="s">
        <v>126</v>
      </c>
      <c r="B17" s="206" t="s">
        <v>129</v>
      </c>
      <c r="C17" s="206"/>
      <c r="D17" s="206">
        <v>2793</v>
      </c>
      <c r="E17" s="206"/>
      <c r="F17" s="208" t="s">
        <v>131</v>
      </c>
      <c r="G17" s="209"/>
      <c r="H17" s="181"/>
    </row>
    <row r="18" spans="1:8" ht="99.75">
      <c r="A18" s="190" t="s">
        <v>134</v>
      </c>
      <c r="B18" s="206" t="s">
        <v>133</v>
      </c>
      <c r="C18" s="206"/>
      <c r="D18" s="206">
        <v>427.5</v>
      </c>
      <c r="E18" s="206"/>
      <c r="F18" s="208" t="s">
        <v>135</v>
      </c>
      <c r="G18" s="209"/>
      <c r="H18" s="180"/>
    </row>
    <row r="19" spans="1:8" ht="14.25">
      <c r="A19" s="548"/>
      <c r="B19" s="549"/>
      <c r="C19" s="549"/>
      <c r="D19" s="549"/>
      <c r="E19" s="549"/>
      <c r="F19" s="549"/>
      <c r="G19" s="550"/>
      <c r="H19" s="125"/>
    </row>
    <row r="20" spans="1:8" ht="85.5">
      <c r="A20" s="190" t="s">
        <v>239</v>
      </c>
      <c r="B20" s="191" t="s">
        <v>23</v>
      </c>
      <c r="C20" s="191" t="s">
        <v>119</v>
      </c>
      <c r="D20" s="210">
        <f>D24*D23</f>
        <v>5449.8741801599999</v>
      </c>
      <c r="E20" s="191" t="s">
        <v>240</v>
      </c>
      <c r="F20" s="191" t="s">
        <v>204</v>
      </c>
      <c r="G20" s="198"/>
      <c r="H20" s="125"/>
    </row>
    <row r="21" spans="1:8" ht="14.25">
      <c r="A21" s="211" t="s">
        <v>18</v>
      </c>
      <c r="B21" s="195" t="s">
        <v>49</v>
      </c>
      <c r="C21" s="212" t="s">
        <v>241</v>
      </c>
      <c r="D21" s="213">
        <v>6.0039999999999996</v>
      </c>
      <c r="E21" s="195"/>
      <c r="F21" s="149" t="s">
        <v>202</v>
      </c>
      <c r="G21" s="214"/>
      <c r="H21" s="1"/>
    </row>
    <row r="22" spans="1:8" ht="14.25">
      <c r="A22" s="215" t="s">
        <v>19</v>
      </c>
      <c r="B22" s="195" t="s">
        <v>21</v>
      </c>
      <c r="C22" s="195" t="s">
        <v>242</v>
      </c>
      <c r="D22" s="213">
        <v>7000</v>
      </c>
      <c r="E22" s="195"/>
      <c r="F22" s="195" t="s">
        <v>203</v>
      </c>
      <c r="G22" s="214"/>
      <c r="H22" s="1"/>
    </row>
    <row r="23" spans="1:8" ht="28.5">
      <c r="A23" s="211" t="s">
        <v>243</v>
      </c>
      <c r="B23" s="195" t="s">
        <v>6</v>
      </c>
      <c r="C23" s="195" t="s">
        <v>9</v>
      </c>
      <c r="D23" s="216">
        <f>'EPIAS Records'!H15</f>
        <v>9816.0558000000001</v>
      </c>
      <c r="E23" s="195" t="s">
        <v>244</v>
      </c>
      <c r="F23" s="195" t="s">
        <v>314</v>
      </c>
      <c r="G23" s="198"/>
      <c r="H23" s="1"/>
    </row>
    <row r="24" spans="1:8" ht="18" thickBot="1">
      <c r="A24" s="211" t="s">
        <v>245</v>
      </c>
      <c r="B24" s="195" t="s">
        <v>11</v>
      </c>
      <c r="C24" s="195" t="s">
        <v>10</v>
      </c>
      <c r="D24" s="213">
        <v>0.55520000000000003</v>
      </c>
      <c r="E24" s="195"/>
      <c r="F24" s="217"/>
      <c r="G24" s="198"/>
      <c r="H24" s="1"/>
    </row>
    <row r="25" spans="1:8" ht="29.25" thickBot="1">
      <c r="A25" s="218" t="s">
        <v>191</v>
      </c>
      <c r="B25" s="219" t="s">
        <v>192</v>
      </c>
      <c r="C25" s="219" t="s">
        <v>193</v>
      </c>
      <c r="D25" s="220">
        <f>ROUNDDOWN(D20+D3,0)</f>
        <v>94641</v>
      </c>
      <c r="E25" s="219" t="s">
        <v>358</v>
      </c>
      <c r="F25" s="221"/>
      <c r="G25" s="222"/>
      <c r="H25" s="1"/>
    </row>
    <row r="26" spans="1:8">
      <c r="A26" s="1"/>
      <c r="B26" s="1"/>
      <c r="C26" s="128"/>
      <c r="D26" s="1"/>
      <c r="E26" s="1"/>
      <c r="F26" s="1"/>
      <c r="G26" s="1"/>
      <c r="H26" s="1"/>
    </row>
    <row r="27" spans="1:8" ht="25.5">
      <c r="A27" s="1"/>
      <c r="B27" s="1" t="s">
        <v>224</v>
      </c>
      <c r="C27" s="129"/>
      <c r="D27" s="129"/>
      <c r="E27" s="1"/>
      <c r="F27" s="182" t="s">
        <v>217</v>
      </c>
      <c r="G27" s="182" t="s">
        <v>246</v>
      </c>
      <c r="H27" s="1"/>
    </row>
    <row r="28" spans="1:8" ht="14.25">
      <c r="A28" s="1" t="s">
        <v>222</v>
      </c>
      <c r="B28" s="1">
        <v>34300</v>
      </c>
      <c r="C28" s="130"/>
      <c r="D28" s="131"/>
      <c r="E28" s="1"/>
      <c r="F28" s="183" t="s">
        <v>214</v>
      </c>
      <c r="G28" s="184">
        <v>350</v>
      </c>
      <c r="H28" s="1"/>
    </row>
    <row r="29" spans="1:8" ht="14.25">
      <c r="A29" s="1" t="s">
        <v>223</v>
      </c>
      <c r="B29" s="1">
        <v>15253</v>
      </c>
      <c r="C29" s="130"/>
      <c r="D29" s="131"/>
      <c r="E29" s="1"/>
      <c r="F29" s="183" t="s">
        <v>251</v>
      </c>
      <c r="G29" s="184">
        <v>1300</v>
      </c>
      <c r="H29" s="1"/>
    </row>
    <row r="30" spans="1:8" ht="14.25">
      <c r="A30" s="1"/>
      <c r="B30" s="1"/>
      <c r="C30" s="130"/>
      <c r="D30" s="131"/>
      <c r="E30" s="1"/>
      <c r="F30" s="183" t="s">
        <v>248</v>
      </c>
      <c r="G30" s="183">
        <v>1250</v>
      </c>
      <c r="H30" s="1"/>
    </row>
    <row r="31" spans="1:8" ht="14.25">
      <c r="A31" s="1"/>
      <c r="B31" s="1"/>
      <c r="C31" s="130"/>
      <c r="D31" s="131"/>
      <c r="E31" s="1"/>
      <c r="F31" s="183" t="s">
        <v>249</v>
      </c>
      <c r="G31" s="183">
        <v>450</v>
      </c>
      <c r="H31" s="1"/>
    </row>
    <row r="32" spans="1:8" ht="14.25">
      <c r="A32" s="1"/>
      <c r="B32" s="1"/>
      <c r="C32" s="130"/>
      <c r="D32" s="131"/>
      <c r="E32" s="1"/>
      <c r="F32" s="183" t="s">
        <v>256</v>
      </c>
      <c r="G32" s="183">
        <v>250</v>
      </c>
      <c r="H32" s="1"/>
    </row>
    <row r="33" spans="1:8" ht="14.25">
      <c r="A33" s="1"/>
      <c r="B33" s="1"/>
      <c r="C33" s="129"/>
      <c r="D33" s="132"/>
      <c r="E33" s="1"/>
      <c r="F33" s="185" t="s">
        <v>215</v>
      </c>
      <c r="G33" s="186">
        <f>+SUM(G28:G32)</f>
        <v>3600</v>
      </c>
      <c r="H33" s="1"/>
    </row>
    <row r="34" spans="1:8" ht="14.25">
      <c r="A34" s="1"/>
      <c r="B34" s="1"/>
      <c r="C34" s="129"/>
      <c r="D34" s="129"/>
      <c r="E34" s="1"/>
      <c r="F34" s="182" t="s">
        <v>216</v>
      </c>
      <c r="G34" s="182" t="s">
        <v>228</v>
      </c>
      <c r="H34" s="1"/>
    </row>
    <row r="35" spans="1:8" ht="14.25">
      <c r="A35" s="1"/>
      <c r="B35" s="1"/>
      <c r="C35" s="130"/>
      <c r="D35" s="131"/>
      <c r="E35" s="1"/>
      <c r="F35" s="183" t="s">
        <v>252</v>
      </c>
      <c r="G35" s="183">
        <v>690000</v>
      </c>
      <c r="H35" s="1"/>
    </row>
    <row r="36" spans="1:8" ht="14.25">
      <c r="A36" s="1"/>
      <c r="B36" s="1"/>
      <c r="C36" s="130"/>
      <c r="D36" s="131"/>
      <c r="E36" s="1"/>
      <c r="F36" s="183" t="s">
        <v>218</v>
      </c>
      <c r="G36" s="184">
        <v>40000</v>
      </c>
      <c r="H36" s="1"/>
    </row>
    <row r="37" spans="1:8" ht="14.25">
      <c r="A37" s="1"/>
      <c r="B37" s="1"/>
      <c r="C37" s="130"/>
      <c r="D37" s="131"/>
      <c r="E37" s="1"/>
      <c r="F37" s="183" t="s">
        <v>247</v>
      </c>
      <c r="G37" s="184">
        <v>80000</v>
      </c>
      <c r="H37" s="1"/>
    </row>
    <row r="38" spans="1:8" ht="14.25">
      <c r="A38" s="1"/>
      <c r="B38" s="1"/>
      <c r="C38" s="130"/>
      <c r="D38" s="131"/>
      <c r="E38" s="1"/>
      <c r="F38" s="183" t="s">
        <v>253</v>
      </c>
      <c r="G38" s="184">
        <v>63000</v>
      </c>
      <c r="H38" s="1"/>
    </row>
    <row r="39" spans="1:8" ht="14.25">
      <c r="A39" s="1"/>
      <c r="B39" s="1"/>
      <c r="C39" s="130"/>
      <c r="D39" s="131"/>
      <c r="E39" s="1"/>
      <c r="F39" s="183" t="s">
        <v>254</v>
      </c>
      <c r="G39" s="184">
        <v>221000</v>
      </c>
      <c r="H39" s="1"/>
    </row>
    <row r="40" spans="1:8" ht="14.25">
      <c r="A40" s="1"/>
      <c r="B40" s="1"/>
      <c r="C40" s="130"/>
      <c r="D40" s="131"/>
      <c r="E40" s="1"/>
      <c r="F40" s="183" t="s">
        <v>250</v>
      </c>
      <c r="G40" s="183">
        <v>230000</v>
      </c>
      <c r="H40" s="1"/>
    </row>
    <row r="41" spans="1:8" ht="14.25">
      <c r="A41" s="1"/>
      <c r="B41" s="1"/>
      <c r="C41" s="130"/>
      <c r="D41" s="131"/>
      <c r="E41" s="1"/>
      <c r="F41" s="183" t="s">
        <v>249</v>
      </c>
      <c r="G41" s="183">
        <v>120000</v>
      </c>
      <c r="H41" s="1"/>
    </row>
    <row r="42" spans="1:8" ht="14.25">
      <c r="A42" s="1"/>
      <c r="B42" s="1"/>
      <c r="C42" s="130"/>
      <c r="D42" s="131"/>
      <c r="E42" s="1"/>
      <c r="F42" s="183" t="s">
        <v>255</v>
      </c>
      <c r="G42" s="183">
        <v>350000</v>
      </c>
      <c r="H42" s="1"/>
    </row>
    <row r="43" spans="1:8" ht="14.25">
      <c r="A43" s="1"/>
      <c r="B43" s="1"/>
      <c r="C43" s="130"/>
      <c r="D43" s="131"/>
      <c r="E43" s="1"/>
      <c r="F43" s="183" t="s">
        <v>214</v>
      </c>
      <c r="G43" s="184">
        <v>200000</v>
      </c>
      <c r="H43" s="1"/>
    </row>
    <row r="44" spans="1:8" ht="14.25">
      <c r="A44" s="1"/>
      <c r="B44" s="1"/>
      <c r="C44" s="129"/>
      <c r="D44" s="132"/>
      <c r="E44" s="1"/>
      <c r="F44" s="185" t="s">
        <v>220</v>
      </c>
      <c r="G44" s="186">
        <f>+SUM(G35:G43)</f>
        <v>1994000</v>
      </c>
      <c r="H44" s="1"/>
    </row>
    <row r="45" spans="1:8" ht="14.25">
      <c r="A45" s="1"/>
      <c r="B45" s="1"/>
      <c r="C45" s="133"/>
      <c r="D45" s="133"/>
      <c r="E45" s="1"/>
      <c r="F45" s="187"/>
      <c r="G45" s="187"/>
      <c r="H45" s="1" cm="1">
        <f t="array" aca="1" ref="H45" ca="1">E33:H45</f>
        <v>0</v>
      </c>
    </row>
    <row r="46" spans="1:8" ht="14.25">
      <c r="F46" s="188"/>
      <c r="G46" s="188"/>
    </row>
    <row r="47" spans="1:8" ht="14.25">
      <c r="F47" s="188"/>
      <c r="G47" s="188"/>
    </row>
    <row r="48" spans="1:8" ht="14.25">
      <c r="F48" s="188"/>
      <c r="G48" s="188"/>
    </row>
    <row r="49" spans="6:7" ht="14.25">
      <c r="F49" s="188"/>
      <c r="G49" s="188"/>
    </row>
    <row r="50" spans="6:7" ht="14.25">
      <c r="F50" s="188"/>
      <c r="G50" s="188"/>
    </row>
    <row r="51" spans="6:7" ht="14.25">
      <c r="F51" s="188"/>
      <c r="G51" s="188"/>
    </row>
    <row r="52" spans="6:7" ht="14.25">
      <c r="F52" s="188"/>
      <c r="G52" s="188"/>
    </row>
    <row r="53" spans="6:7" ht="14.25">
      <c r="F53" s="188"/>
      <c r="G53" s="188"/>
    </row>
    <row r="54" spans="6:7" ht="14.25">
      <c r="F54" s="188"/>
      <c r="G54" s="188"/>
    </row>
    <row r="55" spans="6:7" ht="14.25">
      <c r="F55" s="188"/>
      <c r="G55" s="188"/>
    </row>
  </sheetData>
  <mergeCells count="2">
    <mergeCell ref="A2:G2"/>
    <mergeCell ref="A19:G19"/>
  </mergeCells>
  <dataValidations count="1">
    <dataValidation allowBlank="1" showInputMessage="1" showErrorMessage="1" sqref="D4" xr:uid="{D06C735F-B180-4057-8BAF-B173C704FC54}"/>
  </dataValidations>
  <hyperlinks>
    <hyperlink ref="F17" r:id="rId1" xr:uid="{65C48FA3-6690-4A02-B1D0-8E50792F8084}"/>
    <hyperlink ref="H9" r:id="rId2" xr:uid="{18B4074C-79A7-49FC-91AF-1392AE8AA23C}"/>
    <hyperlink ref="F3" r:id="rId3" display="https://globalgoals.goldstandard.org/standards/PRE-GS4GG-Energy//ghg-ers-from-manure-management-systems-and-municipal-solid-waste-1.pdf" xr:uid="{14C9D13A-88A3-47C9-BF4F-9D2BB41B8A7A}"/>
    <hyperlink ref="G3" r:id="rId4" xr:uid="{55BE57B0-247A-43CC-9232-EF34D1041571}"/>
  </hyperlinks>
  <pageMargins left="0.7" right="0.7" top="0.75" bottom="0.75" header="0.3" footer="0.3"/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B37E1-0933-4632-9CC4-588C008F9A2E}">
  <dimension ref="A1:H44"/>
  <sheetViews>
    <sheetView topLeftCell="A11" zoomScale="85" zoomScaleNormal="85" workbookViewId="0">
      <selection activeCell="D25" sqref="D25"/>
    </sheetView>
  </sheetViews>
  <sheetFormatPr defaultRowHeight="12.75"/>
  <cols>
    <col min="1" max="1" width="25.125" customWidth="1"/>
    <col min="2" max="2" width="26.625" customWidth="1"/>
    <col min="3" max="3" width="15.75" customWidth="1"/>
    <col min="4" max="4" width="13.875" customWidth="1"/>
    <col min="5" max="5" width="62.25" customWidth="1"/>
    <col min="6" max="6" width="59.25" customWidth="1"/>
    <col min="7" max="7" width="69.625" customWidth="1"/>
  </cols>
  <sheetData>
    <row r="1" spans="1:8" ht="13.5" thickBot="1">
      <c r="A1" s="139" t="s">
        <v>15</v>
      </c>
      <c r="B1" s="139" t="s">
        <v>0</v>
      </c>
      <c r="C1" s="139" t="s">
        <v>3</v>
      </c>
      <c r="D1" s="139" t="s">
        <v>16</v>
      </c>
      <c r="E1" s="139" t="s">
        <v>113</v>
      </c>
      <c r="F1" s="139" t="s">
        <v>2</v>
      </c>
      <c r="G1" s="139" t="s">
        <v>5</v>
      </c>
      <c r="H1" s="1"/>
    </row>
    <row r="2" spans="1:8" ht="19.5">
      <c r="A2" s="551" t="s">
        <v>194</v>
      </c>
      <c r="B2" s="552"/>
      <c r="C2" s="552"/>
      <c r="D2" s="552"/>
      <c r="E2" s="552"/>
      <c r="F2" s="552"/>
      <c r="G2" s="553"/>
      <c r="H2" s="1"/>
    </row>
    <row r="3" spans="1:8" ht="63.75">
      <c r="A3" s="140" t="s">
        <v>190</v>
      </c>
      <c r="B3" s="147" t="s">
        <v>23</v>
      </c>
      <c r="C3" s="147" t="s">
        <v>24</v>
      </c>
      <c r="D3" s="148">
        <f>(D4*D5*D6*(D8*D10*D12*D7))+(D4*D5*D6*(D9*D11*D13*D7))</f>
        <v>64028.952771840006</v>
      </c>
      <c r="E3" s="149"/>
      <c r="F3" s="150" t="s">
        <v>211</v>
      </c>
      <c r="G3" s="151" t="s">
        <v>210</v>
      </c>
      <c r="H3" s="1"/>
    </row>
    <row r="4" spans="1:8" ht="38.25">
      <c r="A4" s="141" t="s">
        <v>25</v>
      </c>
      <c r="B4" s="149"/>
      <c r="C4" s="152" t="s">
        <v>26</v>
      </c>
      <c r="D4" s="153">
        <v>28</v>
      </c>
      <c r="E4" s="154" t="s">
        <v>181</v>
      </c>
      <c r="F4" s="149" t="s">
        <v>149</v>
      </c>
      <c r="G4" s="155"/>
      <c r="H4" s="1"/>
    </row>
    <row r="5" spans="1:8" ht="51">
      <c r="A5" s="141" t="s">
        <v>27</v>
      </c>
      <c r="B5" s="147" t="s">
        <v>28</v>
      </c>
      <c r="C5" s="147" t="s">
        <v>29</v>
      </c>
      <c r="D5" s="149">
        <v>6.7000000000000002E-4</v>
      </c>
      <c r="E5" s="154" t="s">
        <v>181</v>
      </c>
      <c r="F5" s="149" t="s">
        <v>122</v>
      </c>
      <c r="G5" s="155"/>
      <c r="H5" s="1"/>
    </row>
    <row r="6" spans="1:8" ht="51">
      <c r="A6" s="141" t="s">
        <v>30</v>
      </c>
      <c r="B6" s="149"/>
      <c r="C6" s="147" t="s">
        <v>31</v>
      </c>
      <c r="D6" s="156">
        <v>0.67</v>
      </c>
      <c r="E6" s="154" t="s">
        <v>181</v>
      </c>
      <c r="F6" s="149" t="s">
        <v>143</v>
      </c>
      <c r="G6" s="155" t="s">
        <v>199</v>
      </c>
      <c r="H6" s="1"/>
    </row>
    <row r="7" spans="1:8" ht="63.75">
      <c r="A7" s="140" t="s">
        <v>189</v>
      </c>
      <c r="B7" s="149" t="s">
        <v>61</v>
      </c>
      <c r="C7" s="149" t="s">
        <v>188</v>
      </c>
      <c r="D7" s="157">
        <v>1</v>
      </c>
      <c r="E7" s="154" t="s">
        <v>181</v>
      </c>
      <c r="F7" s="149"/>
      <c r="G7" s="155"/>
      <c r="H7" s="1"/>
    </row>
    <row r="8" spans="1:8" ht="76.5">
      <c r="A8" s="140" t="s">
        <v>145</v>
      </c>
      <c r="B8" s="149" t="s">
        <v>205</v>
      </c>
      <c r="C8" s="147" t="s">
        <v>32</v>
      </c>
      <c r="D8" s="149">
        <v>0.24</v>
      </c>
      <c r="E8" s="154" t="s">
        <v>181</v>
      </c>
      <c r="F8" s="149" t="s">
        <v>206</v>
      </c>
      <c r="G8" s="155" t="s">
        <v>116</v>
      </c>
      <c r="H8" s="1"/>
    </row>
    <row r="9" spans="1:8" ht="76.5">
      <c r="A9" s="140" t="s">
        <v>145</v>
      </c>
      <c r="B9" s="147" t="s">
        <v>33</v>
      </c>
      <c r="C9" s="147" t="s">
        <v>32</v>
      </c>
      <c r="D9" s="149">
        <v>0.39</v>
      </c>
      <c r="E9" s="154" t="s">
        <v>181</v>
      </c>
      <c r="F9" s="149" t="s">
        <v>207</v>
      </c>
      <c r="G9" s="155" t="s">
        <v>150</v>
      </c>
      <c r="H9" s="126" t="s">
        <v>151</v>
      </c>
    </row>
    <row r="10" spans="1:8" ht="51">
      <c r="A10" s="142" t="s">
        <v>182</v>
      </c>
      <c r="B10" s="149" t="s">
        <v>183</v>
      </c>
      <c r="C10" s="149" t="s">
        <v>184</v>
      </c>
      <c r="D10" s="158">
        <f>+G33</f>
        <v>2150</v>
      </c>
      <c r="E10" s="154" t="s">
        <v>181</v>
      </c>
      <c r="F10" s="149" t="s">
        <v>201</v>
      </c>
      <c r="G10" s="155" t="s">
        <v>116</v>
      </c>
      <c r="H10" s="124"/>
    </row>
    <row r="11" spans="1:8" ht="51">
      <c r="A11" s="142" t="s">
        <v>182</v>
      </c>
      <c r="B11" s="149" t="s">
        <v>183</v>
      </c>
      <c r="C11" s="149" t="s">
        <v>184</v>
      </c>
      <c r="D11" s="158">
        <f>+G43</f>
        <v>1491600</v>
      </c>
      <c r="E11" s="154" t="s">
        <v>181</v>
      </c>
      <c r="F11" s="149" t="s">
        <v>201</v>
      </c>
      <c r="G11" s="155" t="s">
        <v>221</v>
      </c>
      <c r="H11" s="124"/>
    </row>
    <row r="12" spans="1:8" ht="89.25">
      <c r="A12" s="142" t="s">
        <v>185</v>
      </c>
      <c r="B12" s="149" t="s">
        <v>186</v>
      </c>
      <c r="C12" s="149" t="s">
        <v>187</v>
      </c>
      <c r="D12" s="158">
        <f>4.5*365</f>
        <v>1642.5</v>
      </c>
      <c r="E12" s="159">
        <f>+D12/365</f>
        <v>4.5</v>
      </c>
      <c r="F12" s="149" t="s">
        <v>212</v>
      </c>
      <c r="G12" s="155" t="s">
        <v>209</v>
      </c>
      <c r="H12" s="124"/>
    </row>
    <row r="13" spans="1:8" ht="89.25">
      <c r="A13" s="142" t="s">
        <v>185</v>
      </c>
      <c r="B13" s="149" t="s">
        <v>186</v>
      </c>
      <c r="C13" s="149" t="s">
        <v>187</v>
      </c>
      <c r="D13" s="160">
        <f>0.02*365</f>
        <v>7.3</v>
      </c>
      <c r="E13" s="159">
        <f>+D13/365</f>
        <v>0.02</v>
      </c>
      <c r="F13" s="149" t="s">
        <v>213</v>
      </c>
      <c r="G13" s="155" t="s">
        <v>208</v>
      </c>
      <c r="H13" s="124"/>
    </row>
    <row r="14" spans="1:8">
      <c r="A14" s="140" t="s">
        <v>123</v>
      </c>
      <c r="B14" s="149" t="s">
        <v>127</v>
      </c>
      <c r="C14" s="149"/>
      <c r="D14" s="161">
        <v>6830</v>
      </c>
      <c r="E14" s="149"/>
      <c r="F14" s="149" t="s">
        <v>200</v>
      </c>
      <c r="G14" s="155"/>
      <c r="H14" s="1"/>
    </row>
    <row r="15" spans="1:8">
      <c r="A15" s="140" t="s">
        <v>124</v>
      </c>
      <c r="B15" s="149" t="s">
        <v>128</v>
      </c>
      <c r="C15" s="147"/>
      <c r="D15" s="149">
        <v>190</v>
      </c>
      <c r="E15" s="149"/>
      <c r="F15" s="149" t="s">
        <v>132</v>
      </c>
      <c r="G15" s="155"/>
      <c r="H15" s="1"/>
    </row>
    <row r="16" spans="1:8">
      <c r="A16" s="140" t="s">
        <v>125</v>
      </c>
      <c r="B16" s="162" t="s">
        <v>136</v>
      </c>
      <c r="C16" s="162"/>
      <c r="D16" s="162">
        <v>11.5</v>
      </c>
      <c r="E16" s="162"/>
      <c r="F16" s="162" t="s">
        <v>132</v>
      </c>
      <c r="G16" s="163"/>
      <c r="H16" s="3"/>
    </row>
    <row r="17" spans="1:8" ht="25.5">
      <c r="A17" s="140" t="s">
        <v>126</v>
      </c>
      <c r="B17" s="162" t="s">
        <v>129</v>
      </c>
      <c r="C17" s="162"/>
      <c r="D17" s="162">
        <v>2793</v>
      </c>
      <c r="E17" s="162"/>
      <c r="F17" s="164" t="s">
        <v>131</v>
      </c>
      <c r="G17" s="179"/>
      <c r="H17" s="181"/>
    </row>
    <row r="18" spans="1:8" ht="51">
      <c r="A18" s="140" t="s">
        <v>134</v>
      </c>
      <c r="B18" s="162" t="s">
        <v>133</v>
      </c>
      <c r="C18" s="162"/>
      <c r="D18" s="162">
        <v>427.5</v>
      </c>
      <c r="E18" s="162"/>
      <c r="F18" s="164" t="s">
        <v>135</v>
      </c>
      <c r="G18" s="179"/>
      <c r="H18" s="180"/>
    </row>
    <row r="19" spans="1:8">
      <c r="A19" s="560"/>
      <c r="B19" s="561"/>
      <c r="C19" s="561"/>
      <c r="D19" s="561"/>
      <c r="E19" s="561"/>
      <c r="F19" s="561"/>
      <c r="G19" s="562"/>
      <c r="H19" s="125"/>
    </row>
    <row r="20" spans="1:8" ht="76.5">
      <c r="A20" s="141" t="s">
        <v>35</v>
      </c>
      <c r="B20" s="147" t="s">
        <v>23</v>
      </c>
      <c r="C20" s="149" t="s">
        <v>119</v>
      </c>
      <c r="D20" s="165">
        <f>D24*D23</f>
        <v>14554.662050880001</v>
      </c>
      <c r="E20" s="147" t="s">
        <v>34</v>
      </c>
      <c r="F20" s="149" t="s">
        <v>204</v>
      </c>
      <c r="G20" s="155"/>
      <c r="H20" s="125"/>
    </row>
    <row r="21" spans="1:8">
      <c r="A21" s="143" t="s">
        <v>18</v>
      </c>
      <c r="B21" s="152" t="s">
        <v>49</v>
      </c>
      <c r="C21" s="166" t="s">
        <v>17</v>
      </c>
      <c r="D21" s="167">
        <v>6.0039999999999996</v>
      </c>
      <c r="E21" s="168"/>
      <c r="F21" s="149" t="s">
        <v>202</v>
      </c>
      <c r="G21" s="169"/>
      <c r="H21" s="1"/>
    </row>
    <row r="22" spans="1:8">
      <c r="A22" s="144" t="s">
        <v>19</v>
      </c>
      <c r="B22" s="152" t="s">
        <v>21</v>
      </c>
      <c r="C22" s="152" t="s">
        <v>20</v>
      </c>
      <c r="D22" s="167">
        <v>7000</v>
      </c>
      <c r="E22" s="152"/>
      <c r="F22" s="168" t="s">
        <v>203</v>
      </c>
      <c r="G22" s="170"/>
      <c r="H22" s="1"/>
    </row>
    <row r="23" spans="1:8" ht="25.5">
      <c r="A23" s="145" t="s">
        <v>7</v>
      </c>
      <c r="B23" s="168" t="s">
        <v>6</v>
      </c>
      <c r="C23" s="168" t="s">
        <v>9</v>
      </c>
      <c r="D23" s="171">
        <f>'EPIAS Records'!L15</f>
        <v>26215.169399999999</v>
      </c>
      <c r="E23" s="152" t="s">
        <v>22</v>
      </c>
      <c r="F23" s="168" t="s">
        <v>311</v>
      </c>
      <c r="G23" s="155"/>
      <c r="H23" s="1"/>
    </row>
    <row r="24" spans="1:8" ht="15" thickBot="1">
      <c r="A24" s="145" t="s">
        <v>8</v>
      </c>
      <c r="B24" s="168" t="s">
        <v>11</v>
      </c>
      <c r="C24" s="168" t="s">
        <v>10</v>
      </c>
      <c r="D24" s="172">
        <v>0.55520000000000003</v>
      </c>
      <c r="E24" s="168"/>
      <c r="F24" s="173"/>
      <c r="G24" s="174"/>
      <c r="H24" s="1"/>
    </row>
    <row r="25" spans="1:8" ht="30.75" thickBot="1">
      <c r="A25" s="146" t="s">
        <v>191</v>
      </c>
      <c r="B25" s="175" t="s">
        <v>192</v>
      </c>
      <c r="C25" s="175" t="s">
        <v>193</v>
      </c>
      <c r="D25" s="176">
        <f>ROUNDDOWN(D20+D3,0)</f>
        <v>78583</v>
      </c>
      <c r="E25" s="175" t="s">
        <v>359</v>
      </c>
      <c r="F25" s="177"/>
      <c r="G25" s="178"/>
      <c r="H25" s="1"/>
    </row>
    <row r="26" spans="1:8">
      <c r="A26" s="1"/>
      <c r="B26" s="1"/>
      <c r="C26" s="128"/>
      <c r="D26" s="1"/>
      <c r="E26" s="1"/>
      <c r="F26" s="1"/>
      <c r="G26" s="1"/>
      <c r="H26" s="1"/>
    </row>
    <row r="27" spans="1:8" ht="38.25">
      <c r="A27" s="1"/>
      <c r="B27" s="1" t="s">
        <v>224</v>
      </c>
      <c r="C27" s="129"/>
      <c r="D27" s="129"/>
      <c r="E27" s="1"/>
      <c r="F27" s="134" t="s">
        <v>217</v>
      </c>
      <c r="G27" s="134" t="s">
        <v>228</v>
      </c>
      <c r="H27" s="1"/>
    </row>
    <row r="28" spans="1:8">
      <c r="A28" s="1" t="s">
        <v>222</v>
      </c>
      <c r="B28" s="1">
        <v>34300</v>
      </c>
      <c r="C28" s="130"/>
      <c r="D28" s="131"/>
      <c r="E28" s="1"/>
      <c r="F28" s="135" t="s">
        <v>257</v>
      </c>
      <c r="G28" s="136">
        <v>200</v>
      </c>
      <c r="H28" s="1"/>
    </row>
    <row r="29" spans="1:8">
      <c r="A29" s="1" t="s">
        <v>223</v>
      </c>
      <c r="B29" s="1">
        <v>15253</v>
      </c>
      <c r="C29" s="130"/>
      <c r="D29" s="131"/>
      <c r="E29" s="1"/>
      <c r="F29" s="135" t="s">
        <v>214</v>
      </c>
      <c r="G29" s="136">
        <v>250</v>
      </c>
      <c r="H29" s="1"/>
    </row>
    <row r="30" spans="1:8">
      <c r="A30" s="1"/>
      <c r="B30" s="1"/>
      <c r="C30" s="130"/>
      <c r="D30" s="131"/>
      <c r="E30" s="1"/>
      <c r="F30" s="135" t="s">
        <v>258</v>
      </c>
      <c r="G30" s="135">
        <v>800</v>
      </c>
      <c r="H30" s="1"/>
    </row>
    <row r="31" spans="1:8">
      <c r="A31" s="1"/>
      <c r="B31" s="1"/>
      <c r="C31" s="130"/>
      <c r="D31" s="131">
        <f>D6*(D8*D10*D12*D7)</f>
        <v>567845.1</v>
      </c>
      <c r="E31" s="1"/>
      <c r="F31" s="135" t="s">
        <v>259</v>
      </c>
      <c r="G31" s="135">
        <v>900</v>
      </c>
      <c r="H31" s="1"/>
    </row>
    <row r="32" spans="1:8">
      <c r="A32" s="1"/>
      <c r="B32" s="1"/>
      <c r="C32" s="130"/>
      <c r="D32" s="131">
        <f>D6*(D9*D11*D13*D7)</f>
        <v>2845212.0840000003</v>
      </c>
      <c r="E32" s="1"/>
      <c r="F32" s="554"/>
      <c r="G32" s="555"/>
      <c r="H32" s="1"/>
    </row>
    <row r="33" spans="1:8">
      <c r="A33" s="1"/>
      <c r="B33" s="1"/>
      <c r="C33" s="129"/>
      <c r="D33" s="132"/>
      <c r="E33" s="1"/>
      <c r="F33" s="137" t="s">
        <v>215</v>
      </c>
      <c r="G33" s="138">
        <f>+SUM(G28:G32)</f>
        <v>2150</v>
      </c>
      <c r="H33" s="1"/>
    </row>
    <row r="34" spans="1:8">
      <c r="A34" s="1"/>
      <c r="B34" s="1"/>
      <c r="C34" s="129"/>
      <c r="D34" s="129">
        <v>565677</v>
      </c>
      <c r="E34" s="1"/>
      <c r="F34" s="134" t="s">
        <v>216</v>
      </c>
      <c r="G34" s="134" t="s">
        <v>228</v>
      </c>
      <c r="H34" s="1"/>
    </row>
    <row r="35" spans="1:8">
      <c r="A35" s="1"/>
      <c r="B35" s="1"/>
      <c r="C35" s="130"/>
      <c r="D35" s="131">
        <v>2435323.7999999998</v>
      </c>
      <c r="E35" s="1"/>
      <c r="F35" s="135" t="s">
        <v>260</v>
      </c>
      <c r="G35" s="135">
        <v>200000</v>
      </c>
      <c r="H35" s="1"/>
    </row>
    <row r="36" spans="1:8">
      <c r="A36" s="1"/>
      <c r="B36" s="1"/>
      <c r="C36" s="130"/>
      <c r="D36" s="131"/>
      <c r="E36" s="1"/>
      <c r="F36" s="135" t="s">
        <v>229</v>
      </c>
      <c r="G36" s="136">
        <v>500000</v>
      </c>
      <c r="H36" s="1"/>
    </row>
    <row r="37" spans="1:8">
      <c r="A37" s="1"/>
      <c r="B37" s="1"/>
      <c r="C37" s="130"/>
      <c r="D37" s="131"/>
      <c r="E37" s="1"/>
      <c r="F37" s="135" t="s">
        <v>226</v>
      </c>
      <c r="G37" s="136">
        <v>350000</v>
      </c>
      <c r="H37" s="1"/>
    </row>
    <row r="38" spans="1:8">
      <c r="A38" s="1"/>
      <c r="B38" s="1"/>
      <c r="C38" s="130"/>
      <c r="D38" s="131"/>
      <c r="E38" s="1"/>
      <c r="F38" s="135" t="s">
        <v>227</v>
      </c>
      <c r="G38" s="136">
        <v>200000</v>
      </c>
      <c r="H38" s="1"/>
    </row>
    <row r="39" spans="1:8">
      <c r="A39" s="1"/>
      <c r="B39" s="1"/>
      <c r="C39" s="130"/>
      <c r="D39" s="131"/>
      <c r="E39" s="1"/>
      <c r="F39" s="135" t="s">
        <v>218</v>
      </c>
      <c r="G39" s="136">
        <v>45000</v>
      </c>
      <c r="H39" s="1"/>
    </row>
    <row r="40" spans="1:8">
      <c r="A40" s="1"/>
      <c r="B40" s="1"/>
      <c r="C40" s="130"/>
      <c r="D40" s="131"/>
      <c r="E40" s="1"/>
      <c r="F40" s="556"/>
      <c r="G40" s="557"/>
      <c r="H40" s="1"/>
    </row>
    <row r="41" spans="1:8">
      <c r="A41" s="1"/>
      <c r="B41" s="1"/>
      <c r="C41" s="130"/>
      <c r="D41" s="131"/>
      <c r="E41" s="1"/>
      <c r="F41" s="558"/>
      <c r="G41" s="559"/>
      <c r="H41" s="1"/>
    </row>
    <row r="42" spans="1:8">
      <c r="A42" s="1"/>
      <c r="B42" s="1"/>
      <c r="C42" s="130"/>
      <c r="D42" s="131"/>
      <c r="E42" s="1"/>
      <c r="F42" s="135" t="s">
        <v>219</v>
      </c>
      <c r="G42" s="136">
        <v>196600</v>
      </c>
      <c r="H42" s="1"/>
    </row>
    <row r="43" spans="1:8">
      <c r="A43" s="1"/>
      <c r="B43" s="1"/>
      <c r="C43" s="129"/>
      <c r="D43" s="132"/>
      <c r="E43" s="1"/>
      <c r="F43" s="137" t="s">
        <v>220</v>
      </c>
      <c r="G43" s="138">
        <f>+SUM(G35:G42)</f>
        <v>1491600</v>
      </c>
      <c r="H43" s="1"/>
    </row>
    <row r="44" spans="1:8">
      <c r="A44" s="1"/>
      <c r="B44" s="1"/>
      <c r="C44" s="133"/>
      <c r="D44" s="133"/>
      <c r="E44" s="1"/>
      <c r="F44" s="1"/>
      <c r="G44" s="1"/>
      <c r="H44" s="1"/>
    </row>
  </sheetData>
  <mergeCells count="4">
    <mergeCell ref="A2:G2"/>
    <mergeCell ref="F32:G32"/>
    <mergeCell ref="F40:G41"/>
    <mergeCell ref="A19:G19"/>
  </mergeCells>
  <dataValidations count="1">
    <dataValidation allowBlank="1" showInputMessage="1" showErrorMessage="1" sqref="D4" xr:uid="{29DEE23F-DF19-4CFD-9BE1-9A8A074BF640}"/>
  </dataValidations>
  <hyperlinks>
    <hyperlink ref="F17" r:id="rId1" xr:uid="{5220EE71-E265-47A9-ADAA-1C35F6FA8823}"/>
    <hyperlink ref="H9" r:id="rId2" xr:uid="{8EDC89EF-801B-470D-B4CA-B11E3FC24FBC}"/>
    <hyperlink ref="F3" r:id="rId3" display="https://globalgoals.goldstandard.org/standards/PRE-GS4GG-Energy//ghg-ers-from-manure-management-systems-and-municipal-solid-waste-1.pdf" xr:uid="{D6B1B020-64C8-41D1-9113-7C0AA05F8BD1}"/>
    <hyperlink ref="G3" r:id="rId4" xr:uid="{3BA68516-01AA-4AEA-BE74-73B163564245}"/>
  </hyperlinks>
  <pageMargins left="0.7" right="0.7" top="0.75" bottom="0.75" header="0.3" footer="0.3"/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A363F-CEF6-47AE-80A9-EAEEDFAB69A4}">
  <dimension ref="A1:G43"/>
  <sheetViews>
    <sheetView topLeftCell="C12" zoomScale="60" workbookViewId="0">
      <selection activeCell="D25" sqref="D25"/>
    </sheetView>
  </sheetViews>
  <sheetFormatPr defaultRowHeight="12.75"/>
  <cols>
    <col min="1" max="1" width="20.875" customWidth="1"/>
    <col min="2" max="2" width="11.625" customWidth="1"/>
    <col min="3" max="3" width="45.5" customWidth="1"/>
    <col min="4" max="4" width="32.75" customWidth="1"/>
    <col min="5" max="5" width="59.5" customWidth="1"/>
    <col min="6" max="6" width="70.375" customWidth="1"/>
    <col min="7" max="7" width="97.75" customWidth="1"/>
  </cols>
  <sheetData>
    <row r="1" spans="1:7" ht="16.5" thickBot="1">
      <c r="A1" s="336" t="s">
        <v>15</v>
      </c>
      <c r="B1" s="336" t="s">
        <v>0</v>
      </c>
      <c r="C1" s="336" t="s">
        <v>3</v>
      </c>
      <c r="D1" s="336" t="s">
        <v>16</v>
      </c>
      <c r="E1" s="336" t="s">
        <v>113</v>
      </c>
      <c r="F1" s="336" t="s">
        <v>2</v>
      </c>
      <c r="G1" s="336" t="s">
        <v>5</v>
      </c>
    </row>
    <row r="2" spans="1:7" ht="15.75">
      <c r="A2" s="563" t="s">
        <v>194</v>
      </c>
      <c r="B2" s="564"/>
      <c r="C2" s="564"/>
      <c r="D2" s="564"/>
      <c r="E2" s="564"/>
      <c r="F2" s="564"/>
      <c r="G2" s="565"/>
    </row>
    <row r="3" spans="1:7" ht="78.75">
      <c r="A3" s="337" t="s">
        <v>316</v>
      </c>
      <c r="B3" s="338" t="s">
        <v>23</v>
      </c>
      <c r="C3" s="338" t="s">
        <v>24</v>
      </c>
      <c r="D3" s="339">
        <f>(D4*D5*D6*(D8*D10*D12*D7))+(D4*D5*D6*(D9*D11*D13*D7))</f>
        <v>56298.77500799999</v>
      </c>
      <c r="E3" s="338"/>
      <c r="F3" s="340" t="s">
        <v>211</v>
      </c>
      <c r="G3" s="341" t="s">
        <v>210</v>
      </c>
    </row>
    <row r="4" spans="1:7" ht="18.75">
      <c r="A4" s="337" t="s">
        <v>317</v>
      </c>
      <c r="B4" s="338"/>
      <c r="C4" s="342" t="s">
        <v>26</v>
      </c>
      <c r="D4" s="343">
        <v>28</v>
      </c>
      <c r="E4" s="344" t="s">
        <v>181</v>
      </c>
      <c r="F4" s="338" t="s">
        <v>149</v>
      </c>
      <c r="G4" s="345"/>
    </row>
    <row r="5" spans="1:7" ht="31.5">
      <c r="A5" s="337" t="s">
        <v>318</v>
      </c>
      <c r="B5" s="338" t="s">
        <v>319</v>
      </c>
      <c r="C5" s="338" t="s">
        <v>29</v>
      </c>
      <c r="D5" s="338">
        <v>6.7000000000000002E-4</v>
      </c>
      <c r="E5" s="344" t="s">
        <v>181</v>
      </c>
      <c r="F5" s="338" t="s">
        <v>122</v>
      </c>
      <c r="G5" s="345"/>
    </row>
    <row r="6" spans="1:7" ht="18.75">
      <c r="A6" s="337" t="s">
        <v>320</v>
      </c>
      <c r="B6" s="338"/>
      <c r="C6" s="338" t="s">
        <v>235</v>
      </c>
      <c r="D6" s="346">
        <v>0.7</v>
      </c>
      <c r="E6" s="344" t="s">
        <v>181</v>
      </c>
      <c r="F6" s="338" t="s">
        <v>143</v>
      </c>
      <c r="G6" s="345" t="s">
        <v>321</v>
      </c>
    </row>
    <row r="7" spans="1:7" ht="47.25">
      <c r="A7" s="337" t="s">
        <v>189</v>
      </c>
      <c r="B7" s="338" t="s">
        <v>61</v>
      </c>
      <c r="C7" s="338" t="s">
        <v>188</v>
      </c>
      <c r="D7" s="347">
        <v>1</v>
      </c>
      <c r="E7" s="344" t="s">
        <v>181</v>
      </c>
      <c r="F7" s="338"/>
      <c r="G7" s="345"/>
    </row>
    <row r="8" spans="1:7" ht="33.75">
      <c r="A8" s="337" t="s">
        <v>322</v>
      </c>
      <c r="B8" s="338" t="s">
        <v>323</v>
      </c>
      <c r="C8" s="338" t="s">
        <v>238</v>
      </c>
      <c r="D8" s="338">
        <v>0.24</v>
      </c>
      <c r="E8" s="344" t="s">
        <v>181</v>
      </c>
      <c r="F8" s="338" t="s">
        <v>206</v>
      </c>
      <c r="G8" s="345" t="s">
        <v>116</v>
      </c>
    </row>
    <row r="9" spans="1:7" ht="33.75">
      <c r="A9" s="337" t="s">
        <v>322</v>
      </c>
      <c r="B9" s="338" t="s">
        <v>323</v>
      </c>
      <c r="C9" s="338" t="s">
        <v>238</v>
      </c>
      <c r="D9" s="338">
        <v>0.39</v>
      </c>
      <c r="E9" s="344" t="s">
        <v>181</v>
      </c>
      <c r="F9" s="338" t="s">
        <v>207</v>
      </c>
      <c r="G9" s="345" t="s">
        <v>150</v>
      </c>
    </row>
    <row r="10" spans="1:7" ht="63">
      <c r="A10" s="332" t="s">
        <v>182</v>
      </c>
      <c r="B10" s="338" t="s">
        <v>183</v>
      </c>
      <c r="C10" s="338" t="s">
        <v>184</v>
      </c>
      <c r="D10" s="348">
        <f>+G33</f>
        <v>2050</v>
      </c>
      <c r="E10" s="344" t="s">
        <v>181</v>
      </c>
      <c r="F10" s="338" t="s">
        <v>201</v>
      </c>
      <c r="G10" s="345" t="s">
        <v>116</v>
      </c>
    </row>
    <row r="11" spans="1:7" ht="63">
      <c r="A11" s="332" t="s">
        <v>182</v>
      </c>
      <c r="B11" s="338" t="s">
        <v>183</v>
      </c>
      <c r="C11" s="338" t="s">
        <v>184</v>
      </c>
      <c r="D11" s="348">
        <f>+G43</f>
        <v>1222000</v>
      </c>
      <c r="E11" s="344" t="s">
        <v>181</v>
      </c>
      <c r="F11" s="338" t="s">
        <v>201</v>
      </c>
      <c r="G11" s="345" t="s">
        <v>221</v>
      </c>
    </row>
    <row r="12" spans="1:7" ht="63">
      <c r="A12" s="332" t="s">
        <v>185</v>
      </c>
      <c r="B12" s="338" t="s">
        <v>186</v>
      </c>
      <c r="C12" s="338" t="s">
        <v>187</v>
      </c>
      <c r="D12" s="348">
        <f>4.5*365</f>
        <v>1642.5</v>
      </c>
      <c r="E12" s="349">
        <f>+D12/365</f>
        <v>4.5</v>
      </c>
      <c r="F12" s="338" t="s">
        <v>212</v>
      </c>
      <c r="G12" s="345" t="s">
        <v>209</v>
      </c>
    </row>
    <row r="13" spans="1:7" ht="63">
      <c r="A13" s="332" t="s">
        <v>185</v>
      </c>
      <c r="B13" s="338" t="s">
        <v>186</v>
      </c>
      <c r="C13" s="338" t="s">
        <v>187</v>
      </c>
      <c r="D13" s="350">
        <f>0.02*365</f>
        <v>7.3</v>
      </c>
      <c r="E13" s="349">
        <f>+D13/365</f>
        <v>0.02</v>
      </c>
      <c r="F13" s="338" t="s">
        <v>213</v>
      </c>
      <c r="G13" s="345" t="s">
        <v>208</v>
      </c>
    </row>
    <row r="14" spans="1:7" ht="31.5">
      <c r="A14" s="337" t="s">
        <v>123</v>
      </c>
      <c r="B14" s="338" t="s">
        <v>127</v>
      </c>
      <c r="C14" s="338"/>
      <c r="D14" s="351">
        <v>6830</v>
      </c>
      <c r="E14" s="338"/>
      <c r="F14" s="338" t="s">
        <v>200</v>
      </c>
      <c r="G14" s="345"/>
    </row>
    <row r="15" spans="1:7" ht="15.75">
      <c r="A15" s="337" t="s">
        <v>124</v>
      </c>
      <c r="B15" s="338" t="s">
        <v>128</v>
      </c>
      <c r="C15" s="338"/>
      <c r="D15" s="338">
        <v>190</v>
      </c>
      <c r="E15" s="338"/>
      <c r="F15" s="338" t="s">
        <v>132</v>
      </c>
      <c r="G15" s="345"/>
    </row>
    <row r="16" spans="1:7" ht="15.75">
      <c r="A16" s="337" t="s">
        <v>125</v>
      </c>
      <c r="B16" s="352" t="s">
        <v>136</v>
      </c>
      <c r="C16" s="352"/>
      <c r="D16" s="352">
        <v>11.5</v>
      </c>
      <c r="E16" s="352"/>
      <c r="F16" s="352" t="s">
        <v>132</v>
      </c>
      <c r="G16" s="353"/>
    </row>
    <row r="17" spans="1:7" ht="47.25">
      <c r="A17" s="337" t="s">
        <v>126</v>
      </c>
      <c r="B17" s="352" t="s">
        <v>129</v>
      </c>
      <c r="C17" s="352"/>
      <c r="D17" s="352">
        <v>2793</v>
      </c>
      <c r="E17" s="352"/>
      <c r="F17" s="354" t="s">
        <v>131</v>
      </c>
      <c r="G17" s="355"/>
    </row>
    <row r="18" spans="1:7" ht="63">
      <c r="A18" s="337" t="s">
        <v>134</v>
      </c>
      <c r="B18" s="352" t="s">
        <v>133</v>
      </c>
      <c r="C18" s="352"/>
      <c r="D18" s="352">
        <v>427.5</v>
      </c>
      <c r="E18" s="352"/>
      <c r="F18" s="354" t="s">
        <v>135</v>
      </c>
      <c r="G18" s="355"/>
    </row>
    <row r="19" spans="1:7" ht="15.75">
      <c r="A19" s="572"/>
      <c r="B19" s="573"/>
      <c r="C19" s="573"/>
      <c r="D19" s="573"/>
      <c r="E19" s="573"/>
      <c r="F19" s="573"/>
      <c r="G19" s="574"/>
    </row>
    <row r="20" spans="1:7" ht="31.5">
      <c r="A20" s="337" t="s">
        <v>324</v>
      </c>
      <c r="B20" s="338" t="s">
        <v>23</v>
      </c>
      <c r="C20" s="338" t="s">
        <v>119</v>
      </c>
      <c r="D20" s="356">
        <f>D24*D23</f>
        <v>6230.5792644799994</v>
      </c>
      <c r="E20" s="338" t="s">
        <v>325</v>
      </c>
      <c r="F20" s="338" t="s">
        <v>204</v>
      </c>
      <c r="G20" s="345"/>
    </row>
    <row r="21" spans="1:7" ht="15.75">
      <c r="A21" s="357" t="s">
        <v>18</v>
      </c>
      <c r="B21" s="342" t="s">
        <v>49</v>
      </c>
      <c r="C21" s="358" t="s">
        <v>241</v>
      </c>
      <c r="D21" s="359">
        <v>6.0039999999999996</v>
      </c>
      <c r="E21" s="342"/>
      <c r="F21" s="338" t="s">
        <v>202</v>
      </c>
      <c r="G21" s="360"/>
    </row>
    <row r="22" spans="1:7" ht="15.75">
      <c r="A22" s="361" t="s">
        <v>19</v>
      </c>
      <c r="B22" s="342" t="s">
        <v>21</v>
      </c>
      <c r="C22" s="342" t="s">
        <v>242</v>
      </c>
      <c r="D22" s="359">
        <v>7000</v>
      </c>
      <c r="E22" s="342"/>
      <c r="F22" s="342" t="s">
        <v>203</v>
      </c>
      <c r="G22" s="360"/>
    </row>
    <row r="23" spans="1:7" ht="18.75">
      <c r="A23" s="357" t="s">
        <v>326</v>
      </c>
      <c r="B23" s="342" t="s">
        <v>6</v>
      </c>
      <c r="C23" s="342" t="s">
        <v>9</v>
      </c>
      <c r="D23" s="362">
        <f>'EPIAS Records'!P15</f>
        <v>11222.224899999999</v>
      </c>
      <c r="E23" s="342" t="s">
        <v>244</v>
      </c>
      <c r="F23" s="342" t="s">
        <v>311</v>
      </c>
      <c r="G23" s="345"/>
    </row>
    <row r="24" spans="1:7" ht="19.5" thickBot="1">
      <c r="A24" s="357" t="s">
        <v>327</v>
      </c>
      <c r="B24" s="342" t="s">
        <v>11</v>
      </c>
      <c r="C24" s="342" t="s">
        <v>10</v>
      </c>
      <c r="D24" s="359">
        <v>0.55520000000000003</v>
      </c>
      <c r="E24" s="342"/>
      <c r="F24" s="363"/>
      <c r="G24" s="345"/>
    </row>
    <row r="25" spans="1:7" ht="19.5" thickBot="1">
      <c r="A25" s="333" t="s">
        <v>191</v>
      </c>
      <c r="B25" s="334" t="s">
        <v>192</v>
      </c>
      <c r="C25" s="334" t="s">
        <v>193</v>
      </c>
      <c r="D25" s="335">
        <f>ROUNDDOWN(D20+D3,0)</f>
        <v>62529</v>
      </c>
      <c r="E25" s="334" t="s">
        <v>360</v>
      </c>
      <c r="F25" s="364"/>
      <c r="G25" s="365"/>
    </row>
    <row r="26" spans="1:7" ht="15.75">
      <c r="A26" s="366"/>
      <c r="B26" s="366"/>
      <c r="C26" s="367"/>
      <c r="D26" s="366"/>
      <c r="E26" s="366"/>
      <c r="F26" s="366"/>
      <c r="G26" s="366"/>
    </row>
    <row r="27" spans="1:7" ht="110.25">
      <c r="A27" s="366"/>
      <c r="B27" s="366" t="s">
        <v>224</v>
      </c>
      <c r="C27" s="368"/>
      <c r="D27" s="368"/>
      <c r="E27" s="366"/>
      <c r="F27" s="369" t="s">
        <v>217</v>
      </c>
      <c r="G27" s="369" t="s">
        <v>331</v>
      </c>
    </row>
    <row r="28" spans="1:7" ht="15.75">
      <c r="A28" s="366" t="s">
        <v>222</v>
      </c>
      <c r="B28" s="366">
        <v>34300</v>
      </c>
      <c r="C28" s="370"/>
      <c r="D28" s="371"/>
      <c r="E28" s="366"/>
      <c r="F28" s="372" t="s">
        <v>329</v>
      </c>
      <c r="G28" s="373">
        <v>700</v>
      </c>
    </row>
    <row r="29" spans="1:7" ht="15.75">
      <c r="A29" s="366" t="s">
        <v>223</v>
      </c>
      <c r="B29" s="366">
        <v>15253</v>
      </c>
      <c r="C29" s="370"/>
      <c r="D29" s="371"/>
      <c r="E29" s="366"/>
      <c r="F29" s="372" t="s">
        <v>259</v>
      </c>
      <c r="G29" s="373">
        <v>1100</v>
      </c>
    </row>
    <row r="30" spans="1:7" ht="15.75">
      <c r="A30" s="366"/>
      <c r="B30" s="366"/>
      <c r="C30" s="370"/>
      <c r="D30" s="371"/>
      <c r="E30" s="366"/>
      <c r="F30" s="372" t="s">
        <v>332</v>
      </c>
      <c r="G30" s="372">
        <v>250</v>
      </c>
    </row>
    <row r="31" spans="1:7" ht="15.75">
      <c r="A31" s="366"/>
      <c r="B31" s="366"/>
      <c r="C31" s="370"/>
      <c r="D31" s="131">
        <f>D6*(D8*D10*D12*D7)</f>
        <v>565677</v>
      </c>
      <c r="E31" s="366"/>
      <c r="F31" s="372"/>
      <c r="G31" s="372"/>
    </row>
    <row r="32" spans="1:7" ht="15.75">
      <c r="A32" s="366"/>
      <c r="B32" s="366"/>
      <c r="C32" s="370"/>
      <c r="D32" s="131">
        <f>D6*(D9*D11*D13*D7)</f>
        <v>2435323.7999999998</v>
      </c>
      <c r="E32" s="366"/>
      <c r="F32" s="566"/>
      <c r="G32" s="567"/>
    </row>
    <row r="33" spans="1:7" ht="15.75">
      <c r="A33" s="366"/>
      <c r="B33" s="366"/>
      <c r="C33" s="368"/>
      <c r="D33" s="374"/>
      <c r="E33" s="366"/>
      <c r="F33" s="375" t="s">
        <v>215</v>
      </c>
      <c r="G33" s="376">
        <f>+SUM(G28:G32)</f>
        <v>2050</v>
      </c>
    </row>
    <row r="34" spans="1:7" ht="15.75">
      <c r="A34" s="366"/>
      <c r="B34" s="366"/>
      <c r="C34" s="368"/>
      <c r="D34" s="368"/>
      <c r="E34" s="366"/>
      <c r="F34" s="369" t="s">
        <v>216</v>
      </c>
      <c r="G34" s="369" t="s">
        <v>331</v>
      </c>
    </row>
    <row r="35" spans="1:7" ht="15.75">
      <c r="A35" s="366"/>
      <c r="B35" s="366"/>
      <c r="C35" s="370"/>
      <c r="D35" s="371"/>
      <c r="E35" s="366"/>
      <c r="F35" s="372" t="s">
        <v>328</v>
      </c>
      <c r="G35" s="372">
        <v>300000</v>
      </c>
    </row>
    <row r="36" spans="1:7" ht="15.75">
      <c r="A36" s="366"/>
      <c r="B36" s="366"/>
      <c r="C36" s="370"/>
      <c r="D36" s="371"/>
      <c r="E36" s="366"/>
      <c r="F36" s="372" t="s">
        <v>330</v>
      </c>
      <c r="G36" s="373">
        <v>200000</v>
      </c>
    </row>
    <row r="37" spans="1:7" ht="15.75">
      <c r="A37" s="366"/>
      <c r="B37" s="366"/>
      <c r="C37" s="370"/>
      <c r="D37" s="371"/>
      <c r="E37" s="366"/>
      <c r="F37" s="372" t="s">
        <v>226</v>
      </c>
      <c r="G37" s="373">
        <v>350000</v>
      </c>
    </row>
    <row r="38" spans="1:7" ht="15.75">
      <c r="A38" s="366"/>
      <c r="B38" s="366"/>
      <c r="C38" s="370"/>
      <c r="D38" s="371"/>
      <c r="E38" s="366"/>
      <c r="F38" s="372" t="s">
        <v>227</v>
      </c>
      <c r="G38" s="373">
        <v>200000</v>
      </c>
    </row>
    <row r="39" spans="1:7" ht="15.75">
      <c r="A39" s="366"/>
      <c r="B39" s="366"/>
      <c r="C39" s="370"/>
      <c r="D39" s="371"/>
      <c r="E39" s="366"/>
      <c r="F39" s="372" t="s">
        <v>218</v>
      </c>
      <c r="G39" s="373">
        <v>45000</v>
      </c>
    </row>
    <row r="40" spans="1:7" ht="15.75">
      <c r="A40" s="366"/>
      <c r="B40" s="366"/>
      <c r="C40" s="370"/>
      <c r="D40" s="371"/>
      <c r="E40" s="366"/>
      <c r="F40" s="568"/>
      <c r="G40" s="569"/>
    </row>
    <row r="41" spans="1:7" ht="15.75">
      <c r="A41" s="366"/>
      <c r="B41" s="366"/>
      <c r="C41" s="370"/>
      <c r="D41" s="371"/>
      <c r="E41" s="366"/>
      <c r="F41" s="570"/>
      <c r="G41" s="571"/>
    </row>
    <row r="42" spans="1:7" ht="15.75">
      <c r="A42" s="366"/>
      <c r="B42" s="366"/>
      <c r="C42" s="370"/>
      <c r="D42" s="371"/>
      <c r="E42" s="366"/>
      <c r="F42" s="372" t="s">
        <v>219</v>
      </c>
      <c r="G42" s="373">
        <v>127000</v>
      </c>
    </row>
    <row r="43" spans="1:7" ht="15.75">
      <c r="A43" s="366"/>
      <c r="B43" s="366"/>
      <c r="C43" s="368"/>
      <c r="D43" s="374"/>
      <c r="E43" s="366"/>
      <c r="F43" s="375" t="s">
        <v>220</v>
      </c>
      <c r="G43" s="376">
        <f>+SUM(G35:G42)</f>
        <v>1222000</v>
      </c>
    </row>
  </sheetData>
  <mergeCells count="4">
    <mergeCell ref="A2:G2"/>
    <mergeCell ref="F32:G32"/>
    <mergeCell ref="F40:G41"/>
    <mergeCell ref="A19:G19"/>
  </mergeCells>
  <dataValidations count="1">
    <dataValidation allowBlank="1" showInputMessage="1" showErrorMessage="1" sqref="D4" xr:uid="{D2188FD1-96A4-495D-BE61-47AB81188CE3}"/>
  </dataValidations>
  <hyperlinks>
    <hyperlink ref="F17" r:id="rId1" xr:uid="{9ABF6955-1A53-446A-8240-65DF459E29E4}"/>
    <hyperlink ref="F3" r:id="rId2" display="https://globalgoals.goldstandard.org/standards/PRE-GS4GG-Energy//ghg-ers-from-manure-management-systems-and-municipal-solid-waste-1.pdf" xr:uid="{8366B54B-A8A7-4DF6-B6EE-6DF8F68AE9FB}"/>
    <hyperlink ref="G3" r:id="rId3" xr:uid="{6C33C25F-56E5-4A09-A8A2-F30F901E79F0}"/>
  </hyperlinks>
  <pageMargins left="0.7" right="0.7" top="0.75" bottom="0.75" header="0.3" footer="0.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209BA-8868-4631-B214-51A458503358}">
  <dimension ref="A1:N53"/>
  <sheetViews>
    <sheetView topLeftCell="A15" zoomScale="110" zoomScaleNormal="70" workbookViewId="0">
      <selection activeCell="D25" sqref="D25"/>
    </sheetView>
  </sheetViews>
  <sheetFormatPr defaultRowHeight="12.75"/>
  <cols>
    <col min="1" max="1" width="23.375" customWidth="1"/>
    <col min="2" max="2" width="25" customWidth="1"/>
    <col min="3" max="3" width="32.375" customWidth="1"/>
    <col min="4" max="4" width="20.375" customWidth="1"/>
    <col min="5" max="5" width="49.375" customWidth="1"/>
    <col min="6" max="6" width="54.75" customWidth="1"/>
    <col min="7" max="7" width="29.125" customWidth="1"/>
    <col min="8" max="8" width="22.375" customWidth="1"/>
    <col min="9" max="9" width="39.75" customWidth="1"/>
    <col min="10" max="10" width="38.875" customWidth="1"/>
    <col min="11" max="11" width="23.875" customWidth="1"/>
    <col min="12" max="12" width="25.25" customWidth="1"/>
    <col min="14" max="14" width="14.5" customWidth="1"/>
  </cols>
  <sheetData>
    <row r="1" spans="1:7" ht="15" thickBot="1">
      <c r="A1" s="187" t="s">
        <v>15</v>
      </c>
      <c r="B1" s="187" t="s">
        <v>0</v>
      </c>
      <c r="C1" s="187" t="s">
        <v>3</v>
      </c>
      <c r="D1" s="187" t="s">
        <v>16</v>
      </c>
      <c r="E1" s="187" t="s">
        <v>1</v>
      </c>
      <c r="F1" s="187" t="s">
        <v>2</v>
      </c>
      <c r="G1" s="187" t="s">
        <v>5</v>
      </c>
    </row>
    <row r="2" spans="1:7" ht="42.75">
      <c r="A2" s="223" t="s">
        <v>165</v>
      </c>
      <c r="B2" s="224" t="s">
        <v>36</v>
      </c>
      <c r="C2" s="224" t="s">
        <v>52</v>
      </c>
      <c r="D2" s="225">
        <f>D3*D4*D5</f>
        <v>1774.2770216639999</v>
      </c>
      <c r="E2" s="224" t="s">
        <v>261</v>
      </c>
      <c r="F2" s="224" t="s">
        <v>166</v>
      </c>
      <c r="G2" s="226" t="s">
        <v>181</v>
      </c>
    </row>
    <row r="3" spans="1:7" ht="43.5" thickBot="1">
      <c r="A3" s="227" t="s">
        <v>262</v>
      </c>
      <c r="B3" s="228" t="s">
        <v>263</v>
      </c>
      <c r="C3" s="228" t="s">
        <v>138</v>
      </c>
      <c r="D3" s="229">
        <f>5629623*0.6*D6</f>
        <v>2263.1084459999997</v>
      </c>
      <c r="E3" s="127" t="s">
        <v>425</v>
      </c>
      <c r="F3" s="228" t="s">
        <v>426</v>
      </c>
      <c r="G3" s="230" t="s">
        <v>427</v>
      </c>
    </row>
    <row r="4" spans="1:7" ht="42.75">
      <c r="A4" s="227" t="s">
        <v>264</v>
      </c>
      <c r="B4" s="228" t="s">
        <v>139</v>
      </c>
      <c r="C4" s="228"/>
      <c r="D4" s="231">
        <v>2.8000000000000001E-2</v>
      </c>
      <c r="E4" s="228"/>
      <c r="F4" s="224" t="s">
        <v>166</v>
      </c>
      <c r="G4" s="230" t="s">
        <v>140</v>
      </c>
    </row>
    <row r="5" spans="1:7" ht="29.25" thickBot="1">
      <c r="A5" s="232" t="s">
        <v>231</v>
      </c>
      <c r="B5" s="233"/>
      <c r="C5" s="234" t="s">
        <v>26</v>
      </c>
      <c r="D5" s="235">
        <v>28</v>
      </c>
      <c r="E5" s="233"/>
      <c r="F5" s="233" t="s">
        <v>149</v>
      </c>
      <c r="G5" s="236"/>
    </row>
    <row r="6" spans="1:7" ht="28.5">
      <c r="A6" s="237" t="s">
        <v>232</v>
      </c>
      <c r="B6" s="187" t="s">
        <v>233</v>
      </c>
      <c r="C6" s="187" t="s">
        <v>29</v>
      </c>
      <c r="D6" s="187">
        <v>6.7000000000000002E-4</v>
      </c>
      <c r="E6" s="187"/>
      <c r="F6" s="187" t="s">
        <v>122</v>
      </c>
      <c r="G6" s="238"/>
    </row>
    <row r="7" spans="1:7" ht="28.5">
      <c r="A7" s="237" t="s">
        <v>234</v>
      </c>
      <c r="B7" s="187"/>
      <c r="C7" s="187" t="s">
        <v>235</v>
      </c>
      <c r="D7" s="239">
        <f>+'Baseline Emission in 2022'!D6</f>
        <v>0.67</v>
      </c>
      <c r="E7" s="187"/>
      <c r="F7" s="187" t="s">
        <v>47</v>
      </c>
      <c r="G7" s="238" t="s">
        <v>144</v>
      </c>
    </row>
    <row r="8" spans="1:7" ht="42.75">
      <c r="A8" s="237" t="s">
        <v>236</v>
      </c>
      <c r="B8" s="187" t="s">
        <v>237</v>
      </c>
      <c r="C8" s="187" t="s">
        <v>238</v>
      </c>
      <c r="D8" s="187">
        <f>+'Baseline Emission in 2022'!D8</f>
        <v>0.24</v>
      </c>
      <c r="E8" s="187"/>
      <c r="F8" s="187" t="s">
        <v>48</v>
      </c>
      <c r="G8" s="238" t="s">
        <v>114</v>
      </c>
    </row>
    <row r="9" spans="1:7" ht="28.5">
      <c r="A9" s="237" t="s">
        <v>265</v>
      </c>
      <c r="B9" s="187"/>
      <c r="C9" s="187" t="s">
        <v>56</v>
      </c>
      <c r="D9" s="240">
        <v>1</v>
      </c>
      <c r="E9" s="187"/>
      <c r="F9" s="187"/>
      <c r="G9" s="238"/>
    </row>
    <row r="10" spans="1:7" ht="15" thickBot="1">
      <c r="A10" s="241" t="s">
        <v>266</v>
      </c>
      <c r="B10" s="242"/>
      <c r="C10" s="242" t="s">
        <v>267</v>
      </c>
      <c r="D10" s="242"/>
      <c r="E10" s="242"/>
      <c r="F10" s="242"/>
      <c r="G10" s="243"/>
    </row>
    <row r="11" spans="1:7" ht="15" thickBot="1">
      <c r="A11" s="187"/>
      <c r="B11" s="187"/>
      <c r="C11" s="187"/>
      <c r="D11" s="187"/>
      <c r="E11" s="187"/>
      <c r="F11" s="187"/>
      <c r="G11" s="187"/>
    </row>
    <row r="12" spans="1:7" ht="28.5">
      <c r="A12" s="244" t="s">
        <v>268</v>
      </c>
      <c r="B12" s="245" t="s">
        <v>37</v>
      </c>
      <c r="C12" s="245" t="s">
        <v>38</v>
      </c>
      <c r="D12" s="245">
        <f>D15*(1-D14)*D13</f>
        <v>0</v>
      </c>
      <c r="E12" s="245" t="s">
        <v>269</v>
      </c>
      <c r="F12" s="245" t="s">
        <v>39</v>
      </c>
      <c r="G12" s="246" t="s">
        <v>41</v>
      </c>
    </row>
    <row r="13" spans="1:7" ht="28.5">
      <c r="A13" s="247" t="s">
        <v>231</v>
      </c>
      <c r="B13" s="248"/>
      <c r="C13" s="249" t="s">
        <v>26</v>
      </c>
      <c r="D13" s="250">
        <v>28</v>
      </c>
      <c r="E13" s="248"/>
      <c r="F13" s="248"/>
      <c r="G13" s="251"/>
    </row>
    <row r="14" spans="1:7" ht="28.5">
      <c r="A14" s="247" t="s">
        <v>270</v>
      </c>
      <c r="B14" s="248"/>
      <c r="C14" s="248" t="s">
        <v>40</v>
      </c>
      <c r="D14" s="252">
        <v>0.5</v>
      </c>
      <c r="E14" s="248"/>
      <c r="F14" s="248" t="s">
        <v>115</v>
      </c>
      <c r="G14" s="251" t="s">
        <v>118</v>
      </c>
    </row>
    <row r="15" spans="1:7" ht="28.5">
      <c r="A15" s="247" t="s">
        <v>271</v>
      </c>
      <c r="B15" s="248"/>
      <c r="C15" s="248" t="s">
        <v>42</v>
      </c>
      <c r="D15" s="248">
        <f>D16*D17*D18</f>
        <v>0</v>
      </c>
      <c r="E15" s="248" t="s">
        <v>272</v>
      </c>
      <c r="F15" s="248"/>
      <c r="G15" s="251"/>
    </row>
    <row r="16" spans="1:7" ht="42.75">
      <c r="A16" s="247" t="s">
        <v>273</v>
      </c>
      <c r="B16" s="248" t="s">
        <v>274</v>
      </c>
      <c r="C16" s="248" t="s">
        <v>60</v>
      </c>
      <c r="D16" s="248">
        <v>0</v>
      </c>
      <c r="E16" s="248"/>
      <c r="F16" s="248"/>
      <c r="G16" s="251"/>
    </row>
    <row r="17" spans="1:7" ht="42.75">
      <c r="A17" s="247" t="s">
        <v>275</v>
      </c>
      <c r="B17" s="248" t="s">
        <v>61</v>
      </c>
      <c r="C17" s="248" t="s">
        <v>59</v>
      </c>
      <c r="D17" s="252">
        <v>0.6</v>
      </c>
      <c r="E17" s="248"/>
      <c r="F17" s="248"/>
      <c r="G17" s="251" t="s">
        <v>62</v>
      </c>
    </row>
    <row r="18" spans="1:7" ht="29.25" thickBot="1">
      <c r="A18" s="253" t="s">
        <v>276</v>
      </c>
      <c r="B18" s="254" t="s">
        <v>233</v>
      </c>
      <c r="C18" s="254" t="s">
        <v>43</v>
      </c>
      <c r="D18" s="254">
        <v>6.7000000000000002E-4</v>
      </c>
      <c r="E18" s="254"/>
      <c r="F18" s="254"/>
      <c r="G18" s="255"/>
    </row>
    <row r="19" spans="1:7" ht="15" thickBot="1">
      <c r="A19" s="187"/>
      <c r="B19" s="187"/>
      <c r="C19" s="187"/>
      <c r="D19" s="187"/>
      <c r="E19" s="187"/>
      <c r="F19" s="187"/>
      <c r="G19" s="187"/>
    </row>
    <row r="20" spans="1:7" ht="28.5">
      <c r="A20" s="256" t="s">
        <v>277</v>
      </c>
      <c r="B20" s="257" t="s">
        <v>4</v>
      </c>
      <c r="C20" s="257" t="s">
        <v>120</v>
      </c>
      <c r="D20" s="258">
        <f>D21*D24*(1+D22)</f>
        <v>578.61314170758726</v>
      </c>
      <c r="E20" s="257" t="s">
        <v>278</v>
      </c>
      <c r="F20" s="259"/>
      <c r="G20" s="260"/>
    </row>
    <row r="21" spans="1:7" ht="57.75">
      <c r="A21" s="261" t="s">
        <v>279</v>
      </c>
      <c r="B21" s="262" t="s">
        <v>63</v>
      </c>
      <c r="C21" s="262" t="s">
        <v>64</v>
      </c>
      <c r="D21" s="263">
        <f>'Baseline Emission in 2022'!D23*0.1</f>
        <v>981.60558000000003</v>
      </c>
      <c r="E21" s="262"/>
      <c r="F21" s="264" t="s">
        <v>121</v>
      </c>
      <c r="G21" s="265"/>
    </row>
    <row r="22" spans="1:7" ht="28.5">
      <c r="A22" s="261" t="s">
        <v>147</v>
      </c>
      <c r="B22" s="262" t="s">
        <v>61</v>
      </c>
      <c r="C22" s="262" t="s">
        <v>148</v>
      </c>
      <c r="D22" s="266">
        <f>6.17%</f>
        <v>6.1699999999999998E-2</v>
      </c>
      <c r="E22" s="262"/>
      <c r="F22" s="108" t="s">
        <v>430</v>
      </c>
      <c r="G22" s="265" t="s">
        <v>432</v>
      </c>
    </row>
    <row r="23" spans="1:7" ht="14.25">
      <c r="A23" s="261" t="s">
        <v>14</v>
      </c>
      <c r="B23" s="262" t="s">
        <v>13</v>
      </c>
      <c r="C23" s="262" t="s">
        <v>12</v>
      </c>
      <c r="D23" s="267">
        <v>7000</v>
      </c>
      <c r="E23" s="262"/>
      <c r="F23" s="264"/>
      <c r="G23" s="265"/>
    </row>
    <row r="24" spans="1:7" ht="32.25" thickBot="1">
      <c r="A24" s="268" t="s">
        <v>280</v>
      </c>
      <c r="B24" s="269" t="s">
        <v>11</v>
      </c>
      <c r="C24" s="269" t="s">
        <v>281</v>
      </c>
      <c r="D24" s="270">
        <v>0.55520000000000003</v>
      </c>
      <c r="E24" s="269"/>
      <c r="F24" s="269"/>
      <c r="G24" s="271"/>
    </row>
    <row r="25" spans="1:7" ht="15" thickBot="1">
      <c r="A25" s="272"/>
      <c r="B25" s="272"/>
      <c r="C25" s="272"/>
      <c r="D25" s="273"/>
      <c r="E25" s="272"/>
      <c r="F25" s="272"/>
      <c r="G25" s="187"/>
    </row>
    <row r="26" spans="1:7" ht="42.75">
      <c r="A26" s="274" t="s">
        <v>282</v>
      </c>
      <c r="B26" s="275" t="s">
        <v>283</v>
      </c>
      <c r="C26" s="275" t="s">
        <v>53</v>
      </c>
      <c r="D26" s="276">
        <f>+D27*D29*D30*0.000001</f>
        <v>1530.2339909999998</v>
      </c>
      <c r="E26" s="277"/>
      <c r="F26" s="278" t="s">
        <v>155</v>
      </c>
      <c r="G26" s="279" t="s">
        <v>156</v>
      </c>
    </row>
    <row r="27" spans="1:7" ht="57">
      <c r="A27" s="280" t="s">
        <v>284</v>
      </c>
      <c r="B27" s="281" t="s">
        <v>54</v>
      </c>
      <c r="C27" s="281" t="s">
        <v>51</v>
      </c>
      <c r="D27" s="282">
        <f>J39</f>
        <v>70191</v>
      </c>
      <c r="E27" s="283"/>
      <c r="F27" s="281"/>
      <c r="G27" s="284"/>
    </row>
    <row r="28" spans="1:7" ht="57">
      <c r="A28" s="280" t="s">
        <v>157</v>
      </c>
      <c r="B28" s="281" t="s">
        <v>141</v>
      </c>
      <c r="C28" s="281" t="s">
        <v>158</v>
      </c>
      <c r="D28" s="282">
        <f>+D27</f>
        <v>70191</v>
      </c>
      <c r="E28" s="283"/>
      <c r="F28" s="282"/>
      <c r="G28" s="284"/>
    </row>
    <row r="29" spans="1:7" ht="42.75">
      <c r="A29" s="280" t="s">
        <v>152</v>
      </c>
      <c r="B29" s="281" t="s">
        <v>153</v>
      </c>
      <c r="C29" s="281" t="s">
        <v>154</v>
      </c>
      <c r="D29" s="282">
        <v>129</v>
      </c>
      <c r="E29" s="283"/>
      <c r="F29" s="281" t="s">
        <v>155</v>
      </c>
      <c r="G29" s="284" t="s">
        <v>156</v>
      </c>
    </row>
    <row r="30" spans="1:7" ht="72" thickBot="1">
      <c r="A30" s="285" t="s">
        <v>159</v>
      </c>
      <c r="B30" s="286" t="s">
        <v>142</v>
      </c>
      <c r="C30" s="286" t="s">
        <v>160</v>
      </c>
      <c r="D30" s="287">
        <v>169</v>
      </c>
      <c r="E30" s="288"/>
      <c r="F30" s="286"/>
      <c r="G30" s="289"/>
    </row>
    <row r="31" spans="1:7" ht="14.25">
      <c r="A31" s="290"/>
      <c r="B31" s="272"/>
      <c r="C31" s="187"/>
      <c r="D31" s="187"/>
      <c r="E31" s="238"/>
      <c r="F31" s="272"/>
      <c r="G31" s="272"/>
    </row>
    <row r="32" spans="1:7" ht="14.25">
      <c r="A32" s="290"/>
      <c r="B32" s="291"/>
      <c r="C32" s="187"/>
      <c r="D32" s="187"/>
      <c r="E32" s="187"/>
      <c r="F32" s="272"/>
      <c r="G32" s="272"/>
    </row>
    <row r="33" spans="1:14" ht="15" thickBot="1">
      <c r="A33" s="290"/>
      <c r="B33" s="291"/>
      <c r="C33" s="187"/>
      <c r="D33" s="187"/>
      <c r="E33" s="238"/>
      <c r="F33" s="272"/>
      <c r="G33" s="292"/>
    </row>
    <row r="34" spans="1:14" ht="18" thickBot="1">
      <c r="A34" s="293" t="s">
        <v>44</v>
      </c>
      <c r="B34" s="294" t="s">
        <v>36</v>
      </c>
      <c r="C34" s="294" t="s">
        <v>45</v>
      </c>
      <c r="D34" s="295">
        <f>ROUNDDOWN(D2+D12+D20+D26,0)</f>
        <v>3883</v>
      </c>
      <c r="E34" s="294" t="s">
        <v>285</v>
      </c>
      <c r="F34" s="294"/>
      <c r="G34" s="296"/>
    </row>
    <row r="37" spans="1:14" ht="13.5" thickBot="1"/>
    <row r="38" spans="1:14" ht="13.5" thickBot="1">
      <c r="I38" s="468"/>
      <c r="J38" s="469" t="s">
        <v>441</v>
      </c>
      <c r="K38" s="470" t="s">
        <v>442</v>
      </c>
    </row>
    <row r="39" spans="1:14" ht="15.75">
      <c r="I39" s="471" t="s">
        <v>483</v>
      </c>
      <c r="J39" s="472">
        <v>70191</v>
      </c>
      <c r="K39" s="472">
        <v>13633</v>
      </c>
      <c r="M39" s="116">
        <f>SUM(J39:K39)</f>
        <v>83824</v>
      </c>
      <c r="N39" s="473">
        <v>43333</v>
      </c>
    </row>
    <row r="40" spans="1:14" ht="16.5" thickBot="1">
      <c r="I40" s="474">
        <v>2023</v>
      </c>
      <c r="J40" s="472">
        <v>160156</v>
      </c>
      <c r="K40" s="472">
        <v>22293</v>
      </c>
      <c r="M40" s="116">
        <f>SUM(J40:K40)</f>
        <v>182449</v>
      </c>
      <c r="N40" s="473">
        <v>43465</v>
      </c>
    </row>
    <row r="41" spans="1:14" ht="20.25" thickBot="1">
      <c r="A41" s="575" t="s">
        <v>444</v>
      </c>
      <c r="B41" s="576"/>
      <c r="C41" s="576"/>
      <c r="D41" s="576"/>
      <c r="E41" s="576"/>
      <c r="F41" s="577"/>
      <c r="I41" s="475" t="s">
        <v>484</v>
      </c>
      <c r="J41" s="472">
        <v>74640</v>
      </c>
      <c r="K41" s="472">
        <v>8869</v>
      </c>
      <c r="M41" s="116">
        <f>SUM(J41:K41)</f>
        <v>83509</v>
      </c>
      <c r="N41" s="473">
        <v>43830</v>
      </c>
    </row>
    <row r="42" spans="1:14">
      <c r="A42" s="478" t="s">
        <v>15</v>
      </c>
      <c r="B42" s="478" t="s">
        <v>0</v>
      </c>
      <c r="C42" s="478" t="s">
        <v>3</v>
      </c>
      <c r="D42" s="478" t="s">
        <v>16</v>
      </c>
      <c r="E42" s="478" t="s">
        <v>113</v>
      </c>
      <c r="F42" s="479" t="s">
        <v>2</v>
      </c>
      <c r="I42" t="s">
        <v>443</v>
      </c>
      <c r="J42" s="116">
        <f>SUM(J39:J41)</f>
        <v>304987</v>
      </c>
      <c r="K42" s="116">
        <f>SUM(K39:K41)</f>
        <v>44795</v>
      </c>
      <c r="M42" s="116" t="e">
        <f>J42+K42+#REF!</f>
        <v>#REF!</v>
      </c>
    </row>
    <row r="43" spans="1:14" ht="25.5">
      <c r="A43" s="481" t="s">
        <v>447</v>
      </c>
      <c r="B43" s="482" t="s">
        <v>448</v>
      </c>
      <c r="C43" s="482" t="s">
        <v>449</v>
      </c>
      <c r="D43" s="483">
        <f>K46+K47+K48</f>
        <v>51728.705649455143</v>
      </c>
      <c r="E43" s="484" t="s">
        <v>181</v>
      </c>
      <c r="F43" s="485" t="s">
        <v>450</v>
      </c>
      <c r="J43" s="116"/>
    </row>
    <row r="44" spans="1:14" ht="21.75" customHeight="1" thickBot="1">
      <c r="A44" s="481" t="s">
        <v>451</v>
      </c>
      <c r="B44" s="482" t="s">
        <v>452</v>
      </c>
      <c r="C44" s="482" t="s">
        <v>449</v>
      </c>
      <c r="D44" s="486">
        <f>D43*1000</f>
        <v>51728705.649455145</v>
      </c>
      <c r="E44" s="482"/>
      <c r="F44" s="485" t="s">
        <v>450</v>
      </c>
    </row>
    <row r="45" spans="1:14" ht="76.5" customHeight="1" thickBot="1">
      <c r="A45" s="481" t="s">
        <v>453</v>
      </c>
      <c r="B45" s="482" t="s">
        <v>454</v>
      </c>
      <c r="C45" s="482" t="s">
        <v>455</v>
      </c>
      <c r="D45" s="486">
        <f>J46+J47+J48</f>
        <v>22663794</v>
      </c>
      <c r="E45" s="484" t="s">
        <v>181</v>
      </c>
      <c r="F45" s="485"/>
      <c r="J45" s="476" t="s">
        <v>445</v>
      </c>
      <c r="K45" s="477" t="s">
        <v>446</v>
      </c>
    </row>
    <row r="46" spans="1:14" ht="39" thickBot="1">
      <c r="A46" s="481" t="s">
        <v>453</v>
      </c>
      <c r="B46" s="482" t="s">
        <v>456</v>
      </c>
      <c r="C46" s="482" t="s">
        <v>455</v>
      </c>
      <c r="D46" s="486"/>
      <c r="E46" s="484" t="s">
        <v>181</v>
      </c>
      <c r="F46" s="485" t="s">
        <v>457</v>
      </c>
      <c r="I46" s="471" t="s">
        <v>483</v>
      </c>
      <c r="J46" s="500">
        <f>'Biogas Information'!B21</f>
        <v>5629623</v>
      </c>
      <c r="K46" s="480">
        <f>J46*(K51/100)*D48/1000</f>
        <v>13550.346953308548</v>
      </c>
    </row>
    <row r="47" spans="1:14" ht="51.75" thickBot="1">
      <c r="A47" s="481" t="s">
        <v>459</v>
      </c>
      <c r="B47" s="482" t="s">
        <v>460</v>
      </c>
      <c r="C47" s="482" t="s">
        <v>461</v>
      </c>
      <c r="D47" s="489"/>
      <c r="E47" s="490" t="s">
        <v>181</v>
      </c>
      <c r="F47" s="485" t="s">
        <v>462</v>
      </c>
      <c r="I47" s="474">
        <v>2023</v>
      </c>
      <c r="J47" s="500">
        <f>'Biogas Information'!B22</f>
        <v>14663657</v>
      </c>
      <c r="K47" s="480">
        <f>J47*(K52/100)*D48/1000</f>
        <v>32744.575193243909</v>
      </c>
    </row>
    <row r="48" spans="1:14" ht="90.75" customHeight="1" thickBot="1">
      <c r="A48" s="481" t="s">
        <v>463</v>
      </c>
      <c r="B48" s="482" t="s">
        <v>464</v>
      </c>
      <c r="C48" s="482" t="s">
        <v>465</v>
      </c>
      <c r="D48" s="493">
        <f>+(D49*D50)/(D51*D52)</f>
        <v>4.0637723436223547</v>
      </c>
      <c r="E48" s="482"/>
      <c r="F48" s="485" t="s">
        <v>466</v>
      </c>
      <c r="I48" s="475" t="s">
        <v>484</v>
      </c>
      <c r="J48" s="500">
        <f>'Biogas Information'!B23</f>
        <v>2370514</v>
      </c>
      <c r="K48" s="480">
        <f>J48*(K53/100)*D48/1000</f>
        <v>5433.783502902681</v>
      </c>
    </row>
    <row r="49" spans="1:13" ht="26.25" thickBot="1">
      <c r="A49" s="481" t="s">
        <v>467</v>
      </c>
      <c r="B49" s="482" t="s">
        <v>468</v>
      </c>
      <c r="C49" s="482" t="s">
        <v>469</v>
      </c>
      <c r="D49" s="482">
        <v>600</v>
      </c>
      <c r="E49" s="484" t="s">
        <v>181</v>
      </c>
      <c r="F49" s="485" t="s">
        <v>470</v>
      </c>
    </row>
    <row r="50" spans="1:13" ht="13.5" thickBot="1">
      <c r="A50" s="481" t="s">
        <v>471</v>
      </c>
      <c r="B50" s="482" t="s">
        <v>472</v>
      </c>
      <c r="C50" s="482" t="s">
        <v>473</v>
      </c>
      <c r="D50" s="482">
        <v>16.04</v>
      </c>
      <c r="E50" s="484" t="s">
        <v>181</v>
      </c>
      <c r="F50" s="485" t="s">
        <v>474</v>
      </c>
      <c r="J50" s="487"/>
      <c r="K50" s="488" t="s">
        <v>458</v>
      </c>
    </row>
    <row r="51" spans="1:13">
      <c r="A51" s="481" t="s">
        <v>475</v>
      </c>
      <c r="B51" s="482" t="s">
        <v>476</v>
      </c>
      <c r="C51" s="482" t="s">
        <v>477</v>
      </c>
      <c r="D51" s="482">
        <v>8.3140000000000001</v>
      </c>
      <c r="E51" s="484" t="s">
        <v>181</v>
      </c>
      <c r="F51" s="485" t="s">
        <v>478</v>
      </c>
      <c r="J51" s="491">
        <v>2022</v>
      </c>
      <c r="K51" s="492">
        <f>'Biogas Information'!B9</f>
        <v>59.23</v>
      </c>
      <c r="M51">
        <f>(K51+K52+K53)/3</f>
        <v>56.862222222222222</v>
      </c>
    </row>
    <row r="52" spans="1:13" ht="25.5">
      <c r="A52" s="496" t="s">
        <v>479</v>
      </c>
      <c r="B52" s="497" t="s">
        <v>480</v>
      </c>
      <c r="C52" s="497" t="s">
        <v>481</v>
      </c>
      <c r="D52" s="497">
        <f>273.15+11.7</f>
        <v>284.84999999999997</v>
      </c>
      <c r="E52" s="498" t="s">
        <v>181</v>
      </c>
      <c r="F52" s="499" t="s">
        <v>482</v>
      </c>
      <c r="J52" s="494">
        <v>2023</v>
      </c>
      <c r="K52" s="492">
        <f>'Biogas Information'!E15</f>
        <v>54.949999999999996</v>
      </c>
    </row>
    <row r="53" spans="1:13" ht="13.5" thickBot="1">
      <c r="J53" s="495">
        <v>2024</v>
      </c>
      <c r="K53" s="492">
        <f>'Biogas Information'!H9</f>
        <v>56.406666666666673</v>
      </c>
    </row>
  </sheetData>
  <mergeCells count="1">
    <mergeCell ref="A41:F41"/>
  </mergeCells>
  <dataValidations count="1">
    <dataValidation allowBlank="1" showInputMessage="1" showErrorMessage="1" sqref="D13 D5" xr:uid="{12159771-D8BB-4785-8FAD-538F16A28B50}"/>
  </dataValidations>
  <hyperlinks>
    <hyperlink ref="F22" r:id="rId1" xr:uid="{85249DFA-43A5-4DBF-82F7-9DA58857CD68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Sheet3</vt:lpstr>
      <vt:lpstr>Sheet2</vt:lpstr>
      <vt:lpstr>Sheet1</vt:lpstr>
      <vt:lpstr>Average Temp</vt:lpstr>
      <vt:lpstr>Farms Information</vt:lpstr>
      <vt:lpstr>Baseline Emission in 2022</vt:lpstr>
      <vt:lpstr>Baseline Emission in 2023</vt:lpstr>
      <vt:lpstr>Baseline Emission in 2024</vt:lpstr>
      <vt:lpstr>Project emission in 2022</vt:lpstr>
      <vt:lpstr>Project emission in 2023</vt:lpstr>
      <vt:lpstr>Project emission in 2024</vt:lpstr>
      <vt:lpstr>EPIAS Records</vt:lpstr>
      <vt:lpstr>Emission reduction</vt:lpstr>
      <vt:lpstr>Biogas Information</vt:lpstr>
      <vt:lpstr>grid loss</vt:lpstr>
      <vt:lpstr>SOx and NOx</vt:lpstr>
      <vt:lpstr>Sheet4</vt:lpstr>
      <vt:lpstr>'grid loss'!Print_Area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xiaodong jia</dc:creator>
  <cp:lastModifiedBy>GTE CARBON</cp:lastModifiedBy>
  <dcterms:created xsi:type="dcterms:W3CDTF">2008-09-03T12:42:16Z</dcterms:created>
  <dcterms:modified xsi:type="dcterms:W3CDTF">2025-04-07T08:07:48Z</dcterms:modified>
</cp:coreProperties>
</file>