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ate1904="1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Engin\Desktop\"/>
    </mc:Choice>
  </mc:AlternateContent>
  <xr:revisionPtr revIDLastSave="0" documentId="8_{48992A58-9350-482B-9A3B-73D50B1D49F0}" xr6:coauthVersionLast="47" xr6:coauthVersionMax="47" xr10:uidLastSave="{00000000-0000-0000-0000-000000000000}"/>
  <bookViews>
    <workbookView xWindow="-110" yWindow="-110" windowWidth="19420" windowHeight="10300" tabRatio="625" firstSheet="3" activeTab="4" xr2:uid="{00000000-000D-0000-FFFF-FFFF00000000}"/>
  </bookViews>
  <sheets>
    <sheet name="Sheet3" sheetId="6" state="hidden" r:id="rId1"/>
    <sheet name="Sheet2" sheetId="5" state="hidden" r:id="rId2"/>
    <sheet name="Sheet1" sheetId="4" state="hidden" r:id="rId3"/>
    <sheet name="Average Temp" sheetId="18" r:id="rId4"/>
    <sheet name="Baseline emission" sheetId="7" r:id="rId5"/>
    <sheet name="Project emission" sheetId="8" r:id="rId6"/>
    <sheet name="Emission reduction" sheetId="9" r:id="rId7"/>
    <sheet name="grid loss" sheetId="16" r:id="rId8"/>
    <sheet name="SOx and NOx" sheetId="21" r:id="rId9"/>
  </sheets>
  <externalReferences>
    <externalReference r:id="rId10"/>
    <externalReference r:id="rId11"/>
    <externalReference r:id="rId12"/>
  </externalReferences>
  <definedNames>
    <definedName name="_GHG2">#REF!</definedName>
    <definedName name="AllGas">#REF!</definedName>
    <definedName name="Conservativeness">#REF!</definedName>
    <definedName name="ELECT_UNITS">[1]CONVERTION_FACTORS!$H$3:$H$5</definedName>
    <definedName name="ELECT_UNITS2">[2]CONVERTION_FACTORS!$H$3:$H$5</definedName>
    <definedName name="EM_UNITS">[1]CONVERTION_FACTORS!$G$3:$G$5</definedName>
    <definedName name="EM_UNITS2">[2]CONVERTION_FACTORS!$G$3:$G$5</definedName>
    <definedName name="EN_UNITS">[1]CONVERTION_FACTORS!$B$3:$B$7</definedName>
    <definedName name="EN_UNITS3">[2]CONVERTION_FACTORS!$B$3:$B$7</definedName>
    <definedName name="EN_Units2">[2]CONVERTION_FACTORS!$B$3:$B$7</definedName>
    <definedName name="GasFlow">#REF!</definedName>
    <definedName name="GasFlowType">#REF!</definedName>
    <definedName name="GasFlowUnits">#REF!</definedName>
    <definedName name="GasH2O">#REF!</definedName>
    <definedName name="GHG">#REF!</definedName>
    <definedName name="GHG_C">#REF!</definedName>
    <definedName name="GHG_E">#REF!</definedName>
    <definedName name="GHG_E_F">'[3]List of parameters'!$B$116:$B$126</definedName>
    <definedName name="GHG_EF">'[3]List of parameters'!$B$116:$B$126</definedName>
    <definedName name="GHG_G">#REF!</definedName>
    <definedName name="GHGD">#REF!</definedName>
    <definedName name="MMk">#REF!</definedName>
    <definedName name="MoistureScenarios">#REF!</definedName>
    <definedName name="Opciones">#REF!</definedName>
    <definedName name="Option_1">#REF!</definedName>
    <definedName name="Option1or2">#REF!</definedName>
    <definedName name="OptionButton3">#REF!</definedName>
    <definedName name="Volume_flow___dry_basis">#REF!</definedName>
    <definedName name="Volume_flow___wet_basis">#REF!</definedName>
    <definedName name="Volumetric_fraction">#REF!</definedName>
    <definedName name="wetdry">#REF!</definedName>
    <definedName name="_xlnm.Print_Area" localSheetId="7">'grid loss'!$C$1:$AH$51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1" l="1"/>
  <c r="B5" i="21"/>
  <c r="E4" i="21"/>
  <c r="B4" i="21"/>
  <c r="D3" i="8" l="1"/>
  <c r="D26" i="8"/>
  <c r="D37" i="7" l="1"/>
  <c r="D11" i="7" s="1"/>
  <c r="D27" i="7"/>
  <c r="D10" i="7" s="1"/>
  <c r="D13" i="7" l="1"/>
  <c r="D12" i="7"/>
  <c r="D28" i="8" l="1"/>
  <c r="B6" i="21" l="1"/>
  <c r="B7" i="21" s="1"/>
  <c r="E6" i="21"/>
  <c r="E7" i="21" s="1"/>
  <c r="I12" i="9" l="1"/>
  <c r="D7" i="8" l="1"/>
  <c r="D8" i="8"/>
  <c r="D22" i="8"/>
  <c r="D2" i="8" l="1"/>
  <c r="E13" i="7" l="1"/>
  <c r="E12" i="7" l="1"/>
  <c r="D3" i="7" l="1"/>
  <c r="D19" i="7" s="1"/>
  <c r="F24" i="8" l="1"/>
  <c r="J15" i="16" l="1"/>
  <c r="L15" i="16"/>
  <c r="P15" i="16" s="1"/>
  <c r="U15" i="16"/>
  <c r="F16" i="16"/>
  <c r="J16" i="16"/>
  <c r="L16" i="16"/>
  <c r="P16" i="16" s="1"/>
  <c r="U16" i="16"/>
  <c r="F17" i="16"/>
  <c r="J17" i="16"/>
  <c r="L17" i="16"/>
  <c r="P17" i="16" s="1"/>
  <c r="U17" i="16"/>
  <c r="F18" i="16"/>
  <c r="J18" i="16"/>
  <c r="L18" i="16"/>
  <c r="P18" i="16" s="1"/>
  <c r="T18" i="16" s="1"/>
  <c r="U18" i="16"/>
  <c r="F19" i="16"/>
  <c r="J19" i="16"/>
  <c r="L19" i="16"/>
  <c r="P19" i="16" s="1"/>
  <c r="Z19" i="16" s="1"/>
  <c r="U19" i="16"/>
  <c r="F20" i="16"/>
  <c r="J20" i="16"/>
  <c r="L20" i="16"/>
  <c r="P20" i="16" s="1"/>
  <c r="T20" i="16" s="1"/>
  <c r="U20" i="16"/>
  <c r="F21" i="16"/>
  <c r="J21" i="16"/>
  <c r="L21" i="16"/>
  <c r="P21" i="16" s="1"/>
  <c r="U21" i="16"/>
  <c r="F22" i="16"/>
  <c r="J22" i="16"/>
  <c r="L22" i="16"/>
  <c r="P22" i="16" s="1"/>
  <c r="U22" i="16"/>
  <c r="F23" i="16"/>
  <c r="J23" i="16"/>
  <c r="L23" i="16"/>
  <c r="P23" i="16"/>
  <c r="Z23" i="16" s="1"/>
  <c r="U23" i="16"/>
  <c r="F24" i="16"/>
  <c r="J24" i="16"/>
  <c r="L24" i="16"/>
  <c r="P24" i="16" s="1"/>
  <c r="U24" i="16"/>
  <c r="F25" i="16"/>
  <c r="J25" i="16"/>
  <c r="L25" i="16"/>
  <c r="P25" i="16" s="1"/>
  <c r="U25" i="16"/>
  <c r="F26" i="16"/>
  <c r="H26" i="16"/>
  <c r="J26" i="16" s="1"/>
  <c r="U26" i="16"/>
  <c r="F27" i="16"/>
  <c r="J27" i="16"/>
  <c r="L27" i="16"/>
  <c r="P27" i="16" s="1"/>
  <c r="X27" i="16"/>
  <c r="F28" i="16"/>
  <c r="J28" i="16"/>
  <c r="L28" i="16"/>
  <c r="P28" i="16" s="1"/>
  <c r="X28" i="16"/>
  <c r="F29" i="16"/>
  <c r="H29" i="16"/>
  <c r="J29" i="16" s="1"/>
  <c r="X29" i="16"/>
  <c r="F30" i="16"/>
  <c r="J30" i="16"/>
  <c r="L30" i="16"/>
  <c r="P30" i="16" s="1"/>
  <c r="T30" i="16" s="1"/>
  <c r="U30" i="16"/>
  <c r="F31" i="16"/>
  <c r="J31" i="16"/>
  <c r="L31" i="16"/>
  <c r="P31" i="16" s="1"/>
  <c r="U31" i="16"/>
  <c r="X31" i="16" s="1"/>
  <c r="F32" i="16"/>
  <c r="H32" i="16"/>
  <c r="J32" i="16" s="1"/>
  <c r="U32" i="16"/>
  <c r="X32" i="16" s="1"/>
  <c r="F33" i="16"/>
  <c r="H33" i="16"/>
  <c r="J33" i="16" s="1"/>
  <c r="X33" i="16"/>
  <c r="F34" i="16"/>
  <c r="H34" i="16"/>
  <c r="J34" i="16" s="1"/>
  <c r="U34" i="16"/>
  <c r="F35" i="16"/>
  <c r="H35" i="16"/>
  <c r="J35" i="16" s="1"/>
  <c r="X35" i="16"/>
  <c r="F36" i="16"/>
  <c r="J36" i="16"/>
  <c r="L36" i="16"/>
  <c r="P36" i="16" s="1"/>
  <c r="X36" i="16"/>
  <c r="F37" i="16"/>
  <c r="J37" i="16"/>
  <c r="L37" i="16"/>
  <c r="P37" i="16" s="1"/>
  <c r="X37" i="16"/>
  <c r="F38" i="16"/>
  <c r="J38" i="16"/>
  <c r="L38" i="16"/>
  <c r="P38" i="16" s="1"/>
  <c r="X38" i="16"/>
  <c r="F39" i="16"/>
  <c r="J39" i="16"/>
  <c r="L39" i="16"/>
  <c r="P39" i="16" s="1"/>
  <c r="X39" i="16"/>
  <c r="F40" i="16"/>
  <c r="J40" i="16"/>
  <c r="L40" i="16"/>
  <c r="P40" i="16" s="1"/>
  <c r="X40" i="16"/>
  <c r="F41" i="16"/>
  <c r="J41" i="16"/>
  <c r="L41" i="16"/>
  <c r="P41" i="16" s="1"/>
  <c r="X41" i="16"/>
  <c r="AD23" i="16" l="1"/>
  <c r="W23" i="16"/>
  <c r="L26" i="16"/>
  <c r="P26" i="16" s="1"/>
  <c r="T24" i="16"/>
  <c r="Z24" i="16"/>
  <c r="T17" i="16"/>
  <c r="Z17" i="16"/>
  <c r="L29" i="16"/>
  <c r="P29" i="16" s="1"/>
  <c r="T29" i="16" s="1"/>
  <c r="Z27" i="16"/>
  <c r="W19" i="16"/>
  <c r="AD19" i="16"/>
  <c r="Z20" i="16"/>
  <c r="T19" i="16"/>
  <c r="Z28" i="16"/>
  <c r="T23" i="16"/>
  <c r="W24" i="16"/>
  <c r="W17" i="16"/>
  <c r="T25" i="16"/>
  <c r="Z25" i="16"/>
  <c r="AD25" i="16"/>
  <c r="T16" i="16"/>
  <c r="Z16" i="16"/>
  <c r="T22" i="16"/>
  <c r="Z22" i="16"/>
  <c r="AD21" i="16"/>
  <c r="T21" i="16"/>
  <c r="Z21" i="16"/>
  <c r="L34" i="16"/>
  <c r="P34" i="16" s="1"/>
  <c r="W30" i="16"/>
  <c r="W21" i="16"/>
  <c r="L33" i="16"/>
  <c r="P33" i="16" s="1"/>
  <c r="T33" i="16" s="1"/>
  <c r="L32" i="16"/>
  <c r="P32" i="16" s="1"/>
  <c r="W32" i="16" s="1"/>
  <c r="W25" i="16"/>
  <c r="AD17" i="16"/>
  <c r="W16" i="16"/>
  <c r="W34" i="16"/>
  <c r="T40" i="16"/>
  <c r="AD40" i="16"/>
  <c r="W40" i="16"/>
  <c r="W39" i="16"/>
  <c r="T39" i="16"/>
  <c r="AD39" i="16"/>
  <c r="W37" i="16"/>
  <c r="T37" i="16"/>
  <c r="AD37" i="16"/>
  <c r="T36" i="16"/>
  <c r="AD36" i="16"/>
  <c r="W36" i="16"/>
  <c r="T15" i="16"/>
  <c r="Z15" i="16"/>
  <c r="AD15" i="16"/>
  <c r="T31" i="16"/>
  <c r="W31" i="16"/>
  <c r="AD31" i="16"/>
  <c r="Z41" i="16"/>
  <c r="Z40" i="16"/>
  <c r="Z39" i="16"/>
  <c r="Z38" i="16"/>
  <c r="Z37" i="16"/>
  <c r="Z36" i="16"/>
  <c r="W15" i="16"/>
  <c r="W41" i="16"/>
  <c r="AD41" i="16"/>
  <c r="T41" i="16"/>
  <c r="T38" i="16"/>
  <c r="AD38" i="16"/>
  <c r="W38" i="16"/>
  <c r="Z31" i="16"/>
  <c r="T28" i="16"/>
  <c r="AD28" i="16"/>
  <c r="W28" i="16"/>
  <c r="W27" i="16"/>
  <c r="T27" i="16"/>
  <c r="AD27" i="16"/>
  <c r="Z26" i="16"/>
  <c r="T26" i="16"/>
  <c r="AD26" i="16"/>
  <c r="AG26" i="16" s="1"/>
  <c r="W26" i="16"/>
  <c r="W22" i="16"/>
  <c r="W20" i="16"/>
  <c r="W18" i="16"/>
  <c r="Z18" i="16"/>
  <c r="L35" i="16"/>
  <c r="P35" i="16" s="1"/>
  <c r="Z35" i="16" s="1"/>
  <c r="X30" i="16"/>
  <c r="AD34" i="16"/>
  <c r="AD24" i="16"/>
  <c r="AD22" i="16"/>
  <c r="AD20" i="16"/>
  <c r="AD18" i="16"/>
  <c r="AD16" i="16"/>
  <c r="D24" i="8"/>
  <c r="AG27" i="16" l="1"/>
  <c r="Z33" i="16"/>
  <c r="W29" i="16"/>
  <c r="Z32" i="16"/>
  <c r="AD29" i="16"/>
  <c r="AG29" i="16" s="1"/>
  <c r="T32" i="16"/>
  <c r="AD32" i="16"/>
  <c r="AG32" i="16" s="1"/>
  <c r="W33" i="16"/>
  <c r="Z29" i="16"/>
  <c r="AD33" i="16"/>
  <c r="AG34" i="16" s="1"/>
  <c r="AG38" i="16"/>
  <c r="T34" i="16"/>
  <c r="Z34" i="16"/>
  <c r="AG23" i="16"/>
  <c r="AG22" i="16"/>
  <c r="AG16" i="16"/>
  <c r="AG17" i="16"/>
  <c r="AG24" i="16"/>
  <c r="AG25" i="16"/>
  <c r="AG20" i="16"/>
  <c r="AG21" i="16"/>
  <c r="W35" i="16"/>
  <c r="T35" i="16"/>
  <c r="AD35" i="16"/>
  <c r="AG35" i="16" s="1"/>
  <c r="AG41" i="16"/>
  <c r="AG37" i="16"/>
  <c r="AG28" i="16"/>
  <c r="AG18" i="16"/>
  <c r="AG19" i="16"/>
  <c r="Z30" i="16"/>
  <c r="AD30" i="16"/>
  <c r="AG30" i="16" s="1"/>
  <c r="AG39" i="16"/>
  <c r="AG40" i="16"/>
  <c r="AG33" i="16" l="1"/>
  <c r="AG36" i="16"/>
  <c r="AG31" i="16"/>
  <c r="D15" i="8"/>
  <c r="D12" i="8" s="1"/>
  <c r="D14" i="7" l="1"/>
  <c r="D21" i="8"/>
  <c r="D20" i="8" s="1"/>
  <c r="D34" i="8" l="1"/>
  <c r="C6" i="9" s="1"/>
  <c r="C4" i="9"/>
  <c r="B6" i="9"/>
  <c r="C5" i="9" l="1"/>
  <c r="C3" i="9"/>
  <c r="D6" i="9"/>
  <c r="B5" i="9"/>
  <c r="B3" i="9"/>
  <c r="B4" i="9"/>
  <c r="D4" i="9" s="1"/>
  <c r="B2" i="9"/>
  <c r="C2" i="9"/>
  <c r="D3" i="9" l="1"/>
  <c r="D5" i="9"/>
  <c r="C8" i="9"/>
  <c r="C7" i="9" s="1"/>
  <c r="D2" i="9"/>
  <c r="B8" i="9" l="1"/>
  <c r="B7" i="9" s="1"/>
  <c r="D8" i="9" l="1"/>
  <c r="D7" i="9" s="1"/>
</calcChain>
</file>

<file path=xl/sharedStrings.xml><?xml version="1.0" encoding="utf-8"?>
<sst xmlns="http://schemas.openxmlformats.org/spreadsheetml/2006/main" count="465" uniqueCount="339">
  <si>
    <t>Unit</t>
  </si>
  <si>
    <t>Caculation</t>
  </si>
  <si>
    <t>Reference</t>
  </si>
  <si>
    <t>Description</t>
  </si>
  <si>
    <t>tCO2</t>
  </si>
  <si>
    <t>Mark</t>
  </si>
  <si>
    <t>MWh/year</t>
  </si>
  <si>
    <r>
      <t>EG</t>
    </r>
    <r>
      <rPr>
        <vertAlign val="subscript"/>
        <sz val="10"/>
        <rFont val="Verdana"/>
        <family val="2"/>
      </rPr>
      <t>baseline</t>
    </r>
  </si>
  <si>
    <r>
      <t>EF</t>
    </r>
    <r>
      <rPr>
        <vertAlign val="subscript"/>
        <sz val="10"/>
        <rFont val="Verdana"/>
        <family val="2"/>
      </rPr>
      <t>y</t>
    </r>
  </si>
  <si>
    <t>Electricity to the grid in baseline</t>
  </si>
  <si>
    <t>Emission factor</t>
  </si>
  <si>
    <t>tCO2/MWh</t>
  </si>
  <si>
    <t>Operational time</t>
  </si>
  <si>
    <t>hour</t>
  </si>
  <si>
    <t>T</t>
  </si>
  <si>
    <t xml:space="preserve">Parameter </t>
  </si>
  <si>
    <t>Value</t>
  </si>
  <si>
    <r>
      <t>G</t>
    </r>
    <r>
      <rPr>
        <sz val="10"/>
        <rFont val="Verdana"/>
        <family val="2"/>
      </rPr>
      <t>eneration Capacity</t>
    </r>
    <phoneticPr fontId="2" type="noConversion"/>
  </si>
  <si>
    <t>P</t>
    <phoneticPr fontId="2" type="noConversion"/>
  </si>
  <si>
    <t>T</t>
    <phoneticPr fontId="2" type="noConversion"/>
  </si>
  <si>
    <r>
      <t>W</t>
    </r>
    <r>
      <rPr>
        <sz val="10"/>
        <rFont val="Verdana"/>
        <family val="2"/>
      </rPr>
      <t>orking time</t>
    </r>
    <phoneticPr fontId="2" type="noConversion"/>
  </si>
  <si>
    <t>Hours/y</t>
    <phoneticPr fontId="2" type="noConversion"/>
  </si>
  <si>
    <r>
      <t>P</t>
    </r>
    <r>
      <rPr>
        <sz val="10"/>
        <rFont val="Verdana"/>
        <family val="2"/>
      </rPr>
      <t>*T</t>
    </r>
    <phoneticPr fontId="2" type="noConversion"/>
  </si>
  <si>
    <t>tCO2e/a</t>
    <phoneticPr fontId="4" type="noConversion"/>
  </si>
  <si>
    <t>Baseline methane emission in year y</t>
    <phoneticPr fontId="4" type="noConversion"/>
  </si>
  <si>
    <r>
      <t>G</t>
    </r>
    <r>
      <rPr>
        <sz val="10"/>
        <rFont val="Verdana"/>
        <family val="2"/>
      </rPr>
      <t>WP</t>
    </r>
    <r>
      <rPr>
        <vertAlign val="subscript"/>
        <sz val="10"/>
        <rFont val="Verdana"/>
        <family val="2"/>
      </rPr>
      <t>CH4</t>
    </r>
    <phoneticPr fontId="4" type="noConversion"/>
  </si>
  <si>
    <t>Global warming potential of methane</t>
    <phoneticPr fontId="2" type="noConversion"/>
  </si>
  <si>
    <r>
      <t>D</t>
    </r>
    <r>
      <rPr>
        <vertAlign val="subscript"/>
        <sz val="10"/>
        <rFont val="Verdana"/>
        <family val="2"/>
      </rPr>
      <t>CH4</t>
    </r>
    <phoneticPr fontId="4" type="noConversion"/>
  </si>
  <si>
    <r>
      <t>t/m</t>
    </r>
    <r>
      <rPr>
        <vertAlign val="superscript"/>
        <sz val="10"/>
        <rFont val="Verdana"/>
        <family val="2"/>
      </rPr>
      <t>3</t>
    </r>
    <phoneticPr fontId="4" type="noConversion"/>
  </si>
  <si>
    <t>CH4 density at 20 degree of Celsius and 1 atm pressure</t>
    <phoneticPr fontId="4" type="noConversion"/>
  </si>
  <si>
    <r>
      <t>M</t>
    </r>
    <r>
      <rPr>
        <sz val="10"/>
        <rFont val="Verdana"/>
        <family val="2"/>
      </rPr>
      <t>CF</t>
    </r>
    <r>
      <rPr>
        <vertAlign val="subscript"/>
        <sz val="10"/>
        <rFont val="Verdana"/>
        <family val="2"/>
      </rPr>
      <t>j</t>
    </r>
    <phoneticPr fontId="4" type="noConversion"/>
  </si>
  <si>
    <r>
      <t>A</t>
    </r>
    <r>
      <rPr>
        <sz val="10"/>
        <rFont val="Verdana"/>
        <family val="2"/>
      </rPr>
      <t>nnual methane conversion factor for the baseline</t>
    </r>
    <phoneticPr fontId="4" type="noConversion"/>
  </si>
  <si>
    <r>
      <t>B</t>
    </r>
    <r>
      <rPr>
        <vertAlign val="subscript"/>
        <sz val="10"/>
        <rFont val="Verdana"/>
        <family val="2"/>
      </rPr>
      <t>0,LT</t>
    </r>
    <phoneticPr fontId="4" type="noConversion"/>
  </si>
  <si>
    <r>
      <t>M</t>
    </r>
    <r>
      <rPr>
        <sz val="10"/>
        <rFont val="Verdana"/>
        <family val="2"/>
      </rPr>
      <t>aximum methane producing potential of the volatile solid generated</t>
    </r>
    <phoneticPr fontId="4" type="noConversion"/>
  </si>
  <si>
    <r>
      <t>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CH4/kg_dm</t>
    </r>
    <phoneticPr fontId="4" type="noConversion"/>
  </si>
  <si>
    <r>
      <t>L</t>
    </r>
    <r>
      <rPr>
        <sz val="10"/>
        <rFont val="Verdana"/>
        <family val="2"/>
      </rPr>
      <t>T</t>
    </r>
    <phoneticPr fontId="4" type="noConversion"/>
  </si>
  <si>
    <r>
      <t>A</t>
    </r>
    <r>
      <rPr>
        <sz val="10"/>
        <rFont val="Verdana"/>
        <family val="2"/>
      </rPr>
      <t>ll tpye of livestock</t>
    </r>
    <phoneticPr fontId="4" type="noConversion"/>
  </si>
  <si>
    <r>
      <t>E</t>
    </r>
    <r>
      <rPr>
        <sz val="10"/>
        <rFont val="Verdana"/>
        <family val="2"/>
      </rPr>
      <t>F</t>
    </r>
    <r>
      <rPr>
        <vertAlign val="subscript"/>
        <sz val="10"/>
        <rFont val="Verdana"/>
        <family val="2"/>
      </rPr>
      <t>y</t>
    </r>
    <r>
      <rPr>
        <sz val="10"/>
        <rFont val="Verdana"/>
        <family val="2"/>
      </rPr>
      <t>*EG</t>
    </r>
    <r>
      <rPr>
        <vertAlign val="subscript"/>
        <sz val="10"/>
        <rFont val="Verdana"/>
        <family val="2"/>
      </rPr>
      <t>baseline</t>
    </r>
    <phoneticPr fontId="4" type="noConversion"/>
  </si>
  <si>
    <r>
      <t>BE</t>
    </r>
    <r>
      <rPr>
        <vertAlign val="subscript"/>
        <sz val="10"/>
        <rFont val="Verdana"/>
        <family val="2"/>
      </rPr>
      <t>elec.</t>
    </r>
    <phoneticPr fontId="4" type="noConversion"/>
  </si>
  <si>
    <t>tCO2e</t>
    <phoneticPr fontId="4" type="noConversion"/>
  </si>
  <si>
    <t>tCO2</t>
    <phoneticPr fontId="4" type="noConversion"/>
  </si>
  <si>
    <t>Tool to determine project esmission from flaring gas containing methane</t>
    <phoneticPr fontId="4" type="noConversion"/>
  </si>
  <si>
    <r>
      <t>f</t>
    </r>
    <r>
      <rPr>
        <vertAlign val="subscript"/>
        <sz val="10"/>
        <rFont val="Verdana"/>
        <family val="2"/>
      </rPr>
      <t>flare</t>
    </r>
    <phoneticPr fontId="4" type="noConversion"/>
  </si>
  <si>
    <t xml:space="preserve">Flare efficiency </t>
    <phoneticPr fontId="4" type="noConversion"/>
  </si>
  <si>
    <r>
      <t>FM</t>
    </r>
    <r>
      <rPr>
        <vertAlign val="subscript"/>
        <sz val="10"/>
        <rFont val="Verdana"/>
        <family val="2"/>
      </rPr>
      <t>RG,h</t>
    </r>
    <phoneticPr fontId="4" type="noConversion"/>
  </si>
  <si>
    <t>kg/h</t>
    <phoneticPr fontId="4" type="noConversion"/>
  </si>
  <si>
    <t>Mass flow rate of CH4 in the residual gas stream in hour h</t>
    <phoneticPr fontId="4" type="noConversion"/>
  </si>
  <si>
    <r>
      <t>p</t>
    </r>
    <r>
      <rPr>
        <vertAlign val="subscript"/>
        <sz val="10"/>
        <rFont val="Verdana"/>
        <family val="2"/>
      </rPr>
      <t>RG,n,h</t>
    </r>
    <phoneticPr fontId="4" type="noConversion"/>
  </si>
  <si>
    <r>
      <t>kg/m</t>
    </r>
    <r>
      <rPr>
        <vertAlign val="superscript"/>
        <sz val="10"/>
        <rFont val="Verdana"/>
        <family val="2"/>
      </rPr>
      <t>3</t>
    </r>
    <phoneticPr fontId="4" type="noConversion"/>
  </si>
  <si>
    <t>density of residual gas at normal conditions in hour h</t>
    <phoneticPr fontId="4" type="noConversion"/>
  </si>
  <si>
    <r>
      <t>FV</t>
    </r>
    <r>
      <rPr>
        <vertAlign val="subscript"/>
        <sz val="10"/>
        <rFont val="Verdana"/>
        <family val="2"/>
      </rPr>
      <t>RG,h</t>
    </r>
    <phoneticPr fontId="4" type="noConversion"/>
  </si>
  <si>
    <r>
      <t>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/h</t>
    </r>
    <phoneticPr fontId="4" type="noConversion"/>
  </si>
  <si>
    <t>Volumetric flow rate of the residual gas in dry basis at normal consitions in the hour h</t>
    <phoneticPr fontId="4" type="noConversion"/>
  </si>
  <si>
    <r>
      <t>p</t>
    </r>
    <r>
      <rPr>
        <vertAlign val="subscript"/>
        <sz val="10"/>
        <rFont val="Verdana"/>
        <family val="2"/>
      </rPr>
      <t>RG,n,h</t>
    </r>
    <r>
      <rPr>
        <sz val="10"/>
        <rFont val="Verdana"/>
        <family val="2"/>
      </rPr>
      <t>*FV</t>
    </r>
    <r>
      <rPr>
        <vertAlign val="subscript"/>
        <sz val="10"/>
        <rFont val="Verdana"/>
        <family val="2"/>
      </rPr>
      <t>RG,h</t>
    </r>
    <phoneticPr fontId="4" type="noConversion"/>
  </si>
  <si>
    <r>
      <t>P</t>
    </r>
    <r>
      <rPr>
        <vertAlign val="subscript"/>
        <sz val="10"/>
        <rFont val="Verdana"/>
        <family val="2"/>
      </rPr>
      <t>n</t>
    </r>
    <r>
      <rPr>
        <sz val="10"/>
        <rFont val="Verdana"/>
        <family val="2"/>
      </rPr>
      <t>/(R</t>
    </r>
    <r>
      <rPr>
        <vertAlign val="subscript"/>
        <sz val="10"/>
        <rFont val="Verdana"/>
        <family val="2"/>
      </rPr>
      <t>u</t>
    </r>
    <r>
      <rPr>
        <sz val="10"/>
        <rFont val="Verdana"/>
        <family val="2"/>
      </rPr>
      <t>/MM</t>
    </r>
    <r>
      <rPr>
        <vertAlign val="subscript"/>
        <sz val="10"/>
        <rFont val="Verdana"/>
        <family val="2"/>
      </rPr>
      <t>RG,h</t>
    </r>
    <r>
      <rPr>
        <sz val="10"/>
        <rFont val="Verdana"/>
        <family val="2"/>
      </rPr>
      <t>)/T</t>
    </r>
    <r>
      <rPr>
        <vertAlign val="subscript"/>
        <sz val="10"/>
        <rFont val="Verdana"/>
        <family val="2"/>
      </rPr>
      <t>n</t>
    </r>
    <phoneticPr fontId="4" type="noConversion"/>
  </si>
  <si>
    <r>
      <t>P</t>
    </r>
    <r>
      <rPr>
        <vertAlign val="subscript"/>
        <sz val="10"/>
        <rFont val="Verdana"/>
        <family val="2"/>
      </rPr>
      <t>n</t>
    </r>
    <phoneticPr fontId="4" type="noConversion"/>
  </si>
  <si>
    <t>Pa</t>
    <phoneticPr fontId="4" type="noConversion"/>
  </si>
  <si>
    <t>Atmospheric pressure at normal conditions</t>
    <phoneticPr fontId="4" type="noConversion"/>
  </si>
  <si>
    <r>
      <t>R</t>
    </r>
    <r>
      <rPr>
        <vertAlign val="subscript"/>
        <sz val="10"/>
        <rFont val="Verdana"/>
        <family val="2"/>
      </rPr>
      <t>u</t>
    </r>
    <phoneticPr fontId="4" type="noConversion"/>
  </si>
  <si>
    <r>
      <t>Pa.m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/kmol.k</t>
    </r>
    <phoneticPr fontId="4" type="noConversion"/>
  </si>
  <si>
    <t>Molecular mass of the residual gas in hour h</t>
    <phoneticPr fontId="4" type="noConversion"/>
  </si>
  <si>
    <t>K</t>
    <phoneticPr fontId="4" type="noConversion"/>
  </si>
  <si>
    <t>Temperature at normal consition</t>
    <phoneticPr fontId="4" type="noConversion"/>
  </si>
  <si>
    <t>i</t>
    <phoneticPr fontId="4" type="noConversion"/>
  </si>
  <si>
    <r>
      <t>MM</t>
    </r>
    <r>
      <rPr>
        <vertAlign val="subscript"/>
        <sz val="10"/>
        <rFont val="Arial Unicode MS"/>
        <family val="2"/>
        <charset val="134"/>
      </rPr>
      <t>RG,h</t>
    </r>
    <phoneticPr fontId="4" type="noConversion"/>
  </si>
  <si>
    <t>kg/kmol</t>
    <phoneticPr fontId="4" type="noConversion"/>
  </si>
  <si>
    <r>
      <t>∑fv</t>
    </r>
    <r>
      <rPr>
        <vertAlign val="subscript"/>
        <sz val="10"/>
        <rFont val="Arial Unicode MS"/>
        <family val="2"/>
        <charset val="134"/>
      </rPr>
      <t>i,h</t>
    </r>
    <r>
      <rPr>
        <sz val="10"/>
        <rFont val="Arial Unicode MS"/>
        <family val="2"/>
        <charset val="134"/>
      </rPr>
      <t>*MM</t>
    </r>
    <r>
      <rPr>
        <vertAlign val="subscript"/>
        <sz val="10"/>
        <rFont val="Arial Unicode MS"/>
        <family val="2"/>
        <charset val="134"/>
      </rPr>
      <t>i</t>
    </r>
    <phoneticPr fontId="4" type="noConversion"/>
  </si>
  <si>
    <r>
      <t>T</t>
    </r>
    <r>
      <rPr>
        <vertAlign val="subscript"/>
        <sz val="10"/>
        <rFont val="Arial Unicode MS"/>
        <family val="2"/>
        <charset val="134"/>
      </rPr>
      <t>n</t>
    </r>
    <phoneticPr fontId="4" type="noConversion"/>
  </si>
  <si>
    <r>
      <t>fv</t>
    </r>
    <r>
      <rPr>
        <vertAlign val="subscript"/>
        <sz val="10"/>
        <rFont val="Arial Unicode MS"/>
        <family val="2"/>
        <charset val="134"/>
      </rPr>
      <t>i,h</t>
    </r>
    <phoneticPr fontId="4" type="noConversion"/>
  </si>
  <si>
    <r>
      <t>MM</t>
    </r>
    <r>
      <rPr>
        <vertAlign val="subscript"/>
        <sz val="10"/>
        <rFont val="Arial Unicode MS"/>
        <family val="2"/>
        <charset val="134"/>
      </rPr>
      <t>i</t>
    </r>
    <phoneticPr fontId="4" type="noConversion"/>
  </si>
  <si>
    <t>Universal ideal gas constant</t>
    <phoneticPr fontId="4" type="noConversion"/>
  </si>
  <si>
    <t>Volumetric fraction of component I in the residual gas in the hour h</t>
    <phoneticPr fontId="4" type="noConversion"/>
  </si>
  <si>
    <t>Molecular mass of residual gas compont i</t>
    <phoneticPr fontId="4" type="noConversion"/>
  </si>
  <si>
    <t>The componets CH4, CO2, CO, H2…</t>
    <phoneticPr fontId="4" type="noConversion"/>
  </si>
  <si>
    <t>Tool equation 15</t>
    <phoneticPr fontId="4" type="noConversion"/>
  </si>
  <si>
    <r>
      <t>TM</t>
    </r>
    <r>
      <rPr>
        <vertAlign val="subscript"/>
        <sz val="10"/>
        <rFont val="Verdana"/>
        <family val="2"/>
      </rPr>
      <t>RG,h</t>
    </r>
    <phoneticPr fontId="4" type="noConversion"/>
  </si>
  <si>
    <t>Mass flow rate of CH4 in the residual gas in hour h</t>
    <phoneticPr fontId="4" type="noConversion"/>
  </si>
  <si>
    <r>
      <t>FV</t>
    </r>
    <r>
      <rPr>
        <vertAlign val="subscript"/>
        <sz val="10"/>
        <rFont val="Verdana"/>
        <family val="2"/>
      </rPr>
      <t>RG,h</t>
    </r>
    <r>
      <rPr>
        <sz val="10"/>
        <rFont val="Verdana"/>
        <family val="2"/>
      </rPr>
      <t>*fv</t>
    </r>
    <r>
      <rPr>
        <vertAlign val="subscript"/>
        <sz val="10"/>
        <rFont val="Verdana"/>
        <family val="2"/>
      </rPr>
      <t>CH4,RG,h</t>
    </r>
    <r>
      <rPr>
        <sz val="10"/>
        <rFont val="Verdana"/>
        <family val="2"/>
      </rPr>
      <t>*p</t>
    </r>
    <r>
      <rPr>
        <vertAlign val="subscript"/>
        <sz val="10"/>
        <rFont val="Verdana"/>
        <family val="2"/>
      </rPr>
      <t>CH4,n</t>
    </r>
    <phoneticPr fontId="4" type="noConversion"/>
  </si>
  <si>
    <t>Density of methane at normal conditions</t>
    <phoneticPr fontId="4" type="noConversion"/>
  </si>
  <si>
    <t>PE</t>
    <phoneticPr fontId="4" type="noConversion"/>
  </si>
  <si>
    <t>Project emission</t>
    <phoneticPr fontId="4" type="noConversion"/>
  </si>
  <si>
    <r>
      <t>T</t>
    </r>
    <r>
      <rPr>
        <sz val="10"/>
        <rFont val="Verdana"/>
        <family val="2"/>
      </rPr>
      <t>otal</t>
    </r>
    <phoneticPr fontId="4" type="noConversion"/>
  </si>
  <si>
    <t>IPCC 2006 Table 10.17, p.10.45,Chapter10, Volume 4</t>
    <phoneticPr fontId="4" type="noConversion"/>
  </si>
  <si>
    <t>IPCC 2006 Table 10A-4, p.10.77,Chapter 10, Volume 4</t>
    <phoneticPr fontId="4" type="noConversion"/>
  </si>
  <si>
    <t>MW</t>
    <phoneticPr fontId="2" type="noConversion"/>
  </si>
  <si>
    <r>
      <t>Q</t>
    </r>
    <r>
      <rPr>
        <vertAlign val="subscript"/>
        <sz val="10"/>
        <rFont val="Verdana"/>
        <family val="2"/>
      </rPr>
      <t>manure,j,LT,y</t>
    </r>
  </si>
  <si>
    <t>Quantity of manure treated from livestock type LT and animal manure management system j</t>
  </si>
  <si>
    <t>Physical leakage of biogas in the manure management system that capture's CH4</t>
  </si>
  <si>
    <t>Emissions from incremental transportation in the year y</t>
  </si>
  <si>
    <t>tons/a, wet basis</t>
  </si>
  <si>
    <r>
      <t>MS%</t>
    </r>
    <r>
      <rPr>
        <vertAlign val="subscript"/>
        <sz val="10"/>
        <rFont val="Verdana"/>
        <family val="2"/>
      </rPr>
      <t>i,y</t>
    </r>
  </si>
  <si>
    <t>Fraction of manure handled in system i in year y</t>
  </si>
  <si>
    <r>
      <t>D</t>
    </r>
    <r>
      <rPr>
        <vertAlign val="subscript"/>
        <sz val="10"/>
        <rFont val="Verdana"/>
        <family val="2"/>
      </rPr>
      <t>CH4,n</t>
    </r>
  </si>
  <si>
    <r>
      <t>t/m</t>
    </r>
    <r>
      <rPr>
        <vertAlign val="superscript"/>
        <sz val="10"/>
        <rFont val="Verdana"/>
        <family val="2"/>
      </rPr>
      <t>3</t>
    </r>
  </si>
  <si>
    <t>Volumetric flow rate of methane in dry basis at normal conditions in the hour h</t>
  </si>
  <si>
    <t>Volumetric flow rate of the residual gas in dry basis at normal conditions in the hour h</t>
  </si>
  <si>
    <t>%</t>
  </si>
  <si>
    <t>Default value</t>
  </si>
  <si>
    <t>MWh</t>
  </si>
  <si>
    <r>
      <t xml:space="preserve">Quantity of the electricity imported from the grid and consumed by the project activity in year </t>
    </r>
    <r>
      <rPr>
        <i/>
        <sz val="11"/>
        <rFont val="Calibri"/>
        <family val="2"/>
      </rPr>
      <t>y</t>
    </r>
    <r>
      <rPr>
        <sz val="11"/>
        <rFont val="Calibri"/>
        <family val="2"/>
      </rPr>
      <t xml:space="preserve"> </t>
    </r>
  </si>
  <si>
    <r>
      <rPr>
        <sz val="10"/>
        <rFont val="宋体"/>
        <charset val="134"/>
      </rPr>
      <t>∑</t>
    </r>
    <r>
      <rPr>
        <sz val="10"/>
        <rFont val="Verdana"/>
        <family val="2"/>
      </rPr>
      <t>TM</t>
    </r>
    <r>
      <rPr>
        <vertAlign val="subscript"/>
        <sz val="10"/>
        <rFont val="Verdana"/>
        <family val="2"/>
      </rPr>
      <t>RG,h</t>
    </r>
    <r>
      <rPr>
        <sz val="10"/>
        <rFont val="Verdana"/>
        <family val="2"/>
      </rPr>
      <t>*(1-f</t>
    </r>
    <r>
      <rPr>
        <vertAlign val="subscript"/>
        <sz val="10"/>
        <rFont val="Verdana"/>
        <family val="2"/>
      </rPr>
      <t>flare</t>
    </r>
    <r>
      <rPr>
        <sz val="10"/>
        <rFont val="Verdana"/>
        <family val="2"/>
      </rPr>
      <t>)*GWP</t>
    </r>
    <r>
      <rPr>
        <vertAlign val="subscript"/>
        <sz val="10"/>
        <rFont val="Verdana"/>
        <family val="2"/>
      </rPr>
      <t>CH4</t>
    </r>
  </si>
  <si>
    <r>
      <t>EF</t>
    </r>
    <r>
      <rPr>
        <vertAlign val="subscript"/>
        <sz val="10"/>
        <rFont val="Verdana"/>
        <family val="2"/>
      </rPr>
      <t>CO2,grid,y</t>
    </r>
  </si>
  <si>
    <r>
      <t>CO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 xml:space="preserve"> emission factor of the grid in year </t>
    </r>
    <r>
      <rPr>
        <i/>
        <sz val="10"/>
        <rFont val="Verdana"/>
        <family val="2"/>
      </rPr>
      <t>y</t>
    </r>
  </si>
  <si>
    <t>http://www.teias.gov.tr/T%C3%BCrkiyeElektrik%C4%B0statistikleri/istatistik2010/front%20page%202010-%C3%A7i%C3%A7ek%20kitap/uretim%20tuketim(22-45)/33(84-10).xls</t>
  </si>
  <si>
    <t>*  Source     :  Electricity Distribution and Consumption Statistics of Turkey ,1994-2010</t>
  </si>
  <si>
    <t>* Kaynak : Türkiye Elektrik Dağıtım ve Tüketim İstatistikleri ,1994-2010</t>
  </si>
  <si>
    <t>2)As the export is made on delivery at border basis,its losses are included in the section for transmission network losses.</t>
  </si>
  <si>
    <t>2) İhracat,Sınırda teslim esasına göre yapıldığından,ihracat ile igili şebeke kaybı,iletim kaybının içinde yer almaktadır.</t>
  </si>
  <si>
    <t>1)Supplied to the Network = Net Generation+Import</t>
  </si>
  <si>
    <t>1)Şebekeye Verilen = Net Üretim+İthalat</t>
  </si>
  <si>
    <t>*</t>
  </si>
  <si>
    <t>**</t>
  </si>
  <si>
    <t xml:space="preserve">      *</t>
  </si>
  <si>
    <r>
      <t>THE NETWORK</t>
    </r>
    <r>
      <rPr>
        <i/>
        <vertAlign val="superscript"/>
        <sz val="11"/>
        <rFont val="Arial"/>
        <family val="2"/>
        <charset val="162"/>
      </rPr>
      <t xml:space="preserve"> (1)</t>
    </r>
  </si>
  <si>
    <t>INCREASE</t>
  </si>
  <si>
    <t>NET CONS.</t>
  </si>
  <si>
    <r>
      <t>EXPORTS</t>
    </r>
    <r>
      <rPr>
        <i/>
        <vertAlign val="superscript"/>
        <sz val="11"/>
        <rFont val="Arial"/>
        <family val="2"/>
        <charset val="162"/>
      </rPr>
      <t>(2)</t>
    </r>
  </si>
  <si>
    <t xml:space="preserve">                   TOTAL</t>
  </si>
  <si>
    <t xml:space="preserve">         DISTRIBUTION</t>
  </si>
  <si>
    <t xml:space="preserve">      TRANSMISSION</t>
  </si>
  <si>
    <t xml:space="preserve">SUPPLIED TO </t>
  </si>
  <si>
    <t>IMPORTS</t>
  </si>
  <si>
    <t>NET GEN.</t>
  </si>
  <si>
    <t xml:space="preserve">         CONSUMPTION</t>
  </si>
  <si>
    <t>GROSS GEN.</t>
  </si>
  <si>
    <t>YEARS</t>
  </si>
  <si>
    <t xml:space="preserve">   ARTIŞ  %</t>
  </si>
  <si>
    <t>TÜKETİM</t>
  </si>
  <si>
    <r>
      <t>İHRACAT</t>
    </r>
    <r>
      <rPr>
        <b/>
        <vertAlign val="superscript"/>
        <sz val="12"/>
        <rFont val="Arial"/>
        <family val="2"/>
        <charset val="162"/>
      </rPr>
      <t>(2)</t>
    </r>
  </si>
  <si>
    <t xml:space="preserve">   %</t>
  </si>
  <si>
    <t xml:space="preserve">             TOPLAM</t>
  </si>
  <si>
    <t xml:space="preserve">         DAĞITIM</t>
  </si>
  <si>
    <t xml:space="preserve">         İLETİM</t>
  </si>
  <si>
    <r>
      <t>VERİLEN</t>
    </r>
    <r>
      <rPr>
        <b/>
        <vertAlign val="superscript"/>
        <sz val="12"/>
        <rFont val="Arial"/>
        <family val="2"/>
        <charset val="162"/>
      </rPr>
      <t>(1)</t>
    </r>
  </si>
  <si>
    <t>İTHALAT</t>
  </si>
  <si>
    <t>ÜRETİM</t>
  </si>
  <si>
    <t xml:space="preserve">             INTERNAL</t>
  </si>
  <si>
    <t>YILLAR</t>
  </si>
  <si>
    <t xml:space="preserve"> </t>
  </si>
  <si>
    <t>NET</t>
  </si>
  <si>
    <t xml:space="preserve">   </t>
  </si>
  <si>
    <t>ŞEBEKEYE</t>
  </si>
  <si>
    <t xml:space="preserve">           İÇ   İHTİYAÇ  </t>
  </si>
  <si>
    <t xml:space="preserve">  ARTIŞ  %</t>
  </si>
  <si>
    <t>BRÜT</t>
  </si>
  <si>
    <t>N E T W O R K   L O S S E S</t>
  </si>
  <si>
    <t xml:space="preserve">      Ş E B E K E   K A Y B I      </t>
  </si>
  <si>
    <t>(1984-2009)</t>
  </si>
  <si>
    <t>ANNUAL DEVELOPMENT OF ELECTRICITY GENERATION- CONSUMPTION AND LOSSES IN TURKEY</t>
  </si>
  <si>
    <t>TÜRKİYE  ELEKTRİK  ENERJİSİ ÜRETİM - TÜKETİM VE KAYIPLARININ  YILLAR  İTİBARİYLE  GELİŞİMİ</t>
  </si>
  <si>
    <t>Calculation</t>
  </si>
  <si>
    <t>Dairy cow</t>
  </si>
  <si>
    <t>Equipment specification</t>
  </si>
  <si>
    <t>Dairy cows</t>
  </si>
  <si>
    <r>
      <t>fv</t>
    </r>
    <r>
      <rPr>
        <vertAlign val="subscript"/>
        <sz val="10"/>
        <rFont val="Verdana"/>
        <family val="2"/>
      </rPr>
      <t>CH4,RG,h</t>
    </r>
  </si>
  <si>
    <t xml:space="preserve">Conservative value for open  flare </t>
  </si>
  <si>
    <t>Baseline CO2 emission from electricity generation replaced by the project in year y</t>
  </si>
  <si>
    <t>Emission through electricity consumption</t>
  </si>
  <si>
    <t>Internal consumption has been assumed as 10% of generation figures as per FSR</t>
  </si>
  <si>
    <t>Default Value</t>
  </si>
  <si>
    <t>Annual Average</t>
  </si>
  <si>
    <t>Quantity of methane produced in the anaerobic digester in year y</t>
  </si>
  <si>
    <t>fraction</t>
  </si>
  <si>
    <t>Default emission factor for lined concrete digesters with a gas holding system.</t>
  </si>
  <si>
    <t>tonnes</t>
  </si>
  <si>
    <t>km/truck</t>
  </si>
  <si>
    <r>
      <t>tCO</t>
    </r>
    <r>
      <rPr>
        <vertAlign val="subscript"/>
        <sz val="10"/>
        <rFont val="Verdana"/>
        <family val="2"/>
        <charset val="162"/>
      </rPr>
      <t>2</t>
    </r>
    <r>
      <rPr>
        <sz val="10"/>
        <rFont val="Verdana"/>
        <family val="2"/>
      </rPr>
      <t>e</t>
    </r>
  </si>
  <si>
    <t>IPCC 2006 Table 10.17, p.10.45,Chapter10, Volume 4</t>
  </si>
  <si>
    <t>Uncovered anaerobic lagoon for 14 Degrees Celcius</t>
  </si>
  <si>
    <r>
      <t>B</t>
    </r>
    <r>
      <rPr>
        <vertAlign val="subscript"/>
        <sz val="10"/>
        <rFont val="Verdana"/>
        <family val="2"/>
      </rPr>
      <t>0,LT</t>
    </r>
  </si>
  <si>
    <r>
      <t>EC</t>
    </r>
    <r>
      <rPr>
        <vertAlign val="subscript"/>
        <sz val="10"/>
        <rFont val="Verdana"/>
        <family val="2"/>
      </rPr>
      <t>p,y</t>
    </r>
  </si>
  <si>
    <t>TDL</t>
  </si>
  <si>
    <t>Transmission + Distribution Loss</t>
  </si>
  <si>
    <r>
      <t>EC</t>
    </r>
    <r>
      <rPr>
        <vertAlign val="subscript"/>
        <sz val="10"/>
        <rFont val="Verdana"/>
        <family val="2"/>
      </rPr>
      <t>p,y</t>
    </r>
    <r>
      <rPr>
        <sz val="10"/>
        <rFont val="Verdana"/>
        <family val="2"/>
      </rPr>
      <t>*EF</t>
    </r>
    <r>
      <rPr>
        <vertAlign val="subscript"/>
        <sz val="10"/>
        <rFont val="Verdana"/>
        <family val="2"/>
      </rPr>
      <t>CO2,grid,y (</t>
    </r>
    <r>
      <rPr>
        <vertAlign val="subscript"/>
        <sz val="14"/>
        <rFont val="Verdana"/>
        <family val="2"/>
        <charset val="162"/>
      </rPr>
      <t>1+TDLj</t>
    </r>
    <r>
      <rPr>
        <vertAlign val="subscript"/>
        <sz val="10"/>
        <rFont val="Verdana"/>
        <family val="2"/>
      </rPr>
      <t>,y)</t>
    </r>
    <r>
      <rPr>
        <sz val="10"/>
        <rFont val="Verdana"/>
        <family val="2"/>
      </rPr>
      <t>+FG</t>
    </r>
    <r>
      <rPr>
        <vertAlign val="subscript"/>
        <sz val="10"/>
        <rFont val="Verdana"/>
        <family val="2"/>
      </rPr>
      <t>f,y</t>
    </r>
    <r>
      <rPr>
        <sz val="10"/>
        <rFont val="Verdana"/>
        <family val="2"/>
      </rPr>
      <t>*FF</t>
    </r>
    <r>
      <rPr>
        <vertAlign val="subscript"/>
        <sz val="10"/>
        <rFont val="Verdana"/>
        <family val="2"/>
      </rPr>
      <t>f,y</t>
    </r>
    <r>
      <rPr>
        <sz val="10"/>
        <rFont val="Verdana"/>
        <family val="2"/>
      </rPr>
      <t>*NCV</t>
    </r>
    <r>
      <rPr>
        <vertAlign val="subscript"/>
        <sz val="10"/>
        <rFont val="Verdana"/>
        <family val="2"/>
      </rPr>
      <t>f,y</t>
    </r>
  </si>
  <si>
    <t>IPCC Fifth Asessment Report (2014)</t>
  </si>
  <si>
    <t>https://www.ipcc-nggip.iges.or.jp/public/2006gl/pdf/4_Volume4/V4_10_Ch10_Livestock.pdf</t>
  </si>
  <si>
    <t>Poultry</t>
  </si>
  <si>
    <t>https://www.ipcc-nggip.iges.or.jp/public/gp/bgp/4_2_CH4_and_N2O_Livestock_Manure.pdf</t>
  </si>
  <si>
    <t>EF co2,f</t>
  </si>
  <si>
    <t>g CO2/t*km</t>
  </si>
  <si>
    <t xml:space="preserve">Default CO2 emission factor for freight transportation activity f
(g CO2/t km) </t>
  </si>
  <si>
    <t>Methodological tool “Project and leakage emissions from transportation of freight.</t>
  </si>
  <si>
    <t>https://cdm.unfccc.int/methodologies/PAmethodologies/tools/am-tool-12-v1.1.0.pdf</t>
  </si>
  <si>
    <t>FR f,m</t>
  </si>
  <si>
    <t xml:space="preserve">Total mass of freight transported in freight transportation activity f
in monitoring period m (t) </t>
  </si>
  <si>
    <t>D f,m</t>
  </si>
  <si>
    <t>Return trip distance between the origin and destination of freight
transportation activity f in monitoring period m (km)</t>
  </si>
  <si>
    <t>https://www.epdk.gov.tr/Detay/DownloadDocument?id=4xYFYUovbAI=</t>
  </si>
  <si>
    <t>Sum of transmisison and distributionlosses for 2019 (latest data available in EMRA 2020 Electricity Market Report, 2.15% transmission loss is average for Turkey and 7.55% distribution loss is belonged to İzmir District)</t>
  </si>
  <si>
    <r>
      <t>PE</t>
    </r>
    <r>
      <rPr>
        <vertAlign val="subscript"/>
        <sz val="10"/>
        <rFont val="Verdana"/>
        <family val="2"/>
      </rPr>
      <t>CH4,y</t>
    </r>
    <r>
      <rPr>
        <sz val="10"/>
        <rFont val="Verdana"/>
        <family val="2"/>
      </rPr>
      <t>= Q</t>
    </r>
    <r>
      <rPr>
        <vertAlign val="subscript"/>
        <sz val="10"/>
        <rFont val="Verdana"/>
        <family val="2"/>
      </rPr>
      <t>CH4,y</t>
    </r>
    <r>
      <rPr>
        <sz val="10"/>
        <rFont val="Verdana"/>
        <family val="2"/>
      </rPr>
      <t xml:space="preserve"> × EF</t>
    </r>
    <r>
      <rPr>
        <vertAlign val="subscript"/>
        <sz val="10"/>
        <rFont val="Verdana"/>
        <family val="2"/>
      </rPr>
      <t>CH4,default</t>
    </r>
    <r>
      <rPr>
        <sz val="10"/>
        <rFont val="Verdana"/>
        <family val="2"/>
      </rPr>
      <t xml:space="preserve"> × GWP</t>
    </r>
    <r>
      <rPr>
        <vertAlign val="subscript"/>
        <sz val="10"/>
        <rFont val="Verdana"/>
        <family val="2"/>
      </rPr>
      <t>CH4</t>
    </r>
  </si>
  <si>
    <r>
      <t>Q</t>
    </r>
    <r>
      <rPr>
        <vertAlign val="subscript"/>
        <sz val="10"/>
        <rFont val="Verdana"/>
        <family val="2"/>
      </rPr>
      <t>CH4,y</t>
    </r>
  </si>
  <si>
    <r>
      <t>tCH</t>
    </r>
    <r>
      <rPr>
        <vertAlign val="subscript"/>
        <sz val="10"/>
        <rFont val="Verdana"/>
        <family val="2"/>
      </rPr>
      <t>4</t>
    </r>
  </si>
  <si>
    <r>
      <t>EF</t>
    </r>
    <r>
      <rPr>
        <vertAlign val="subscript"/>
        <sz val="10"/>
        <rFont val="Verdana"/>
        <family val="2"/>
      </rPr>
      <t>CH4,default</t>
    </r>
  </si>
  <si>
    <r>
      <t>GWP</t>
    </r>
    <r>
      <rPr>
        <vertAlign val="subscript"/>
        <sz val="10"/>
        <rFont val="Verdana"/>
        <family val="2"/>
      </rPr>
      <t>CH4</t>
    </r>
  </si>
  <si>
    <t>PEAD,y (=PECH4)</t>
  </si>
  <si>
    <t>Tool: Project and leakage emissions from anaerobic digesters version 02</t>
  </si>
  <si>
    <r>
      <t>PE</t>
    </r>
    <r>
      <rPr>
        <b/>
        <vertAlign val="subscript"/>
        <sz val="16"/>
        <rFont val="Verdana"/>
        <family val="2"/>
      </rPr>
      <t>transp,y</t>
    </r>
  </si>
  <si>
    <r>
      <t>PE</t>
    </r>
    <r>
      <rPr>
        <b/>
        <vertAlign val="subscript"/>
        <sz val="14"/>
        <rFont val="Verdana"/>
        <family val="2"/>
      </rPr>
      <t>flare,y</t>
    </r>
  </si>
  <si>
    <r>
      <t>PE</t>
    </r>
    <r>
      <rPr>
        <b/>
        <vertAlign val="subscript"/>
        <sz val="14"/>
        <rFont val="Verdana"/>
        <family val="2"/>
      </rPr>
      <t>power,y</t>
    </r>
  </si>
  <si>
    <r>
      <t>PE</t>
    </r>
    <r>
      <rPr>
        <b/>
        <vertAlign val="subscript"/>
        <sz val="10"/>
        <rFont val="Verdana"/>
        <family val="2"/>
      </rPr>
      <t>PL,y</t>
    </r>
    <r>
      <rPr>
        <b/>
        <sz val="10"/>
        <rFont val="Verdana"/>
        <family val="2"/>
      </rPr>
      <t>+PE</t>
    </r>
    <r>
      <rPr>
        <b/>
        <vertAlign val="subscript"/>
        <sz val="10"/>
        <rFont val="Verdana"/>
        <family val="2"/>
      </rPr>
      <t>flare,y</t>
    </r>
    <r>
      <rPr>
        <b/>
        <sz val="10"/>
        <rFont val="Verdana"/>
        <family val="2"/>
      </rPr>
      <t>+PE</t>
    </r>
    <r>
      <rPr>
        <b/>
        <vertAlign val="subscript"/>
        <sz val="10"/>
        <rFont val="Verdana"/>
        <family val="2"/>
      </rPr>
      <t xml:space="preserve">y,power </t>
    </r>
    <r>
      <rPr>
        <b/>
        <sz val="10"/>
        <rFont val="Verdana"/>
        <family val="2"/>
      </rPr>
      <t>+PE</t>
    </r>
    <r>
      <rPr>
        <b/>
        <vertAlign val="subscript"/>
        <sz val="10"/>
        <rFont val="Verdana"/>
        <family val="2"/>
      </rPr>
      <t>stransp,y</t>
    </r>
    <r>
      <rPr>
        <b/>
        <sz val="10"/>
        <rFont val="Verdana"/>
        <family val="2"/>
      </rPr>
      <t xml:space="preserve"> </t>
    </r>
  </si>
  <si>
    <t xml:space="preserve"> Total SO2 and NOx emission related to electricity generation is about 1778.59 kt and 358.88 kt respectively  according to 2018  National Inventory of Turkey (latest published inventory) . Considering that electricity generation in 2018 is 304,801.9 GWh.</t>
  </si>
  <si>
    <t>https://unfccc.int/documents/223579</t>
  </si>
  <si>
    <t>Indicator #1 Air Quality</t>
  </si>
  <si>
    <t>SO2 Emission</t>
  </si>
  <si>
    <t>Gg</t>
  </si>
  <si>
    <t>NOx Emission</t>
  </si>
  <si>
    <t>2018 Total Gross Electricity Generation of Turkey</t>
  </si>
  <si>
    <t>GWh</t>
  </si>
  <si>
    <t>SO2 EF</t>
  </si>
  <si>
    <t>kg/MWh</t>
  </si>
  <si>
    <t>NOx EF</t>
  </si>
  <si>
    <t>SO2 reduction for Generation in Monitoring Period</t>
  </si>
  <si>
    <t>tons</t>
  </si>
  <si>
    <t>NOx reduction for Generation in Monitoring Period</t>
  </si>
  <si>
    <t>-</t>
  </si>
  <si>
    <t>N0,LT</t>
  </si>
  <si>
    <t xml:space="preserve">Annual average number of animals </t>
  </si>
  <si>
    <t xml:space="preserve">Annual average number of animals of type LT estimated 
</t>
  </si>
  <si>
    <t>VS,LT</t>
  </si>
  <si>
    <t xml:space="preserve">(kg -dm/animal/yr)
</t>
  </si>
  <si>
    <t>Annual volatile solid excretions for livestock LT entering all AWMS
on a dry matter weight basis</t>
  </si>
  <si>
    <t xml:space="preserve">Fraction of manure handled in system j in the baseline
</t>
  </si>
  <si>
    <t>MS%BL,j</t>
  </si>
  <si>
    <r>
      <t>BE</t>
    </r>
    <r>
      <rPr>
        <vertAlign val="subscript"/>
        <sz val="10"/>
        <rFont val="Verdana"/>
        <family val="2"/>
      </rPr>
      <t xml:space="preserve">CH4
</t>
    </r>
    <r>
      <rPr>
        <sz val="10"/>
        <rFont val="Verdana"/>
        <family val="2"/>
        <charset val="162"/>
      </rPr>
      <t/>
    </r>
  </si>
  <si>
    <t>BE</t>
  </si>
  <si>
    <t>tCO2e</t>
  </si>
  <si>
    <t>Baseline emission</t>
  </si>
  <si>
    <r>
      <t>B</t>
    </r>
    <r>
      <rPr>
        <b/>
        <vertAlign val="subscript"/>
        <sz val="12"/>
        <rFont val="Verdana"/>
        <family val="2"/>
      </rPr>
      <t>CH4</t>
    </r>
    <r>
      <rPr>
        <b/>
        <sz val="12"/>
        <rFont val="Verdana"/>
        <family val="2"/>
      </rPr>
      <t>+BE</t>
    </r>
    <r>
      <rPr>
        <b/>
        <vertAlign val="subscript"/>
        <sz val="12"/>
        <rFont val="Verdana"/>
        <family val="2"/>
      </rPr>
      <t>elec.</t>
    </r>
    <r>
      <rPr>
        <b/>
        <sz val="12"/>
        <rFont val="Verdana"/>
        <family val="2"/>
      </rPr>
      <t>+BE</t>
    </r>
    <r>
      <rPr>
        <b/>
        <vertAlign val="subscript"/>
        <sz val="12"/>
        <rFont val="Verdana"/>
        <family val="2"/>
      </rPr>
      <t>heat</t>
    </r>
  </si>
  <si>
    <t>BASELINE EMISSION REDUCTION CALCULATIONS</t>
  </si>
  <si>
    <t>B.6.4. Summary of ex ante estimates of emission reductions</t>
  </si>
  <si>
    <r>
      <t>BE(tCO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)</t>
    </r>
  </si>
  <si>
    <r>
      <t>PE(tCO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)</t>
    </r>
  </si>
  <si>
    <r>
      <t>ER(tCO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)</t>
    </r>
  </si>
  <si>
    <t>https://www.mgm.gov.tr/veridegerlendirme/il-ve-ilceler-istatistik.aspx?m=KONYA</t>
  </si>
  <si>
    <r>
      <t xml:space="preserve">Average Temperature assumed 12 </t>
    </r>
    <r>
      <rPr>
        <sz val="10"/>
        <rFont val="Arial Tur"/>
      </rPr>
      <t>̊</t>
    </r>
    <r>
      <rPr>
        <sz val="8.5"/>
        <rFont val="Verdana"/>
        <family val="2"/>
      </rPr>
      <t xml:space="preserve">C (11,6) </t>
    </r>
    <r>
      <rPr>
        <sz val="10"/>
        <rFont val="Verdana"/>
        <family val="2"/>
        <charset val="162"/>
      </rPr>
      <t xml:space="preserve"> for Konya Province of Turkey</t>
    </r>
  </si>
  <si>
    <t>site records</t>
  </si>
  <si>
    <t>Meram Biogas Plant Electricity Generation Licence</t>
  </si>
  <si>
    <t>Project Feasibility File</t>
  </si>
  <si>
    <t>applied methodology</t>
  </si>
  <si>
    <r>
      <t>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CH4/kg_dm</t>
    </r>
  </si>
  <si>
    <t>As per Tool 08: “Tool to determine the mass flow of a greenhouse gas in a gaseous stream” by using site data on biogas production</t>
  </si>
  <si>
    <t>01/01/2021- 31/12/2021</t>
  </si>
  <si>
    <t>01/01/2025 - 31/12/2025</t>
  </si>
  <si>
    <t>Chicken Layer</t>
  </si>
  <si>
    <t>Dairy Cows</t>
  </si>
  <si>
    <t>https://globalgoals.goldstandard.org/standards/PRE-GS4GG-Energy//ghg-ers-from-manure-management-systems-and-municipal-solid-waste-1.pdf</t>
  </si>
  <si>
    <t>The Gold Standard 
Revised Consolidated$Baseline Methodology for 
GHG Emission Reductions from 
Manure Management Systems and Municipal 
Solid Waste</t>
  </si>
  <si>
    <t>IPCC 2006 vol.4, chapter 10, Table10A-4(Dairy Cows eastern Europe) (4.5  kg/hd/day)</t>
  </si>
  <si>
    <t>IPCC 2006 vol.4, chapter 10, Table10A-9(Chicken-layer)  (0.02 kg/hd/day)</t>
  </si>
  <si>
    <t>Mustafa Eroğlu Yemcilik</t>
  </si>
  <si>
    <t>İsmail Ördek Yemcilik ve Nakliyat</t>
  </si>
  <si>
    <t>İlyas Şeker Hayvancılık ve Nakliyat</t>
  </si>
  <si>
    <t>Hüsamettin Şekerci Hayvancılık</t>
  </si>
  <si>
    <t>Sibel Mest</t>
  </si>
  <si>
    <t>Total (Dairy Cattle)</t>
  </si>
  <si>
    <t>Tekkeli Gıda</t>
  </si>
  <si>
    <t>Name of Chicken Farms</t>
  </si>
  <si>
    <t>Name of Dairy Cattle Farms</t>
  </si>
  <si>
    <t>Dervet Hayvancılık</t>
  </si>
  <si>
    <t>Seltav Tavukçuluk</t>
  </si>
  <si>
    <t>Ceren Hayvancılık</t>
  </si>
  <si>
    <t>Azim Tavukçuluk</t>
  </si>
  <si>
    <t>Total (Chicken)</t>
  </si>
  <si>
    <t>Animal Number (Alive in a Year)</t>
  </si>
  <si>
    <t>Chicken</t>
  </si>
  <si>
    <t>poultry</t>
  </si>
  <si>
    <t>cattle</t>
  </si>
  <si>
    <t>Daily Biogas Production (m3/day) (max values from EIA report, p33)</t>
  </si>
  <si>
    <t>https://enerji.gov.tr//Media/Dizin/EVCED/tr/%C3%87evreVe%C4%B0klim/%C4%B0klimDe%C4%9Fi%C5%9Fikli%C4%9Fi/TUESEmisyonFktr/Belgeler/Bform2020.pdf</t>
  </si>
  <si>
    <t>EIA Report</t>
  </si>
  <si>
    <t>Project emission from flaring of the residual gas stream</t>
  </si>
  <si>
    <t>TABLE  1  SECTORAL REPORT FOR ENERGY</t>
  </si>
  <si>
    <t>Inventory 2020</t>
  </si>
  <si>
    <t>(Sheet 1 of 2)</t>
  </si>
  <si>
    <t>Submission 2022 v1</t>
  </si>
  <si>
    <t>TURKEY</t>
  </si>
  <si>
    <t>GREENHOUSE GAS SOURCE AND SINK CATEGORIES</t>
  </si>
  <si>
    <r>
      <t>CO</t>
    </r>
    <r>
      <rPr>
        <b/>
        <vertAlign val="subscript"/>
        <sz val="9"/>
        <rFont val="Times New Roman"/>
        <family val="1"/>
      </rPr>
      <t>2</t>
    </r>
  </si>
  <si>
    <r>
      <t>CH</t>
    </r>
    <r>
      <rPr>
        <b/>
        <vertAlign val="subscript"/>
        <sz val="9"/>
        <rFont val="Times New Roman"/>
        <family val="1"/>
      </rPr>
      <t>4</t>
    </r>
  </si>
  <si>
    <r>
      <t>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</si>
  <si>
    <r>
      <t>NO</t>
    </r>
    <r>
      <rPr>
        <b/>
        <vertAlign val="subscript"/>
        <sz val="9"/>
        <rFont val="Times New Roman"/>
        <family val="1"/>
      </rPr>
      <t>X</t>
    </r>
  </si>
  <si>
    <t>CO</t>
  </si>
  <si>
    <t>NMVOC</t>
  </si>
  <si>
    <r>
      <t>SO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       </t>
    </r>
  </si>
  <si>
    <t>(kt)</t>
  </si>
  <si>
    <t>Total Energy</t>
  </si>
  <si>
    <t>A. Fuel combustion activities (sectoral approach)</t>
  </si>
  <si>
    <t>1. Energy industries</t>
  </si>
  <si>
    <t>a.  Public electricity and heat production</t>
  </si>
  <si>
    <t>https://unfccc.int/documents/461898</t>
  </si>
  <si>
    <t>https://webim.teias.gov.tr/file/8e92ef4c-48c6-410e-8852-dd4865cc816c?download</t>
  </si>
  <si>
    <t>TÜRKİYE  BRÜT  ELEKTRİK  ENERJİSİ  ÜRETİM- İTHALAT- İHRACAT VE  TALEBİNİN  YILLAR  İTİBARİYLE  GELİŞİMİ</t>
  </si>
  <si>
    <t>ANNUAL DEVELOPMENT OF TURKEY'S GROSS ELECTRICITY GENERATION-IMPORTS-EXPORTS AND  DEMAND</t>
  </si>
  <si>
    <t xml:space="preserve">  Birim(Unit) : GWh  </t>
  </si>
  <si>
    <t xml:space="preserve">  ULUSAL ÜRETİM</t>
  </si>
  <si>
    <t xml:space="preserve">       İ T H A L A T </t>
  </si>
  <si>
    <t xml:space="preserve">             I M P O R T S</t>
  </si>
  <si>
    <t xml:space="preserve">       İ H R A C A T </t>
  </si>
  <si>
    <t xml:space="preserve">        E X P O R T S</t>
  </si>
  <si>
    <r>
      <t>BRÜT TALEP</t>
    </r>
    <r>
      <rPr>
        <b/>
        <vertAlign val="superscript"/>
        <sz val="12"/>
        <rFont val="Arial"/>
        <family val="2"/>
        <charset val="162"/>
      </rPr>
      <t>(1)</t>
    </r>
  </si>
  <si>
    <t xml:space="preserve">  NATIONAL GENERATION</t>
  </si>
  <si>
    <r>
      <t xml:space="preserve">GROSS DEMAND </t>
    </r>
    <r>
      <rPr>
        <i/>
        <vertAlign val="superscript"/>
        <sz val="10"/>
        <rFont val="Arial"/>
        <family val="2"/>
        <charset val="162"/>
      </rPr>
      <t>(1)</t>
    </r>
  </si>
  <si>
    <t>BULGA-</t>
  </si>
  <si>
    <t>YUNA-</t>
  </si>
  <si>
    <t>AZERBAYCAN</t>
  </si>
  <si>
    <t>GÜRCİS-</t>
  </si>
  <si>
    <t>İRAN</t>
  </si>
  <si>
    <t xml:space="preserve">  YILLAR</t>
  </si>
  <si>
    <t>TERMİK</t>
  </si>
  <si>
    <t>HİDROLİK</t>
  </si>
  <si>
    <t>JEOTER.+RÜZ+GÜN.</t>
  </si>
  <si>
    <t>TOPLAM</t>
  </si>
  <si>
    <t>ARTIŞ %</t>
  </si>
  <si>
    <t>RİSTAN</t>
  </si>
  <si>
    <t>NİSTAN</t>
  </si>
  <si>
    <t>(NAHÇIVAN)</t>
  </si>
  <si>
    <t>TAN</t>
  </si>
  <si>
    <t>(TÜRKMENİSTAN)</t>
  </si>
  <si>
    <t>IRAK</t>
  </si>
  <si>
    <t>SURİYE</t>
  </si>
  <si>
    <t xml:space="preserve"> TOPLAM</t>
  </si>
  <si>
    <t>THERMAL</t>
  </si>
  <si>
    <t>HYDRO</t>
  </si>
  <si>
    <t>GEOTHERM.+WIND+SOLAR</t>
  </si>
  <si>
    <t>TOTAL</t>
  </si>
  <si>
    <t>INCREASE %</t>
  </si>
  <si>
    <t>BULGARIA</t>
  </si>
  <si>
    <t>GREECE</t>
  </si>
  <si>
    <t>AZERBAIJAN</t>
  </si>
  <si>
    <t>GEORGIA</t>
  </si>
  <si>
    <t>IRAN</t>
  </si>
  <si>
    <t>IRAQ</t>
  </si>
  <si>
    <t>SYRIA</t>
  </si>
  <si>
    <t xml:space="preserve">    GWh</t>
  </si>
  <si>
    <t>1)Brüt Talep=Elektrik Gerekliliği=Görünen Tüketim=Brüt Üretim+İthalat-İhracat</t>
  </si>
  <si>
    <t>1)Gross Demand=Electricity Requirement=Apparent Consumption=Gross Generation+Import-Export</t>
  </si>
  <si>
    <r>
      <t>M</t>
    </r>
    <r>
      <rPr>
        <sz val="10"/>
        <rFont val="Verdana"/>
        <family val="2"/>
      </rPr>
      <t>aximum methane producing potential of the volatile solid generated</t>
    </r>
  </si>
  <si>
    <t>IPCC 2006 vol.4, chapter 10, Table10.16 (Dairy Cows eastern Europe)</t>
  </si>
  <si>
    <t>IPCC 2006 vol.4, chapter 10, Table10.16 (Chicken-layer)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</si>
</sst>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T_L_-;\-* #,##0.00\ _T_L_-;_-* &quot;-&quot;??\ _T_L_-;_-@_-"/>
    <numFmt numFmtId="165" formatCode="0_);[Red]\(0\)"/>
    <numFmt numFmtId="166" formatCode="0.0%"/>
    <numFmt numFmtId="167" formatCode="_(* #,##0.00_);_(* \(#,##0.00\);_(* &quot;-&quot;??_);_(@_)"/>
    <numFmt numFmtId="168" formatCode="0.0"/>
    <numFmt numFmtId="169" formatCode="0.0\ "/>
    <numFmt numFmtId="170" formatCode="_-* #,##0\ _T_L_-;\-* #,##0\ _T_L_-;_-* &quot;-&quot;??\ _T_L_-;_-@_-"/>
    <numFmt numFmtId="171" formatCode="_-* #,##0.000\ _T_L_-;\-* #,##0.000\ _T_L_-;_-* &quot;-&quot;??\ _T_L_-;_-@_-"/>
    <numFmt numFmtId="172" formatCode="_(* #,##0.0_);_(* \(#,##0.0\);_(* &quot;-&quot;??_);_(@_)"/>
    <numFmt numFmtId="173" formatCode="#,##0.0"/>
    <numFmt numFmtId="174" formatCode="0.000"/>
  </numFmts>
  <fonts count="77"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vertAlign val="subscript"/>
      <sz val="10"/>
      <name val="Verdana"/>
      <family val="2"/>
    </font>
    <font>
      <sz val="9"/>
      <name val="宋体"/>
      <charset val="134"/>
    </font>
    <font>
      <vertAlign val="superscript"/>
      <sz val="10"/>
      <name val="Verdana"/>
      <family val="2"/>
    </font>
    <font>
      <sz val="10"/>
      <name val="宋体"/>
      <charset val="134"/>
    </font>
    <font>
      <sz val="10"/>
      <name val="Arial Unicode MS"/>
      <family val="2"/>
      <charset val="134"/>
    </font>
    <font>
      <vertAlign val="subscript"/>
      <sz val="10"/>
      <name val="Arial Unicode MS"/>
      <family val="2"/>
      <charset val="134"/>
    </font>
    <font>
      <sz val="11"/>
      <name val="Calibri"/>
      <family val="2"/>
    </font>
    <font>
      <i/>
      <sz val="11"/>
      <name val="Calibri"/>
      <family val="2"/>
    </font>
    <font>
      <i/>
      <sz val="10"/>
      <name val="Verdana"/>
      <family val="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name val="Times New Roman"/>
      <family val="1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Geneva"/>
      <charset val="16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  <charset val="162"/>
    </font>
    <font>
      <i/>
      <sz val="12"/>
      <name val="Arial"/>
      <family val="2"/>
      <charset val="162"/>
    </font>
    <font>
      <b/>
      <sz val="12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i/>
      <sz val="14"/>
      <name val="Arial"/>
      <family val="2"/>
      <charset val="162"/>
    </font>
    <font>
      <b/>
      <sz val="14"/>
      <name val="Arial"/>
      <family val="2"/>
      <charset val="162"/>
    </font>
    <font>
      <b/>
      <sz val="11"/>
      <name val="Arial"/>
      <family val="2"/>
      <charset val="162"/>
    </font>
    <font>
      <i/>
      <sz val="11"/>
      <name val="Arial"/>
      <family val="2"/>
      <charset val="162"/>
    </font>
    <font>
      <i/>
      <vertAlign val="superscript"/>
      <sz val="11"/>
      <name val="Arial"/>
      <family val="2"/>
      <charset val="162"/>
    </font>
    <font>
      <b/>
      <vertAlign val="superscript"/>
      <sz val="12"/>
      <name val="Arial"/>
      <family val="2"/>
      <charset val="162"/>
    </font>
    <font>
      <i/>
      <sz val="16"/>
      <name val="Arial"/>
      <family val="2"/>
      <charset val="162"/>
    </font>
    <font>
      <b/>
      <sz val="18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vertAlign val="subscript"/>
      <sz val="10"/>
      <name val="Verdana"/>
      <family val="2"/>
      <charset val="162"/>
    </font>
    <font>
      <b/>
      <sz val="12"/>
      <name val="Verdana"/>
      <family val="2"/>
    </font>
    <font>
      <sz val="12"/>
      <name val="Calibri"/>
      <family val="2"/>
    </font>
    <font>
      <sz val="10"/>
      <name val="Arial Tur"/>
    </font>
    <font>
      <sz val="8.5"/>
      <name val="Verdana"/>
      <family val="2"/>
    </font>
    <font>
      <vertAlign val="subscript"/>
      <sz val="14"/>
      <name val="Verdana"/>
      <family val="2"/>
      <charset val="162"/>
    </font>
    <font>
      <b/>
      <sz val="10"/>
      <name val="Verdana"/>
      <family val="2"/>
    </font>
    <font>
      <b/>
      <vertAlign val="subscript"/>
      <sz val="10"/>
      <name val="Verdana"/>
      <family val="2"/>
    </font>
    <font>
      <b/>
      <sz val="14"/>
      <name val="Verdana"/>
      <family val="2"/>
    </font>
    <font>
      <b/>
      <vertAlign val="subscript"/>
      <sz val="14"/>
      <name val="Verdana"/>
      <family val="2"/>
    </font>
    <font>
      <b/>
      <sz val="16"/>
      <name val="Verdana"/>
      <family val="2"/>
    </font>
    <font>
      <b/>
      <vertAlign val="subscript"/>
      <sz val="16"/>
      <name val="Verdana"/>
      <family val="2"/>
    </font>
    <font>
      <vertAlign val="subscript"/>
      <sz val="12"/>
      <name val="Verdana"/>
      <family val="2"/>
    </font>
    <font>
      <b/>
      <vertAlign val="subscript"/>
      <sz val="12"/>
      <name val="Verdana"/>
      <family val="2"/>
    </font>
    <font>
      <b/>
      <sz val="16"/>
      <color theme="0"/>
      <name val="Verdana"/>
      <family val="2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vertAlign val="subscript"/>
      <sz val="9"/>
      <name val="Times New Roman"/>
      <family val="1"/>
    </font>
    <font>
      <sz val="9"/>
      <name val="Times New Roman"/>
    </font>
    <font>
      <sz val="9"/>
      <name val="Times New Roman"/>
      <family val="1"/>
    </font>
    <font>
      <b/>
      <sz val="13"/>
      <name val="Arial"/>
      <family val="2"/>
      <charset val="162"/>
    </font>
    <font>
      <i/>
      <sz val="13"/>
      <name val="Arial"/>
      <family val="2"/>
      <charset val="162"/>
    </font>
    <font>
      <i/>
      <sz val="10"/>
      <name val="Arial"/>
      <family val="2"/>
      <charset val="162"/>
    </font>
    <font>
      <i/>
      <vertAlign val="superscript"/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6"/>
      <name val="Arial"/>
      <family val="2"/>
      <charset val="162"/>
    </font>
    <font>
      <sz val="16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3">
    <xf numFmtId="0" fontId="0" fillId="0" borderId="0"/>
    <xf numFmtId="0" fontId="12" fillId="0" borderId="0"/>
    <xf numFmtId="0" fontId="13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2" applyNumberFormat="0" applyAlignment="0" applyProtection="0"/>
    <xf numFmtId="0" fontId="19" fillId="21" borderId="13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2" applyNumberFormat="0" applyAlignment="0" applyProtection="0"/>
    <xf numFmtId="0" fontId="26" fillId="0" borderId="17" applyNumberFormat="0" applyFill="0" applyAlignment="0" applyProtection="0"/>
    <xf numFmtId="0" fontId="15" fillId="0" borderId="0"/>
    <xf numFmtId="0" fontId="27" fillId="0" borderId="0"/>
    <xf numFmtId="0" fontId="15" fillId="22" borderId="18" applyNumberFormat="0" applyFont="0" applyAlignment="0" applyProtection="0"/>
    <xf numFmtId="0" fontId="28" fillId="20" borderId="1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7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9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>
      <alignment horizontal="right"/>
    </xf>
    <xf numFmtId="0" fontId="66" fillId="0" borderId="0" applyNumberFormat="0" applyFill="0" applyBorder="0" applyProtection="0">
      <alignment horizontal="left" vertical="center"/>
    </xf>
    <xf numFmtId="0" fontId="31" fillId="0" borderId="0" applyNumberFormat="0" applyFont="0" applyFill="0" applyBorder="0" applyProtection="0">
      <alignment horizontal="left" vertical="center" indent="2"/>
    </xf>
  </cellStyleXfs>
  <cellXfs count="34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9" fontId="0" fillId="0" borderId="0" xfId="0" applyNumberForma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7" xfId="0" applyBorder="1" applyAlignment="1">
      <alignment horizontal="justify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166" fontId="0" fillId="0" borderId="0" xfId="0" applyNumberFormat="1" applyAlignment="1">
      <alignment vertical="center" wrapText="1"/>
    </xf>
    <xf numFmtId="0" fontId="12" fillId="0" borderId="0" xfId="39" applyFont="1"/>
    <xf numFmtId="0" fontId="12" fillId="0" borderId="0" xfId="39" applyFont="1" applyAlignment="1">
      <alignment horizontal="center"/>
    </xf>
    <xf numFmtId="168" fontId="12" fillId="0" borderId="0" xfId="39" applyNumberFormat="1" applyFont="1"/>
    <xf numFmtId="168" fontId="33" fillId="0" borderId="0" xfId="39" applyNumberFormat="1" applyFont="1" applyAlignment="1">
      <alignment horizontal="center"/>
    </xf>
    <xf numFmtId="0" fontId="33" fillId="0" borderId="0" xfId="39" applyFont="1"/>
    <xf numFmtId="0" fontId="34" fillId="0" borderId="0" xfId="39" applyFont="1"/>
    <xf numFmtId="0" fontId="35" fillId="0" borderId="0" xfId="39" applyFont="1"/>
    <xf numFmtId="0" fontId="36" fillId="0" borderId="0" xfId="39" applyFont="1"/>
    <xf numFmtId="0" fontId="37" fillId="0" borderId="0" xfId="39" applyFont="1"/>
    <xf numFmtId="168" fontId="37" fillId="0" borderId="0" xfId="39" applyNumberFormat="1" applyFont="1"/>
    <xf numFmtId="0" fontId="32" fillId="0" borderId="0" xfId="45" applyAlignment="1" applyProtection="1"/>
    <xf numFmtId="0" fontId="38" fillId="0" borderId="0" xfId="39" applyFont="1"/>
    <xf numFmtId="0" fontId="39" fillId="0" borderId="0" xfId="39" applyFont="1"/>
    <xf numFmtId="169" fontId="37" fillId="0" borderId="0" xfId="39" applyNumberFormat="1" applyFont="1" applyAlignment="1">
      <alignment horizontal="right"/>
    </xf>
    <xf numFmtId="168" fontId="37" fillId="0" borderId="0" xfId="39" applyNumberFormat="1" applyFont="1" applyAlignment="1">
      <alignment horizontal="right"/>
    </xf>
    <xf numFmtId="169" fontId="39" fillId="0" borderId="0" xfId="39" applyNumberFormat="1" applyFont="1" applyAlignment="1">
      <alignment horizontal="right"/>
    </xf>
    <xf numFmtId="169" fontId="36" fillId="0" borderId="0" xfId="39" applyNumberFormat="1" applyFont="1" applyAlignment="1">
      <alignment horizontal="right"/>
    </xf>
    <xf numFmtId="0" fontId="37" fillId="0" borderId="0" xfId="39" applyFont="1" applyAlignment="1">
      <alignment horizontal="right"/>
    </xf>
    <xf numFmtId="0" fontId="37" fillId="0" borderId="11" xfId="39" applyFont="1" applyBorder="1"/>
    <xf numFmtId="169" fontId="37" fillId="0" borderId="10" xfId="39" applyNumberFormat="1" applyFont="1" applyBorder="1" applyAlignment="1">
      <alignment horizontal="right"/>
    </xf>
    <xf numFmtId="0" fontId="39" fillId="0" borderId="10" xfId="39" applyFont="1" applyBorder="1"/>
    <xf numFmtId="0" fontId="37" fillId="0" borderId="10" xfId="39" applyFont="1" applyBorder="1"/>
    <xf numFmtId="168" fontId="37" fillId="0" borderId="10" xfId="39" applyNumberFormat="1" applyFont="1" applyBorder="1"/>
    <xf numFmtId="168" fontId="37" fillId="0" borderId="10" xfId="39" applyNumberFormat="1" applyFont="1" applyBorder="1" applyAlignment="1">
      <alignment horizontal="right"/>
    </xf>
    <xf numFmtId="169" fontId="39" fillId="0" borderId="10" xfId="39" applyNumberFormat="1" applyFont="1" applyBorder="1" applyAlignment="1">
      <alignment horizontal="right"/>
    </xf>
    <xf numFmtId="0" fontId="37" fillId="0" borderId="10" xfId="39" applyFont="1" applyBorder="1" applyAlignment="1">
      <alignment horizontal="right"/>
    </xf>
    <xf numFmtId="0" fontId="35" fillId="0" borderId="9" xfId="39" applyFont="1" applyBorder="1" applyAlignment="1">
      <alignment horizontal="center"/>
    </xf>
    <xf numFmtId="0" fontId="37" fillId="0" borderId="8" xfId="39" applyFont="1" applyBorder="1"/>
    <xf numFmtId="169" fontId="33" fillId="0" borderId="0" xfId="39" applyNumberFormat="1" applyFont="1" applyAlignment="1">
      <alignment horizontal="right"/>
    </xf>
    <xf numFmtId="168" fontId="33" fillId="0" borderId="0" xfId="39" applyNumberFormat="1" applyFont="1"/>
    <xf numFmtId="168" fontId="33" fillId="0" borderId="0" xfId="39" applyNumberFormat="1" applyFont="1" applyAlignment="1">
      <alignment horizontal="right"/>
    </xf>
    <xf numFmtId="0" fontId="39" fillId="0" borderId="7" xfId="39" applyFont="1" applyBorder="1" applyAlignment="1">
      <alignment horizontal="center"/>
    </xf>
    <xf numFmtId="0" fontId="33" fillId="0" borderId="0" xfId="39" applyFont="1" applyAlignment="1">
      <alignment horizontal="right"/>
    </xf>
    <xf numFmtId="0" fontId="35" fillId="0" borderId="7" xfId="39" applyFont="1" applyBorder="1" applyAlignment="1">
      <alignment horizontal="center"/>
    </xf>
    <xf numFmtId="0" fontId="40" fillId="0" borderId="8" xfId="39" applyFont="1" applyBorder="1" applyAlignment="1">
      <alignment horizontal="center"/>
    </xf>
    <xf numFmtId="0" fontId="41" fillId="0" borderId="0" xfId="39" applyFont="1" applyAlignment="1">
      <alignment horizontal="center"/>
    </xf>
    <xf numFmtId="0" fontId="40" fillId="0" borderId="0" xfId="39" applyFont="1" applyAlignment="1">
      <alignment horizontal="center"/>
    </xf>
    <xf numFmtId="0" fontId="41" fillId="0" borderId="0" xfId="39" applyFont="1"/>
    <xf numFmtId="0" fontId="41" fillId="0" borderId="7" xfId="39" applyFont="1" applyBorder="1" applyAlignment="1">
      <alignment horizontal="center"/>
    </xf>
    <xf numFmtId="0" fontId="35" fillId="0" borderId="8" xfId="39" applyFont="1" applyBorder="1" applyAlignment="1">
      <alignment horizontal="center"/>
    </xf>
    <xf numFmtId="0" fontId="35" fillId="0" borderId="0" xfId="39" applyFont="1" applyAlignment="1">
      <alignment horizontal="center"/>
    </xf>
    <xf numFmtId="0" fontId="37" fillId="0" borderId="7" xfId="39" applyFont="1" applyBorder="1" applyAlignment="1">
      <alignment horizontal="center"/>
    </xf>
    <xf numFmtId="0" fontId="37" fillId="0" borderId="6" xfId="39" applyFont="1" applyBorder="1"/>
    <xf numFmtId="0" fontId="37" fillId="0" borderId="5" xfId="39" applyFont="1" applyBorder="1"/>
    <xf numFmtId="0" fontId="37" fillId="0" borderId="4" xfId="39" applyFont="1" applyBorder="1" applyAlignment="1">
      <alignment horizontal="center"/>
    </xf>
    <xf numFmtId="0" fontId="35" fillId="0" borderId="10" xfId="39" applyFont="1" applyBorder="1"/>
    <xf numFmtId="0" fontId="37" fillId="0" borderId="9" xfId="39" applyFont="1" applyBorder="1"/>
    <xf numFmtId="0" fontId="12" fillId="0" borderId="8" xfId="39" applyFont="1" applyBorder="1" applyAlignment="1">
      <alignment horizontal="centerContinuous"/>
    </xf>
    <xf numFmtId="0" fontId="12" fillId="0" borderId="0" xfId="39" applyFont="1" applyAlignment="1">
      <alignment horizontal="centerContinuous"/>
    </xf>
    <xf numFmtId="0" fontId="44" fillId="0" borderId="7" xfId="39" applyFont="1" applyBorder="1" applyAlignment="1">
      <alignment horizontal="centerContinuous"/>
    </xf>
    <xf numFmtId="0" fontId="45" fillId="0" borderId="7" xfId="39" applyFont="1" applyBorder="1" applyAlignment="1">
      <alignment horizontal="centerContinuous"/>
    </xf>
    <xf numFmtId="0" fontId="37" fillId="0" borderId="4" xfId="39" applyFont="1" applyBorder="1"/>
    <xf numFmtId="170" fontId="1" fillId="0" borderId="0" xfId="47" applyNumberFormat="1" applyFont="1" applyAlignment="1">
      <alignment horizontal="justify" vertical="center"/>
    </xf>
    <xf numFmtId="170" fontId="1" fillId="0" borderId="10" xfId="47" applyNumberFormat="1" applyFont="1" applyBorder="1" applyAlignment="1">
      <alignment vertical="center" wrapText="1"/>
    </xf>
    <xf numFmtId="0" fontId="46" fillId="0" borderId="7" xfId="0" applyFont="1" applyBorder="1" applyAlignment="1">
      <alignment vertical="center" wrapText="1"/>
    </xf>
    <xf numFmtId="170" fontId="46" fillId="0" borderId="9" xfId="47" applyNumberFormat="1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0" fontId="0" fillId="0" borderId="20" xfId="0" applyBorder="1" applyAlignment="1">
      <alignment vertical="center" wrapText="1"/>
    </xf>
    <xf numFmtId="0" fontId="0" fillId="23" borderId="20" xfId="0" applyFill="1" applyBorder="1"/>
    <xf numFmtId="3" fontId="0" fillId="23" borderId="20" xfId="0" applyNumberFormat="1" applyFill="1" applyBorder="1"/>
    <xf numFmtId="0" fontId="0" fillId="24" borderId="20" xfId="0" applyFill="1" applyBorder="1"/>
    <xf numFmtId="3" fontId="0" fillId="24" borderId="20" xfId="0" applyNumberFormat="1" applyFill="1" applyBorder="1"/>
    <xf numFmtId="0" fontId="1" fillId="23" borderId="20" xfId="0" applyFont="1" applyFill="1" applyBorder="1"/>
    <xf numFmtId="170" fontId="46" fillId="0" borderId="0" xfId="47" applyNumberFormat="1" applyFont="1" applyBorder="1" applyAlignment="1">
      <alignment vertical="center" wrapText="1"/>
    </xf>
    <xf numFmtId="170" fontId="1" fillId="0" borderId="0" xfId="47" applyNumberFormat="1" applyFont="1" applyBorder="1" applyAlignment="1">
      <alignment vertical="center" wrapText="1"/>
    </xf>
    <xf numFmtId="170" fontId="0" fillId="0" borderId="0" xfId="47" applyNumberFormat="1" applyFont="1" applyAlignment="1">
      <alignment vertical="center" wrapText="1"/>
    </xf>
    <xf numFmtId="170" fontId="0" fillId="0" borderId="0" xfId="0" applyNumberFormat="1" applyAlignment="1">
      <alignment vertical="center" wrapText="1"/>
    </xf>
    <xf numFmtId="170" fontId="1" fillId="0" borderId="0" xfId="47" applyNumberFormat="1" applyFont="1" applyAlignment="1">
      <alignment vertical="center" wrapText="1"/>
    </xf>
    <xf numFmtId="0" fontId="54" fillId="0" borderId="20" xfId="0" applyFont="1" applyBorder="1" applyAlignment="1">
      <alignment vertical="center" wrapText="1"/>
    </xf>
    <xf numFmtId="0" fontId="0" fillId="25" borderId="5" xfId="0" applyFill="1" applyBorder="1" applyAlignment="1">
      <alignment vertical="center" wrapText="1"/>
    </xf>
    <xf numFmtId="0" fontId="0" fillId="25" borderId="6" xfId="0" applyFill="1" applyBorder="1" applyAlignment="1">
      <alignment vertical="center" wrapText="1"/>
    </xf>
    <xf numFmtId="0" fontId="0" fillId="25" borderId="7" xfId="0" applyFill="1" applyBorder="1" applyAlignment="1">
      <alignment vertical="center" wrapText="1"/>
    </xf>
    <xf numFmtId="0" fontId="0" fillId="25" borderId="0" xfId="0" applyFill="1" applyAlignment="1">
      <alignment vertical="center" wrapText="1"/>
    </xf>
    <xf numFmtId="0" fontId="0" fillId="25" borderId="8" xfId="0" applyFill="1" applyBorder="1" applyAlignment="1">
      <alignment vertical="center" wrapText="1"/>
    </xf>
    <xf numFmtId="171" fontId="0" fillId="25" borderId="0" xfId="47" applyNumberFormat="1" applyFont="1" applyFill="1" applyBorder="1" applyAlignment="1">
      <alignment vertical="center" wrapText="1"/>
    </xf>
    <xf numFmtId="0" fontId="0" fillId="25" borderId="9" xfId="0" applyFill="1" applyBorder="1" applyAlignment="1">
      <alignment vertical="center" wrapText="1"/>
    </xf>
    <xf numFmtId="0" fontId="0" fillId="25" borderId="10" xfId="0" applyFill="1" applyBorder="1" applyAlignment="1">
      <alignment vertical="center" wrapText="1"/>
    </xf>
    <xf numFmtId="0" fontId="0" fillId="25" borderId="10" xfId="0" applyFill="1" applyBorder="1" applyAlignment="1">
      <alignment horizontal="justify" vertical="center"/>
    </xf>
    <xf numFmtId="0" fontId="0" fillId="25" borderId="10" xfId="0" applyFill="1" applyBorder="1" applyAlignment="1">
      <alignment horizontal="center" vertical="center"/>
    </xf>
    <xf numFmtId="0" fontId="0" fillId="25" borderId="11" xfId="0" applyFill="1" applyBorder="1" applyAlignment="1">
      <alignment vertical="center" wrapText="1"/>
    </xf>
    <xf numFmtId="0" fontId="0" fillId="27" borderId="5" xfId="0" applyFill="1" applyBorder="1" applyAlignment="1">
      <alignment horizontal="justify" vertical="center"/>
    </xf>
    <xf numFmtId="0" fontId="50" fillId="27" borderId="5" xfId="0" applyFont="1" applyFill="1" applyBorder="1" applyAlignment="1">
      <alignment horizontal="left" vertical="center" wrapText="1"/>
    </xf>
    <xf numFmtId="0" fontId="0" fillId="27" borderId="5" xfId="0" applyFill="1" applyBorder="1" applyAlignment="1">
      <alignment vertical="center" wrapText="1"/>
    </xf>
    <xf numFmtId="0" fontId="0" fillId="27" borderId="6" xfId="0" applyFill="1" applyBorder="1" applyAlignment="1">
      <alignment vertical="center" wrapText="1"/>
    </xf>
    <xf numFmtId="0" fontId="0" fillId="27" borderId="7" xfId="0" applyFill="1" applyBorder="1" applyAlignment="1">
      <alignment vertical="center" wrapText="1"/>
    </xf>
    <xf numFmtId="0" fontId="0" fillId="27" borderId="0" xfId="0" applyFill="1" applyAlignment="1">
      <alignment vertical="center" wrapText="1"/>
    </xf>
    <xf numFmtId="3" fontId="0" fillId="27" borderId="0" xfId="0" applyNumberFormat="1" applyFill="1" applyAlignment="1">
      <alignment vertical="center" wrapText="1"/>
    </xf>
    <xf numFmtId="0" fontId="0" fillId="27" borderId="0" xfId="0" applyFill="1" applyAlignment="1">
      <alignment horizontal="justify" vertical="center"/>
    </xf>
    <xf numFmtId="0" fontId="0" fillId="27" borderId="8" xfId="0" applyFill="1" applyBorder="1" applyAlignment="1">
      <alignment vertical="center" wrapText="1"/>
    </xf>
    <xf numFmtId="0" fontId="0" fillId="27" borderId="9" xfId="0" applyFill="1" applyBorder="1" applyAlignment="1">
      <alignment vertical="center" wrapText="1"/>
    </xf>
    <xf numFmtId="0" fontId="0" fillId="27" borderId="10" xfId="0" applyFill="1" applyBorder="1" applyAlignment="1">
      <alignment vertical="center" wrapText="1"/>
    </xf>
    <xf numFmtId="3" fontId="0" fillId="27" borderId="10" xfId="0" applyNumberFormat="1" applyFill="1" applyBorder="1" applyAlignment="1">
      <alignment vertical="center" wrapText="1"/>
    </xf>
    <xf numFmtId="0" fontId="0" fillId="27" borderId="10" xfId="0" applyFill="1" applyBorder="1" applyAlignment="1">
      <alignment horizontal="justify" vertical="center"/>
    </xf>
    <xf numFmtId="0" fontId="0" fillId="27" borderId="11" xfId="0" applyFill="1" applyBorder="1" applyAlignment="1">
      <alignment vertical="center" wrapText="1"/>
    </xf>
    <xf numFmtId="0" fontId="49" fillId="25" borderId="4" xfId="0" applyFont="1" applyFill="1" applyBorder="1" applyAlignment="1">
      <alignment vertical="center" wrapText="1"/>
    </xf>
    <xf numFmtId="0" fontId="58" fillId="27" borderId="4" xfId="0" applyFont="1" applyFill="1" applyBorder="1" applyAlignment="1">
      <alignment horizontal="justify" vertical="center"/>
    </xf>
    <xf numFmtId="0" fontId="1" fillId="28" borderId="5" xfId="0" applyFont="1" applyFill="1" applyBorder="1" applyAlignment="1">
      <alignment vertical="center" wrapText="1"/>
    </xf>
    <xf numFmtId="0" fontId="0" fillId="28" borderId="5" xfId="0" applyFill="1" applyBorder="1" applyAlignment="1">
      <alignment vertical="center" wrapText="1"/>
    </xf>
    <xf numFmtId="0" fontId="1" fillId="28" borderId="6" xfId="0" applyFont="1" applyFill="1" applyBorder="1" applyAlignment="1">
      <alignment vertical="center" wrapText="1"/>
    </xf>
    <xf numFmtId="0" fontId="1" fillId="28" borderId="7" xfId="0" applyFont="1" applyFill="1" applyBorder="1" applyAlignment="1">
      <alignment vertical="center" wrapText="1"/>
    </xf>
    <xf numFmtId="0" fontId="0" fillId="28" borderId="0" xfId="0" applyFill="1" applyAlignment="1">
      <alignment vertical="center" wrapText="1"/>
    </xf>
    <xf numFmtId="0" fontId="1" fillId="28" borderId="0" xfId="0" applyFont="1" applyFill="1" applyAlignment="1">
      <alignment horizontal="justify" vertical="center"/>
    </xf>
    <xf numFmtId="0" fontId="0" fillId="28" borderId="0" xfId="0" applyFill="1" applyAlignment="1">
      <alignment vertical="center"/>
    </xf>
    <xf numFmtId="0" fontId="1" fillId="28" borderId="0" xfId="0" applyFont="1" applyFill="1" applyAlignment="1">
      <alignment vertical="center" wrapText="1"/>
    </xf>
    <xf numFmtId="0" fontId="1" fillId="28" borderId="8" xfId="0" applyFont="1" applyFill="1" applyBorder="1" applyAlignment="1">
      <alignment vertical="center" wrapText="1"/>
    </xf>
    <xf numFmtId="9" fontId="1" fillId="28" borderId="0" xfId="0" applyNumberFormat="1" applyFont="1" applyFill="1" applyAlignment="1">
      <alignment vertical="center" wrapText="1"/>
    </xf>
    <xf numFmtId="0" fontId="0" fillId="28" borderId="8" xfId="0" applyFill="1" applyBorder="1" applyAlignment="1">
      <alignment vertical="center" wrapText="1"/>
    </xf>
    <xf numFmtId="0" fontId="0" fillId="28" borderId="7" xfId="0" applyFill="1" applyBorder="1" applyAlignment="1">
      <alignment vertical="center" wrapText="1"/>
    </xf>
    <xf numFmtId="0" fontId="0" fillId="28" borderId="9" xfId="0" applyFill="1" applyBorder="1" applyAlignment="1">
      <alignment vertical="center" wrapText="1"/>
    </xf>
    <xf numFmtId="0" fontId="0" fillId="28" borderId="10" xfId="0" applyFill="1" applyBorder="1" applyAlignment="1">
      <alignment vertical="center" wrapText="1"/>
    </xf>
    <xf numFmtId="0" fontId="1" fillId="28" borderId="10" xfId="0" applyFont="1" applyFill="1" applyBorder="1" applyAlignment="1">
      <alignment vertical="center" wrapText="1"/>
    </xf>
    <xf numFmtId="0" fontId="1" fillId="28" borderId="11" xfId="0" applyFont="1" applyFill="1" applyBorder="1" applyAlignment="1">
      <alignment vertical="center" wrapText="1"/>
    </xf>
    <xf numFmtId="0" fontId="56" fillId="28" borderId="4" xfId="0" applyFont="1" applyFill="1" applyBorder="1" applyAlignment="1">
      <alignment vertical="center" wrapText="1"/>
    </xf>
    <xf numFmtId="0" fontId="56" fillId="26" borderId="4" xfId="0" applyFont="1" applyFill="1" applyBorder="1" applyAlignment="1">
      <alignment horizontal="justify" vertical="center"/>
    </xf>
    <xf numFmtId="0" fontId="0" fillId="26" borderId="5" xfId="0" applyFill="1" applyBorder="1" applyAlignment="1">
      <alignment horizontal="justify" vertical="center"/>
    </xf>
    <xf numFmtId="0" fontId="1" fillId="26" borderId="5" xfId="0" applyFont="1" applyFill="1" applyBorder="1" applyAlignment="1">
      <alignment vertical="center" wrapText="1"/>
    </xf>
    <xf numFmtId="0" fontId="1" fillId="26" borderId="6" xfId="0" applyFont="1" applyFill="1" applyBorder="1" applyAlignment="1">
      <alignment vertical="center" wrapText="1"/>
    </xf>
    <xf numFmtId="0" fontId="0" fillId="26" borderId="7" xfId="0" applyFill="1" applyBorder="1" applyAlignment="1">
      <alignment horizontal="justify" vertical="center"/>
    </xf>
    <xf numFmtId="0" fontId="0" fillId="26" borderId="0" xfId="0" applyFill="1" applyAlignment="1">
      <alignment horizontal="justify" vertical="center"/>
    </xf>
    <xf numFmtId="0" fontId="0" fillId="26" borderId="0" xfId="0" applyFill="1" applyAlignment="1">
      <alignment vertical="center" wrapText="1"/>
    </xf>
    <xf numFmtId="0" fontId="1" fillId="26" borderId="8" xfId="0" applyFont="1" applyFill="1" applyBorder="1" applyAlignment="1">
      <alignment vertical="center" wrapText="1"/>
    </xf>
    <xf numFmtId="166" fontId="0" fillId="26" borderId="0" xfId="48" applyNumberFormat="1" applyFont="1" applyFill="1" applyBorder="1" applyAlignment="1">
      <alignment vertical="center"/>
    </xf>
    <xf numFmtId="0" fontId="32" fillId="26" borderId="0" xfId="45" applyFill="1" applyBorder="1" applyAlignment="1" applyProtection="1">
      <alignment vertical="center" wrapText="1"/>
    </xf>
    <xf numFmtId="0" fontId="0" fillId="26" borderId="8" xfId="0" applyFill="1" applyBorder="1" applyAlignment="1">
      <alignment vertical="center" wrapText="1"/>
    </xf>
    <xf numFmtId="0" fontId="0" fillId="26" borderId="0" xfId="0" applyFill="1" applyAlignment="1">
      <alignment vertical="center"/>
    </xf>
    <xf numFmtId="0" fontId="1" fillId="26" borderId="0" xfId="0" applyFont="1" applyFill="1" applyAlignment="1">
      <alignment vertical="center" wrapText="1"/>
    </xf>
    <xf numFmtId="0" fontId="0" fillId="26" borderId="9" xfId="0" applyFill="1" applyBorder="1" applyAlignment="1">
      <alignment horizontal="justify" vertical="center"/>
    </xf>
    <xf numFmtId="0" fontId="0" fillId="26" borderId="10" xfId="0" applyFill="1" applyBorder="1" applyAlignment="1">
      <alignment horizontal="justify" vertical="center"/>
    </xf>
    <xf numFmtId="0" fontId="0" fillId="26" borderId="10" xfId="0" applyFill="1" applyBorder="1" applyAlignment="1">
      <alignment vertical="center"/>
    </xf>
    <xf numFmtId="0" fontId="1" fillId="26" borderId="11" xfId="0" applyFont="1" applyFill="1" applyBorder="1" applyAlignment="1">
      <alignment vertical="center" wrapText="1"/>
    </xf>
    <xf numFmtId="1" fontId="49" fillId="26" borderId="5" xfId="0" applyNumberFormat="1" applyFont="1" applyFill="1" applyBorder="1" applyAlignment="1">
      <alignment vertical="center"/>
    </xf>
    <xf numFmtId="1" fontId="49" fillId="27" borderId="5" xfId="0" applyNumberFormat="1" applyFont="1" applyFill="1" applyBorder="1" applyAlignment="1">
      <alignment vertical="center"/>
    </xf>
    <xf numFmtId="170" fontId="49" fillId="25" borderId="5" xfId="47" applyNumberFormat="1" applyFont="1" applyFill="1" applyBorder="1" applyAlignment="1">
      <alignment vertical="center" wrapText="1"/>
    </xf>
    <xf numFmtId="1" fontId="56" fillId="25" borderId="2" xfId="0" applyNumberFormat="1" applyFont="1" applyFill="1" applyBorder="1" applyAlignment="1">
      <alignment vertical="center" wrapText="1"/>
    </xf>
    <xf numFmtId="0" fontId="56" fillId="0" borderId="1" xfId="0" applyFont="1" applyBorder="1" applyAlignment="1">
      <alignment vertical="center" wrapText="1"/>
    </xf>
    <xf numFmtId="0" fontId="54" fillId="0" borderId="2" xfId="0" applyFont="1" applyBorder="1" applyAlignment="1">
      <alignment vertical="center" wrapText="1"/>
    </xf>
    <xf numFmtId="0" fontId="54" fillId="0" borderId="3" xfId="0" applyFont="1" applyBorder="1" applyAlignment="1">
      <alignment vertical="center" wrapText="1"/>
    </xf>
    <xf numFmtId="1" fontId="0" fillId="0" borderId="0" xfId="0" applyNumberFormat="1"/>
    <xf numFmtId="14" fontId="0" fillId="0" borderId="0" xfId="0" applyNumberFormat="1"/>
    <xf numFmtId="14" fontId="0" fillId="0" borderId="20" xfId="0" applyNumberFormat="1" applyBorder="1"/>
    <xf numFmtId="1" fontId="0" fillId="0" borderId="20" xfId="0" applyNumberFormat="1" applyBorder="1"/>
    <xf numFmtId="0" fontId="0" fillId="0" borderId="20" xfId="0" applyBorder="1" applyAlignment="1">
      <alignment vertical="center"/>
    </xf>
    <xf numFmtId="172" fontId="47" fillId="26" borderId="20" xfId="47" applyNumberFormat="1" applyFont="1" applyFill="1" applyBorder="1" applyAlignment="1">
      <alignment vertical="center"/>
    </xf>
    <xf numFmtId="2" fontId="0" fillId="0" borderId="20" xfId="0" applyNumberFormat="1" applyBorder="1" applyAlignment="1">
      <alignment vertical="center"/>
    </xf>
    <xf numFmtId="172" fontId="0" fillId="0" borderId="20" xfId="47" applyNumberFormat="1" applyFont="1" applyBorder="1" applyAlignment="1">
      <alignment vertical="center"/>
    </xf>
    <xf numFmtId="4" fontId="0" fillId="0" borderId="0" xfId="0" applyNumberFormat="1" applyAlignment="1">
      <alignment vertical="center" wrapText="1"/>
    </xf>
    <xf numFmtId="170" fontId="54" fillId="25" borderId="0" xfId="47" applyNumberFormat="1" applyFont="1" applyFill="1" applyBorder="1" applyAlignment="1">
      <alignment vertical="center" wrapText="1"/>
    </xf>
    <xf numFmtId="0" fontId="54" fillId="0" borderId="20" xfId="0" applyFont="1" applyBorder="1" applyAlignment="1">
      <alignment vertical="center"/>
    </xf>
    <xf numFmtId="168" fontId="0" fillId="26" borderId="0" xfId="0" applyNumberFormat="1" applyFill="1" applyAlignment="1">
      <alignment vertical="center"/>
    </xf>
    <xf numFmtId="0" fontId="0" fillId="0" borderId="26" xfId="0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1" fillId="0" borderId="20" xfId="0" applyFont="1" applyBorder="1" applyAlignment="1">
      <alignment horizontal="right" vertical="center"/>
    </xf>
    <xf numFmtId="170" fontId="54" fillId="0" borderId="20" xfId="47" applyNumberFormat="1" applyFont="1" applyFill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0" xfId="0" applyFont="1" applyBorder="1" applyAlignment="1">
      <alignment horizontal="justify" vertical="center"/>
    </xf>
    <xf numFmtId="166" fontId="0" fillId="0" borderId="20" xfId="0" applyNumberFormat="1" applyBorder="1" applyAlignment="1">
      <alignment vertical="center" wrapText="1"/>
    </xf>
    <xf numFmtId="168" fontId="0" fillId="0" borderId="20" xfId="0" applyNumberFormat="1" applyBorder="1" applyAlignment="1">
      <alignment vertical="center" wrapText="1"/>
    </xf>
    <xf numFmtId="0" fontId="32" fillId="0" borderId="0" xfId="45" applyFill="1" applyAlignment="1" applyProtection="1"/>
    <xf numFmtId="170" fontId="0" fillId="0" borderId="0" xfId="47" applyNumberFormat="1" applyFont="1" applyFill="1" applyAlignment="1">
      <alignment vertical="center" wrapText="1"/>
    </xf>
    <xf numFmtId="170" fontId="54" fillId="0" borderId="20" xfId="47" applyNumberFormat="1" applyFont="1" applyFill="1" applyBorder="1" applyAlignment="1">
      <alignment horizontal="right" vertical="center" wrapText="1"/>
    </xf>
    <xf numFmtId="0" fontId="1" fillId="0" borderId="26" xfId="0" applyFont="1" applyBorder="1" applyAlignment="1">
      <alignment horizontal="justify" vertical="center"/>
    </xf>
    <xf numFmtId="165" fontId="1" fillId="0" borderId="20" xfId="0" applyNumberFormat="1" applyFont="1" applyBorder="1"/>
    <xf numFmtId="0" fontId="0" fillId="0" borderId="20" xfId="0" applyBorder="1" applyAlignment="1">
      <alignment horizontal="justify" vertical="center"/>
    </xf>
    <xf numFmtId="0" fontId="1" fillId="0" borderId="27" xfId="0" applyFont="1" applyBorder="1" applyAlignment="1">
      <alignment horizontal="justify" vertical="center"/>
    </xf>
    <xf numFmtId="165" fontId="1" fillId="0" borderId="26" xfId="0" applyNumberFormat="1" applyFont="1" applyBorder="1"/>
    <xf numFmtId="0" fontId="0" fillId="0" borderId="27" xfId="0" applyBorder="1" applyAlignment="1">
      <alignment horizontal="justify" vertical="center"/>
    </xf>
    <xf numFmtId="0" fontId="0" fillId="0" borderId="26" xfId="0" applyBorder="1" applyAlignment="1">
      <alignment horizontal="justify" vertical="center"/>
    </xf>
    <xf numFmtId="3" fontId="0" fillId="0" borderId="20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1" fillId="0" borderId="27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170" fontId="49" fillId="0" borderId="21" xfId="47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9" borderId="26" xfId="0" applyFill="1" applyBorder="1" applyAlignment="1">
      <alignment vertical="center" wrapText="1"/>
    </xf>
    <xf numFmtId="0" fontId="0" fillId="29" borderId="20" xfId="0" applyFill="1" applyBorder="1" applyAlignment="1">
      <alignment vertical="center" wrapText="1"/>
    </xf>
    <xf numFmtId="0" fontId="1" fillId="29" borderId="20" xfId="0" applyFont="1" applyFill="1" applyBorder="1" applyAlignment="1">
      <alignment vertical="center" wrapText="1"/>
    </xf>
    <xf numFmtId="0" fontId="0" fillId="29" borderId="20" xfId="0" applyFill="1" applyBorder="1" applyAlignment="1">
      <alignment horizontal="center" vertical="center" wrapText="1"/>
    </xf>
    <xf numFmtId="0" fontId="60" fillId="29" borderId="26" xfId="0" applyFont="1" applyFill="1" applyBorder="1" applyAlignment="1">
      <alignment vertical="center" wrapText="1"/>
    </xf>
    <xf numFmtId="3" fontId="0" fillId="29" borderId="20" xfId="0" applyNumberFormat="1" applyFill="1" applyBorder="1" applyAlignment="1">
      <alignment vertical="center" wrapText="1"/>
    </xf>
    <xf numFmtId="174" fontId="0" fillId="29" borderId="20" xfId="0" applyNumberFormat="1" applyFill="1" applyBorder="1" applyAlignment="1">
      <alignment horizontal="center" vertical="center" wrapText="1"/>
    </xf>
    <xf numFmtId="173" fontId="0" fillId="29" borderId="20" xfId="0" applyNumberFormat="1" applyFill="1" applyBorder="1" applyAlignment="1">
      <alignment vertical="center" wrapText="1"/>
    </xf>
    <xf numFmtId="0" fontId="32" fillId="29" borderId="0" xfId="45" applyFill="1" applyAlignment="1" applyProtection="1"/>
    <xf numFmtId="0" fontId="32" fillId="29" borderId="20" xfId="45" applyFill="1" applyBorder="1" applyAlignment="1" applyProtection="1">
      <alignment vertical="center" wrapText="1"/>
    </xf>
    <xf numFmtId="0" fontId="32" fillId="29" borderId="27" xfId="45" applyFill="1" applyBorder="1" applyAlignment="1" applyProtection="1">
      <alignment vertical="center" wrapText="1"/>
    </xf>
    <xf numFmtId="0" fontId="46" fillId="29" borderId="20" xfId="0" applyFont="1" applyFill="1" applyBorder="1" applyAlignment="1">
      <alignment vertical="center" wrapText="1"/>
    </xf>
    <xf numFmtId="0" fontId="47" fillId="29" borderId="20" xfId="0" applyFont="1" applyFill="1" applyBorder="1" applyAlignment="1">
      <alignment vertical="center" wrapText="1"/>
    </xf>
    <xf numFmtId="3" fontId="46" fillId="29" borderId="20" xfId="0" applyNumberFormat="1" applyFont="1" applyFill="1" applyBorder="1" applyAlignment="1">
      <alignment vertical="center" wrapText="1"/>
    </xf>
    <xf numFmtId="0" fontId="1" fillId="29" borderId="20" xfId="0" applyFont="1" applyFill="1" applyBorder="1" applyAlignment="1">
      <alignment horizontal="right" vertical="center"/>
    </xf>
    <xf numFmtId="0" fontId="32" fillId="0" borderId="20" xfId="45" applyFill="1" applyBorder="1" applyAlignment="1" applyProtection="1">
      <alignment horizontal="justify" vertical="center"/>
    </xf>
    <xf numFmtId="0" fontId="66" fillId="31" borderId="20" xfId="51" applyNumberFormat="1" applyFill="1" applyBorder="1" applyAlignment="1">
      <alignment horizontal="center" vertical="center"/>
    </xf>
    <xf numFmtId="2" fontId="68" fillId="32" borderId="20" xfId="0" applyNumberFormat="1" applyFont="1" applyFill="1" applyBorder="1" applyAlignment="1">
      <alignment horizontal="right"/>
    </xf>
    <xf numFmtId="172" fontId="0" fillId="0" borderId="0" xfId="47" applyNumberFormat="1" applyFont="1" applyBorder="1" applyAlignment="1">
      <alignment vertical="center"/>
    </xf>
    <xf numFmtId="0" fontId="32" fillId="0" borderId="4" xfId="45" applyBorder="1" applyAlignment="1" applyProtection="1"/>
    <xf numFmtId="0" fontId="0" fillId="0" borderId="5" xfId="0" applyBorder="1"/>
    <xf numFmtId="0" fontId="0" fillId="0" borderId="6" xfId="0" applyBorder="1"/>
    <xf numFmtId="0" fontId="63" fillId="30" borderId="0" xfId="49" applyFill="1" applyBorder="1" applyAlignment="1"/>
    <xf numFmtId="0" fontId="64" fillId="30" borderId="8" xfId="50" applyNumberFormat="1" applyFill="1" applyBorder="1">
      <alignment horizontal="right"/>
    </xf>
    <xf numFmtId="0" fontId="63" fillId="30" borderId="7" xfId="49" applyFill="1" applyBorder="1" applyAlignment="1"/>
    <xf numFmtId="0" fontId="65" fillId="30" borderId="7" xfId="1" applyFont="1" applyFill="1" applyBorder="1"/>
    <xf numFmtId="0" fontId="65" fillId="30" borderId="0" xfId="1" applyFont="1" applyFill="1"/>
    <xf numFmtId="0" fontId="64" fillId="30" borderId="0" xfId="50" applyNumberFormat="1" applyFill="1">
      <alignment horizontal="right"/>
    </xf>
    <xf numFmtId="0" fontId="65" fillId="30" borderId="8" xfId="1" applyFont="1" applyFill="1" applyBorder="1"/>
    <xf numFmtId="0" fontId="66" fillId="31" borderId="27" xfId="51" applyNumberFormat="1" applyFill="1" applyBorder="1" applyAlignment="1">
      <alignment horizontal="center" vertical="center"/>
    </xf>
    <xf numFmtId="0" fontId="66" fillId="31" borderId="33" xfId="51" applyNumberFormat="1" applyFill="1" applyBorder="1">
      <alignment horizontal="left" vertical="center"/>
    </xf>
    <xf numFmtId="2" fontId="68" fillId="32" borderId="27" xfId="0" applyNumberFormat="1" applyFont="1" applyFill="1" applyBorder="1" applyAlignment="1">
      <alignment horizontal="right"/>
    </xf>
    <xf numFmtId="0" fontId="66" fillId="31" borderId="34" xfId="51" applyNumberFormat="1" applyFill="1" applyBorder="1">
      <alignment horizontal="left" vertical="center"/>
    </xf>
    <xf numFmtId="0" fontId="66" fillId="31" borderId="26" xfId="51" applyNumberFormat="1" applyFill="1" applyBorder="1" applyAlignment="1">
      <alignment horizontal="left" vertical="center" indent="1"/>
    </xf>
    <xf numFmtId="0" fontId="69" fillId="31" borderId="35" xfId="52" applyNumberFormat="1" applyFont="1" applyFill="1" applyBorder="1">
      <alignment horizontal="left" vertical="center" indent="2"/>
    </xf>
    <xf numFmtId="2" fontId="68" fillId="32" borderId="36" xfId="0" applyNumberFormat="1" applyFont="1" applyFill="1" applyBorder="1" applyAlignment="1">
      <alignment horizontal="right"/>
    </xf>
    <xf numFmtId="2" fontId="68" fillId="33" borderId="36" xfId="0" applyNumberFormat="1" applyFont="1" applyFill="1" applyBorder="1" applyAlignment="1">
      <alignment horizontal="right"/>
    </xf>
    <xf numFmtId="2" fontId="68" fillId="33" borderId="37" xfId="0" applyNumberFormat="1" applyFont="1" applyFill="1" applyBorder="1" applyAlignment="1">
      <alignment horizontal="right"/>
    </xf>
    <xf numFmtId="0" fontId="39" fillId="34" borderId="38" xfId="0" applyFont="1" applyFill="1" applyBorder="1"/>
    <xf numFmtId="0" fontId="39" fillId="34" borderId="39" xfId="0" applyFont="1" applyFill="1" applyBorder="1"/>
    <xf numFmtId="0" fontId="39" fillId="34" borderId="39" xfId="0" applyFont="1" applyFill="1" applyBorder="1" applyAlignment="1">
      <alignment horizontal="center"/>
    </xf>
    <xf numFmtId="0" fontId="39" fillId="34" borderId="40" xfId="0" applyFont="1" applyFill="1" applyBorder="1"/>
    <xf numFmtId="0" fontId="39" fillId="34" borderId="44" xfId="0" applyFont="1" applyFill="1" applyBorder="1"/>
    <xf numFmtId="0" fontId="39" fillId="34" borderId="45" xfId="0" applyFont="1" applyFill="1" applyBorder="1"/>
    <xf numFmtId="0" fontId="39" fillId="34" borderId="45" xfId="0" applyFont="1" applyFill="1" applyBorder="1" applyAlignment="1">
      <alignment horizontal="center"/>
    </xf>
    <xf numFmtId="0" fontId="39" fillId="34" borderId="46" xfId="0" applyFont="1" applyFill="1" applyBorder="1"/>
    <xf numFmtId="0" fontId="39" fillId="0" borderId="0" xfId="0" applyFont="1"/>
    <xf numFmtId="0" fontId="39" fillId="0" borderId="0" xfId="0" applyFont="1" applyAlignment="1">
      <alignment horizontal="center"/>
    </xf>
    <xf numFmtId="0" fontId="39" fillId="35" borderId="38" xfId="0" applyFont="1" applyFill="1" applyBorder="1"/>
    <xf numFmtId="0" fontId="39" fillId="35" borderId="39" xfId="0" applyFont="1" applyFill="1" applyBorder="1"/>
    <xf numFmtId="0" fontId="39" fillId="35" borderId="39" xfId="0" applyFont="1" applyFill="1" applyBorder="1" applyAlignment="1">
      <alignment horizontal="center"/>
    </xf>
    <xf numFmtId="0" fontId="39" fillId="35" borderId="47" xfId="0" applyFont="1" applyFill="1" applyBorder="1"/>
    <xf numFmtId="0" fontId="39" fillId="35" borderId="40" xfId="0" applyFont="1" applyFill="1" applyBorder="1"/>
    <xf numFmtId="0" fontId="35" fillId="35" borderId="48" xfId="0" applyFont="1" applyFill="1" applyBorder="1"/>
    <xf numFmtId="0" fontId="35" fillId="35" borderId="0" xfId="0" applyFont="1" applyFill="1"/>
    <xf numFmtId="0" fontId="39" fillId="35" borderId="0" xfId="0" applyFont="1" applyFill="1"/>
    <xf numFmtId="0" fontId="39" fillId="35" borderId="0" xfId="0" applyFont="1" applyFill="1" applyAlignment="1">
      <alignment horizontal="center"/>
    </xf>
    <xf numFmtId="0" fontId="37" fillId="35" borderId="0" xfId="0" applyFont="1" applyFill="1"/>
    <xf numFmtId="0" fontId="35" fillId="35" borderId="49" xfId="0" applyFont="1" applyFill="1" applyBorder="1"/>
    <xf numFmtId="0" fontId="70" fillId="35" borderId="0" xfId="0" applyFont="1" applyFill="1"/>
    <xf numFmtId="0" fontId="12" fillId="35" borderId="0" xfId="0" applyFont="1" applyFill="1"/>
    <xf numFmtId="0" fontId="71" fillId="35" borderId="0" xfId="0" applyFont="1" applyFill="1"/>
    <xf numFmtId="0" fontId="35" fillId="35" borderId="50" xfId="0" applyFont="1" applyFill="1" applyBorder="1"/>
    <xf numFmtId="0" fontId="41" fillId="35" borderId="0" xfId="0" applyFont="1" applyFill="1"/>
    <xf numFmtId="0" fontId="72" fillId="35" borderId="0" xfId="0" applyFont="1" applyFill="1" applyAlignment="1">
      <alignment horizontal="center"/>
    </xf>
    <xf numFmtId="0" fontId="37" fillId="35" borderId="49" xfId="0" applyFont="1" applyFill="1" applyBorder="1"/>
    <xf numFmtId="0" fontId="37" fillId="35" borderId="50" xfId="0" applyFont="1" applyFill="1" applyBorder="1"/>
    <xf numFmtId="0" fontId="12" fillId="35" borderId="0" xfId="0" applyFont="1" applyFill="1" applyAlignment="1">
      <alignment horizontal="center"/>
    </xf>
    <xf numFmtId="0" fontId="35" fillId="35" borderId="0" xfId="0" applyFont="1" applyFill="1" applyAlignment="1">
      <alignment horizontal="center"/>
    </xf>
    <xf numFmtId="0" fontId="12" fillId="35" borderId="50" xfId="0" applyFont="1" applyFill="1" applyBorder="1"/>
    <xf numFmtId="0" fontId="12" fillId="35" borderId="53" xfId="0" applyFont="1" applyFill="1" applyBorder="1"/>
    <xf numFmtId="0" fontId="35" fillId="35" borderId="48" xfId="0" applyFont="1" applyFill="1" applyBorder="1" applyAlignment="1">
      <alignment horizontal="center"/>
    </xf>
    <xf numFmtId="0" fontId="74" fillId="35" borderId="50" xfId="0" applyFont="1" applyFill="1" applyBorder="1"/>
    <xf numFmtId="0" fontId="35" fillId="35" borderId="53" xfId="0" applyFont="1" applyFill="1" applyBorder="1" applyAlignment="1">
      <alignment horizontal="center"/>
    </xf>
    <xf numFmtId="0" fontId="72" fillId="35" borderId="48" xfId="0" applyFont="1" applyFill="1" applyBorder="1" applyAlignment="1">
      <alignment horizontal="center"/>
    </xf>
    <xf numFmtId="0" fontId="72" fillId="35" borderId="50" xfId="0" applyFont="1" applyFill="1" applyBorder="1" applyAlignment="1">
      <alignment horizontal="center"/>
    </xf>
    <xf numFmtId="0" fontId="35" fillId="35" borderId="50" xfId="0" applyFont="1" applyFill="1" applyBorder="1" applyAlignment="1">
      <alignment horizontal="center"/>
    </xf>
    <xf numFmtId="0" fontId="72" fillId="35" borderId="53" xfId="0" applyFont="1" applyFill="1" applyBorder="1" applyAlignment="1">
      <alignment horizontal="center"/>
    </xf>
    <xf numFmtId="0" fontId="75" fillId="29" borderId="38" xfId="0" applyFont="1" applyFill="1" applyBorder="1" applyAlignment="1">
      <alignment horizontal="center"/>
    </xf>
    <xf numFmtId="173" fontId="76" fillId="29" borderId="39" xfId="0" applyNumberFormat="1" applyFont="1" applyFill="1" applyBorder="1"/>
    <xf numFmtId="173" fontId="76" fillId="29" borderId="39" xfId="0" applyNumberFormat="1" applyFont="1" applyFill="1" applyBorder="1" applyAlignment="1">
      <alignment horizontal="center"/>
    </xf>
    <xf numFmtId="169" fontId="76" fillId="29" borderId="54" xfId="0" applyNumberFormat="1" applyFont="1" applyFill="1" applyBorder="1"/>
    <xf numFmtId="173" fontId="76" fillId="29" borderId="47" xfId="0" applyNumberFormat="1" applyFont="1" applyFill="1" applyBorder="1"/>
    <xf numFmtId="173" fontId="76" fillId="29" borderId="54" xfId="0" applyNumberFormat="1" applyFont="1" applyFill="1" applyBorder="1"/>
    <xf numFmtId="169" fontId="76" fillId="29" borderId="40" xfId="0" applyNumberFormat="1" applyFont="1" applyFill="1" applyBorder="1"/>
    <xf numFmtId="0" fontId="75" fillId="35" borderId="48" xfId="0" applyFont="1" applyFill="1" applyBorder="1" applyAlignment="1">
      <alignment horizontal="center"/>
    </xf>
    <xf numFmtId="173" fontId="76" fillId="35" borderId="0" xfId="0" applyNumberFormat="1" applyFont="1" applyFill="1"/>
    <xf numFmtId="173" fontId="76" fillId="35" borderId="0" xfId="0" applyNumberFormat="1" applyFont="1" applyFill="1" applyAlignment="1">
      <alignment horizontal="center"/>
    </xf>
    <xf numFmtId="169" fontId="76" fillId="35" borderId="0" xfId="0" applyNumberFormat="1" applyFont="1" applyFill="1"/>
    <xf numFmtId="173" fontId="76" fillId="35" borderId="50" xfId="0" applyNumberFormat="1" applyFont="1" applyFill="1" applyBorder="1"/>
    <xf numFmtId="169" fontId="76" fillId="35" borderId="53" xfId="0" applyNumberFormat="1" applyFont="1" applyFill="1" applyBorder="1"/>
    <xf numFmtId="0" fontId="75" fillId="29" borderId="48" xfId="0" applyFont="1" applyFill="1" applyBorder="1" applyAlignment="1">
      <alignment horizontal="center"/>
    </xf>
    <xf numFmtId="173" fontId="76" fillId="29" borderId="0" xfId="0" applyNumberFormat="1" applyFont="1" applyFill="1"/>
    <xf numFmtId="173" fontId="76" fillId="29" borderId="0" xfId="0" applyNumberFormat="1" applyFont="1" applyFill="1" applyAlignment="1">
      <alignment horizontal="center"/>
    </xf>
    <xf numFmtId="169" fontId="76" fillId="29" borderId="0" xfId="0" applyNumberFormat="1" applyFont="1" applyFill="1"/>
    <xf numFmtId="173" fontId="76" fillId="29" borderId="50" xfId="0" applyNumberFormat="1" applyFont="1" applyFill="1" applyBorder="1"/>
    <xf numFmtId="169" fontId="76" fillId="29" borderId="53" xfId="0" applyNumberFormat="1" applyFont="1" applyFill="1" applyBorder="1"/>
    <xf numFmtId="173" fontId="76" fillId="35" borderId="49" xfId="0" applyNumberFormat="1" applyFont="1" applyFill="1" applyBorder="1"/>
    <xf numFmtId="0" fontId="75" fillId="0" borderId="48" xfId="0" applyFont="1" applyBorder="1" applyAlignment="1">
      <alignment horizontal="center"/>
    </xf>
    <xf numFmtId="173" fontId="76" fillId="0" borderId="0" xfId="0" applyNumberFormat="1" applyFont="1"/>
    <xf numFmtId="173" fontId="76" fillId="0" borderId="0" xfId="0" applyNumberFormat="1" applyFont="1" applyAlignment="1">
      <alignment horizontal="center"/>
    </xf>
    <xf numFmtId="169" fontId="76" fillId="0" borderId="0" xfId="0" applyNumberFormat="1" applyFont="1"/>
    <xf numFmtId="173" fontId="76" fillId="0" borderId="48" xfId="0" applyNumberFormat="1" applyFont="1" applyBorder="1"/>
    <xf numFmtId="173" fontId="76" fillId="0" borderId="53" xfId="0" applyNumberFormat="1" applyFont="1" applyBorder="1"/>
    <xf numFmtId="169" fontId="76" fillId="0" borderId="53" xfId="0" applyNumberFormat="1" applyFont="1" applyBorder="1"/>
    <xf numFmtId="173" fontId="76" fillId="35" borderId="48" xfId="0" applyNumberFormat="1" applyFont="1" applyFill="1" applyBorder="1"/>
    <xf numFmtId="173" fontId="76" fillId="35" borderId="53" xfId="0" applyNumberFormat="1" applyFont="1" applyFill="1" applyBorder="1"/>
    <xf numFmtId="0" fontId="75" fillId="0" borderId="44" xfId="0" applyFont="1" applyBorder="1" applyAlignment="1">
      <alignment horizontal="center"/>
    </xf>
    <xf numFmtId="173" fontId="76" fillId="0" borderId="45" xfId="0" applyNumberFormat="1" applyFont="1" applyBorder="1"/>
    <xf numFmtId="173" fontId="76" fillId="0" borderId="45" xfId="0" applyNumberFormat="1" applyFont="1" applyBorder="1" applyAlignment="1">
      <alignment horizontal="center"/>
    </xf>
    <xf numFmtId="169" fontId="76" fillId="0" borderId="45" xfId="0" applyNumberFormat="1" applyFont="1" applyBorder="1"/>
    <xf numFmtId="173" fontId="76" fillId="0" borderId="44" xfId="0" applyNumberFormat="1" applyFont="1" applyBorder="1"/>
    <xf numFmtId="173" fontId="76" fillId="0" borderId="46" xfId="0" applyNumberFormat="1" applyFont="1" applyBorder="1"/>
    <xf numFmtId="169" fontId="76" fillId="0" borderId="46" xfId="0" applyNumberFormat="1" applyFont="1" applyBorder="1"/>
    <xf numFmtId="0" fontId="39" fillId="0" borderId="0" xfId="0" applyFont="1" applyAlignment="1">
      <alignment horizontal="left"/>
    </xf>
    <xf numFmtId="173" fontId="39" fillId="0" borderId="0" xfId="0" applyNumberFormat="1" applyFont="1" applyAlignment="1">
      <alignment horizontal="center"/>
    </xf>
    <xf numFmtId="0" fontId="12" fillId="0" borderId="0" xfId="0" applyFont="1"/>
    <xf numFmtId="173" fontId="33" fillId="0" borderId="0" xfId="0" applyNumberFormat="1" applyFont="1"/>
    <xf numFmtId="0" fontId="38" fillId="0" borderId="0" xfId="0" applyFont="1" applyAlignment="1">
      <alignment horizontal="left"/>
    </xf>
    <xf numFmtId="173" fontId="33" fillId="0" borderId="50" xfId="0" applyNumberFormat="1" applyFont="1" applyBorder="1"/>
    <xf numFmtId="0" fontId="62" fillId="0" borderId="23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25" xfId="0" applyFont="1" applyBorder="1" applyAlignment="1">
      <alignment horizontal="center" vertical="center" wrapText="1"/>
    </xf>
    <xf numFmtId="0" fontId="37" fillId="0" borderId="7" xfId="39" applyFont="1" applyBorder="1" applyAlignment="1">
      <alignment horizontal="center"/>
    </xf>
    <xf numFmtId="0" fontId="37" fillId="0" borderId="0" xfId="39" applyFont="1" applyAlignment="1">
      <alignment horizontal="center"/>
    </xf>
    <xf numFmtId="0" fontId="37" fillId="0" borderId="8" xfId="39" applyFont="1" applyBorder="1" applyAlignment="1">
      <alignment horizontal="center"/>
    </xf>
    <xf numFmtId="0" fontId="45" fillId="34" borderId="41" xfId="0" applyFont="1" applyFill="1" applyBorder="1" applyAlignment="1">
      <alignment horizontal="center"/>
    </xf>
    <xf numFmtId="0" fontId="45" fillId="34" borderId="42" xfId="0" applyFont="1" applyFill="1" applyBorder="1" applyAlignment="1">
      <alignment horizontal="center"/>
    </xf>
    <xf numFmtId="0" fontId="45" fillId="34" borderId="43" xfId="0" applyFont="1" applyFill="1" applyBorder="1" applyAlignment="1">
      <alignment horizontal="center"/>
    </xf>
    <xf numFmtId="0" fontId="44" fillId="34" borderId="41" xfId="0" applyFont="1" applyFill="1" applyBorder="1" applyAlignment="1">
      <alignment horizontal="center"/>
    </xf>
    <xf numFmtId="0" fontId="44" fillId="34" borderId="42" xfId="0" applyFont="1" applyFill="1" applyBorder="1" applyAlignment="1">
      <alignment horizontal="center"/>
    </xf>
    <xf numFmtId="0" fontId="44" fillId="34" borderId="43" xfId="0" applyFont="1" applyFill="1" applyBorder="1" applyAlignment="1">
      <alignment horizontal="center"/>
    </xf>
    <xf numFmtId="0" fontId="39" fillId="0" borderId="22" xfId="0" applyFont="1" applyBorder="1" applyAlignment="1">
      <alignment horizontal="right"/>
    </xf>
    <xf numFmtId="0" fontId="35" fillId="35" borderId="51" xfId="0" applyFont="1" applyFill="1" applyBorder="1" applyAlignment="1">
      <alignment horizontal="center"/>
    </xf>
    <xf numFmtId="0" fontId="35" fillId="35" borderId="52" xfId="0" applyFont="1" applyFill="1" applyBorder="1" applyAlignment="1">
      <alignment horizontal="center"/>
    </xf>
    <xf numFmtId="0" fontId="72" fillId="35" borderId="51" xfId="0" applyFont="1" applyFill="1" applyBorder="1" applyAlignment="1">
      <alignment horizontal="center"/>
    </xf>
    <xf numFmtId="0" fontId="72" fillId="35" borderId="52" xfId="0" applyFont="1" applyFill="1" applyBorder="1" applyAlignment="1">
      <alignment horizontal="center"/>
    </xf>
    <xf numFmtId="0" fontId="0" fillId="0" borderId="20" xfId="0" applyBorder="1" applyAlignment="1">
      <alignment horizontal="left" vertical="center" wrapText="1"/>
    </xf>
    <xf numFmtId="0" fontId="32" fillId="0" borderId="22" xfId="45" applyBorder="1" applyAlignment="1" applyProtection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63" fillId="30" borderId="7" xfId="49" applyFill="1" applyBorder="1" applyAlignment="1">
      <alignment horizontal="left"/>
    </xf>
    <xf numFmtId="0" fontId="63" fillId="30" borderId="0" xfId="49" applyFill="1" applyBorder="1" applyAlignment="1">
      <alignment horizontal="left"/>
    </xf>
    <xf numFmtId="0" fontId="66" fillId="31" borderId="30" xfId="51" applyNumberFormat="1" applyFill="1" applyBorder="1" applyAlignment="1">
      <alignment horizontal="left" vertical="top"/>
    </xf>
    <xf numFmtId="0" fontId="66" fillId="31" borderId="31" xfId="51" applyNumberFormat="1" applyFill="1" applyBorder="1" applyAlignment="1">
      <alignment horizontal="left" vertical="top"/>
    </xf>
    <xf numFmtId="0" fontId="66" fillId="31" borderId="28" xfId="51" applyNumberFormat="1" applyFill="1" applyBorder="1" applyAlignment="1">
      <alignment horizontal="center" vertical="center"/>
    </xf>
    <xf numFmtId="0" fontId="66" fillId="31" borderId="29" xfId="51" applyNumberFormat="1" applyFill="1" applyBorder="1" applyAlignment="1">
      <alignment horizontal="center" vertical="center"/>
    </xf>
    <xf numFmtId="0" fontId="66" fillId="31" borderId="32" xfId="51" applyNumberFormat="1" applyFill="1" applyBorder="1" applyAlignment="1">
      <alignment horizontal="center" vertical="center"/>
    </xf>
    <xf numFmtId="0" fontId="0" fillId="29" borderId="20" xfId="0" applyFont="1" applyFill="1" applyBorder="1" applyAlignment="1">
      <alignment vertical="center" wrapText="1"/>
    </xf>
  </cellXfs>
  <cellStyles count="53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x indented GHG Textfiels" xfId="52" xr:uid="{38791D9F-C2D4-4850-9201-CA038FE9197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Constants" xfId="50" xr:uid="{59CB2068-F1D2-4C91-AFF4-6A5772136A8E}"/>
    <cellStyle name="Explanatory Text" xfId="30" xr:uid="{00000000-0005-0000-0000-00001B000000}"/>
    <cellStyle name="Good" xfId="31" xr:uid="{00000000-0005-0000-0000-00001C000000}"/>
    <cellStyle name="Heading 1" xfId="32" xr:uid="{00000000-0005-0000-0000-00001D000000}"/>
    <cellStyle name="Heading 2" xfId="33" xr:uid="{00000000-0005-0000-0000-00001E000000}"/>
    <cellStyle name="Heading 3" xfId="34" xr:uid="{00000000-0005-0000-0000-00001F000000}"/>
    <cellStyle name="Heading 4" xfId="35" xr:uid="{00000000-0005-0000-0000-000020000000}"/>
    <cellStyle name="Headline" xfId="49" xr:uid="{D90145A8-9CDF-4C05-89DA-681B0C5A531C}"/>
    <cellStyle name="Input" xfId="36" xr:uid="{00000000-0005-0000-0000-000021000000}"/>
    <cellStyle name="Köprü" xfId="45" builtinId="8"/>
    <cellStyle name="Linked Cell" xfId="37" xr:uid="{00000000-0005-0000-0000-000023000000}"/>
    <cellStyle name="Normal" xfId="0" builtinId="0"/>
    <cellStyle name="Normal 2" xfId="1" xr:uid="{00000000-0005-0000-0000-000025000000}"/>
    <cellStyle name="Normal 2 2" xfId="2" xr:uid="{00000000-0005-0000-0000-000026000000}"/>
    <cellStyle name="Normal 2_Calculator" xfId="38" xr:uid="{00000000-0005-0000-0000-000027000000}"/>
    <cellStyle name="Normal 3" xfId="39" xr:uid="{00000000-0005-0000-0000-000028000000}"/>
    <cellStyle name="Normal GHG Textfiels Bold" xfId="51" xr:uid="{1A6DEF4A-6C44-4F72-B526-036D244F1517}"/>
    <cellStyle name="Note" xfId="40" xr:uid="{00000000-0005-0000-0000-000029000000}"/>
    <cellStyle name="Output" xfId="41" xr:uid="{00000000-0005-0000-0000-00002A000000}"/>
    <cellStyle name="Title" xfId="42" xr:uid="{00000000-0005-0000-0000-00002B000000}"/>
    <cellStyle name="Virgül" xfId="47" builtinId="3"/>
    <cellStyle name="Virgül 2" xfId="44" xr:uid="{00000000-0005-0000-0000-00002D000000}"/>
    <cellStyle name="Warning Text" xfId="43" xr:uid="{00000000-0005-0000-0000-00002E000000}"/>
    <cellStyle name="Yüzde" xfId="48" builtinId="5"/>
    <cellStyle name="Yüzde 2" xfId="46" xr:uid="{00000000-0005-0000-0000-00003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28575</xdr:rowOff>
    </xdr:from>
    <xdr:to>
      <xdr:col>11</xdr:col>
      <xdr:colOff>639463</xdr:colOff>
      <xdr:row>37</xdr:row>
      <xdr:rowOff>76839</xdr:rowOff>
    </xdr:to>
    <xdr:pic>
      <xdr:nvPicPr>
        <xdr:cNvPr id="4" name="Resim 3" descr="Ekran Kırpm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0"/>
          <a:ext cx="9231013" cy="4582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</xdr:rowOff>
    </xdr:from>
    <xdr:to>
      <xdr:col>12</xdr:col>
      <xdr:colOff>45720</xdr:colOff>
      <xdr:row>5</xdr:row>
      <xdr:rowOff>151208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"/>
          <a:ext cx="10058400" cy="958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11206</xdr:colOff>
      <xdr:row>2</xdr:row>
      <xdr:rowOff>71110</xdr:rowOff>
    </xdr:from>
    <xdr:to>
      <xdr:col>4</xdr:col>
      <xdr:colOff>2801471</xdr:colOff>
      <xdr:row>2</xdr:row>
      <xdr:rowOff>790761</xdr:rowOff>
    </xdr:to>
    <xdr:pic>
      <xdr:nvPicPr>
        <xdr:cNvPr id="2" name="Resim 1" descr="Ekran Kırpm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7992"/>
          <a:ext cx="2790265" cy="713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590550</xdr:colOff>
      <xdr:row>7</xdr:row>
      <xdr:rowOff>142875</xdr:rowOff>
    </xdr:from>
    <xdr:to>
      <xdr:col>20</xdr:col>
      <xdr:colOff>800100</xdr:colOff>
      <xdr:row>7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5830550" y="1276350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285750</xdr:colOff>
      <xdr:row>8</xdr:row>
      <xdr:rowOff>57150</xdr:rowOff>
    </xdr:from>
    <xdr:to>
      <xdr:col>24</xdr:col>
      <xdr:colOff>19050</xdr:colOff>
      <xdr:row>8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13239750" y="1352550"/>
          <a:ext cx="506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542925</xdr:colOff>
      <xdr:row>0</xdr:row>
      <xdr:rowOff>0</xdr:rowOff>
    </xdr:from>
    <xdr:to>
      <xdr:col>20</xdr:col>
      <xdr:colOff>790575</xdr:colOff>
      <xdr:row>0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15782925" y="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266700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>
          <a:off x="13220700" y="0"/>
          <a:ext cx="506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2/Option%202%20for%20sheet%20to%20calculate%20grid%20emision%20fac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emirkol/Downloads/CDM_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DM/Clean%20Development%20Mechanism%20(CDM)/CDM02-Methodology/Meth%20Development%20and%20Improvement/Revision%20of%20methodologies%20and%20tools/Gaseous%20flow%20tool/Excel%20calculator/Excel%20spreadsheet%20for%20tool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_TITLE"/>
      <sheetName val="METHOD_FLOW_CHART"/>
      <sheetName val="INPUT_OUTPUT"/>
      <sheetName val="SIMPLE_OM_GRID_OPTION_A_DATA"/>
      <sheetName val="SIMPLE_OM_GRID_OPTION_A"/>
      <sheetName val="SIMPLE_OM_GRID_OPTION_B_DATA"/>
      <sheetName val="SIMPLE_OM_GRID_OPTION_B"/>
      <sheetName val="LAMBDA"/>
      <sheetName val="SIMPLE_OM_ADJUSTED_DATA"/>
      <sheetName val="SIMPLE_OM_ADJUSTED"/>
      <sheetName val="D_DATA_ANALYS_OM_OP1_ DATA"/>
      <sheetName val="D_DATA_ANALYS_OM_OP1"/>
      <sheetName val="D_DATA_ANALYS_OM_OP2_ DATA"/>
      <sheetName val="D_DATA_ANALYS_OM_OP2"/>
      <sheetName val="AVERAGE_OM_OPTION_A_DATA"/>
      <sheetName val="AVERAGE_OM_OPTION_A"/>
      <sheetName val="AVERAGE_OM_OPTION_B_DATA"/>
      <sheetName val="AVERAGE_OM_OPTION_B"/>
      <sheetName val="BUILD_MARGIN_DATA"/>
      <sheetName val="BUILD_MARGIN"/>
      <sheetName val="CONVERTION_FAC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B3" t="str">
            <v>[kCal]</v>
          </cell>
          <cell r="G3" t="str">
            <v>[tCO2/unit]</v>
          </cell>
          <cell r="H3" t="str">
            <v>[kWh]</v>
          </cell>
        </row>
        <row r="4">
          <cell r="B4" t="str">
            <v>[BTU]</v>
          </cell>
          <cell r="G4" t="str">
            <v>[tCO2/GJ]</v>
          </cell>
          <cell r="H4" t="str">
            <v>[MWh]</v>
          </cell>
        </row>
        <row r="5">
          <cell r="B5" t="str">
            <v>[GJ]</v>
          </cell>
          <cell r="H5" t="str">
            <v>[GWh]</v>
          </cell>
        </row>
        <row r="6">
          <cell r="B6" t="str">
            <v>[MMBTU]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_TITLE"/>
      <sheetName val="INPUT_OUTPUT"/>
      <sheetName val="SIMPLE_OM_GRID_OPTION_A_DATA"/>
      <sheetName val="SIMPLE_OM_GRID_OPTION_A"/>
      <sheetName val="SIMPLE_OM_GRID_OPTION_B_DATA"/>
      <sheetName val="SIMPLE_OM_GRID_OPTION_B"/>
      <sheetName val="LAMBDA"/>
      <sheetName val="SIMPLE_OM_ADJUSTED_DATA"/>
      <sheetName val="SIMPLE_OM_ADJUSTED"/>
      <sheetName val="D_DATA_ANALYS_OM_OP1_ DATA"/>
      <sheetName val="D_DATA_ANALYS_OM_OP1"/>
      <sheetName val="D_DATA_ANALYS_OM_OP2_ DATA"/>
      <sheetName val="D_DATA_ANALYS_OM_OP2"/>
      <sheetName val="AVERAGE_OM_OPTION_A_DATA"/>
      <sheetName val="AVERAGE_OM_OPTION_A"/>
      <sheetName val="AVERAGE_OM_OPTION_B_DATA"/>
      <sheetName val="AVERAGE_OM_OPTION_B"/>
      <sheetName val="BUILDING_MARGIN_DATA"/>
      <sheetName val="BUILDING_MARGIN"/>
      <sheetName val="CONVERTION_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 t="str">
            <v>[kCal]</v>
          </cell>
          <cell r="G3" t="str">
            <v>[tCO2/unit]</v>
          </cell>
          <cell r="H3" t="str">
            <v>[kWh]</v>
          </cell>
        </row>
        <row r="4">
          <cell r="B4" t="str">
            <v>[BTU]</v>
          </cell>
          <cell r="G4" t="str">
            <v>[tCO2/GJ]</v>
          </cell>
          <cell r="H4" t="str">
            <v>[MWh]</v>
          </cell>
        </row>
        <row r="5">
          <cell r="B5" t="str">
            <v>[GJ]</v>
          </cell>
          <cell r="H5" t="str">
            <v>[GWh]</v>
          </cell>
        </row>
        <row r="6">
          <cell r="B6" t="str">
            <v>[MMBTU]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Calculation options"/>
      <sheetName val="Measurement option"/>
      <sheetName val="A and B"/>
      <sheetName val="C"/>
      <sheetName val="D"/>
      <sheetName val="C (2)"/>
      <sheetName val="E and F"/>
      <sheetName val="Option A"/>
      <sheetName val="List of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6">
          <cell r="B116" t="str">
            <v>C2F6</v>
          </cell>
        </row>
        <row r="117">
          <cell r="B117" t="str">
            <v>C3F8</v>
          </cell>
        </row>
        <row r="118">
          <cell r="B118" t="str">
            <v>C4F10</v>
          </cell>
        </row>
        <row r="119">
          <cell r="B119" t="str">
            <v>C5F12</v>
          </cell>
        </row>
        <row r="120">
          <cell r="B120" t="str">
            <v>C6F14</v>
          </cell>
        </row>
        <row r="121">
          <cell r="B121" t="str">
            <v>c-C4F8</v>
          </cell>
        </row>
        <row r="122">
          <cell r="B122" t="str">
            <v>CF4</v>
          </cell>
        </row>
        <row r="123">
          <cell r="B123" t="str">
            <v>CH4</v>
          </cell>
        </row>
        <row r="124">
          <cell r="B124" t="str">
            <v>CO2</v>
          </cell>
        </row>
        <row r="125">
          <cell r="B125" t="str">
            <v>N2O</v>
          </cell>
        </row>
        <row r="126">
          <cell r="B126" t="str">
            <v>SF6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gm.gov.tr/veridegerlendirme/il-ve-ilceler-istatistik.aspx?m=KONYA" TargetMode="External"/><Relationship Id="rId1" Type="http://schemas.openxmlformats.org/officeDocument/2006/relationships/hyperlink" Target="https://www.ipcc-nggip.iges.or.jp/public/2006gl/pdf/4_Volume4/V4_10_Ch10_Livestock.pdf" TargetMode="Externa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globalgoals.goldstandard.org/standards/PRE-GS4GG-Energy/ghg-ers-from-manure-management-systems-and-municipal-solid-waste-1.pdf" TargetMode="External"/><Relationship Id="rId2" Type="http://schemas.openxmlformats.org/officeDocument/2006/relationships/hyperlink" Target="https://globalgoals.goldstandard.org/standards/PRE-GS4GG-Energy/ghg-ers-from-manure-management-systems-and-municipal-solid-waste-1.pdf" TargetMode="External"/><Relationship Id="rId1" Type="http://schemas.openxmlformats.org/officeDocument/2006/relationships/hyperlink" Target="https://www.ipcc-nggip.iges.or.jp/public/gp/bgp/4_2_CH4_and_N2O_Livestock_Manure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enerji.gov.tr/Media/Dizin/EVCED/tr/%C3%87evreVe%C4%B0klim/%C4%B0klimDe%C4%9Fi%C5%9Fikli%C4%9Fi/TUESEmisyonFktr/Belgeler/Bform2020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pdk.gov.tr/Detay/DownloadDocument?id=4xYFYUovbAI=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teias.gov.tr/T%C3%BCrkiyeElektrik%C4%B0statistikleri/istatistik2010/front%20page%202010-%C3%A7i%C3%A7ek%20kitap/uretim%20tuketim(22-45)/33(84-10).xl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ebim.teias.gov.tr/file/8e92ef4c-48c6-410e-8852-dd4865cc816c?download" TargetMode="External"/><Relationship Id="rId2" Type="http://schemas.openxmlformats.org/officeDocument/2006/relationships/hyperlink" Target="https://unfccc.int/documents/461898" TargetMode="External"/><Relationship Id="rId1" Type="http://schemas.openxmlformats.org/officeDocument/2006/relationships/hyperlink" Target="https://unfccc.int/documents/223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8" sqref="C8"/>
    </sheetView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9"/>
  <sheetViews>
    <sheetView topLeftCell="A6" workbookViewId="0">
      <selection activeCell="F8" sqref="F8"/>
    </sheetView>
  </sheetViews>
  <sheetFormatPr defaultRowHeight="13.5"/>
  <cols>
    <col min="1" max="1" width="23.4609375" customWidth="1"/>
    <col min="13" max="13" width="11.4609375" customWidth="1"/>
  </cols>
  <sheetData>
    <row r="2" spans="1:6" ht="14">
      <c r="A2" s="78"/>
      <c r="B2" s="78"/>
      <c r="C2" s="78"/>
      <c r="D2" s="78"/>
      <c r="E2" s="78"/>
      <c r="F2" s="78"/>
    </row>
    <row r="8" spans="1:6">
      <c r="A8" s="30" t="s">
        <v>233</v>
      </c>
    </row>
    <row r="39" spans="1:1">
      <c r="A39" s="30" t="s">
        <v>175</v>
      </c>
    </row>
  </sheetData>
  <hyperlinks>
    <hyperlink ref="A39" r:id="rId1" xr:uid="{00000000-0004-0000-0300-000000000000}"/>
    <hyperlink ref="A8" r:id="rId2" xr:uid="{00000000-0004-0000-0300-00000100000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tabSelected="1" topLeftCell="B1" zoomScale="85" zoomScaleNormal="85" workbookViewId="0">
      <pane ySplit="1" topLeftCell="A2" activePane="bottomLeft" state="frozen"/>
      <selection pane="bottomLeft" activeCell="E6" sqref="E6"/>
    </sheetView>
  </sheetViews>
  <sheetFormatPr defaultColWidth="9" defaultRowHeight="13.5"/>
  <cols>
    <col min="1" max="1" width="22.4609375" style="2" customWidth="1"/>
    <col min="2" max="2" width="16" style="2" customWidth="1"/>
    <col min="3" max="3" width="34.4609375" style="2" customWidth="1"/>
    <col min="4" max="4" width="15.4609375" style="2" bestFit="1" customWidth="1"/>
    <col min="5" max="5" width="37.3828125" style="2" customWidth="1"/>
    <col min="6" max="6" width="57.3828125" style="2" customWidth="1"/>
    <col min="7" max="7" width="25.921875" style="2" customWidth="1"/>
    <col min="8" max="8" width="21.4609375" style="2" customWidth="1"/>
    <col min="9" max="9" width="21.3828125" style="2" customWidth="1"/>
    <col min="10" max="10" width="12.61328125" style="2" customWidth="1"/>
    <col min="11" max="11" width="9.69140625" style="2" bestFit="1" customWidth="1"/>
    <col min="12" max="16384" width="9" style="2"/>
  </cols>
  <sheetData>
    <row r="1" spans="1:9" ht="14" thickBot="1">
      <c r="A1" s="2" t="s">
        <v>15</v>
      </c>
      <c r="B1" s="2" t="s">
        <v>0</v>
      </c>
      <c r="C1" s="2" t="s">
        <v>3</v>
      </c>
      <c r="D1" s="2" t="s">
        <v>16</v>
      </c>
      <c r="E1" s="2" t="s">
        <v>150</v>
      </c>
      <c r="F1" s="2" t="s">
        <v>2</v>
      </c>
      <c r="G1" s="2" t="s">
        <v>5</v>
      </c>
    </row>
    <row r="2" spans="1:9" ht="19.5">
      <c r="A2" s="319" t="s">
        <v>228</v>
      </c>
      <c r="B2" s="320"/>
      <c r="C2" s="320"/>
      <c r="D2" s="320"/>
      <c r="E2" s="320"/>
      <c r="F2" s="320"/>
      <c r="G2" s="321"/>
    </row>
    <row r="3" spans="1:9" ht="69.75" customHeight="1">
      <c r="A3" s="171" t="s">
        <v>223</v>
      </c>
      <c r="B3" s="172" t="s">
        <v>23</v>
      </c>
      <c r="C3" s="172" t="s">
        <v>24</v>
      </c>
      <c r="D3" s="176">
        <f>(D4*D5*D6*(D8*D10*D12*D7))+(D4*D5*D6*(D9*D11*D13*D7))</f>
        <v>95428.379255999986</v>
      </c>
      <c r="E3" s="79"/>
      <c r="F3" s="208" t="s">
        <v>246</v>
      </c>
      <c r="G3" s="209" t="s">
        <v>245</v>
      </c>
      <c r="I3" s="88"/>
    </row>
    <row r="4" spans="1:9" ht="15.5">
      <c r="A4" s="177" t="s">
        <v>25</v>
      </c>
      <c r="B4" s="79"/>
      <c r="C4" s="178" t="s">
        <v>26</v>
      </c>
      <c r="D4" s="163">
        <v>28</v>
      </c>
      <c r="E4" s="173" t="s">
        <v>214</v>
      </c>
      <c r="F4" s="79" t="s">
        <v>174</v>
      </c>
      <c r="G4" s="174"/>
    </row>
    <row r="5" spans="1:9" ht="27">
      <c r="A5" s="177" t="s">
        <v>27</v>
      </c>
      <c r="B5" s="172" t="s">
        <v>28</v>
      </c>
      <c r="C5" s="172" t="s">
        <v>29</v>
      </c>
      <c r="D5" s="79">
        <v>6.7000000000000002E-4</v>
      </c>
      <c r="E5" s="173" t="s">
        <v>214</v>
      </c>
      <c r="F5" s="79" t="s">
        <v>159</v>
      </c>
      <c r="G5" s="174"/>
      <c r="I5" s="167"/>
    </row>
    <row r="6" spans="1:9" ht="46.5" customHeight="1">
      <c r="A6" s="177" t="s">
        <v>30</v>
      </c>
      <c r="B6" s="79"/>
      <c r="C6" s="172" t="s">
        <v>31</v>
      </c>
      <c r="D6" s="179">
        <v>0.7</v>
      </c>
      <c r="E6" s="173" t="s">
        <v>214</v>
      </c>
      <c r="F6" s="79" t="s">
        <v>167</v>
      </c>
      <c r="G6" s="174" t="s">
        <v>234</v>
      </c>
    </row>
    <row r="7" spans="1:9" ht="30.75" customHeight="1">
      <c r="A7" s="171" t="s">
        <v>222</v>
      </c>
      <c r="B7" s="79" t="s">
        <v>96</v>
      </c>
      <c r="C7" s="79" t="s">
        <v>221</v>
      </c>
      <c r="D7" s="180">
        <v>1</v>
      </c>
      <c r="E7" s="173" t="s">
        <v>214</v>
      </c>
      <c r="F7" s="79"/>
      <c r="G7" s="174"/>
    </row>
    <row r="8" spans="1:9" ht="27">
      <c r="A8" s="199" t="s">
        <v>169</v>
      </c>
      <c r="B8" s="200" t="s">
        <v>239</v>
      </c>
      <c r="C8" s="201" t="s">
        <v>33</v>
      </c>
      <c r="D8" s="200">
        <v>0.24</v>
      </c>
      <c r="E8" s="202" t="s">
        <v>214</v>
      </c>
      <c r="F8" s="200" t="s">
        <v>337</v>
      </c>
      <c r="G8" s="174" t="s">
        <v>153</v>
      </c>
    </row>
    <row r="9" spans="1:9" ht="27">
      <c r="A9" s="199" t="s">
        <v>169</v>
      </c>
      <c r="B9" s="201" t="s">
        <v>34</v>
      </c>
      <c r="C9" s="346" t="s">
        <v>336</v>
      </c>
      <c r="D9" s="200">
        <v>0.39</v>
      </c>
      <c r="E9" s="202" t="s">
        <v>214</v>
      </c>
      <c r="F9" s="200" t="s">
        <v>338</v>
      </c>
      <c r="G9" s="174" t="s">
        <v>176</v>
      </c>
      <c r="H9" s="207" t="s">
        <v>177</v>
      </c>
    </row>
    <row r="10" spans="1:9" ht="47.25" customHeight="1">
      <c r="A10" s="203" t="s">
        <v>215</v>
      </c>
      <c r="B10" s="200" t="s">
        <v>216</v>
      </c>
      <c r="C10" s="200" t="s">
        <v>217</v>
      </c>
      <c r="D10" s="204">
        <f>+D27</f>
        <v>3600</v>
      </c>
      <c r="E10" s="202" t="s">
        <v>214</v>
      </c>
      <c r="F10" s="200" t="s">
        <v>235</v>
      </c>
      <c r="G10" s="174" t="s">
        <v>153</v>
      </c>
      <c r="H10" s="181"/>
    </row>
    <row r="11" spans="1:9" ht="46.5" customHeight="1">
      <c r="A11" s="203" t="s">
        <v>215</v>
      </c>
      <c r="B11" s="200" t="s">
        <v>216</v>
      </c>
      <c r="C11" s="200" t="s">
        <v>217</v>
      </c>
      <c r="D11" s="204">
        <f>+D37</f>
        <v>2054000</v>
      </c>
      <c r="E11" s="202" t="s">
        <v>214</v>
      </c>
      <c r="F11" s="200" t="s">
        <v>235</v>
      </c>
      <c r="G11" s="174" t="s">
        <v>264</v>
      </c>
      <c r="H11" s="181"/>
    </row>
    <row r="12" spans="1:9" ht="37.5" customHeight="1">
      <c r="A12" s="203" t="s">
        <v>218</v>
      </c>
      <c r="B12" s="200" t="s">
        <v>219</v>
      </c>
      <c r="C12" s="200" t="s">
        <v>220</v>
      </c>
      <c r="D12" s="204">
        <f>4.5*365</f>
        <v>1642.5</v>
      </c>
      <c r="E12" s="205">
        <f>+D12/365</f>
        <v>4.5</v>
      </c>
      <c r="F12" s="200" t="s">
        <v>247</v>
      </c>
      <c r="G12" s="174" t="s">
        <v>244</v>
      </c>
      <c r="H12" s="181"/>
    </row>
    <row r="13" spans="1:9" ht="38.25" customHeight="1">
      <c r="A13" s="203" t="s">
        <v>218</v>
      </c>
      <c r="B13" s="200" t="s">
        <v>219</v>
      </c>
      <c r="C13" s="200" t="s">
        <v>220</v>
      </c>
      <c r="D13" s="206">
        <f>0.02*365</f>
        <v>7.3</v>
      </c>
      <c r="E13" s="205">
        <f>+D13/365</f>
        <v>0.02</v>
      </c>
      <c r="F13" s="200" t="s">
        <v>248</v>
      </c>
      <c r="G13" s="174" t="s">
        <v>243</v>
      </c>
      <c r="H13" s="181"/>
    </row>
    <row r="14" spans="1:9" ht="47.5" customHeight="1">
      <c r="A14" s="177" t="s">
        <v>38</v>
      </c>
      <c r="B14" s="172" t="s">
        <v>23</v>
      </c>
      <c r="C14" s="79" t="s">
        <v>156</v>
      </c>
      <c r="D14" s="183">
        <f>D18*D17</f>
        <v>23333.945600000003</v>
      </c>
      <c r="E14" s="172" t="s">
        <v>37</v>
      </c>
      <c r="F14" s="79" t="s">
        <v>238</v>
      </c>
      <c r="G14" s="174"/>
      <c r="H14" s="182"/>
      <c r="I14" s="87"/>
    </row>
    <row r="15" spans="1:9">
      <c r="A15" s="184" t="s">
        <v>18</v>
      </c>
      <c r="B15" s="178" t="s">
        <v>84</v>
      </c>
      <c r="C15" s="185" t="s">
        <v>17</v>
      </c>
      <c r="D15" s="213">
        <v>6.0039999999999996</v>
      </c>
      <c r="E15" s="186"/>
      <c r="F15" s="79" t="s">
        <v>236</v>
      </c>
      <c r="G15" s="187"/>
    </row>
    <row r="16" spans="1:9">
      <c r="A16" s="188" t="s">
        <v>19</v>
      </c>
      <c r="B16" s="178" t="s">
        <v>21</v>
      </c>
      <c r="C16" s="178" t="s">
        <v>20</v>
      </c>
      <c r="D16" s="175">
        <v>7000</v>
      </c>
      <c r="E16" s="178"/>
      <c r="F16" s="186" t="s">
        <v>237</v>
      </c>
      <c r="G16" s="189"/>
    </row>
    <row r="17" spans="1:7" ht="15.5">
      <c r="A17" s="190" t="s">
        <v>7</v>
      </c>
      <c r="B17" s="186" t="s">
        <v>6</v>
      </c>
      <c r="C17" s="186" t="s">
        <v>9</v>
      </c>
      <c r="D17" s="191">
        <v>42028</v>
      </c>
      <c r="E17" s="178" t="s">
        <v>22</v>
      </c>
      <c r="F17" s="186" t="s">
        <v>236</v>
      </c>
      <c r="G17" s="174"/>
    </row>
    <row r="18" spans="1:7" ht="38" thickBot="1">
      <c r="A18" s="190" t="s">
        <v>8</v>
      </c>
      <c r="B18" s="186" t="s">
        <v>11</v>
      </c>
      <c r="C18" s="186" t="s">
        <v>10</v>
      </c>
      <c r="D18" s="192">
        <v>0.55520000000000003</v>
      </c>
      <c r="E18" s="186"/>
      <c r="F18" s="214" t="s">
        <v>268</v>
      </c>
      <c r="G18" s="193"/>
    </row>
    <row r="19" spans="1:7" ht="17.5" thickBot="1">
      <c r="A19" s="194" t="s">
        <v>224</v>
      </c>
      <c r="B19" s="195" t="s">
        <v>225</v>
      </c>
      <c r="C19" s="195" t="s">
        <v>226</v>
      </c>
      <c r="D19" s="196">
        <f>ROUNDDOWN(D14+D3,0)</f>
        <v>118762</v>
      </c>
      <c r="E19" s="195" t="s">
        <v>227</v>
      </c>
      <c r="F19" s="197"/>
      <c r="G19" s="198"/>
    </row>
    <row r="21" spans="1:7" ht="67.5">
      <c r="B21" s="2" t="s">
        <v>267</v>
      </c>
      <c r="C21" s="210" t="s">
        <v>257</v>
      </c>
      <c r="D21" s="210" t="s">
        <v>263</v>
      </c>
    </row>
    <row r="22" spans="1:7">
      <c r="A22" s="2" t="s">
        <v>265</v>
      </c>
      <c r="B22" s="2">
        <v>34300</v>
      </c>
      <c r="C22" s="211" t="s">
        <v>249</v>
      </c>
      <c r="D22" s="204">
        <v>250</v>
      </c>
    </row>
    <row r="23" spans="1:7">
      <c r="A23" s="2" t="s">
        <v>266</v>
      </c>
      <c r="B23" s="2">
        <v>15253</v>
      </c>
      <c r="C23" s="211" t="s">
        <v>250</v>
      </c>
      <c r="D23" s="204">
        <v>1250</v>
      </c>
    </row>
    <row r="24" spans="1:7">
      <c r="C24" s="211" t="s">
        <v>251</v>
      </c>
      <c r="D24" s="204">
        <v>1300</v>
      </c>
    </row>
    <row r="25" spans="1:7">
      <c r="C25" s="211" t="s">
        <v>252</v>
      </c>
      <c r="D25" s="204">
        <v>450</v>
      </c>
    </row>
    <row r="26" spans="1:7">
      <c r="C26" s="211" t="s">
        <v>253</v>
      </c>
      <c r="D26" s="204">
        <v>350</v>
      </c>
    </row>
    <row r="27" spans="1:7">
      <c r="C27" s="210" t="s">
        <v>254</v>
      </c>
      <c r="D27" s="212">
        <f>+SUM(D22:D26)</f>
        <v>3600</v>
      </c>
    </row>
    <row r="28" spans="1:7" ht="27">
      <c r="C28" s="210" t="s">
        <v>256</v>
      </c>
      <c r="D28" s="210" t="s">
        <v>263</v>
      </c>
    </row>
    <row r="29" spans="1:7">
      <c r="C29" s="211" t="s">
        <v>250</v>
      </c>
      <c r="D29" s="204">
        <v>450000</v>
      </c>
    </row>
    <row r="30" spans="1:7">
      <c r="C30" s="211" t="s">
        <v>253</v>
      </c>
      <c r="D30" s="204">
        <v>250000</v>
      </c>
    </row>
    <row r="31" spans="1:7">
      <c r="C31" s="211" t="s">
        <v>252</v>
      </c>
      <c r="D31" s="204">
        <v>260000</v>
      </c>
    </row>
    <row r="32" spans="1:7">
      <c r="C32" s="211" t="s">
        <v>255</v>
      </c>
      <c r="D32" s="204">
        <v>690000</v>
      </c>
    </row>
    <row r="33" spans="3:4">
      <c r="C33" s="211" t="s">
        <v>258</v>
      </c>
      <c r="D33" s="204">
        <v>40000</v>
      </c>
    </row>
    <row r="34" spans="3:4">
      <c r="C34" s="211" t="s">
        <v>259</v>
      </c>
      <c r="D34" s="204">
        <v>80000</v>
      </c>
    </row>
    <row r="35" spans="3:4">
      <c r="C35" s="211" t="s">
        <v>260</v>
      </c>
      <c r="D35" s="204">
        <v>63000</v>
      </c>
    </row>
    <row r="36" spans="3:4">
      <c r="C36" s="211" t="s">
        <v>261</v>
      </c>
      <c r="D36" s="204">
        <v>221000</v>
      </c>
    </row>
    <row r="37" spans="3:4">
      <c r="C37" s="210" t="s">
        <v>262</v>
      </c>
      <c r="D37" s="212">
        <f>+SUM(D29:D36)</f>
        <v>2054000</v>
      </c>
    </row>
  </sheetData>
  <mergeCells count="1">
    <mergeCell ref="A2:G2"/>
  </mergeCells>
  <phoneticPr fontId="4" type="noConversion"/>
  <dataValidations disablePrompts="1" count="1">
    <dataValidation allowBlank="1" showInputMessage="1" showErrorMessage="1" sqref="D4" xr:uid="{00000000-0002-0000-0400-000000000000}"/>
  </dataValidations>
  <hyperlinks>
    <hyperlink ref="H9" r:id="rId1" xr:uid="{00000000-0004-0000-0400-000001000000}"/>
    <hyperlink ref="F3" r:id="rId2" display="https://globalgoals.goldstandard.org/standards/PRE-GS4GG-Energy//ghg-ers-from-manure-management-systems-and-municipal-solid-waste-1.pdf" xr:uid="{00000000-0004-0000-0400-000002000000}"/>
    <hyperlink ref="G3" r:id="rId3" xr:uid="{00000000-0004-0000-0400-000003000000}"/>
    <hyperlink ref="F18" r:id="rId4" xr:uid="{00000000-0004-0000-0400-000004000000}"/>
  </hyperlinks>
  <pageMargins left="0.7" right="0.7" top="0.75" bottom="0.75" header="0.3" footer="0.3"/>
  <pageSetup orientation="portrait" horizontalDpi="300" verticalDpi="300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8"/>
  <sheetViews>
    <sheetView zoomScale="85" zoomScaleNormal="85" workbookViewId="0">
      <pane ySplit="1" topLeftCell="A25" activePane="bottomLeft" state="frozen"/>
      <selection pane="bottomLeft" activeCell="E27" sqref="E27"/>
    </sheetView>
  </sheetViews>
  <sheetFormatPr defaultColWidth="9" defaultRowHeight="13.5"/>
  <cols>
    <col min="1" max="1" width="16.69140625" style="1" customWidth="1"/>
    <col min="2" max="2" width="17" style="1" customWidth="1"/>
    <col min="3" max="3" width="29.3828125" style="1" customWidth="1"/>
    <col min="4" max="4" width="14" style="1" customWidth="1"/>
    <col min="5" max="5" width="23.69140625" style="1" customWidth="1"/>
    <col min="6" max="6" width="44.61328125" style="1" customWidth="1"/>
    <col min="7" max="7" width="45.69140625" style="1" customWidth="1"/>
    <col min="8" max="8" width="11.921875" style="1" bestFit="1" customWidth="1"/>
    <col min="9" max="9" width="13.4609375" style="1" bestFit="1" customWidth="1"/>
    <col min="10" max="11" width="12.3828125" style="1" bestFit="1" customWidth="1"/>
    <col min="12" max="12" width="11.61328125" style="1" customWidth="1"/>
    <col min="13" max="13" width="15.69140625" style="1" bestFit="1" customWidth="1"/>
    <col min="14" max="16384" width="9" style="1"/>
  </cols>
  <sheetData>
    <row r="1" spans="1:7" ht="14" thickBot="1">
      <c r="A1" s="1" t="s">
        <v>15</v>
      </c>
      <c r="B1" s="1" t="s">
        <v>0</v>
      </c>
      <c r="C1" s="1" t="s">
        <v>3</v>
      </c>
      <c r="D1" s="1" t="s">
        <v>16</v>
      </c>
      <c r="E1" s="1" t="s">
        <v>1</v>
      </c>
      <c r="F1" s="1" t="s">
        <v>2</v>
      </c>
      <c r="G1" s="1" t="s">
        <v>5</v>
      </c>
    </row>
    <row r="2" spans="1:7" ht="40.5">
      <c r="A2" s="116" t="s">
        <v>194</v>
      </c>
      <c r="B2" s="91" t="s">
        <v>39</v>
      </c>
      <c r="C2" s="91" t="s">
        <v>87</v>
      </c>
      <c r="D2" s="154">
        <f>D3*D4*D5</f>
        <v>570.03947649600002</v>
      </c>
      <c r="E2" s="91" t="s">
        <v>189</v>
      </c>
      <c r="F2" s="91" t="s">
        <v>195</v>
      </c>
      <c r="G2" s="92" t="s">
        <v>214</v>
      </c>
    </row>
    <row r="3" spans="1:7" ht="75" customHeight="1" thickBot="1">
      <c r="A3" s="93" t="s">
        <v>190</v>
      </c>
      <c r="B3" s="94" t="s">
        <v>191</v>
      </c>
      <c r="C3" s="94" t="s">
        <v>161</v>
      </c>
      <c r="D3" s="168">
        <f>(('Baseline emission'!B22+'Baseline emission'!B23)*365)*0.06*D6</f>
        <v>727.09116900000004</v>
      </c>
      <c r="E3" s="94"/>
      <c r="F3" s="94" t="s">
        <v>240</v>
      </c>
      <c r="G3" s="95"/>
    </row>
    <row r="4" spans="1:7" ht="59.25" customHeight="1">
      <c r="A4" s="93" t="s">
        <v>192</v>
      </c>
      <c r="B4" s="94" t="s">
        <v>162</v>
      </c>
      <c r="C4" s="94"/>
      <c r="D4" s="96">
        <v>2.8000000000000001E-2</v>
      </c>
      <c r="E4" s="94"/>
      <c r="F4" s="91" t="s">
        <v>195</v>
      </c>
      <c r="G4" s="95" t="s">
        <v>163</v>
      </c>
    </row>
    <row r="5" spans="1:7" ht="27.5" thickBot="1">
      <c r="A5" s="97" t="s">
        <v>193</v>
      </c>
      <c r="B5" s="98"/>
      <c r="C5" s="99" t="s">
        <v>26</v>
      </c>
      <c r="D5" s="100">
        <v>28</v>
      </c>
      <c r="E5" s="98"/>
      <c r="F5" s="98" t="s">
        <v>174</v>
      </c>
      <c r="G5" s="101"/>
    </row>
    <row r="6" spans="1:7" ht="27">
      <c r="A6" s="8" t="s">
        <v>27</v>
      </c>
      <c r="B6" s="1" t="s">
        <v>28</v>
      </c>
      <c r="C6" s="1" t="s">
        <v>29</v>
      </c>
      <c r="D6" s="2">
        <v>6.7000000000000002E-4</v>
      </c>
      <c r="E6" s="2"/>
      <c r="F6" s="2" t="s">
        <v>159</v>
      </c>
      <c r="G6" s="9"/>
    </row>
    <row r="7" spans="1:7" ht="27">
      <c r="A7" s="8" t="s">
        <v>30</v>
      </c>
      <c r="B7" s="2"/>
      <c r="C7" s="1" t="s">
        <v>31</v>
      </c>
      <c r="D7" s="19">
        <f>+'Baseline emission'!D6</f>
        <v>0.7</v>
      </c>
      <c r="E7" s="2"/>
      <c r="F7" s="1" t="s">
        <v>82</v>
      </c>
      <c r="G7" s="9" t="s">
        <v>168</v>
      </c>
    </row>
    <row r="8" spans="1:7" ht="42" customHeight="1">
      <c r="A8" s="8" t="s">
        <v>32</v>
      </c>
      <c r="B8" s="1" t="s">
        <v>34</v>
      </c>
      <c r="C8" s="1" t="s">
        <v>33</v>
      </c>
      <c r="D8" s="2">
        <f>'Baseline emission'!D8</f>
        <v>0.24</v>
      </c>
      <c r="E8" s="2"/>
      <c r="F8" s="1" t="s">
        <v>83</v>
      </c>
      <c r="G8" s="9" t="s">
        <v>151</v>
      </c>
    </row>
    <row r="9" spans="1:7" ht="27">
      <c r="A9" s="16" t="s">
        <v>90</v>
      </c>
      <c r="B9" s="2"/>
      <c r="C9" s="2" t="s">
        <v>91</v>
      </c>
      <c r="D9" s="5">
        <v>1</v>
      </c>
      <c r="E9" s="2"/>
      <c r="F9" s="2"/>
      <c r="G9" s="10"/>
    </row>
    <row r="10" spans="1:7" ht="14" thickBot="1">
      <c r="A10" s="11" t="s">
        <v>35</v>
      </c>
      <c r="B10" s="12"/>
      <c r="C10" s="13" t="s">
        <v>36</v>
      </c>
      <c r="D10" s="12"/>
      <c r="E10" s="12"/>
      <c r="F10" s="12"/>
      <c r="G10" s="14"/>
    </row>
    <row r="11" spans="1:7" ht="14" thickBot="1"/>
    <row r="12" spans="1:7" ht="27">
      <c r="A12" s="134" t="s">
        <v>197</v>
      </c>
      <c r="B12" s="118" t="s">
        <v>40</v>
      </c>
      <c r="C12" s="119" t="s">
        <v>270</v>
      </c>
      <c r="D12" s="118">
        <f>D15*(1-D14)*D13</f>
        <v>0</v>
      </c>
      <c r="E12" s="119" t="s">
        <v>100</v>
      </c>
      <c r="F12" s="118" t="s">
        <v>41</v>
      </c>
      <c r="G12" s="120" t="s">
        <v>74</v>
      </c>
    </row>
    <row r="13" spans="1:7" ht="27">
      <c r="A13" s="121" t="s">
        <v>25</v>
      </c>
      <c r="B13" s="122"/>
      <c r="C13" s="123" t="s">
        <v>26</v>
      </c>
      <c r="D13" s="124">
        <v>28</v>
      </c>
      <c r="E13" s="125"/>
      <c r="F13" s="125"/>
      <c r="G13" s="126"/>
    </row>
    <row r="14" spans="1:7" ht="15.5">
      <c r="A14" s="121" t="s">
        <v>42</v>
      </c>
      <c r="B14" s="125"/>
      <c r="C14" s="125" t="s">
        <v>43</v>
      </c>
      <c r="D14" s="127">
        <v>0.5</v>
      </c>
      <c r="E14" s="125"/>
      <c r="F14" s="122" t="s">
        <v>152</v>
      </c>
      <c r="G14" s="128" t="s">
        <v>155</v>
      </c>
    </row>
    <row r="15" spans="1:7" ht="27">
      <c r="A15" s="121" t="s">
        <v>75</v>
      </c>
      <c r="B15" s="125"/>
      <c r="C15" s="125" t="s">
        <v>76</v>
      </c>
      <c r="D15" s="125">
        <f>D16*D17*D18</f>
        <v>0</v>
      </c>
      <c r="E15" s="125" t="s">
        <v>77</v>
      </c>
      <c r="F15" s="125"/>
      <c r="G15" s="126"/>
    </row>
    <row r="16" spans="1:7" ht="40.5">
      <c r="A16" s="121" t="s">
        <v>50</v>
      </c>
      <c r="B16" s="125" t="s">
        <v>51</v>
      </c>
      <c r="C16" s="122" t="s">
        <v>95</v>
      </c>
      <c r="D16" s="125">
        <v>0</v>
      </c>
      <c r="E16" s="125"/>
      <c r="F16" s="125"/>
      <c r="G16" s="126"/>
    </row>
    <row r="17" spans="1:13" ht="40.5">
      <c r="A17" s="129" t="s">
        <v>154</v>
      </c>
      <c r="B17" s="122" t="s">
        <v>96</v>
      </c>
      <c r="C17" s="122" t="s">
        <v>94</v>
      </c>
      <c r="D17" s="127">
        <v>0.6</v>
      </c>
      <c r="E17" s="125"/>
      <c r="F17" s="125"/>
      <c r="G17" s="128" t="s">
        <v>97</v>
      </c>
    </row>
    <row r="18" spans="1:13" ht="27.5" thickBot="1">
      <c r="A18" s="130" t="s">
        <v>92</v>
      </c>
      <c r="B18" s="131" t="s">
        <v>93</v>
      </c>
      <c r="C18" s="132" t="s">
        <v>78</v>
      </c>
      <c r="D18" s="132">
        <v>6.7000000000000002E-4</v>
      </c>
      <c r="E18" s="132"/>
      <c r="F18" s="132"/>
      <c r="G18" s="133"/>
    </row>
    <row r="19" spans="1:13" ht="14" thickBot="1"/>
    <row r="20" spans="1:13" ht="36">
      <c r="A20" s="135" t="s">
        <v>198</v>
      </c>
      <c r="B20" s="136" t="s">
        <v>4</v>
      </c>
      <c r="C20" s="136" t="s">
        <v>157</v>
      </c>
      <c r="D20" s="152">
        <f>D21*D24*(1+D22)</f>
        <v>2559.7338323200001</v>
      </c>
      <c r="E20" s="136" t="s">
        <v>173</v>
      </c>
      <c r="F20" s="137"/>
      <c r="G20" s="138"/>
    </row>
    <row r="21" spans="1:13" ht="41.5">
      <c r="A21" s="139" t="s">
        <v>170</v>
      </c>
      <c r="B21" s="140" t="s">
        <v>98</v>
      </c>
      <c r="C21" s="140" t="s">
        <v>99</v>
      </c>
      <c r="D21" s="170">
        <f>'Baseline emission'!D17*0.1</f>
        <v>4202.8</v>
      </c>
      <c r="E21" s="140"/>
      <c r="F21" s="141" t="s">
        <v>158</v>
      </c>
      <c r="G21" s="142"/>
    </row>
    <row r="22" spans="1:13" ht="68.25" customHeight="1" thickBot="1">
      <c r="A22" s="139" t="s">
        <v>171</v>
      </c>
      <c r="B22" s="140" t="s">
        <v>96</v>
      </c>
      <c r="C22" s="140" t="s">
        <v>172</v>
      </c>
      <c r="D22" s="143">
        <f>+(2.15+7.55)%</f>
        <v>9.6999999999999989E-2</v>
      </c>
      <c r="E22" s="140"/>
      <c r="F22" s="144" t="s">
        <v>187</v>
      </c>
      <c r="G22" s="145" t="s">
        <v>188</v>
      </c>
      <c r="H22" s="4"/>
      <c r="I22" s="3"/>
    </row>
    <row r="23" spans="1:13">
      <c r="A23" s="139" t="s">
        <v>14</v>
      </c>
      <c r="B23" s="140" t="s">
        <v>13</v>
      </c>
      <c r="C23" s="140" t="s">
        <v>12</v>
      </c>
      <c r="D23" s="146">
        <v>7000</v>
      </c>
      <c r="E23" s="140"/>
      <c r="F23" s="147"/>
      <c r="G23" s="142"/>
      <c r="H23" s="4"/>
      <c r="I23" s="3"/>
      <c r="J23" s="7"/>
      <c r="K23" s="76"/>
      <c r="L23" s="76"/>
      <c r="M23" s="77"/>
    </row>
    <row r="24" spans="1:13" ht="24" customHeight="1" thickBot="1">
      <c r="A24" s="148" t="s">
        <v>101</v>
      </c>
      <c r="B24" s="149" t="s">
        <v>11</v>
      </c>
      <c r="C24" s="149" t="s">
        <v>102</v>
      </c>
      <c r="D24" s="150">
        <f>'Baseline emission'!D18</f>
        <v>0.55520000000000003</v>
      </c>
      <c r="E24" s="149"/>
      <c r="F24" s="149" t="str">
        <f>'Baseline emission'!F18</f>
        <v>https://enerji.gov.tr//Media/Dizin/EVCED/tr/%C3%87evreVe%C4%B0klim/%C4%B0klimDe%C4%9Fi%C5%9Fikli%C4%9Fi/TUESEmisyonFktr/Belgeler/Bform2020.pdf</v>
      </c>
      <c r="G24" s="151"/>
      <c r="H24" s="4"/>
      <c r="I24" s="3"/>
      <c r="J24" s="74"/>
      <c r="L24" s="6"/>
      <c r="M24" s="9"/>
    </row>
    <row r="25" spans="1:13" ht="24" customHeight="1" thickBot="1">
      <c r="A25" s="4"/>
      <c r="B25" s="4"/>
      <c r="C25" s="4"/>
      <c r="D25" s="17"/>
      <c r="E25" s="4"/>
      <c r="F25" s="4"/>
      <c r="H25" s="4"/>
      <c r="I25" s="3"/>
      <c r="J25" s="74"/>
      <c r="M25" s="10"/>
    </row>
    <row r="26" spans="1:13" ht="84" customHeight="1">
      <c r="A26" s="117" t="s">
        <v>196</v>
      </c>
      <c r="B26" s="102" t="s">
        <v>166</v>
      </c>
      <c r="C26" s="102" t="s">
        <v>88</v>
      </c>
      <c r="D26" s="153">
        <f>+D27*D29*D30*0.000001</f>
        <v>5355.3066449999997</v>
      </c>
      <c r="E26" s="103"/>
      <c r="F26" s="104" t="s">
        <v>181</v>
      </c>
      <c r="G26" s="105" t="s">
        <v>182</v>
      </c>
      <c r="H26" s="4"/>
      <c r="I26" s="3"/>
      <c r="J26" s="74"/>
      <c r="L26" s="6"/>
      <c r="M26" s="9"/>
    </row>
    <row r="27" spans="1:13" ht="64.5" customHeight="1" thickBot="1">
      <c r="A27" s="106" t="s">
        <v>85</v>
      </c>
      <c r="B27" s="107" t="s">
        <v>89</v>
      </c>
      <c r="C27" s="107" t="s">
        <v>86</v>
      </c>
      <c r="D27" s="108">
        <v>245645</v>
      </c>
      <c r="E27" s="109"/>
      <c r="F27" s="107" t="s">
        <v>269</v>
      </c>
      <c r="G27" s="110"/>
      <c r="H27" s="4"/>
      <c r="I27" s="3"/>
      <c r="J27" s="75"/>
      <c r="K27" s="73"/>
      <c r="L27" s="13"/>
      <c r="M27" s="14"/>
    </row>
    <row r="28" spans="1:13" ht="64.5" customHeight="1">
      <c r="A28" s="106" t="s">
        <v>183</v>
      </c>
      <c r="B28" s="107" t="s">
        <v>164</v>
      </c>
      <c r="C28" s="107" t="s">
        <v>184</v>
      </c>
      <c r="D28" s="108">
        <f>+D27</f>
        <v>245645</v>
      </c>
      <c r="E28" s="109"/>
      <c r="F28" s="108"/>
      <c r="G28" s="110"/>
      <c r="H28" s="4"/>
      <c r="I28" s="3"/>
      <c r="J28" s="85"/>
      <c r="K28" s="86"/>
    </row>
    <row r="29" spans="1:13" ht="64.5" customHeight="1">
      <c r="A29" s="106" t="s">
        <v>178</v>
      </c>
      <c r="B29" s="107" t="s">
        <v>179</v>
      </c>
      <c r="C29" s="107" t="s">
        <v>180</v>
      </c>
      <c r="D29" s="108">
        <v>129</v>
      </c>
      <c r="E29" s="109"/>
      <c r="F29" s="107" t="s">
        <v>181</v>
      </c>
      <c r="G29" s="110" t="s">
        <v>182</v>
      </c>
      <c r="H29" s="4"/>
      <c r="I29" s="3"/>
      <c r="J29" s="85"/>
      <c r="K29" s="86"/>
    </row>
    <row r="30" spans="1:13" ht="64.5" customHeight="1" thickBot="1">
      <c r="A30" s="111" t="s">
        <v>185</v>
      </c>
      <c r="B30" s="112" t="s">
        <v>165</v>
      </c>
      <c r="C30" s="112" t="s">
        <v>186</v>
      </c>
      <c r="D30" s="113">
        <v>169</v>
      </c>
      <c r="E30" s="114"/>
      <c r="F30" s="112"/>
      <c r="G30" s="115"/>
      <c r="H30" s="4"/>
      <c r="I30" s="3"/>
      <c r="J30" s="85"/>
      <c r="K30" s="86"/>
    </row>
    <row r="31" spans="1:13" ht="44.25" customHeight="1">
      <c r="A31" s="15"/>
      <c r="B31" s="4"/>
      <c r="C31" s="2"/>
      <c r="D31" s="2"/>
      <c r="E31" s="9"/>
      <c r="F31" s="4"/>
      <c r="G31" s="3"/>
    </row>
    <row r="32" spans="1:13" ht="22.5" customHeight="1">
      <c r="A32" s="15"/>
      <c r="B32" s="18"/>
      <c r="C32" s="2"/>
      <c r="E32" s="2"/>
      <c r="F32" s="4"/>
      <c r="G32" s="3"/>
    </row>
    <row r="33" spans="1:9" ht="18.75" customHeight="1" thickBot="1">
      <c r="A33" s="15"/>
      <c r="B33" s="18"/>
      <c r="C33" s="2"/>
      <c r="D33" s="2"/>
      <c r="E33" s="9"/>
      <c r="F33" s="4"/>
      <c r="G33" s="72"/>
    </row>
    <row r="34" spans="1:9" ht="31.5" thickBot="1">
      <c r="A34" s="156" t="s">
        <v>79</v>
      </c>
      <c r="B34" s="157" t="s">
        <v>39</v>
      </c>
      <c r="C34" s="157" t="s">
        <v>80</v>
      </c>
      <c r="D34" s="155">
        <f>D2+D12+D20+D26</f>
        <v>8485.079953815999</v>
      </c>
      <c r="E34" s="157" t="s">
        <v>199</v>
      </c>
      <c r="F34" s="157"/>
      <c r="G34" s="158"/>
      <c r="H34" s="89"/>
      <c r="I34" s="89"/>
    </row>
    <row r="46" spans="1:9" ht="27" hidden="1">
      <c r="A46" s="1" t="s">
        <v>44</v>
      </c>
      <c r="B46" s="1" t="s">
        <v>45</v>
      </c>
      <c r="C46" s="1" t="s">
        <v>46</v>
      </c>
      <c r="E46" s="1" t="s">
        <v>53</v>
      </c>
    </row>
    <row r="47" spans="1:9" hidden="1"/>
    <row r="48" spans="1:9" ht="27" hidden="1">
      <c r="A48" s="1" t="s">
        <v>47</v>
      </c>
      <c r="B48" s="1" t="s">
        <v>48</v>
      </c>
      <c r="C48" s="1" t="s">
        <v>49</v>
      </c>
      <c r="E48" s="1" t="s">
        <v>54</v>
      </c>
    </row>
    <row r="49" spans="1:5" ht="40.5" hidden="1">
      <c r="A49" s="1" t="s">
        <v>50</v>
      </c>
      <c r="B49" s="1" t="s">
        <v>51</v>
      </c>
      <c r="C49" s="1" t="s">
        <v>52</v>
      </c>
    </row>
    <row r="50" spans="1:5" hidden="1"/>
    <row r="51" spans="1:5" ht="27" hidden="1">
      <c r="A51" s="1" t="s">
        <v>55</v>
      </c>
      <c r="B51" s="1" t="s">
        <v>56</v>
      </c>
      <c r="C51" s="1" t="s">
        <v>57</v>
      </c>
      <c r="D51" s="1">
        <v>101325</v>
      </c>
    </row>
    <row r="52" spans="1:5" ht="15.5" hidden="1">
      <c r="A52" s="1" t="s">
        <v>58</v>
      </c>
      <c r="B52" s="1" t="s">
        <v>59</v>
      </c>
      <c r="C52" s="1" t="s">
        <v>70</v>
      </c>
      <c r="D52" s="1">
        <v>8314</v>
      </c>
    </row>
    <row r="53" spans="1:5" ht="27" hidden="1">
      <c r="A53" s="1" t="s">
        <v>64</v>
      </c>
      <c r="B53" s="1" t="s">
        <v>65</v>
      </c>
      <c r="C53" s="1" t="s">
        <v>60</v>
      </c>
      <c r="E53" s="1" t="s">
        <v>66</v>
      </c>
    </row>
    <row r="54" spans="1:5" ht="16" hidden="1">
      <c r="A54" s="1" t="s">
        <v>67</v>
      </c>
      <c r="B54" s="1" t="s">
        <v>61</v>
      </c>
      <c r="C54" s="1" t="s">
        <v>62</v>
      </c>
      <c r="D54" s="1">
        <v>273.14999999999998</v>
      </c>
    </row>
    <row r="55" spans="1:5" hidden="1"/>
    <row r="56" spans="1:5" ht="27" hidden="1">
      <c r="A56" s="1" t="s">
        <v>68</v>
      </c>
      <c r="C56" s="1" t="s">
        <v>71</v>
      </c>
    </row>
    <row r="57" spans="1:5" ht="27" hidden="1">
      <c r="A57" s="1" t="s">
        <v>69</v>
      </c>
      <c r="C57" s="1" t="s">
        <v>72</v>
      </c>
    </row>
    <row r="58" spans="1:5" hidden="1">
      <c r="A58" s="1" t="s">
        <v>63</v>
      </c>
      <c r="C58" s="1" t="s">
        <v>73</v>
      </c>
    </row>
  </sheetData>
  <phoneticPr fontId="4" type="noConversion"/>
  <dataValidations disablePrompts="1" count="1">
    <dataValidation allowBlank="1" showInputMessage="1" showErrorMessage="1" sqref="D13 D5" xr:uid="{00000000-0002-0000-0600-000000000000}"/>
  </dataValidations>
  <hyperlinks>
    <hyperlink ref="F22" r:id="rId1" xr:uid="{00000000-0004-0000-0600-000000000000}"/>
  </hyperlinks>
  <pageMargins left="0.7" right="0.7" top="0.75" bottom="0.75" header="0.3" footer="0.3"/>
  <pageSetup paperSize="9" orientation="portrait" horizont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zoomScale="85" zoomScaleNormal="85" workbookViewId="0">
      <selection activeCell="B19" sqref="B19"/>
    </sheetView>
  </sheetViews>
  <sheetFormatPr defaultColWidth="9" defaultRowHeight="13.5"/>
  <cols>
    <col min="1" max="1" width="24.921875" customWidth="1"/>
    <col min="2" max="2" width="21.69140625" customWidth="1"/>
    <col min="4" max="4" width="21.4609375" customWidth="1"/>
    <col min="7" max="7" width="16.61328125" customWidth="1"/>
    <col min="8" max="9" width="10.3828125" bestFit="1" customWidth="1"/>
  </cols>
  <sheetData>
    <row r="1" spans="1:10" ht="44.25" customHeight="1">
      <c r="A1" s="90" t="s">
        <v>229</v>
      </c>
      <c r="B1" s="169" t="s">
        <v>230</v>
      </c>
      <c r="C1" s="169" t="s">
        <v>231</v>
      </c>
      <c r="D1" s="169" t="s">
        <v>232</v>
      </c>
    </row>
    <row r="2" spans="1:10">
      <c r="A2" s="80" t="s">
        <v>241</v>
      </c>
      <c r="B2" s="81">
        <f>ROUND('Baseline emission'!D$19,0)</f>
        <v>118762</v>
      </c>
      <c r="C2" s="81">
        <f>'Project emission'!D$34</f>
        <v>8485.079953815999</v>
      </c>
      <c r="D2" s="81">
        <f t="shared" ref="D2:D8" si="0">B2-C2</f>
        <v>110276.92004618401</v>
      </c>
      <c r="G2" s="160"/>
      <c r="H2" s="160"/>
      <c r="I2" s="159"/>
      <c r="J2" s="159"/>
    </row>
    <row r="3" spans="1:10">
      <c r="A3" s="80">
        <v>2022</v>
      </c>
      <c r="B3" s="81">
        <f>ROUND('Baseline emission'!D$19,0)</f>
        <v>118762</v>
      </c>
      <c r="C3" s="81">
        <f>'Project emission'!D$34</f>
        <v>8485.079953815999</v>
      </c>
      <c r="D3" s="81">
        <f t="shared" si="0"/>
        <v>110276.92004618401</v>
      </c>
      <c r="G3" s="160"/>
      <c r="H3" s="160"/>
      <c r="I3" s="159"/>
      <c r="J3" s="159"/>
    </row>
    <row r="4" spans="1:10">
      <c r="A4" s="80">
        <v>2023</v>
      </c>
      <c r="B4" s="81">
        <f>ROUND('Baseline emission'!D$19,0)</f>
        <v>118762</v>
      </c>
      <c r="C4" s="81">
        <f>'Project emission'!D$34</f>
        <v>8485.079953815999</v>
      </c>
      <c r="D4" s="81">
        <f t="shared" si="0"/>
        <v>110276.92004618401</v>
      </c>
      <c r="G4" s="160"/>
      <c r="H4" s="160"/>
      <c r="I4" s="159"/>
      <c r="J4" s="159"/>
    </row>
    <row r="5" spans="1:10">
      <c r="A5" s="80">
        <v>2024</v>
      </c>
      <c r="B5" s="81">
        <f>ROUND('Baseline emission'!D$19,0)</f>
        <v>118762</v>
      </c>
      <c r="C5" s="81">
        <f>'Project emission'!D$34</f>
        <v>8485.079953815999</v>
      </c>
      <c r="D5" s="81">
        <f t="shared" si="0"/>
        <v>110276.92004618401</v>
      </c>
      <c r="G5" s="160"/>
      <c r="H5" s="160"/>
      <c r="I5" s="159"/>
      <c r="J5" s="159"/>
    </row>
    <row r="6" spans="1:10">
      <c r="A6" s="80" t="s">
        <v>242</v>
      </c>
      <c r="B6" s="81">
        <f>'Baseline emission'!D$19/365*I12</f>
        <v>118762</v>
      </c>
      <c r="C6" s="81">
        <f>'Project emission'!D$34/365*I12</f>
        <v>8485.079953815999</v>
      </c>
      <c r="D6" s="81">
        <f t="shared" si="0"/>
        <v>110276.92004618401</v>
      </c>
      <c r="G6" s="160"/>
      <c r="H6" s="160"/>
      <c r="I6" s="159"/>
      <c r="J6" s="159"/>
    </row>
    <row r="7" spans="1:10">
      <c r="A7" s="82" t="s">
        <v>160</v>
      </c>
      <c r="B7" s="83">
        <f>B8/5</f>
        <v>118762</v>
      </c>
      <c r="C7" s="83">
        <f>C8/5</f>
        <v>8485.079953815999</v>
      </c>
      <c r="D7" s="83">
        <f>D8/5</f>
        <v>110276.92004618401</v>
      </c>
      <c r="G7" s="160"/>
      <c r="H7" s="160"/>
      <c r="I7" s="159"/>
      <c r="J7" s="159"/>
    </row>
    <row r="8" spans="1:10">
      <c r="A8" s="84" t="s">
        <v>81</v>
      </c>
      <c r="B8" s="81">
        <f>SUM(B2:B6)</f>
        <v>593810</v>
      </c>
      <c r="C8" s="81">
        <f>SUM(C2:C6)</f>
        <v>42425.399769079995</v>
      </c>
      <c r="D8" s="81">
        <f t="shared" si="0"/>
        <v>551384.60023092001</v>
      </c>
      <c r="G8" s="160"/>
      <c r="H8" s="160"/>
      <c r="I8" s="159"/>
      <c r="J8" s="159"/>
    </row>
    <row r="9" spans="1:10">
      <c r="I9" s="159"/>
      <c r="J9" s="159"/>
    </row>
    <row r="10" spans="1:10">
      <c r="I10" s="159"/>
      <c r="J10" s="159"/>
    </row>
    <row r="11" spans="1:10">
      <c r="I11" s="159"/>
      <c r="J11" s="159"/>
    </row>
    <row r="12" spans="1:10">
      <c r="G12" s="161">
        <v>44196</v>
      </c>
      <c r="H12" s="161">
        <v>44560</v>
      </c>
      <c r="I12" s="162">
        <f>+H12-G12+1</f>
        <v>365</v>
      </c>
      <c r="J12" s="159"/>
    </row>
  </sheetData>
  <phoneticPr fontId="4" type="noConversion"/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:AH57"/>
  <sheetViews>
    <sheetView showGridLines="0" view="pageBreakPreview" zoomScale="60" zoomScaleNormal="75" workbookViewId="0">
      <selection activeCell="AG22" sqref="AG22"/>
    </sheetView>
  </sheetViews>
  <sheetFormatPr defaultColWidth="10" defaultRowHeight="12.5"/>
  <cols>
    <col min="1" max="1" width="5" style="20" customWidth="1"/>
    <col min="2" max="2" width="1" style="20" customWidth="1"/>
    <col min="3" max="3" width="9.23046875" style="21" customWidth="1"/>
    <col min="4" max="4" width="11.61328125" style="20" customWidth="1"/>
    <col min="5" max="5" width="0.61328125" style="20" customWidth="1"/>
    <col min="6" max="6" width="10.07421875" style="20" customWidth="1"/>
    <col min="7" max="7" width="0.61328125" style="20" customWidth="1"/>
    <col min="8" max="8" width="15.69140625" style="20" customWidth="1"/>
    <col min="9" max="9" width="3.23046875" style="20" customWidth="1"/>
    <col min="10" max="10" width="8" style="20" customWidth="1"/>
    <col min="11" max="11" width="1.61328125" style="20" customWidth="1"/>
    <col min="12" max="12" width="13.3828125" style="20" customWidth="1"/>
    <col min="13" max="13" width="1.4609375" style="20" customWidth="1"/>
    <col min="14" max="14" width="9.61328125" style="20" customWidth="1"/>
    <col min="15" max="15" width="2.3828125" style="20" customWidth="1"/>
    <col min="16" max="16" width="18.921875" style="20" customWidth="1"/>
    <col min="17" max="17" width="1.07421875" style="20" customWidth="1"/>
    <col min="18" max="18" width="12.3828125" style="20" customWidth="1"/>
    <col min="19" max="19" width="3.61328125" style="20" customWidth="1"/>
    <col min="20" max="20" width="8.23046875" style="20" customWidth="1"/>
    <col min="21" max="21" width="12.61328125" style="20" customWidth="1"/>
    <col min="22" max="22" width="3.69140625" style="20" customWidth="1"/>
    <col min="23" max="23" width="7.69140625" style="20" customWidth="1"/>
    <col min="24" max="24" width="16.61328125" style="20" customWidth="1"/>
    <col min="25" max="25" width="0.61328125" style="20" customWidth="1"/>
    <col min="26" max="26" width="9.61328125" style="20" customWidth="1"/>
    <col min="27" max="27" width="0.61328125" style="20" customWidth="1"/>
    <col min="28" max="28" width="12.921875" style="20" customWidth="1"/>
    <col min="29" max="29" width="1.921875" style="20" customWidth="1"/>
    <col min="30" max="30" width="13.61328125" style="20" customWidth="1"/>
    <col min="31" max="31" width="1" style="20" customWidth="1"/>
    <col min="32" max="32" width="3.61328125" style="20" customWidth="1"/>
    <col min="33" max="33" width="10.69140625" style="20" customWidth="1"/>
    <col min="34" max="34" width="6.69140625" style="20" customWidth="1"/>
    <col min="35" max="253" width="7.61328125" style="20" customWidth="1"/>
    <col min="254" max="16384" width="10" style="20"/>
  </cols>
  <sheetData>
    <row r="1" spans="3:34" ht="15.5">
      <c r="C1" s="71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2"/>
    </row>
    <row r="2" spans="3:34" ht="23">
      <c r="C2" s="70" t="s">
        <v>149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7"/>
    </row>
    <row r="3" spans="3:34" ht="20.5">
      <c r="C3" s="69" t="s">
        <v>148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7"/>
    </row>
    <row r="4" spans="3:34" ht="15.75" customHeight="1">
      <c r="C4" s="322" t="s">
        <v>147</v>
      </c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4"/>
    </row>
    <row r="5" spans="3:34" ht="16" thickBot="1">
      <c r="C5" s="66"/>
      <c r="D5" s="41"/>
      <c r="E5" s="41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41"/>
      <c r="Z5" s="41"/>
      <c r="AA5" s="41"/>
      <c r="AB5" s="41"/>
      <c r="AC5" s="41"/>
      <c r="AD5" s="41"/>
      <c r="AE5" s="41"/>
      <c r="AF5" s="41"/>
      <c r="AG5" s="41"/>
      <c r="AH5" s="38"/>
    </row>
    <row r="6" spans="3:34" ht="16" thickBot="1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3:34" ht="15.5">
      <c r="C7" s="64"/>
      <c r="D7" s="63"/>
      <c r="E7" s="63"/>
      <c r="F7" s="63"/>
      <c r="G7" s="63"/>
      <c r="H7" s="63"/>
      <c r="I7" s="63"/>
      <c r="J7" s="63" t="s">
        <v>138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2"/>
    </row>
    <row r="8" spans="3:34" ht="15.5">
      <c r="C8" s="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6" t="s">
        <v>146</v>
      </c>
      <c r="S8" s="26"/>
      <c r="V8" s="25" t="s">
        <v>145</v>
      </c>
      <c r="X8" s="25"/>
      <c r="Y8" s="28"/>
      <c r="Z8" s="28"/>
      <c r="AA8" s="28"/>
      <c r="AB8" s="28"/>
      <c r="AC8" s="28"/>
      <c r="AD8" s="28"/>
      <c r="AE8" s="28"/>
      <c r="AF8" s="28"/>
      <c r="AG8" s="28"/>
      <c r="AH8" s="47"/>
    </row>
    <row r="9" spans="3:34" ht="15.5">
      <c r="C9" s="61"/>
      <c r="D9" s="60"/>
      <c r="E9" s="60"/>
      <c r="F9" s="60"/>
      <c r="G9" s="60"/>
      <c r="I9" s="56"/>
      <c r="K9" s="55"/>
      <c r="L9" s="55"/>
      <c r="M9" s="56"/>
      <c r="N9" s="56"/>
      <c r="O9" s="56"/>
      <c r="P9" s="55"/>
      <c r="Q9" s="55"/>
      <c r="R9" s="55"/>
      <c r="S9" s="55"/>
      <c r="T9" s="55"/>
      <c r="U9" s="55"/>
      <c r="V9" s="55"/>
      <c r="W9" s="55"/>
      <c r="Y9" s="55"/>
      <c r="Z9" s="55"/>
      <c r="AA9" s="56"/>
      <c r="AB9" s="56"/>
      <c r="AC9" s="56"/>
      <c r="AD9" s="56"/>
      <c r="AE9" s="60"/>
      <c r="AF9" s="60"/>
      <c r="AG9" s="60"/>
      <c r="AH9" s="59"/>
    </row>
    <row r="10" spans="3:34" ht="15.5">
      <c r="C10" s="61"/>
      <c r="D10" s="60" t="s">
        <v>144</v>
      </c>
      <c r="E10" s="60"/>
      <c r="F10" s="60" t="s">
        <v>143</v>
      </c>
      <c r="G10" s="60"/>
      <c r="H10" s="26" t="s">
        <v>142</v>
      </c>
      <c r="I10" s="60"/>
      <c r="J10" s="60"/>
      <c r="K10" s="60"/>
      <c r="L10" s="60" t="s">
        <v>139</v>
      </c>
      <c r="M10" s="60"/>
      <c r="N10" s="60" t="s">
        <v>138</v>
      </c>
      <c r="O10" s="60"/>
      <c r="P10" s="60" t="s">
        <v>141</v>
      </c>
      <c r="Q10" s="60"/>
      <c r="R10" s="60"/>
      <c r="S10" s="60"/>
      <c r="T10" s="60"/>
      <c r="V10" s="60"/>
      <c r="W10" s="60"/>
      <c r="Y10" s="60" t="s">
        <v>140</v>
      </c>
      <c r="Z10" s="60" t="s">
        <v>138</v>
      </c>
      <c r="AA10" s="60"/>
      <c r="AB10" s="60"/>
      <c r="AC10" s="60"/>
      <c r="AD10" s="60" t="s">
        <v>139</v>
      </c>
      <c r="AE10" s="60"/>
      <c r="AF10" s="60"/>
      <c r="AG10" s="60" t="s">
        <v>138</v>
      </c>
      <c r="AH10" s="59"/>
    </row>
    <row r="11" spans="3:34" ht="17.5">
      <c r="C11" s="53" t="s">
        <v>137</v>
      </c>
      <c r="D11" s="60" t="s">
        <v>135</v>
      </c>
      <c r="E11" s="60"/>
      <c r="F11" s="60"/>
      <c r="G11" s="60"/>
      <c r="H11" s="57" t="s">
        <v>136</v>
      </c>
      <c r="I11" s="60"/>
      <c r="J11" s="60" t="s">
        <v>129</v>
      </c>
      <c r="K11" s="60"/>
      <c r="L11" s="60" t="s">
        <v>135</v>
      </c>
      <c r="M11" s="60"/>
      <c r="N11" s="60" t="s">
        <v>134</v>
      </c>
      <c r="O11" s="60"/>
      <c r="P11" s="60" t="s">
        <v>133</v>
      </c>
      <c r="Q11" s="60"/>
      <c r="R11" s="26" t="s">
        <v>132</v>
      </c>
      <c r="S11" s="26"/>
      <c r="T11" s="60" t="s">
        <v>129</v>
      </c>
      <c r="U11" s="26" t="s">
        <v>131</v>
      </c>
      <c r="V11" s="60"/>
      <c r="W11" s="60" t="s">
        <v>129</v>
      </c>
      <c r="X11" s="26" t="s">
        <v>130</v>
      </c>
      <c r="Y11" s="60"/>
      <c r="Z11" s="60" t="s">
        <v>129</v>
      </c>
      <c r="AA11" s="60"/>
      <c r="AB11" s="60" t="s">
        <v>128</v>
      </c>
      <c r="AC11" s="60"/>
      <c r="AD11" s="60" t="s">
        <v>127</v>
      </c>
      <c r="AE11" s="60"/>
      <c r="AF11" s="60"/>
      <c r="AG11" s="60" t="s">
        <v>126</v>
      </c>
      <c r="AH11" s="59"/>
    </row>
    <row r="12" spans="3:34" ht="17">
      <c r="C12" s="58" t="s">
        <v>125</v>
      </c>
      <c r="D12" s="55" t="s">
        <v>124</v>
      </c>
      <c r="E12" s="55"/>
      <c r="F12" s="55" t="s">
        <v>114</v>
      </c>
      <c r="G12" s="56"/>
      <c r="H12" s="57" t="s">
        <v>123</v>
      </c>
      <c r="I12" s="56"/>
      <c r="J12" s="56"/>
      <c r="K12" s="56"/>
      <c r="L12" s="55" t="s">
        <v>122</v>
      </c>
      <c r="M12" s="56"/>
      <c r="N12" s="55" t="s">
        <v>121</v>
      </c>
      <c r="O12" s="55"/>
      <c r="P12" s="55" t="s">
        <v>120</v>
      </c>
      <c r="Q12" s="55"/>
      <c r="R12" s="57" t="s">
        <v>119</v>
      </c>
      <c r="S12" s="57"/>
      <c r="T12" s="55"/>
      <c r="U12" s="57" t="s">
        <v>118</v>
      </c>
      <c r="V12" s="55"/>
      <c r="W12" s="55"/>
      <c r="X12" s="57" t="s">
        <v>117</v>
      </c>
      <c r="Y12" s="56"/>
      <c r="Z12" s="56"/>
      <c r="AA12" s="56"/>
      <c r="AB12" s="55" t="s">
        <v>116</v>
      </c>
      <c r="AC12" s="56"/>
      <c r="AD12" s="55" t="s">
        <v>115</v>
      </c>
      <c r="AE12" s="56"/>
      <c r="AF12" s="56"/>
      <c r="AG12" s="55" t="s">
        <v>114</v>
      </c>
      <c r="AH12" s="54"/>
    </row>
    <row r="13" spans="3:34" ht="21.75" customHeight="1">
      <c r="C13" s="58"/>
      <c r="D13" s="55"/>
      <c r="E13" s="55"/>
      <c r="F13" s="55"/>
      <c r="G13" s="56"/>
      <c r="H13" s="56"/>
      <c r="I13" s="56"/>
      <c r="J13" s="56"/>
      <c r="K13" s="56"/>
      <c r="L13" s="55"/>
      <c r="M13" s="56"/>
      <c r="N13" s="55"/>
      <c r="O13" s="55"/>
      <c r="P13" s="55" t="s">
        <v>113</v>
      </c>
      <c r="Q13" s="55"/>
      <c r="R13" s="55"/>
      <c r="S13" s="55"/>
      <c r="T13" s="55"/>
      <c r="U13" s="55"/>
      <c r="V13" s="55"/>
      <c r="W13" s="55"/>
      <c r="X13" s="57"/>
      <c r="Y13" s="56"/>
      <c r="Z13" s="56"/>
      <c r="AA13" s="56"/>
      <c r="AB13" s="55"/>
      <c r="AC13" s="56"/>
      <c r="AD13" s="55"/>
      <c r="AE13" s="56"/>
      <c r="AF13" s="56"/>
      <c r="AG13" s="55"/>
      <c r="AH13" s="54"/>
    </row>
    <row r="14" spans="3:34" ht="15.5">
      <c r="C14" s="53"/>
      <c r="D14" s="33"/>
      <c r="E14" s="33"/>
      <c r="F14" s="33"/>
      <c r="G14" s="33"/>
      <c r="H14" s="33"/>
      <c r="I14" s="33"/>
      <c r="J14" s="33"/>
      <c r="K14" s="33"/>
      <c r="L14" s="28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28"/>
      <c r="AC14" s="28"/>
      <c r="AD14" s="33"/>
      <c r="AE14" s="33"/>
      <c r="AF14" s="33"/>
      <c r="AG14" s="33"/>
      <c r="AH14" s="47"/>
    </row>
    <row r="15" spans="3:34" ht="22.5" customHeight="1">
      <c r="C15" s="51">
        <v>1984</v>
      </c>
      <c r="D15" s="48">
        <v>30613.5</v>
      </c>
      <c r="E15" s="48"/>
      <c r="F15" s="48">
        <v>11.945456141120726</v>
      </c>
      <c r="G15" s="48"/>
      <c r="H15" s="48">
        <v>1890.7</v>
      </c>
      <c r="I15" s="48"/>
      <c r="J15" s="48">
        <f t="shared" ref="J15:J41" si="0">SUM((H15/D15)*100)</f>
        <v>6.1760334492952458</v>
      </c>
      <c r="K15" s="48"/>
      <c r="L15" s="48">
        <f t="shared" ref="L15:L41" si="1">SUM(D15-H15)</f>
        <v>28722.799999999999</v>
      </c>
      <c r="M15" s="48"/>
      <c r="N15" s="48">
        <v>2653</v>
      </c>
      <c r="O15" s="48"/>
      <c r="P15" s="48">
        <f t="shared" ref="P15:P35" si="2">SUM(L15+N15)</f>
        <v>31375.8</v>
      </c>
      <c r="Q15" s="48"/>
      <c r="R15" s="48">
        <v>1577.4</v>
      </c>
      <c r="S15" s="48"/>
      <c r="T15" s="48">
        <f t="shared" ref="T15:T41" si="3">SUM(R15/P15)*100</f>
        <v>5.0274415313713119</v>
      </c>
      <c r="U15" s="48">
        <f t="shared" ref="U15:U26" si="4">SUM(X15-R15)</f>
        <v>2163.1999999999998</v>
      </c>
      <c r="V15" s="48"/>
      <c r="W15" s="48">
        <f t="shared" ref="W15:W41" si="5">SUM(U15/P15)*100</f>
        <v>6.8944855589339546</v>
      </c>
      <c r="X15" s="48">
        <v>3740.6</v>
      </c>
      <c r="Y15" s="48"/>
      <c r="Z15" s="48">
        <f t="shared" ref="Z15:Z41" si="6">SUM((X15/P15)*100)</f>
        <v>11.921927090305267</v>
      </c>
      <c r="AA15" s="48"/>
      <c r="AB15" s="24"/>
      <c r="AC15" s="24"/>
      <c r="AD15" s="48">
        <f t="shared" ref="AD15:AD41" si="7">SUM(P15-X15-AB15)</f>
        <v>27635.200000000001</v>
      </c>
      <c r="AE15" s="48"/>
      <c r="AF15" s="48"/>
      <c r="AG15" s="48">
        <v>12.95764170185285</v>
      </c>
      <c r="AH15" s="47"/>
    </row>
    <row r="16" spans="3:34" ht="22.5" customHeight="1">
      <c r="C16" s="51">
        <v>1985</v>
      </c>
      <c r="D16" s="48">
        <v>34218.9</v>
      </c>
      <c r="E16" s="48"/>
      <c r="F16" s="48">
        <f t="shared" ref="F16:F41" si="8">((+D16/D15)-1)*100</f>
        <v>11.777157136557403</v>
      </c>
      <c r="G16" s="48"/>
      <c r="H16" s="48">
        <v>2306.8000000000002</v>
      </c>
      <c r="I16" s="48"/>
      <c r="J16" s="48">
        <f t="shared" si="0"/>
        <v>6.7413037824126425</v>
      </c>
      <c r="K16" s="48"/>
      <c r="L16" s="48">
        <f t="shared" si="1"/>
        <v>31912.100000000002</v>
      </c>
      <c r="M16" s="48"/>
      <c r="N16" s="48">
        <v>2142.4</v>
      </c>
      <c r="O16" s="48"/>
      <c r="P16" s="48">
        <f t="shared" si="2"/>
        <v>34054.5</v>
      </c>
      <c r="Q16" s="48"/>
      <c r="R16" s="48">
        <v>1611.4</v>
      </c>
      <c r="S16" s="48"/>
      <c r="T16" s="48">
        <f t="shared" si="3"/>
        <v>4.7318269244886881</v>
      </c>
      <c r="U16" s="48">
        <f t="shared" si="4"/>
        <v>2734.4999999999995</v>
      </c>
      <c r="V16" s="48"/>
      <c r="W16" s="48">
        <f t="shared" si="5"/>
        <v>8.029775800554992</v>
      </c>
      <c r="X16" s="48">
        <v>4345.8999999999996</v>
      </c>
      <c r="Y16" s="48"/>
      <c r="Z16" s="48">
        <f t="shared" si="6"/>
        <v>12.761602725043678</v>
      </c>
      <c r="AA16" s="48"/>
      <c r="AB16" s="24"/>
      <c r="AC16" s="24"/>
      <c r="AD16" s="48">
        <f t="shared" si="7"/>
        <v>29708.6</v>
      </c>
      <c r="AE16" s="48"/>
      <c r="AF16" s="48"/>
      <c r="AG16" s="48">
        <f t="shared" ref="AG16:AG41" si="9">((+AD16/AD15)-1)*100</f>
        <v>7.5027501157943322</v>
      </c>
      <c r="AH16" s="47"/>
    </row>
    <row r="17" spans="3:34" ht="22.5" customHeight="1">
      <c r="C17" s="51">
        <v>1986</v>
      </c>
      <c r="D17" s="48">
        <v>39694.800000000003</v>
      </c>
      <c r="E17" s="48"/>
      <c r="F17" s="48">
        <f t="shared" si="8"/>
        <v>16.002559988778131</v>
      </c>
      <c r="G17" s="48"/>
      <c r="H17" s="48">
        <v>2815</v>
      </c>
      <c r="I17" s="48"/>
      <c r="J17" s="48">
        <f t="shared" si="0"/>
        <v>7.0916089764906225</v>
      </c>
      <c r="K17" s="48"/>
      <c r="L17" s="48">
        <f t="shared" si="1"/>
        <v>36879.800000000003</v>
      </c>
      <c r="M17" s="48"/>
      <c r="N17" s="48">
        <v>776.6</v>
      </c>
      <c r="O17" s="48"/>
      <c r="P17" s="48">
        <f t="shared" si="2"/>
        <v>37656.400000000001</v>
      </c>
      <c r="Q17" s="48"/>
      <c r="R17" s="48">
        <v>1344.3</v>
      </c>
      <c r="S17" s="48"/>
      <c r="T17" s="48">
        <f t="shared" si="3"/>
        <v>3.5699110908105922</v>
      </c>
      <c r="U17" s="48">
        <f t="shared" si="4"/>
        <v>4102.3999999999996</v>
      </c>
      <c r="V17" s="48"/>
      <c r="W17" s="48">
        <f t="shared" si="5"/>
        <v>10.894296852593449</v>
      </c>
      <c r="X17" s="48">
        <v>5446.7</v>
      </c>
      <c r="Y17" s="48"/>
      <c r="Z17" s="48">
        <f t="shared" si="6"/>
        <v>14.464207943404043</v>
      </c>
      <c r="AA17" s="48"/>
      <c r="AB17" s="24"/>
      <c r="AC17" s="24"/>
      <c r="AD17" s="48">
        <f t="shared" si="7"/>
        <v>32209.7</v>
      </c>
      <c r="AE17" s="48"/>
      <c r="AF17" s="48"/>
      <c r="AG17" s="48">
        <f t="shared" si="9"/>
        <v>8.4187743616326749</v>
      </c>
      <c r="AH17" s="47"/>
    </row>
    <row r="18" spans="3:34" ht="22.5" customHeight="1">
      <c r="C18" s="51">
        <v>1987</v>
      </c>
      <c r="D18" s="48">
        <v>44352.9</v>
      </c>
      <c r="E18" s="48"/>
      <c r="F18" s="48">
        <f t="shared" si="8"/>
        <v>11.734786420387543</v>
      </c>
      <c r="G18" s="48"/>
      <c r="H18" s="48">
        <v>2607.6999999999998</v>
      </c>
      <c r="I18" s="48"/>
      <c r="J18" s="48">
        <f t="shared" si="0"/>
        <v>5.8794351665843712</v>
      </c>
      <c r="K18" s="48"/>
      <c r="L18" s="48">
        <f t="shared" si="1"/>
        <v>41745.200000000004</v>
      </c>
      <c r="M18" s="48"/>
      <c r="N18" s="48">
        <v>572.1</v>
      </c>
      <c r="O18" s="48"/>
      <c r="P18" s="48">
        <f t="shared" si="2"/>
        <v>42317.3</v>
      </c>
      <c r="Q18" s="48"/>
      <c r="R18" s="48">
        <v>1627.4</v>
      </c>
      <c r="S18" s="48"/>
      <c r="T18" s="48">
        <f t="shared" si="3"/>
        <v>3.8457084927441021</v>
      </c>
      <c r="U18" s="48">
        <f t="shared" si="4"/>
        <v>3992.6</v>
      </c>
      <c r="V18" s="48"/>
      <c r="W18" s="48">
        <f t="shared" si="5"/>
        <v>9.4349119627197364</v>
      </c>
      <c r="X18" s="48">
        <v>5620</v>
      </c>
      <c r="Y18" s="48"/>
      <c r="Z18" s="48">
        <f t="shared" si="6"/>
        <v>13.28062045546384</v>
      </c>
      <c r="AA18" s="48"/>
      <c r="AB18" s="24"/>
      <c r="AC18" s="24"/>
      <c r="AD18" s="48">
        <f t="shared" si="7"/>
        <v>36697.300000000003</v>
      </c>
      <c r="AE18" s="48"/>
      <c r="AF18" s="48"/>
      <c r="AG18" s="48">
        <f t="shared" si="9"/>
        <v>13.932448920666761</v>
      </c>
      <c r="AH18" s="47"/>
    </row>
    <row r="19" spans="3:34" ht="22.5" customHeight="1">
      <c r="C19" s="51">
        <v>1988</v>
      </c>
      <c r="D19" s="48">
        <v>48048.800000000003</v>
      </c>
      <c r="E19" s="48"/>
      <c r="F19" s="48">
        <f t="shared" si="8"/>
        <v>8.3329387706328149</v>
      </c>
      <c r="G19" s="48"/>
      <c r="H19" s="48">
        <v>2400</v>
      </c>
      <c r="I19" s="48"/>
      <c r="J19" s="48">
        <f t="shared" si="0"/>
        <v>4.9949218294733688</v>
      </c>
      <c r="K19" s="48"/>
      <c r="L19" s="48">
        <f t="shared" si="1"/>
        <v>45648.800000000003</v>
      </c>
      <c r="M19" s="48"/>
      <c r="N19" s="48">
        <v>381.2</v>
      </c>
      <c r="O19" s="48"/>
      <c r="P19" s="48">
        <f t="shared" si="2"/>
        <v>46030</v>
      </c>
      <c r="Q19" s="48"/>
      <c r="R19" s="48">
        <v>2016.6</v>
      </c>
      <c r="S19" s="48"/>
      <c r="T19" s="48">
        <f t="shared" si="3"/>
        <v>4.381055833152292</v>
      </c>
      <c r="U19" s="48">
        <f t="shared" si="4"/>
        <v>4291.8999999999996</v>
      </c>
      <c r="V19" s="48"/>
      <c r="W19" s="48">
        <f t="shared" si="5"/>
        <v>9.3241364327612413</v>
      </c>
      <c r="X19" s="48">
        <v>6308.5</v>
      </c>
      <c r="Y19" s="48"/>
      <c r="Z19" s="48">
        <f t="shared" si="6"/>
        <v>13.705192265913535</v>
      </c>
      <c r="AA19" s="48"/>
      <c r="AB19" s="24"/>
      <c r="AC19" s="24"/>
      <c r="AD19" s="48">
        <f t="shared" si="7"/>
        <v>39721.5</v>
      </c>
      <c r="AE19" s="48"/>
      <c r="AF19" s="48"/>
      <c r="AG19" s="48">
        <f t="shared" si="9"/>
        <v>8.2409332566701021</v>
      </c>
      <c r="AH19" s="47"/>
    </row>
    <row r="20" spans="3:34" ht="22.5" customHeight="1">
      <c r="C20" s="51">
        <v>1989</v>
      </c>
      <c r="D20" s="48">
        <v>52043.199999999997</v>
      </c>
      <c r="E20" s="48"/>
      <c r="F20" s="48">
        <f t="shared" si="8"/>
        <v>8.313214898186839</v>
      </c>
      <c r="G20" s="48"/>
      <c r="H20" s="48">
        <v>3234.5</v>
      </c>
      <c r="I20" s="48"/>
      <c r="J20" s="48">
        <f t="shared" si="0"/>
        <v>6.2150290527869156</v>
      </c>
      <c r="K20" s="48"/>
      <c r="L20" s="48">
        <f t="shared" si="1"/>
        <v>48808.7</v>
      </c>
      <c r="M20" s="48"/>
      <c r="N20" s="48">
        <v>558.5</v>
      </c>
      <c r="O20" s="48"/>
      <c r="P20" s="48">
        <f t="shared" si="2"/>
        <v>49367.199999999997</v>
      </c>
      <c r="Q20" s="48"/>
      <c r="R20" s="48">
        <v>1544</v>
      </c>
      <c r="S20" s="48"/>
      <c r="T20" s="48">
        <f t="shared" si="3"/>
        <v>3.1275826864800926</v>
      </c>
      <c r="U20" s="48">
        <f t="shared" si="4"/>
        <v>4703.2</v>
      </c>
      <c r="V20" s="48"/>
      <c r="W20" s="48">
        <f t="shared" si="5"/>
        <v>9.5269733750344372</v>
      </c>
      <c r="X20" s="48">
        <v>6247.2</v>
      </c>
      <c r="Y20" s="48"/>
      <c r="Z20" s="48">
        <f t="shared" si="6"/>
        <v>12.654556061514526</v>
      </c>
      <c r="AA20" s="48"/>
      <c r="AB20" s="24"/>
      <c r="AC20" s="24"/>
      <c r="AD20" s="48">
        <f t="shared" si="7"/>
        <v>43120</v>
      </c>
      <c r="AE20" s="48"/>
      <c r="AF20" s="48"/>
      <c r="AG20" s="48">
        <f t="shared" si="9"/>
        <v>8.5558198960260725</v>
      </c>
      <c r="AH20" s="47"/>
    </row>
    <row r="21" spans="3:34" ht="22.5" customHeight="1">
      <c r="C21" s="51">
        <v>1990</v>
      </c>
      <c r="D21" s="48">
        <v>57543</v>
      </c>
      <c r="E21" s="48"/>
      <c r="F21" s="48">
        <f t="shared" si="8"/>
        <v>10.567759092446272</v>
      </c>
      <c r="G21" s="48"/>
      <c r="H21" s="48">
        <v>3311.4</v>
      </c>
      <c r="I21" s="48"/>
      <c r="J21" s="48">
        <f t="shared" si="0"/>
        <v>5.754653042072885</v>
      </c>
      <c r="K21" s="48"/>
      <c r="L21" s="48">
        <f t="shared" si="1"/>
        <v>54231.6</v>
      </c>
      <c r="M21" s="48"/>
      <c r="N21" s="48">
        <v>175.5</v>
      </c>
      <c r="O21" s="48"/>
      <c r="P21" s="48">
        <f t="shared" si="2"/>
        <v>54407.1</v>
      </c>
      <c r="Q21" s="48"/>
      <c r="R21" s="48">
        <v>1787.2</v>
      </c>
      <c r="S21" s="48"/>
      <c r="T21" s="48">
        <f t="shared" si="3"/>
        <v>3.2848653944062454</v>
      </c>
      <c r="U21" s="48">
        <f t="shared" si="4"/>
        <v>4893.1000000000004</v>
      </c>
      <c r="V21" s="48"/>
      <c r="W21" s="48">
        <f t="shared" si="5"/>
        <v>8.9934953342486565</v>
      </c>
      <c r="X21" s="48">
        <v>6680.3</v>
      </c>
      <c r="Y21" s="48"/>
      <c r="Z21" s="48">
        <f t="shared" si="6"/>
        <v>12.278360728654901</v>
      </c>
      <c r="AA21" s="48"/>
      <c r="AB21" s="24">
        <v>906.8</v>
      </c>
      <c r="AC21" s="24"/>
      <c r="AD21" s="48">
        <f t="shared" si="7"/>
        <v>46819.999999999993</v>
      </c>
      <c r="AE21" s="48"/>
      <c r="AF21" s="48"/>
      <c r="AG21" s="48">
        <f t="shared" si="9"/>
        <v>8.5807050092764126</v>
      </c>
      <c r="AH21" s="47"/>
    </row>
    <row r="22" spans="3:34" ht="22.5" customHeight="1">
      <c r="C22" s="51">
        <v>1991</v>
      </c>
      <c r="D22" s="48">
        <v>60246.3</v>
      </c>
      <c r="E22" s="48"/>
      <c r="F22" s="48">
        <f t="shared" si="8"/>
        <v>4.6978781085449173</v>
      </c>
      <c r="G22" s="48"/>
      <c r="H22" s="48">
        <v>3655.2</v>
      </c>
      <c r="I22" s="48"/>
      <c r="J22" s="48">
        <f t="shared" si="0"/>
        <v>6.0670945767623898</v>
      </c>
      <c r="K22" s="48"/>
      <c r="L22" s="48">
        <f t="shared" si="1"/>
        <v>56591.100000000006</v>
      </c>
      <c r="M22" s="48"/>
      <c r="N22" s="48">
        <v>759.4</v>
      </c>
      <c r="O22" s="48"/>
      <c r="P22" s="48">
        <f t="shared" si="2"/>
        <v>57350.500000000007</v>
      </c>
      <c r="Q22" s="48"/>
      <c r="R22" s="48">
        <v>1437.8</v>
      </c>
      <c r="S22" s="48"/>
      <c r="T22" s="48">
        <f t="shared" si="3"/>
        <v>2.5070400432428657</v>
      </c>
      <c r="U22" s="48">
        <f t="shared" si="4"/>
        <v>6123.4</v>
      </c>
      <c r="V22" s="48"/>
      <c r="W22" s="48">
        <f t="shared" si="5"/>
        <v>10.677151899285969</v>
      </c>
      <c r="X22" s="48">
        <v>7561.2</v>
      </c>
      <c r="Y22" s="48"/>
      <c r="Z22" s="48">
        <f t="shared" si="6"/>
        <v>13.184191942528834</v>
      </c>
      <c r="AA22" s="48"/>
      <c r="AB22" s="24">
        <v>506.4</v>
      </c>
      <c r="AC22" s="24"/>
      <c r="AD22" s="48">
        <f t="shared" si="7"/>
        <v>49282.900000000009</v>
      </c>
      <c r="AE22" s="48"/>
      <c r="AF22" s="48"/>
      <c r="AG22" s="48">
        <f t="shared" si="9"/>
        <v>5.2603588210166974</v>
      </c>
      <c r="AH22" s="47"/>
    </row>
    <row r="23" spans="3:34" ht="22.5" customHeight="1">
      <c r="C23" s="51">
        <v>1992</v>
      </c>
      <c r="D23" s="52">
        <v>67342.2</v>
      </c>
      <c r="E23" s="24"/>
      <c r="F23" s="48">
        <f t="shared" si="8"/>
        <v>11.778150691411749</v>
      </c>
      <c r="G23" s="24"/>
      <c r="H23" s="49">
        <v>4237.3</v>
      </c>
      <c r="I23" s="24"/>
      <c r="J23" s="48">
        <f t="shared" si="0"/>
        <v>6.2921912263038626</v>
      </c>
      <c r="K23" s="24"/>
      <c r="L23" s="48">
        <f t="shared" si="1"/>
        <v>63104.899999999994</v>
      </c>
      <c r="M23" s="24"/>
      <c r="N23" s="24">
        <v>188.8</v>
      </c>
      <c r="O23" s="24"/>
      <c r="P23" s="48">
        <f t="shared" si="2"/>
        <v>63293.7</v>
      </c>
      <c r="Q23" s="24"/>
      <c r="R23" s="24">
        <v>1342.9</v>
      </c>
      <c r="S23" s="24"/>
      <c r="T23" s="48">
        <f t="shared" si="3"/>
        <v>2.1216961561735213</v>
      </c>
      <c r="U23" s="48">
        <f t="shared" si="4"/>
        <v>7651.9</v>
      </c>
      <c r="V23" s="48"/>
      <c r="W23" s="48">
        <f t="shared" si="5"/>
        <v>12.089512858309753</v>
      </c>
      <c r="X23" s="49">
        <v>8994.7999999999993</v>
      </c>
      <c r="Y23" s="24"/>
      <c r="Z23" s="48">
        <f t="shared" si="6"/>
        <v>14.211209014483273</v>
      </c>
      <c r="AA23" s="24"/>
      <c r="AB23" s="24">
        <v>314.2</v>
      </c>
      <c r="AC23" s="24"/>
      <c r="AD23" s="48">
        <f t="shared" si="7"/>
        <v>53984.7</v>
      </c>
      <c r="AE23" s="24"/>
      <c r="AF23" s="24"/>
      <c r="AG23" s="48">
        <f t="shared" si="9"/>
        <v>9.5404288302838971</v>
      </c>
      <c r="AH23" s="47"/>
    </row>
    <row r="24" spans="3:34" ht="22.5" customHeight="1">
      <c r="C24" s="51">
        <v>1993</v>
      </c>
      <c r="D24" s="52">
        <v>73807.5</v>
      </c>
      <c r="E24" s="24"/>
      <c r="F24" s="48">
        <f t="shared" si="8"/>
        <v>9.6006664468936354</v>
      </c>
      <c r="G24" s="24"/>
      <c r="H24" s="49">
        <v>3943.1</v>
      </c>
      <c r="I24" s="24"/>
      <c r="J24" s="48">
        <f t="shared" si="0"/>
        <v>5.3424110015919792</v>
      </c>
      <c r="K24" s="24"/>
      <c r="L24" s="48">
        <f t="shared" si="1"/>
        <v>69864.399999999994</v>
      </c>
      <c r="M24" s="24"/>
      <c r="N24" s="24">
        <v>212.9</v>
      </c>
      <c r="O24" s="24"/>
      <c r="P24" s="48">
        <f t="shared" si="2"/>
        <v>70077.299999999988</v>
      </c>
      <c r="Q24" s="24"/>
      <c r="R24" s="24">
        <v>1634.9</v>
      </c>
      <c r="S24" s="24"/>
      <c r="T24" s="48">
        <f t="shared" si="3"/>
        <v>2.3329951353719398</v>
      </c>
      <c r="U24" s="48">
        <f t="shared" si="4"/>
        <v>8616.7000000000007</v>
      </c>
      <c r="V24" s="48"/>
      <c r="W24" s="48">
        <f t="shared" si="5"/>
        <v>12.295993139005073</v>
      </c>
      <c r="X24" s="49">
        <v>10251.6</v>
      </c>
      <c r="Y24" s="24"/>
      <c r="Z24" s="48">
        <f t="shared" si="6"/>
        <v>14.628988274377011</v>
      </c>
      <c r="AA24" s="24"/>
      <c r="AB24" s="24">
        <v>588.70000000000005</v>
      </c>
      <c r="AC24" s="24"/>
      <c r="AD24" s="48">
        <f t="shared" si="7"/>
        <v>59236.999999999993</v>
      </c>
      <c r="AE24" s="24"/>
      <c r="AF24" s="24"/>
      <c r="AG24" s="48">
        <f t="shared" si="9"/>
        <v>9.7292380989428384</v>
      </c>
      <c r="AH24" s="47"/>
    </row>
    <row r="25" spans="3:34" ht="22.5" customHeight="1">
      <c r="C25" s="51">
        <v>1994</v>
      </c>
      <c r="D25" s="52">
        <v>78321.7</v>
      </c>
      <c r="E25" s="24"/>
      <c r="F25" s="48">
        <f t="shared" si="8"/>
        <v>6.1161806049520706</v>
      </c>
      <c r="G25" s="24"/>
      <c r="H25" s="49">
        <v>4539.1000000000004</v>
      </c>
      <c r="I25" s="24"/>
      <c r="J25" s="48">
        <f t="shared" si="0"/>
        <v>5.7954564316147383</v>
      </c>
      <c r="K25" s="24"/>
      <c r="L25" s="48">
        <f t="shared" si="1"/>
        <v>73782.599999999991</v>
      </c>
      <c r="M25" s="24"/>
      <c r="N25" s="24">
        <v>31.4</v>
      </c>
      <c r="O25" s="24"/>
      <c r="P25" s="48">
        <f t="shared" si="2"/>
        <v>73813.999999999985</v>
      </c>
      <c r="Q25" s="24" t="s">
        <v>112</v>
      </c>
      <c r="R25" s="24">
        <v>1800.3</v>
      </c>
      <c r="S25" s="24"/>
      <c r="T25" s="48">
        <f t="shared" si="3"/>
        <v>2.4389682174113316</v>
      </c>
      <c r="U25" s="48">
        <f t="shared" si="4"/>
        <v>10042.700000000001</v>
      </c>
      <c r="V25" s="35" t="s">
        <v>110</v>
      </c>
      <c r="W25" s="48">
        <f t="shared" si="5"/>
        <v>13.605413607174793</v>
      </c>
      <c r="X25" s="49">
        <v>11843</v>
      </c>
      <c r="Y25" s="24"/>
      <c r="Z25" s="48">
        <f t="shared" si="6"/>
        <v>16.044381824586125</v>
      </c>
      <c r="AA25" s="24"/>
      <c r="AB25" s="24">
        <v>570.1</v>
      </c>
      <c r="AC25" s="24"/>
      <c r="AD25" s="48">
        <f t="shared" si="7"/>
        <v>61400.899999999987</v>
      </c>
      <c r="AE25" s="24"/>
      <c r="AF25" s="32" t="s">
        <v>110</v>
      </c>
      <c r="AG25" s="48">
        <f t="shared" si="9"/>
        <v>3.6529533906173306</v>
      </c>
      <c r="AH25" s="47"/>
    </row>
    <row r="26" spans="3:34" ht="22.5" customHeight="1">
      <c r="C26" s="51">
        <v>1995</v>
      </c>
      <c r="D26" s="52">
        <v>86247.4</v>
      </c>
      <c r="E26" s="24"/>
      <c r="F26" s="48">
        <f t="shared" si="8"/>
        <v>10.119417734804026</v>
      </c>
      <c r="G26" s="24"/>
      <c r="H26" s="49">
        <f>4348.3+40.5</f>
        <v>4388.8</v>
      </c>
      <c r="I26" s="24"/>
      <c r="J26" s="48">
        <f t="shared" si="0"/>
        <v>5.0886171641116142</v>
      </c>
      <c r="K26" s="24"/>
      <c r="L26" s="48">
        <f t="shared" si="1"/>
        <v>81858.599999999991</v>
      </c>
      <c r="M26" s="24"/>
      <c r="N26" s="24">
        <v>0</v>
      </c>
      <c r="O26" s="24"/>
      <c r="P26" s="48">
        <f t="shared" si="2"/>
        <v>81858.599999999991</v>
      </c>
      <c r="Q26" s="24" t="s">
        <v>112</v>
      </c>
      <c r="R26" s="24">
        <v>2034.9</v>
      </c>
      <c r="S26" s="24"/>
      <c r="T26" s="48">
        <f t="shared" si="3"/>
        <v>2.4858719792422548</v>
      </c>
      <c r="U26" s="48">
        <f t="shared" si="4"/>
        <v>11733.9</v>
      </c>
      <c r="V26" s="35" t="s">
        <v>110</v>
      </c>
      <c r="W26" s="48">
        <f t="shared" si="5"/>
        <v>14.334352163364633</v>
      </c>
      <c r="X26" s="49">
        <v>13768.8</v>
      </c>
      <c r="Y26" s="24"/>
      <c r="Z26" s="48">
        <f t="shared" si="6"/>
        <v>16.820224142606889</v>
      </c>
      <c r="AA26" s="24"/>
      <c r="AB26" s="24">
        <v>695.9</v>
      </c>
      <c r="AC26" s="24"/>
      <c r="AD26" s="48">
        <f t="shared" si="7"/>
        <v>67393.899999999994</v>
      </c>
      <c r="AE26" s="24"/>
      <c r="AF26" s="32" t="s">
        <v>110</v>
      </c>
      <c r="AG26" s="48">
        <f t="shared" si="9"/>
        <v>9.7604432508318517</v>
      </c>
      <c r="AH26" s="47"/>
    </row>
    <row r="27" spans="3:34" ht="22.5" customHeight="1">
      <c r="C27" s="51">
        <v>1996</v>
      </c>
      <c r="D27" s="52">
        <v>94861.7</v>
      </c>
      <c r="E27" s="24"/>
      <c r="F27" s="48">
        <f t="shared" si="8"/>
        <v>9.9878952872782367</v>
      </c>
      <c r="G27" s="24"/>
      <c r="H27" s="49">
        <v>4777.3</v>
      </c>
      <c r="I27" s="24"/>
      <c r="J27" s="48">
        <f t="shared" si="0"/>
        <v>5.0360682973212585</v>
      </c>
      <c r="K27" s="24"/>
      <c r="L27" s="48">
        <f t="shared" si="1"/>
        <v>90084.4</v>
      </c>
      <c r="M27" s="24"/>
      <c r="N27" s="24">
        <v>270.10000000000002</v>
      </c>
      <c r="O27" s="24"/>
      <c r="P27" s="48">
        <f t="shared" si="2"/>
        <v>90354.5</v>
      </c>
      <c r="Q27" s="24" t="s">
        <v>112</v>
      </c>
      <c r="R27" s="24">
        <v>2461.6999999999998</v>
      </c>
      <c r="S27" s="24"/>
      <c r="T27" s="48">
        <f t="shared" si="3"/>
        <v>2.7244907558560998</v>
      </c>
      <c r="U27" s="48">
        <v>13393.1</v>
      </c>
      <c r="V27" s="35" t="s">
        <v>110</v>
      </c>
      <c r="W27" s="48">
        <f t="shared" si="5"/>
        <v>14.82283671538219</v>
      </c>
      <c r="X27" s="49">
        <f t="shared" ref="X27:X33" si="10">SUM(R27+U27)</f>
        <v>15854.8</v>
      </c>
      <c r="Y27" s="24"/>
      <c r="Z27" s="48">
        <f t="shared" si="6"/>
        <v>17.54732747123829</v>
      </c>
      <c r="AA27" s="24"/>
      <c r="AB27" s="24">
        <v>343.1</v>
      </c>
      <c r="AC27" s="24"/>
      <c r="AD27" s="48">
        <f t="shared" si="7"/>
        <v>74156.599999999991</v>
      </c>
      <c r="AE27" s="24"/>
      <c r="AF27" s="32" t="s">
        <v>110</v>
      </c>
      <c r="AG27" s="48">
        <f t="shared" si="9"/>
        <v>10.03458770007375</v>
      </c>
      <c r="AH27" s="47"/>
    </row>
    <row r="28" spans="3:34" ht="22.5" customHeight="1">
      <c r="C28" s="51">
        <v>1997</v>
      </c>
      <c r="D28" s="52">
        <v>103295.8</v>
      </c>
      <c r="E28" s="24"/>
      <c r="F28" s="48">
        <f t="shared" si="8"/>
        <v>8.8909433417280184</v>
      </c>
      <c r="G28" s="24"/>
      <c r="H28" s="49">
        <v>5050.2</v>
      </c>
      <c r="I28" s="24"/>
      <c r="J28" s="48">
        <f t="shared" si="0"/>
        <v>4.8890661575785268</v>
      </c>
      <c r="K28" s="24"/>
      <c r="L28" s="48">
        <f t="shared" si="1"/>
        <v>98245.6</v>
      </c>
      <c r="M28" s="24"/>
      <c r="N28" s="24">
        <v>2492.3000000000002</v>
      </c>
      <c r="O28" s="24"/>
      <c r="P28" s="48">
        <f t="shared" si="2"/>
        <v>100737.90000000001</v>
      </c>
      <c r="Q28" s="24" t="s">
        <v>112</v>
      </c>
      <c r="R28" s="24">
        <v>2935.5</v>
      </c>
      <c r="S28" s="24"/>
      <c r="T28" s="48">
        <f t="shared" si="3"/>
        <v>2.9139976116238273</v>
      </c>
      <c r="U28" s="48">
        <v>15646.4</v>
      </c>
      <c r="V28" s="35" t="s">
        <v>110</v>
      </c>
      <c r="W28" s="48">
        <f t="shared" si="5"/>
        <v>15.5317909148394</v>
      </c>
      <c r="X28" s="50">
        <f t="shared" si="10"/>
        <v>18581.900000000001</v>
      </c>
      <c r="Y28" s="24"/>
      <c r="Z28" s="48">
        <f t="shared" si="6"/>
        <v>18.445788526463229</v>
      </c>
      <c r="AA28" s="24"/>
      <c r="AB28" s="49">
        <v>271</v>
      </c>
      <c r="AC28" s="24"/>
      <c r="AD28" s="48">
        <f t="shared" si="7"/>
        <v>81885</v>
      </c>
      <c r="AE28" s="24"/>
      <c r="AF28" s="32" t="s">
        <v>110</v>
      </c>
      <c r="AG28" s="48">
        <f t="shared" si="9"/>
        <v>10.421729151552261</v>
      </c>
      <c r="AH28" s="47"/>
    </row>
    <row r="29" spans="3:34" ht="22.5" customHeight="1">
      <c r="C29" s="51">
        <v>1998</v>
      </c>
      <c r="D29" s="52">
        <v>111022.39999999999</v>
      </c>
      <c r="E29" s="24"/>
      <c r="F29" s="48">
        <f t="shared" si="8"/>
        <v>7.4800717938192873</v>
      </c>
      <c r="G29" s="24"/>
      <c r="H29" s="49">
        <f>5484.8+38.4</f>
        <v>5523.2</v>
      </c>
      <c r="I29" s="24"/>
      <c r="J29" s="48">
        <f t="shared" si="0"/>
        <v>4.974851921774345</v>
      </c>
      <c r="K29" s="24"/>
      <c r="L29" s="48">
        <f t="shared" si="1"/>
        <v>105499.2</v>
      </c>
      <c r="M29" s="24"/>
      <c r="N29" s="24">
        <v>3298.5</v>
      </c>
      <c r="O29" s="24"/>
      <c r="P29" s="48">
        <f t="shared" si="2"/>
        <v>108797.7</v>
      </c>
      <c r="Q29" s="24" t="s">
        <v>112</v>
      </c>
      <c r="R29" s="24">
        <v>3337.1</v>
      </c>
      <c r="S29" s="24"/>
      <c r="T29" s="48">
        <f t="shared" si="3"/>
        <v>3.067252340812352</v>
      </c>
      <c r="U29" s="48">
        <v>17457.8</v>
      </c>
      <c r="V29" s="35" t="s">
        <v>110</v>
      </c>
      <c r="W29" s="48">
        <f t="shared" si="5"/>
        <v>16.046111268896311</v>
      </c>
      <c r="X29" s="50">
        <f t="shared" si="10"/>
        <v>20794.899999999998</v>
      </c>
      <c r="Y29" s="24"/>
      <c r="Z29" s="48">
        <f t="shared" si="6"/>
        <v>19.11336360970866</v>
      </c>
      <c r="AA29" s="24"/>
      <c r="AB29" s="49">
        <v>298.2</v>
      </c>
      <c r="AC29" s="24"/>
      <c r="AD29" s="48">
        <f t="shared" si="7"/>
        <v>87704.6</v>
      </c>
      <c r="AE29" s="24"/>
      <c r="AF29" s="32" t="s">
        <v>110</v>
      </c>
      <c r="AG29" s="48">
        <f t="shared" si="9"/>
        <v>7.107040361482575</v>
      </c>
      <c r="AH29" s="47"/>
    </row>
    <row r="30" spans="3:34" ht="22.5" customHeight="1">
      <c r="C30" s="51">
        <v>1999</v>
      </c>
      <c r="D30" s="52">
        <v>116439.9</v>
      </c>
      <c r="E30" s="24"/>
      <c r="F30" s="48">
        <f t="shared" si="8"/>
        <v>4.8796459092939726</v>
      </c>
      <c r="G30" s="24"/>
      <c r="H30" s="49">
        <v>5738</v>
      </c>
      <c r="I30" s="24"/>
      <c r="J30" s="48">
        <f t="shared" si="0"/>
        <v>4.9278640740845709</v>
      </c>
      <c r="K30" s="24"/>
      <c r="L30" s="48">
        <f t="shared" si="1"/>
        <v>110701.9</v>
      </c>
      <c r="M30" s="24"/>
      <c r="N30" s="24">
        <v>2330.3000000000002</v>
      </c>
      <c r="O30" s="24"/>
      <c r="P30" s="48">
        <f t="shared" si="2"/>
        <v>113032.2</v>
      </c>
      <c r="Q30" s="24" t="s">
        <v>112</v>
      </c>
      <c r="R30" s="24">
        <v>2985.1</v>
      </c>
      <c r="S30" s="24"/>
      <c r="T30" s="48">
        <f t="shared" si="3"/>
        <v>2.6409288680570668</v>
      </c>
      <c r="U30" s="48">
        <f>18539.7+20.2</f>
        <v>18559.900000000001</v>
      </c>
      <c r="V30" s="35" t="s">
        <v>110</v>
      </c>
      <c r="W30" s="48">
        <f t="shared" si="5"/>
        <v>16.420011288818586</v>
      </c>
      <c r="X30" s="50">
        <f t="shared" si="10"/>
        <v>21545</v>
      </c>
      <c r="Y30" s="24"/>
      <c r="Z30" s="48">
        <f t="shared" si="6"/>
        <v>19.060940156875652</v>
      </c>
      <c r="AA30" s="24"/>
      <c r="AB30" s="49">
        <v>285.3</v>
      </c>
      <c r="AC30" s="24"/>
      <c r="AD30" s="48">
        <f t="shared" si="7"/>
        <v>91201.9</v>
      </c>
      <c r="AE30" s="24"/>
      <c r="AF30" s="32" t="s">
        <v>110</v>
      </c>
      <c r="AG30" s="48">
        <f t="shared" si="9"/>
        <v>3.9875901606073016</v>
      </c>
      <c r="AH30" s="47"/>
    </row>
    <row r="31" spans="3:34" ht="22.5" customHeight="1">
      <c r="C31" s="51">
        <v>2000</v>
      </c>
      <c r="D31" s="52">
        <v>124921.60000000001</v>
      </c>
      <c r="E31" s="24"/>
      <c r="F31" s="48">
        <f t="shared" si="8"/>
        <v>7.2841869496624634</v>
      </c>
      <c r="G31" s="24"/>
      <c r="H31" s="49">
        <v>6224</v>
      </c>
      <c r="I31" s="24"/>
      <c r="J31" s="48">
        <f t="shared" si="0"/>
        <v>4.9823249141861776</v>
      </c>
      <c r="K31" s="24"/>
      <c r="L31" s="48">
        <f t="shared" si="1"/>
        <v>118697.60000000001</v>
      </c>
      <c r="M31" s="24"/>
      <c r="N31" s="24">
        <v>3791.3</v>
      </c>
      <c r="O31" s="24"/>
      <c r="P31" s="48">
        <f t="shared" si="2"/>
        <v>122488.90000000001</v>
      </c>
      <c r="Q31" s="24"/>
      <c r="R31" s="24">
        <v>3181.8</v>
      </c>
      <c r="S31" s="24"/>
      <c r="T31" s="48">
        <f t="shared" si="3"/>
        <v>2.597623131565391</v>
      </c>
      <c r="U31" s="48">
        <f>19141+1433.1</f>
        <v>20574.099999999999</v>
      </c>
      <c r="V31" s="35" t="s">
        <v>110</v>
      </c>
      <c r="W31" s="48">
        <f t="shared" si="5"/>
        <v>16.796705660676189</v>
      </c>
      <c r="X31" s="50">
        <f t="shared" si="10"/>
        <v>23755.899999999998</v>
      </c>
      <c r="Y31" s="24"/>
      <c r="Z31" s="48">
        <f t="shared" si="6"/>
        <v>19.394328792241581</v>
      </c>
      <c r="AA31" s="24"/>
      <c r="AB31" s="49">
        <v>437.3</v>
      </c>
      <c r="AC31" s="24"/>
      <c r="AD31" s="48">
        <f t="shared" si="7"/>
        <v>98295.700000000012</v>
      </c>
      <c r="AE31" s="24"/>
      <c r="AF31" s="32" t="s">
        <v>110</v>
      </c>
      <c r="AG31" s="48">
        <f t="shared" si="9"/>
        <v>7.7781274293627911</v>
      </c>
      <c r="AH31" s="47"/>
    </row>
    <row r="32" spans="3:34" ht="22.5" customHeight="1">
      <c r="C32" s="51">
        <v>2001</v>
      </c>
      <c r="D32" s="52">
        <v>122724.7</v>
      </c>
      <c r="E32" s="24"/>
      <c r="F32" s="48">
        <f t="shared" si="8"/>
        <v>-1.7586230083508458</v>
      </c>
      <c r="G32" s="24"/>
      <c r="H32" s="49">
        <f>6395.8+76.8</f>
        <v>6472.6</v>
      </c>
      <c r="I32" s="24"/>
      <c r="J32" s="48">
        <f t="shared" si="0"/>
        <v>5.2740809307335859</v>
      </c>
      <c r="K32" s="24"/>
      <c r="L32" s="48">
        <f t="shared" si="1"/>
        <v>116252.09999999999</v>
      </c>
      <c r="M32" s="24"/>
      <c r="N32" s="24">
        <v>4579.3999999999996</v>
      </c>
      <c r="O32" s="24"/>
      <c r="P32" s="48">
        <f t="shared" si="2"/>
        <v>120831.49999999999</v>
      </c>
      <c r="Q32" s="24"/>
      <c r="R32" s="49">
        <v>3374.4</v>
      </c>
      <c r="S32" s="49"/>
      <c r="T32" s="48">
        <f t="shared" si="3"/>
        <v>2.7926492677819943</v>
      </c>
      <c r="U32" s="48">
        <f>19891+63.3</f>
        <v>19954.3</v>
      </c>
      <c r="V32" s="35" t="s">
        <v>110</v>
      </c>
      <c r="W32" s="48">
        <f t="shared" si="5"/>
        <v>16.514154007853911</v>
      </c>
      <c r="X32" s="50">
        <f t="shared" si="10"/>
        <v>23328.7</v>
      </c>
      <c r="Y32" s="35" t="s">
        <v>111</v>
      </c>
      <c r="Z32" s="48">
        <f t="shared" si="6"/>
        <v>19.306803275635907</v>
      </c>
      <c r="AA32" s="24"/>
      <c r="AB32" s="49">
        <v>432.8</v>
      </c>
      <c r="AC32" s="24"/>
      <c r="AD32" s="48">
        <f t="shared" si="7"/>
        <v>97069.999999999985</v>
      </c>
      <c r="AE32" s="24"/>
      <c r="AF32" s="32" t="s">
        <v>110</v>
      </c>
      <c r="AG32" s="48">
        <f t="shared" si="9"/>
        <v>-1.2469517995192358</v>
      </c>
      <c r="AH32" s="47"/>
    </row>
    <row r="33" spans="3:34" ht="22.5" customHeight="1">
      <c r="C33" s="51">
        <v>2002</v>
      </c>
      <c r="D33" s="50">
        <v>129399.5</v>
      </c>
      <c r="E33" s="24"/>
      <c r="F33" s="48">
        <f t="shared" si="8"/>
        <v>5.43883994012615</v>
      </c>
      <c r="G33" s="24"/>
      <c r="H33" s="49">
        <f>5604.1+68.6</f>
        <v>5672.7000000000007</v>
      </c>
      <c r="I33" s="24"/>
      <c r="J33" s="48">
        <f t="shared" si="0"/>
        <v>4.3838654708866738</v>
      </c>
      <c r="K33" s="24"/>
      <c r="L33" s="48">
        <f t="shared" si="1"/>
        <v>123726.8</v>
      </c>
      <c r="M33" s="24"/>
      <c r="N33" s="24">
        <v>3588.2</v>
      </c>
      <c r="O33" s="24"/>
      <c r="P33" s="48">
        <f t="shared" si="2"/>
        <v>127315</v>
      </c>
      <c r="Q33" s="24"/>
      <c r="R33" s="49">
        <v>3440.7</v>
      </c>
      <c r="S33" s="49"/>
      <c r="T33" s="48">
        <f t="shared" si="3"/>
        <v>2.7025095236225107</v>
      </c>
      <c r="U33" s="48">
        <v>20491.2</v>
      </c>
      <c r="V33" s="35" t="s">
        <v>110</v>
      </c>
      <c r="W33" s="48">
        <f t="shared" si="5"/>
        <v>16.094882771079604</v>
      </c>
      <c r="X33" s="50">
        <f t="shared" si="10"/>
        <v>23931.9</v>
      </c>
      <c r="Y33" s="35"/>
      <c r="Z33" s="48">
        <f t="shared" si="6"/>
        <v>18.797392294702117</v>
      </c>
      <c r="AA33" s="24"/>
      <c r="AB33" s="49">
        <v>435.1</v>
      </c>
      <c r="AC33" s="24"/>
      <c r="AD33" s="48">
        <f t="shared" si="7"/>
        <v>102948</v>
      </c>
      <c r="AE33" s="24"/>
      <c r="AF33" s="32" t="s">
        <v>110</v>
      </c>
      <c r="AG33" s="48">
        <f t="shared" si="9"/>
        <v>6.0554239208818528</v>
      </c>
      <c r="AH33" s="47"/>
    </row>
    <row r="34" spans="3:34" ht="22.5" customHeight="1">
      <c r="C34" s="51">
        <v>2003</v>
      </c>
      <c r="D34" s="50">
        <v>140580.5</v>
      </c>
      <c r="E34" s="24"/>
      <c r="F34" s="48">
        <f t="shared" si="8"/>
        <v>8.6406825374132126</v>
      </c>
      <c r="G34" s="24"/>
      <c r="H34" s="49">
        <f>5252.2+80</f>
        <v>5332.2</v>
      </c>
      <c r="I34" s="24"/>
      <c r="J34" s="48">
        <f t="shared" si="0"/>
        <v>3.7929869363105122</v>
      </c>
      <c r="K34" s="24"/>
      <c r="L34" s="48">
        <f t="shared" si="1"/>
        <v>135248.29999999999</v>
      </c>
      <c r="M34" s="24"/>
      <c r="N34" s="49">
        <v>1158</v>
      </c>
      <c r="O34" s="24"/>
      <c r="P34" s="48">
        <f t="shared" si="2"/>
        <v>136406.29999999999</v>
      </c>
      <c r="Q34" s="24"/>
      <c r="R34" s="49">
        <v>3330.7</v>
      </c>
      <c r="S34" s="49"/>
      <c r="T34" s="48">
        <f t="shared" si="3"/>
        <v>2.4417493913404296</v>
      </c>
      <c r="U34" s="48">
        <f>+X34-R34</f>
        <v>20722</v>
      </c>
      <c r="V34" s="35" t="s">
        <v>110</v>
      </c>
      <c r="W34" s="48">
        <f t="shared" si="5"/>
        <v>15.191380456767762</v>
      </c>
      <c r="X34" s="50">
        <v>24052.7</v>
      </c>
      <c r="Y34" s="35"/>
      <c r="Z34" s="48">
        <f t="shared" si="6"/>
        <v>17.63312984810819</v>
      </c>
      <c r="AA34" s="24"/>
      <c r="AB34" s="49">
        <v>587.6</v>
      </c>
      <c r="AC34" s="24"/>
      <c r="AD34" s="48">
        <f t="shared" si="7"/>
        <v>111765.99999999999</v>
      </c>
      <c r="AE34" s="24"/>
      <c r="AF34" s="32" t="s">
        <v>110</v>
      </c>
      <c r="AG34" s="48">
        <f t="shared" si="9"/>
        <v>8.5654893732758133</v>
      </c>
      <c r="AH34" s="47"/>
    </row>
    <row r="35" spans="3:34" ht="22.5" customHeight="1">
      <c r="C35" s="51">
        <v>2004</v>
      </c>
      <c r="D35" s="50">
        <v>150698.29999999999</v>
      </c>
      <c r="E35" s="24"/>
      <c r="F35" s="48">
        <f t="shared" si="8"/>
        <v>7.1971575005068233</v>
      </c>
      <c r="G35" s="24"/>
      <c r="H35" s="49">
        <f>5604.8+27.8</f>
        <v>5632.6</v>
      </c>
      <c r="I35" s="24"/>
      <c r="J35" s="48">
        <f t="shared" si="0"/>
        <v>3.7376665828347111</v>
      </c>
      <c r="K35" s="24"/>
      <c r="L35" s="48">
        <f t="shared" si="1"/>
        <v>145065.69999999998</v>
      </c>
      <c r="M35" s="24"/>
      <c r="N35" s="49">
        <v>463.5</v>
      </c>
      <c r="O35" s="24"/>
      <c r="P35" s="48">
        <f t="shared" si="2"/>
        <v>145529.19999999998</v>
      </c>
      <c r="Q35" s="24"/>
      <c r="R35" s="49">
        <v>3422.8</v>
      </c>
      <c r="S35" s="49"/>
      <c r="T35" s="48">
        <f t="shared" si="3"/>
        <v>2.3519678524997047</v>
      </c>
      <c r="U35" s="48">
        <v>19820.2</v>
      </c>
      <c r="V35" s="35" t="s">
        <v>110</v>
      </c>
      <c r="W35" s="48">
        <f t="shared" si="5"/>
        <v>13.619397344313033</v>
      </c>
      <c r="X35" s="50">
        <f t="shared" ref="X35:X41" si="11">+R35+U35</f>
        <v>23243</v>
      </c>
      <c r="Y35" s="35"/>
      <c r="Z35" s="48">
        <f t="shared" si="6"/>
        <v>15.971365196812737</v>
      </c>
      <c r="AA35" s="24"/>
      <c r="AB35" s="49">
        <v>1144.3</v>
      </c>
      <c r="AC35" s="24"/>
      <c r="AD35" s="48">
        <f t="shared" si="7"/>
        <v>121141.89999999998</v>
      </c>
      <c r="AE35" s="24"/>
      <c r="AF35" s="32" t="s">
        <v>110</v>
      </c>
      <c r="AG35" s="48">
        <f t="shared" si="9"/>
        <v>8.3888660236565613</v>
      </c>
      <c r="AH35" s="47"/>
    </row>
    <row r="36" spans="3:34" ht="22.5" customHeight="1">
      <c r="C36" s="51">
        <v>2005</v>
      </c>
      <c r="D36" s="50">
        <v>161956.20000000001</v>
      </c>
      <c r="E36" s="24"/>
      <c r="F36" s="48">
        <f t="shared" si="8"/>
        <v>7.4704890499760257</v>
      </c>
      <c r="G36" s="24"/>
      <c r="H36" s="49">
        <v>6487.1</v>
      </c>
      <c r="I36" s="24"/>
      <c r="J36" s="48">
        <f t="shared" si="0"/>
        <v>4.0054656752875157</v>
      </c>
      <c r="K36" s="24"/>
      <c r="L36" s="48">
        <f t="shared" si="1"/>
        <v>155469.1</v>
      </c>
      <c r="M36" s="24"/>
      <c r="N36" s="49">
        <v>635.9</v>
      </c>
      <c r="O36" s="24"/>
      <c r="P36" s="48">
        <f t="shared" ref="P36:P41" si="12">+L36+N36</f>
        <v>156105</v>
      </c>
      <c r="Q36" s="24"/>
      <c r="R36" s="49">
        <v>3695.3</v>
      </c>
      <c r="S36" s="49"/>
      <c r="T36" s="48">
        <f t="shared" si="3"/>
        <v>2.3671887511610779</v>
      </c>
      <c r="U36" s="48">
        <v>20348.7</v>
      </c>
      <c r="V36" s="35" t="s">
        <v>110</v>
      </c>
      <c r="W36" s="48">
        <f t="shared" si="5"/>
        <v>13.035264725665419</v>
      </c>
      <c r="X36" s="50">
        <f t="shared" si="11"/>
        <v>24044</v>
      </c>
      <c r="Y36" s="35"/>
      <c r="Z36" s="48">
        <f t="shared" si="6"/>
        <v>15.402453476826494</v>
      </c>
      <c r="AA36" s="24"/>
      <c r="AB36" s="49">
        <v>1798.1</v>
      </c>
      <c r="AC36" s="24"/>
      <c r="AD36" s="48">
        <f t="shared" si="7"/>
        <v>130262.9</v>
      </c>
      <c r="AE36" s="24"/>
      <c r="AF36" s="32" t="s">
        <v>110</v>
      </c>
      <c r="AG36" s="48">
        <f t="shared" si="9"/>
        <v>7.5291868461696776</v>
      </c>
      <c r="AH36" s="47"/>
    </row>
    <row r="37" spans="3:34" ht="22.5" customHeight="1">
      <c r="C37" s="51">
        <v>2006</v>
      </c>
      <c r="D37" s="50">
        <v>176299.8</v>
      </c>
      <c r="E37" s="24"/>
      <c r="F37" s="48">
        <f t="shared" si="8"/>
        <v>8.8564686007698299</v>
      </c>
      <c r="G37" s="24"/>
      <c r="H37" s="49">
        <v>6756.7</v>
      </c>
      <c r="I37" s="24"/>
      <c r="J37" s="48">
        <f t="shared" si="0"/>
        <v>3.8325057657467561</v>
      </c>
      <c r="K37" s="24"/>
      <c r="L37" s="48">
        <f t="shared" si="1"/>
        <v>169543.09999999998</v>
      </c>
      <c r="M37" s="24"/>
      <c r="N37" s="49">
        <v>573.20000000000005</v>
      </c>
      <c r="O37" s="24"/>
      <c r="P37" s="48">
        <f t="shared" si="12"/>
        <v>170116.3</v>
      </c>
      <c r="Q37" s="24"/>
      <c r="R37" s="49">
        <v>4543.8</v>
      </c>
      <c r="S37" s="49"/>
      <c r="T37" s="48">
        <f t="shared" si="3"/>
        <v>2.6709962537393541</v>
      </c>
      <c r="U37" s="48">
        <v>19245.400000000001</v>
      </c>
      <c r="V37" s="35" t="s">
        <v>110</v>
      </c>
      <c r="W37" s="48">
        <f t="shared" si="5"/>
        <v>11.313084048971206</v>
      </c>
      <c r="X37" s="50">
        <f t="shared" si="11"/>
        <v>23789.200000000001</v>
      </c>
      <c r="Y37" s="35"/>
      <c r="Z37" s="48">
        <f t="shared" si="6"/>
        <v>13.984080302710558</v>
      </c>
      <c r="AA37" s="24"/>
      <c r="AB37" s="49">
        <v>2235.6999999999998</v>
      </c>
      <c r="AC37" s="24"/>
      <c r="AD37" s="48">
        <f t="shared" si="7"/>
        <v>144091.39999999997</v>
      </c>
      <c r="AE37" s="24"/>
      <c r="AF37" s="32" t="s">
        <v>110</v>
      </c>
      <c r="AG37" s="48">
        <f t="shared" si="9"/>
        <v>10.615839199035172</v>
      </c>
      <c r="AH37" s="47"/>
    </row>
    <row r="38" spans="3:34" ht="22.5" customHeight="1">
      <c r="C38" s="51">
        <v>2007</v>
      </c>
      <c r="D38" s="50">
        <v>191558.1</v>
      </c>
      <c r="E38" s="24"/>
      <c r="F38" s="48">
        <f t="shared" si="8"/>
        <v>8.6547460632400153</v>
      </c>
      <c r="G38" s="24"/>
      <c r="H38" s="49">
        <v>8218.4</v>
      </c>
      <c r="I38" s="24"/>
      <c r="J38" s="48">
        <f t="shared" si="0"/>
        <v>4.290291039637582</v>
      </c>
      <c r="K38" s="24"/>
      <c r="L38" s="48">
        <f t="shared" si="1"/>
        <v>183339.7</v>
      </c>
      <c r="M38" s="24"/>
      <c r="N38" s="49">
        <v>864.3</v>
      </c>
      <c r="O38" s="24"/>
      <c r="P38" s="48">
        <f t="shared" si="12"/>
        <v>184204</v>
      </c>
      <c r="Q38" s="24"/>
      <c r="R38" s="49">
        <v>4523</v>
      </c>
      <c r="S38" s="49"/>
      <c r="T38" s="48">
        <f t="shared" si="3"/>
        <v>2.4554298495146685</v>
      </c>
      <c r="U38" s="48">
        <v>22123.599999999999</v>
      </c>
      <c r="V38" s="35" t="s">
        <v>110</v>
      </c>
      <c r="W38" s="48">
        <f t="shared" si="5"/>
        <v>12.010379796312783</v>
      </c>
      <c r="X38" s="50">
        <f t="shared" si="11"/>
        <v>26646.6</v>
      </c>
      <c r="Y38" s="35"/>
      <c r="Z38" s="48">
        <f t="shared" si="6"/>
        <v>14.465809645827452</v>
      </c>
      <c r="AA38" s="24"/>
      <c r="AB38" s="49">
        <v>2422.1999999999998</v>
      </c>
      <c r="AC38" s="24"/>
      <c r="AD38" s="48">
        <f t="shared" si="7"/>
        <v>155135.19999999998</v>
      </c>
      <c r="AE38" s="24"/>
      <c r="AF38" s="32" t="s">
        <v>110</v>
      </c>
      <c r="AG38" s="48">
        <f t="shared" si="9"/>
        <v>7.6644407646813129</v>
      </c>
      <c r="AH38" s="47"/>
    </row>
    <row r="39" spans="3:34" ht="22.5" customHeight="1">
      <c r="C39" s="51">
        <v>2008</v>
      </c>
      <c r="D39" s="50">
        <v>198418</v>
      </c>
      <c r="E39" s="24"/>
      <c r="F39" s="48">
        <f t="shared" si="8"/>
        <v>3.5811067242784267</v>
      </c>
      <c r="G39" s="24"/>
      <c r="H39" s="49">
        <v>8656.1</v>
      </c>
      <c r="I39" s="24"/>
      <c r="J39" s="48">
        <f t="shared" si="0"/>
        <v>4.3625578324547174</v>
      </c>
      <c r="K39" s="24"/>
      <c r="L39" s="48">
        <f t="shared" si="1"/>
        <v>189761.9</v>
      </c>
      <c r="M39" s="24"/>
      <c r="N39" s="49">
        <v>789.4</v>
      </c>
      <c r="O39" s="24"/>
      <c r="P39" s="48">
        <f t="shared" si="12"/>
        <v>190551.3</v>
      </c>
      <c r="Q39" s="24"/>
      <c r="R39" s="49">
        <v>4388.3999999999996</v>
      </c>
      <c r="S39" s="49"/>
      <c r="T39" s="48">
        <f t="shared" si="3"/>
        <v>2.30300186878809</v>
      </c>
      <c r="U39" s="48">
        <v>23093.1</v>
      </c>
      <c r="V39" s="35" t="s">
        <v>110</v>
      </c>
      <c r="W39" s="48">
        <f t="shared" si="5"/>
        <v>12.11909863643019</v>
      </c>
      <c r="X39" s="50">
        <f t="shared" si="11"/>
        <v>27481.5</v>
      </c>
      <c r="Y39" s="35"/>
      <c r="Z39" s="48">
        <f t="shared" si="6"/>
        <v>14.42210050521828</v>
      </c>
      <c r="AA39" s="24"/>
      <c r="AB39" s="49">
        <v>1122.2</v>
      </c>
      <c r="AC39" s="24"/>
      <c r="AD39" s="48">
        <f t="shared" si="7"/>
        <v>161947.59999999998</v>
      </c>
      <c r="AE39" s="24"/>
      <c r="AF39" s="32" t="s">
        <v>110</v>
      </c>
      <c r="AG39" s="48">
        <f t="shared" si="9"/>
        <v>4.3912664566133186</v>
      </c>
      <c r="AH39" s="47"/>
    </row>
    <row r="40" spans="3:34" ht="22.5" customHeight="1">
      <c r="C40" s="51">
        <v>2009</v>
      </c>
      <c r="D40" s="50">
        <v>194812.9</v>
      </c>
      <c r="E40" s="24"/>
      <c r="F40" s="48">
        <f t="shared" si="8"/>
        <v>-1.8169218518481189</v>
      </c>
      <c r="G40" s="24"/>
      <c r="H40" s="49">
        <v>8193.6</v>
      </c>
      <c r="I40" s="24"/>
      <c r="J40" s="48">
        <f t="shared" si="0"/>
        <v>4.2058816433613995</v>
      </c>
      <c r="K40" s="24"/>
      <c r="L40" s="48">
        <f t="shared" si="1"/>
        <v>186619.3</v>
      </c>
      <c r="M40" s="24"/>
      <c r="N40" s="49">
        <v>812</v>
      </c>
      <c r="O40" s="24"/>
      <c r="P40" s="48">
        <f t="shared" si="12"/>
        <v>187431.3</v>
      </c>
      <c r="Q40" s="24"/>
      <c r="R40" s="49">
        <v>3973.4</v>
      </c>
      <c r="S40" s="49"/>
      <c r="T40" s="48">
        <f t="shared" si="3"/>
        <v>2.1199234066028461</v>
      </c>
      <c r="U40" s="48">
        <v>25018</v>
      </c>
      <c r="V40" s="35" t="s">
        <v>110</v>
      </c>
      <c r="W40" s="48">
        <f t="shared" si="5"/>
        <v>13.347823976038153</v>
      </c>
      <c r="X40" s="50">
        <f t="shared" si="11"/>
        <v>28991.4</v>
      </c>
      <c r="Y40" s="35"/>
      <c r="Z40" s="48">
        <f t="shared" si="6"/>
        <v>15.467747382641001</v>
      </c>
      <c r="AA40" s="24"/>
      <c r="AB40" s="49">
        <v>1545.8</v>
      </c>
      <c r="AC40" s="24"/>
      <c r="AD40" s="48">
        <f t="shared" si="7"/>
        <v>156894.1</v>
      </c>
      <c r="AE40" s="24"/>
      <c r="AF40" s="32" t="s">
        <v>110</v>
      </c>
      <c r="AG40" s="48">
        <f t="shared" si="9"/>
        <v>-3.1204537764066731</v>
      </c>
      <c r="AH40" s="47"/>
    </row>
    <row r="41" spans="3:34" ht="22.5" customHeight="1">
      <c r="C41" s="51">
        <v>2010</v>
      </c>
      <c r="D41" s="50">
        <v>211207.7</v>
      </c>
      <c r="E41" s="24"/>
      <c r="F41" s="48">
        <f t="shared" si="8"/>
        <v>8.4156644657515045</v>
      </c>
      <c r="G41" s="24"/>
      <c r="H41" s="49">
        <v>8161.6</v>
      </c>
      <c r="I41" s="24"/>
      <c r="J41" s="48">
        <f t="shared" si="0"/>
        <v>3.8642530551679695</v>
      </c>
      <c r="K41" s="24"/>
      <c r="L41" s="48">
        <f t="shared" si="1"/>
        <v>203046.1</v>
      </c>
      <c r="M41" s="24"/>
      <c r="N41" s="49">
        <v>1143.8</v>
      </c>
      <c r="O41" s="24"/>
      <c r="P41" s="48">
        <f t="shared" si="12"/>
        <v>204189.9</v>
      </c>
      <c r="Q41" s="24"/>
      <c r="R41" s="49">
        <v>5690.5</v>
      </c>
      <c r="S41" s="49"/>
      <c r="T41" s="48">
        <f t="shared" si="3"/>
        <v>2.7868665394321659</v>
      </c>
      <c r="U41" s="48">
        <v>24531.200000000001</v>
      </c>
      <c r="V41" s="35" t="s">
        <v>110</v>
      </c>
      <c r="W41" s="48">
        <f t="shared" si="5"/>
        <v>12.013914498219551</v>
      </c>
      <c r="X41" s="50">
        <f t="shared" si="11"/>
        <v>30221.7</v>
      </c>
      <c r="Y41" s="35"/>
      <c r="Z41" s="48">
        <f t="shared" si="6"/>
        <v>14.800781037651717</v>
      </c>
      <c r="AA41" s="24"/>
      <c r="AB41" s="49">
        <v>1917.6</v>
      </c>
      <c r="AC41" s="24"/>
      <c r="AD41" s="48">
        <f t="shared" si="7"/>
        <v>172050.59999999998</v>
      </c>
      <c r="AE41" s="24"/>
      <c r="AF41" s="32" t="s">
        <v>110</v>
      </c>
      <c r="AG41" s="48">
        <f t="shared" si="9"/>
        <v>9.6603377692341397</v>
      </c>
      <c r="AH41" s="47"/>
    </row>
    <row r="42" spans="3:34" ht="18.5" thickBot="1">
      <c r="C42" s="46"/>
      <c r="D42" s="45"/>
      <c r="E42" s="41"/>
      <c r="F42" s="39"/>
      <c r="G42" s="41"/>
      <c r="H42" s="42"/>
      <c r="I42" s="41"/>
      <c r="J42" s="39"/>
      <c r="K42" s="41"/>
      <c r="L42" s="39"/>
      <c r="M42" s="41"/>
      <c r="N42" s="41"/>
      <c r="O42" s="41"/>
      <c r="P42" s="39"/>
      <c r="Q42" s="41"/>
      <c r="R42" s="41"/>
      <c r="S42" s="41"/>
      <c r="T42" s="39"/>
      <c r="U42" s="39"/>
      <c r="V42" s="44"/>
      <c r="W42" s="39"/>
      <c r="X42" s="43"/>
      <c r="Y42" s="41"/>
      <c r="Z42" s="39"/>
      <c r="AA42" s="41"/>
      <c r="AB42" s="42"/>
      <c r="AC42" s="41"/>
      <c r="AD42" s="39"/>
      <c r="AE42" s="41"/>
      <c r="AF42" s="40"/>
      <c r="AG42" s="39"/>
      <c r="AH42" s="38"/>
    </row>
    <row r="43" spans="3:34" ht="22.5" customHeight="1">
      <c r="C43" s="26" t="s">
        <v>109</v>
      </c>
      <c r="D43" s="37"/>
      <c r="E43" s="28"/>
      <c r="F43" s="33"/>
      <c r="G43" s="28"/>
      <c r="H43" s="29"/>
      <c r="I43" s="28"/>
      <c r="J43" s="33"/>
      <c r="K43" s="28"/>
      <c r="L43" s="33"/>
      <c r="M43" s="28"/>
      <c r="N43" s="28"/>
      <c r="O43" s="27"/>
      <c r="P43" s="36"/>
      <c r="Q43" s="27"/>
      <c r="R43" s="27"/>
      <c r="S43" s="27"/>
      <c r="T43" s="25" t="s">
        <v>108</v>
      </c>
      <c r="U43" s="25"/>
      <c r="V43" s="35"/>
      <c r="W43" s="33"/>
      <c r="X43" s="34"/>
      <c r="Y43" s="28"/>
      <c r="Z43" s="33"/>
      <c r="AA43" s="28"/>
      <c r="AB43" s="29"/>
      <c r="AC43" s="28"/>
      <c r="AD43" s="33"/>
      <c r="AE43" s="28"/>
      <c r="AF43" s="32"/>
      <c r="AG43" s="33"/>
    </row>
    <row r="44" spans="3:34" ht="22.5" customHeight="1">
      <c r="C44" s="26" t="s">
        <v>107</v>
      </c>
      <c r="D44" s="28"/>
      <c r="E44" s="28"/>
      <c r="F44" s="29"/>
      <c r="G44" s="28"/>
      <c r="H44" s="28"/>
      <c r="I44" s="28"/>
      <c r="J44" s="28"/>
      <c r="K44" s="28"/>
      <c r="L44" s="28"/>
      <c r="M44" s="28"/>
      <c r="N44" s="28"/>
      <c r="O44" s="27"/>
      <c r="P44" s="27"/>
      <c r="Q44" s="27"/>
      <c r="R44" s="27"/>
      <c r="S44" s="27"/>
      <c r="T44" s="25" t="s">
        <v>106</v>
      </c>
      <c r="U44" s="28"/>
    </row>
    <row r="45" spans="3:34" ht="22.5" customHeight="1">
      <c r="C45" s="26" t="s">
        <v>105</v>
      </c>
      <c r="D45" s="28"/>
      <c r="E45" s="28"/>
      <c r="F45" s="29"/>
      <c r="G45" s="28"/>
      <c r="H45" s="28"/>
      <c r="I45" s="28"/>
      <c r="J45" s="28"/>
      <c r="K45" s="28"/>
      <c r="L45" s="28"/>
      <c r="M45" s="28"/>
      <c r="N45" s="28"/>
      <c r="O45" s="27"/>
      <c r="P45" s="27"/>
      <c r="Q45" s="27"/>
      <c r="R45" s="27"/>
      <c r="S45" s="27"/>
      <c r="T45" s="25" t="s">
        <v>104</v>
      </c>
      <c r="U45" s="25"/>
    </row>
    <row r="46" spans="3:34" ht="22.5" customHeight="1">
      <c r="C46" s="32"/>
      <c r="D46" s="28"/>
      <c r="E46" s="28"/>
      <c r="F46" s="29"/>
      <c r="G46" s="28"/>
      <c r="H46" s="28"/>
      <c r="I46" s="28"/>
      <c r="J46" s="28"/>
      <c r="K46" s="28"/>
      <c r="L46" s="28"/>
      <c r="M46" s="28"/>
      <c r="N46" s="28"/>
      <c r="O46" s="27"/>
      <c r="P46" s="27"/>
      <c r="Q46" s="27"/>
      <c r="R46" s="27"/>
      <c r="S46" s="27"/>
      <c r="T46" s="31"/>
      <c r="U46" s="25"/>
    </row>
    <row r="47" spans="3:34" ht="21" customHeight="1">
      <c r="C47" s="30" t="s">
        <v>103</v>
      </c>
      <c r="D47" s="28"/>
      <c r="E47" s="28"/>
      <c r="F47" s="29"/>
      <c r="G47" s="28"/>
      <c r="H47" s="28"/>
      <c r="I47" s="28"/>
      <c r="J47" s="28"/>
      <c r="K47" s="28"/>
      <c r="L47" s="28"/>
      <c r="M47" s="28"/>
      <c r="N47" s="28"/>
      <c r="O47" s="27"/>
      <c r="P47" s="27"/>
      <c r="Q47" s="27"/>
      <c r="R47" s="27"/>
      <c r="S47" s="27"/>
      <c r="U47" s="26"/>
    </row>
    <row r="48" spans="3:34" ht="15.5">
      <c r="C48" s="26"/>
      <c r="F48" s="22"/>
      <c r="U48" s="25"/>
    </row>
    <row r="49" spans="3:18" ht="17.5">
      <c r="C49" s="25"/>
      <c r="F49" s="22"/>
      <c r="R49" s="24"/>
    </row>
    <row r="50" spans="3:18" ht="46.5" customHeight="1">
      <c r="C50" s="23"/>
      <c r="F50" s="22"/>
    </row>
    <row r="51" spans="3:18">
      <c r="F51" s="22"/>
    </row>
    <row r="52" spans="3:18">
      <c r="F52" s="22"/>
    </row>
    <row r="53" spans="3:18">
      <c r="F53" s="22"/>
    </row>
    <row r="54" spans="3:18">
      <c r="F54" s="22"/>
    </row>
    <row r="55" spans="3:18">
      <c r="F55" s="22"/>
    </row>
    <row r="56" spans="3:18">
      <c r="F56" s="22"/>
    </row>
    <row r="57" spans="3:18">
      <c r="F57" s="22"/>
    </row>
  </sheetData>
  <mergeCells count="1">
    <mergeCell ref="C4:AH4"/>
  </mergeCells>
  <hyperlinks>
    <hyperlink ref="C47" r:id="rId1" xr:uid="{00000000-0004-0000-0800-000000000000}"/>
  </hyperlinks>
  <printOptions horizontalCentered="1" verticalCentered="1"/>
  <pageMargins left="0.51" right="0" top="0.38" bottom="0" header="0.36" footer="0.51181102362204722"/>
  <pageSetup paperSize="9" scale="53" fitToWidth="2" fitToHeight="2" orientation="landscape" horizont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9"/>
  <sheetViews>
    <sheetView topLeftCell="A4" workbookViewId="0">
      <selection activeCell="C11" sqref="C11"/>
    </sheetView>
  </sheetViews>
  <sheetFormatPr defaultRowHeight="13.5"/>
  <cols>
    <col min="1" max="1" width="21" customWidth="1"/>
    <col min="2" max="2" width="29.3828125" customWidth="1"/>
    <col min="3" max="3" width="25.921875" customWidth="1"/>
    <col min="4" max="4" width="29.07421875" customWidth="1"/>
    <col min="5" max="5" width="26.61328125" customWidth="1"/>
  </cols>
  <sheetData>
    <row r="1" spans="1:8" ht="41.25" customHeight="1">
      <c r="A1" s="336" t="s">
        <v>200</v>
      </c>
      <c r="B1" s="336"/>
      <c r="C1" s="336"/>
      <c r="D1" s="336"/>
      <c r="E1" s="336"/>
      <c r="F1" s="17"/>
    </row>
    <row r="2" spans="1:8">
      <c r="A2" s="337" t="s">
        <v>201</v>
      </c>
      <c r="B2" s="337"/>
      <c r="C2" s="337"/>
      <c r="D2" s="337"/>
      <c r="E2" s="337"/>
      <c r="F2" s="17"/>
    </row>
    <row r="3" spans="1:8">
      <c r="A3" s="338" t="s">
        <v>202</v>
      </c>
      <c r="B3" s="338"/>
      <c r="C3" s="338"/>
      <c r="D3" s="338"/>
      <c r="E3" s="338"/>
      <c r="F3" s="338"/>
    </row>
    <row r="4" spans="1:8">
      <c r="A4" s="163" t="s">
        <v>203</v>
      </c>
      <c r="B4" s="165">
        <f>+H19</f>
        <v>1488.79730701668</v>
      </c>
      <c r="C4" s="163" t="s">
        <v>204</v>
      </c>
      <c r="D4" s="163" t="s">
        <v>205</v>
      </c>
      <c r="E4" s="165">
        <f>+E19</f>
        <v>320.68</v>
      </c>
      <c r="F4" s="163" t="s">
        <v>204</v>
      </c>
    </row>
    <row r="5" spans="1:8" ht="40.5">
      <c r="A5" s="79" t="s">
        <v>206</v>
      </c>
      <c r="B5" s="164">
        <f>+E57</f>
        <v>306703.0916910721</v>
      </c>
      <c r="C5" s="163" t="s">
        <v>207</v>
      </c>
      <c r="D5" s="79" t="s">
        <v>206</v>
      </c>
      <c r="E5" s="164">
        <f>+E57</f>
        <v>306703.0916910721</v>
      </c>
      <c r="F5" s="163" t="s">
        <v>207</v>
      </c>
    </row>
    <row r="6" spans="1:8">
      <c r="A6" s="163" t="s">
        <v>208</v>
      </c>
      <c r="B6" s="165">
        <f>+B4*1000/B5</f>
        <v>4.8541972590099514</v>
      </c>
      <c r="C6" s="163" t="s">
        <v>209</v>
      </c>
      <c r="D6" s="163" t="s">
        <v>210</v>
      </c>
      <c r="E6" s="165">
        <f>+E4/E5*1000</f>
        <v>1.0455714620673149</v>
      </c>
      <c r="F6" s="163" t="s">
        <v>209</v>
      </c>
    </row>
    <row r="7" spans="1:8" ht="40.5">
      <c r="A7" s="79" t="s">
        <v>211</v>
      </c>
      <c r="B7" s="166">
        <f>+B6*('Baseline emission'!D17/1000)</f>
        <v>204.01220240167024</v>
      </c>
      <c r="C7" s="163" t="s">
        <v>212</v>
      </c>
      <c r="D7" s="79" t="s">
        <v>213</v>
      </c>
      <c r="E7" s="166">
        <f>+E6*('Baseline emission'!D17/1000)</f>
        <v>43.943277407765109</v>
      </c>
      <c r="F7" s="163" t="s">
        <v>212</v>
      </c>
    </row>
    <row r="8" spans="1:8" ht="14" thickBot="1">
      <c r="A8" s="2"/>
      <c r="B8" s="217"/>
      <c r="C8" s="17"/>
      <c r="D8" s="2"/>
      <c r="E8" s="217"/>
      <c r="F8" s="17"/>
    </row>
    <row r="9" spans="1:8">
      <c r="A9" s="218" t="s">
        <v>289</v>
      </c>
      <c r="B9" s="219"/>
      <c r="C9" s="219"/>
      <c r="D9" s="219"/>
      <c r="E9" s="219"/>
      <c r="F9" s="219"/>
      <c r="G9" s="219"/>
      <c r="H9" s="220"/>
    </row>
    <row r="10" spans="1:8" ht="15">
      <c r="A10" s="339" t="s">
        <v>271</v>
      </c>
      <c r="B10" s="340"/>
      <c r="C10" s="221"/>
      <c r="D10" s="221"/>
      <c r="E10" s="221"/>
      <c r="F10" s="221"/>
      <c r="G10" s="221"/>
      <c r="H10" s="222" t="s">
        <v>272</v>
      </c>
    </row>
    <row r="11" spans="1:8" ht="15">
      <c r="A11" s="223" t="s">
        <v>273</v>
      </c>
      <c r="B11" s="221"/>
      <c r="C11" s="221"/>
      <c r="D11" s="221"/>
      <c r="E11" s="221"/>
      <c r="F11" s="221"/>
      <c r="G11" s="221"/>
      <c r="H11" s="222" t="s">
        <v>274</v>
      </c>
    </row>
    <row r="12" spans="1:8">
      <c r="A12" s="224"/>
      <c r="B12" s="225"/>
      <c r="C12" s="225"/>
      <c r="D12" s="225"/>
      <c r="E12" s="225"/>
      <c r="F12" s="225"/>
      <c r="G12" s="226"/>
      <c r="H12" s="222" t="s">
        <v>275</v>
      </c>
    </row>
    <row r="13" spans="1:8">
      <c r="A13" s="224"/>
      <c r="B13" s="225"/>
      <c r="C13" s="225"/>
      <c r="D13" s="225"/>
      <c r="E13" s="225"/>
      <c r="F13" s="225"/>
      <c r="G13" s="225"/>
      <c r="H13" s="227"/>
    </row>
    <row r="14" spans="1:8">
      <c r="A14" s="341" t="s">
        <v>276</v>
      </c>
      <c r="B14" s="215" t="s">
        <v>277</v>
      </c>
      <c r="C14" s="215" t="s">
        <v>278</v>
      </c>
      <c r="D14" s="215" t="s">
        <v>279</v>
      </c>
      <c r="E14" s="215" t="s">
        <v>280</v>
      </c>
      <c r="F14" s="215" t="s">
        <v>281</v>
      </c>
      <c r="G14" s="215" t="s">
        <v>282</v>
      </c>
      <c r="H14" s="228" t="s">
        <v>283</v>
      </c>
    </row>
    <row r="15" spans="1:8" ht="14" thickBot="1">
      <c r="A15" s="342"/>
      <c r="B15" s="343" t="s">
        <v>284</v>
      </c>
      <c r="C15" s="344"/>
      <c r="D15" s="344"/>
      <c r="E15" s="344"/>
      <c r="F15" s="344"/>
      <c r="G15" s="344"/>
      <c r="H15" s="345"/>
    </row>
    <row r="16" spans="1:8" ht="14" thickTop="1">
      <c r="A16" s="229" t="s">
        <v>285</v>
      </c>
      <c r="B16" s="216">
        <v>353037.88010922458</v>
      </c>
      <c r="C16" s="216">
        <v>433.69086511224668</v>
      </c>
      <c r="D16" s="216">
        <v>12.405032104165519</v>
      </c>
      <c r="E16" s="216">
        <v>860.39403106915518</v>
      </c>
      <c r="F16" s="216">
        <v>1895.3577597169631</v>
      </c>
      <c r="G16" s="216">
        <v>233.96047603215891</v>
      </c>
      <c r="H16" s="230">
        <v>2164.9581496190399</v>
      </c>
    </row>
    <row r="17" spans="1:22">
      <c r="A17" s="231" t="s">
        <v>286</v>
      </c>
      <c r="B17" s="216">
        <v>352842.51858352375</v>
      </c>
      <c r="C17" s="216">
        <v>98.278381926543545</v>
      </c>
      <c r="D17" s="216">
        <v>12.402374218364869</v>
      </c>
      <c r="E17" s="216">
        <v>860.39403106915518</v>
      </c>
      <c r="F17" s="216">
        <v>1895.3577597169631</v>
      </c>
      <c r="G17" s="216">
        <v>233.96047603215891</v>
      </c>
      <c r="H17" s="230">
        <v>2164.9581496190399</v>
      </c>
    </row>
    <row r="18" spans="1:22">
      <c r="A18" s="232" t="s">
        <v>287</v>
      </c>
      <c r="B18" s="216">
        <v>142025.94569198272</v>
      </c>
      <c r="C18" s="216">
        <v>1.83193428258057</v>
      </c>
      <c r="D18" s="216">
        <v>2.8699763251051298</v>
      </c>
      <c r="E18" s="216">
        <v>427.43281466000002</v>
      </c>
      <c r="F18" s="216">
        <v>96.954506129999984</v>
      </c>
      <c r="G18" s="216">
        <v>7.2731449556000003</v>
      </c>
      <c r="H18" s="230">
        <v>1492.06326009854</v>
      </c>
    </row>
    <row r="19" spans="1:22" ht="14" thickBot="1">
      <c r="A19" s="233" t="s">
        <v>288</v>
      </c>
      <c r="B19" s="234">
        <v>130770.47938457436</v>
      </c>
      <c r="C19" s="234">
        <v>1.68198773034189</v>
      </c>
      <c r="D19" s="234">
        <v>2.85345243330721</v>
      </c>
      <c r="E19" s="235">
        <v>320.68</v>
      </c>
      <c r="F19" s="235">
        <v>32.424077429999997</v>
      </c>
      <c r="G19" s="235">
        <v>2.9440111083999998</v>
      </c>
      <c r="H19" s="236">
        <v>1488.79730701668</v>
      </c>
    </row>
    <row r="21" spans="1:22">
      <c r="A21" s="30" t="s">
        <v>290</v>
      </c>
    </row>
    <row r="22" spans="1:22" ht="18">
      <c r="A22" s="237"/>
      <c r="B22" s="238"/>
      <c r="C22" s="238"/>
      <c r="D22" s="239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40"/>
    </row>
    <row r="23" spans="1:22" ht="23">
      <c r="A23" s="325" t="s">
        <v>291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7"/>
    </row>
    <row r="24" spans="1:22" ht="20.5">
      <c r="A24" s="328" t="s">
        <v>292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30"/>
    </row>
    <row r="25" spans="1:22" ht="18">
      <c r="A25" s="241"/>
      <c r="B25" s="242"/>
      <c r="C25" s="242"/>
      <c r="D25" s="243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4"/>
    </row>
    <row r="26" spans="1:22" ht="18">
      <c r="A26" s="245"/>
      <c r="B26" s="245"/>
      <c r="C26" s="245"/>
      <c r="D26" s="246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331" t="s">
        <v>293</v>
      </c>
      <c r="V26" s="331"/>
    </row>
    <row r="27" spans="1:22" ht="18">
      <c r="A27" s="247"/>
      <c r="B27" s="248"/>
      <c r="C27" s="248"/>
      <c r="D27" s="249"/>
      <c r="E27" s="248"/>
      <c r="F27" s="248"/>
      <c r="G27" s="250"/>
      <c r="H27" s="248"/>
      <c r="I27" s="248"/>
      <c r="J27" s="248"/>
      <c r="K27" s="248"/>
      <c r="L27" s="248"/>
      <c r="M27" s="250"/>
      <c r="N27" s="248"/>
      <c r="O27" s="248"/>
      <c r="P27" s="248"/>
      <c r="Q27" s="248"/>
      <c r="R27" s="248"/>
      <c r="S27" s="248"/>
      <c r="T27" s="248"/>
      <c r="U27" s="250"/>
      <c r="V27" s="251"/>
    </row>
    <row r="28" spans="1:22" ht="18">
      <c r="A28" s="252"/>
      <c r="B28" s="253"/>
      <c r="C28" s="254" t="s">
        <v>294</v>
      </c>
      <c r="D28" s="255"/>
      <c r="E28" s="256"/>
      <c r="F28" s="257"/>
      <c r="G28" s="258" t="s">
        <v>295</v>
      </c>
      <c r="H28" s="258"/>
      <c r="I28" s="259"/>
      <c r="J28" s="253"/>
      <c r="K28" s="260" t="s">
        <v>296</v>
      </c>
      <c r="L28" s="253"/>
      <c r="M28" s="261"/>
      <c r="N28" s="258" t="s">
        <v>297</v>
      </c>
      <c r="O28" s="260"/>
      <c r="P28" s="260"/>
      <c r="Q28" s="253"/>
      <c r="R28" s="253"/>
      <c r="S28" s="260" t="s">
        <v>298</v>
      </c>
      <c r="T28" s="257"/>
      <c r="U28" s="332" t="s">
        <v>299</v>
      </c>
      <c r="V28" s="333"/>
    </row>
    <row r="29" spans="1:22" ht="15.5">
      <c r="A29" s="252" t="s">
        <v>138</v>
      </c>
      <c r="B29" s="253" t="s">
        <v>138</v>
      </c>
      <c r="C29" s="262" t="s">
        <v>300</v>
      </c>
      <c r="D29" s="263"/>
      <c r="E29" s="256"/>
      <c r="F29" s="264"/>
      <c r="G29" s="256"/>
      <c r="H29" s="256"/>
      <c r="I29" s="256"/>
      <c r="J29" s="256"/>
      <c r="K29" s="259"/>
      <c r="L29" s="253"/>
      <c r="M29" s="265"/>
      <c r="N29" s="259"/>
      <c r="O29" s="256"/>
      <c r="P29" s="256"/>
      <c r="Q29" s="256"/>
      <c r="R29" s="256"/>
      <c r="S29" s="256"/>
      <c r="T29" s="253"/>
      <c r="U29" s="334" t="s">
        <v>301</v>
      </c>
      <c r="V29" s="335"/>
    </row>
    <row r="30" spans="1:22" ht="15.5">
      <c r="A30" s="252"/>
      <c r="B30" s="253"/>
      <c r="C30" s="259"/>
      <c r="D30" s="266"/>
      <c r="E30" s="259"/>
      <c r="F30" s="267"/>
      <c r="G30" s="261" t="s">
        <v>302</v>
      </c>
      <c r="H30" s="253" t="s">
        <v>303</v>
      </c>
      <c r="I30" s="253" t="s">
        <v>304</v>
      </c>
      <c r="J30" s="253" t="s">
        <v>305</v>
      </c>
      <c r="K30" s="267" t="s">
        <v>306</v>
      </c>
      <c r="L30" s="253"/>
      <c r="M30" s="261" t="s">
        <v>302</v>
      </c>
      <c r="N30" s="253" t="s">
        <v>305</v>
      </c>
      <c r="O30" s="253" t="s">
        <v>304</v>
      </c>
      <c r="P30" s="267" t="s">
        <v>306</v>
      </c>
      <c r="Q30" s="253"/>
      <c r="R30" s="253"/>
      <c r="S30" s="253" t="s">
        <v>303</v>
      </c>
      <c r="T30" s="253"/>
      <c r="U30" s="268"/>
      <c r="V30" s="269"/>
    </row>
    <row r="31" spans="1:22" ht="15.5">
      <c r="A31" s="270" t="s">
        <v>307</v>
      </c>
      <c r="B31" s="267" t="s">
        <v>308</v>
      </c>
      <c r="C31" s="267" t="s">
        <v>309</v>
      </c>
      <c r="D31" s="267" t="s">
        <v>310</v>
      </c>
      <c r="E31" s="267" t="s">
        <v>311</v>
      </c>
      <c r="F31" s="267" t="s">
        <v>312</v>
      </c>
      <c r="G31" s="261" t="s">
        <v>313</v>
      </c>
      <c r="H31" s="253" t="s">
        <v>314</v>
      </c>
      <c r="I31" s="267" t="s">
        <v>315</v>
      </c>
      <c r="J31" s="253" t="s">
        <v>316</v>
      </c>
      <c r="K31" s="253" t="s">
        <v>317</v>
      </c>
      <c r="L31" s="267" t="s">
        <v>311</v>
      </c>
      <c r="M31" s="261" t="s">
        <v>313</v>
      </c>
      <c r="N31" s="253" t="s">
        <v>316</v>
      </c>
      <c r="O31" s="267" t="s">
        <v>315</v>
      </c>
      <c r="P31" s="253" t="s">
        <v>317</v>
      </c>
      <c r="Q31" s="267" t="s">
        <v>318</v>
      </c>
      <c r="R31" s="267" t="s">
        <v>319</v>
      </c>
      <c r="S31" s="253" t="s">
        <v>314</v>
      </c>
      <c r="T31" s="267" t="s">
        <v>320</v>
      </c>
      <c r="U31" s="271" t="s">
        <v>138</v>
      </c>
      <c r="V31" s="272" t="s">
        <v>312</v>
      </c>
    </row>
    <row r="32" spans="1:22" ht="15.5">
      <c r="A32" s="273" t="s">
        <v>125</v>
      </c>
      <c r="B32" s="263" t="s">
        <v>321</v>
      </c>
      <c r="C32" s="263" t="s">
        <v>322</v>
      </c>
      <c r="D32" s="263" t="s">
        <v>323</v>
      </c>
      <c r="E32" s="263" t="s">
        <v>324</v>
      </c>
      <c r="F32" s="263" t="s">
        <v>325</v>
      </c>
      <c r="G32" s="274" t="s">
        <v>326</v>
      </c>
      <c r="H32" s="263" t="s">
        <v>327</v>
      </c>
      <c r="I32" s="263" t="s">
        <v>328</v>
      </c>
      <c r="J32" s="263" t="s">
        <v>329</v>
      </c>
      <c r="K32" s="263" t="s">
        <v>330</v>
      </c>
      <c r="L32" s="263" t="s">
        <v>324</v>
      </c>
      <c r="M32" s="274" t="s">
        <v>326</v>
      </c>
      <c r="N32" s="263" t="s">
        <v>329</v>
      </c>
      <c r="O32" s="263" t="s">
        <v>328</v>
      </c>
      <c r="P32" s="263" t="s">
        <v>330</v>
      </c>
      <c r="Q32" s="263" t="s">
        <v>331</v>
      </c>
      <c r="R32" s="263" t="s">
        <v>332</v>
      </c>
      <c r="S32" s="263" t="s">
        <v>327</v>
      </c>
      <c r="T32" s="263" t="s">
        <v>324</v>
      </c>
      <c r="U32" s="275" t="s">
        <v>333</v>
      </c>
      <c r="V32" s="276" t="s">
        <v>325</v>
      </c>
    </row>
    <row r="33" spans="1:22" ht="20">
      <c r="A33" s="277">
        <v>1996</v>
      </c>
      <c r="B33" s="278">
        <v>54302.8</v>
      </c>
      <c r="C33" s="278">
        <v>40475.199999999997</v>
      </c>
      <c r="D33" s="279">
        <v>83.7</v>
      </c>
      <c r="E33" s="278">
        <v>94861.7</v>
      </c>
      <c r="F33" s="280">
        <v>9.9878952872782367</v>
      </c>
      <c r="G33" s="281">
        <v>25.7</v>
      </c>
      <c r="H33" s="278"/>
      <c r="I33" s="278">
        <v>173.8</v>
      </c>
      <c r="J33" s="278">
        <v>16</v>
      </c>
      <c r="K33" s="278">
        <v>54.6</v>
      </c>
      <c r="L33" s="282">
        <v>270.10000000000002</v>
      </c>
      <c r="M33" s="281"/>
      <c r="N33" s="278">
        <v>71.8</v>
      </c>
      <c r="O33" s="278">
        <v>271.3</v>
      </c>
      <c r="P33" s="278"/>
      <c r="Q33" s="278"/>
      <c r="R33" s="278"/>
      <c r="S33" s="278"/>
      <c r="T33" s="278">
        <v>343.1</v>
      </c>
      <c r="U33" s="281">
        <v>94788.7</v>
      </c>
      <c r="V33" s="283">
        <v>10.79723908990491</v>
      </c>
    </row>
    <row r="34" spans="1:22" ht="20">
      <c r="A34" s="284">
        <v>1997</v>
      </c>
      <c r="B34" s="285">
        <v>63396.9</v>
      </c>
      <c r="C34" s="285">
        <v>39816.1</v>
      </c>
      <c r="D34" s="286">
        <v>82.8</v>
      </c>
      <c r="E34" s="285">
        <v>103295.8</v>
      </c>
      <c r="F34" s="287">
        <v>8.8909433417280184</v>
      </c>
      <c r="G34" s="288">
        <v>1863.1</v>
      </c>
      <c r="H34" s="285"/>
      <c r="I34" s="285"/>
      <c r="J34" s="285">
        <v>459.4</v>
      </c>
      <c r="K34" s="285">
        <v>169.8</v>
      </c>
      <c r="L34" s="285">
        <v>2492.3000000000002</v>
      </c>
      <c r="M34" s="288"/>
      <c r="N34" s="285"/>
      <c r="O34" s="285">
        <v>271</v>
      </c>
      <c r="P34" s="285"/>
      <c r="Q34" s="285"/>
      <c r="R34" s="285"/>
      <c r="S34" s="285"/>
      <c r="T34" s="285">
        <v>271</v>
      </c>
      <c r="U34" s="288">
        <v>105517.1</v>
      </c>
      <c r="V34" s="289">
        <v>11.31822675065699</v>
      </c>
    </row>
    <row r="35" spans="1:22" ht="20">
      <c r="A35" s="290">
        <v>1998</v>
      </c>
      <c r="B35" s="291">
        <v>68702.899999999994</v>
      </c>
      <c r="C35" s="291">
        <v>42229</v>
      </c>
      <c r="D35" s="292">
        <v>90.5</v>
      </c>
      <c r="E35" s="291">
        <v>111022.39999999999</v>
      </c>
      <c r="F35" s="293">
        <v>7.4800717938192873</v>
      </c>
      <c r="G35" s="294">
        <v>2317.1999999999998</v>
      </c>
      <c r="H35" s="291"/>
      <c r="I35" s="291"/>
      <c r="J35" s="291">
        <v>779.2</v>
      </c>
      <c r="K35" s="291">
        <v>202.1</v>
      </c>
      <c r="L35" s="291">
        <v>3298.4999999999995</v>
      </c>
      <c r="M35" s="294"/>
      <c r="N35" s="291"/>
      <c r="O35" s="291">
        <v>298.2</v>
      </c>
      <c r="P35" s="291"/>
      <c r="Q35" s="291"/>
      <c r="R35" s="291"/>
      <c r="S35" s="291"/>
      <c r="T35" s="291">
        <v>298.2</v>
      </c>
      <c r="U35" s="294">
        <v>114022.7</v>
      </c>
      <c r="V35" s="295">
        <v>8.0608735456148661</v>
      </c>
    </row>
    <row r="36" spans="1:22" ht="20">
      <c r="A36" s="284">
        <v>1999</v>
      </c>
      <c r="B36" s="285">
        <v>81661</v>
      </c>
      <c r="C36" s="285">
        <v>34677.5</v>
      </c>
      <c r="D36" s="286">
        <v>101.4</v>
      </c>
      <c r="E36" s="285">
        <v>116439.9</v>
      </c>
      <c r="F36" s="287">
        <v>4.8796459092939726</v>
      </c>
      <c r="G36" s="288">
        <v>1798.4</v>
      </c>
      <c r="H36" s="285"/>
      <c r="I36" s="285"/>
      <c r="J36" s="285">
        <v>239.2</v>
      </c>
      <c r="K36" s="285">
        <v>292.7</v>
      </c>
      <c r="L36" s="285">
        <v>2330.3000000000002</v>
      </c>
      <c r="M36" s="288"/>
      <c r="N36" s="285"/>
      <c r="O36" s="285">
        <v>285.3</v>
      </c>
      <c r="P36" s="285"/>
      <c r="Q36" s="285"/>
      <c r="R36" s="285"/>
      <c r="S36" s="285"/>
      <c r="T36" s="285">
        <v>285.3</v>
      </c>
      <c r="U36" s="288">
        <v>118484.9</v>
      </c>
      <c r="V36" s="289">
        <v>3.9134312728956511</v>
      </c>
    </row>
    <row r="37" spans="1:22" ht="20">
      <c r="A37" s="290">
        <v>2000</v>
      </c>
      <c r="B37" s="291">
        <v>93934.186000000002</v>
      </c>
      <c r="C37" s="291">
        <v>30878.519</v>
      </c>
      <c r="D37" s="292">
        <v>108.899</v>
      </c>
      <c r="E37" s="291">
        <v>124921.60400000001</v>
      </c>
      <c r="F37" s="293">
        <v>7.2841903849110157</v>
      </c>
      <c r="G37" s="294">
        <v>3296.9</v>
      </c>
      <c r="H37" s="291"/>
      <c r="I37" s="291"/>
      <c r="J37" s="291">
        <v>204.7</v>
      </c>
      <c r="K37" s="291">
        <v>289.7</v>
      </c>
      <c r="L37" s="291">
        <v>3791.2999999999997</v>
      </c>
      <c r="M37" s="294"/>
      <c r="N37" s="291"/>
      <c r="O37" s="291">
        <v>437.3</v>
      </c>
      <c r="P37" s="291"/>
      <c r="Q37" s="291"/>
      <c r="R37" s="291"/>
      <c r="S37" s="291"/>
      <c r="T37" s="291">
        <v>437.3</v>
      </c>
      <c r="U37" s="294">
        <v>128275.60400000001</v>
      </c>
      <c r="V37" s="295">
        <v>8.2632504226276993</v>
      </c>
    </row>
    <row r="38" spans="1:22" ht="20">
      <c r="A38" s="284">
        <v>2001</v>
      </c>
      <c r="B38" s="285">
        <v>98562.8</v>
      </c>
      <c r="C38" s="285">
        <v>24009.9</v>
      </c>
      <c r="D38" s="286">
        <v>152</v>
      </c>
      <c r="E38" s="285">
        <v>122724.70000000001</v>
      </c>
      <c r="F38" s="287">
        <v>-1.7586261540477821</v>
      </c>
      <c r="G38" s="288">
        <v>3775.5</v>
      </c>
      <c r="H38" s="285"/>
      <c r="I38" s="285"/>
      <c r="J38" s="285">
        <v>523</v>
      </c>
      <c r="K38" s="285">
        <v>280.89999999999998</v>
      </c>
      <c r="L38" s="285">
        <v>4579.3999999999996</v>
      </c>
      <c r="M38" s="288"/>
      <c r="N38" s="285"/>
      <c r="O38" s="285">
        <v>432.8</v>
      </c>
      <c r="P38" s="285"/>
      <c r="Q38" s="285"/>
      <c r="R38" s="285"/>
      <c r="S38" s="285"/>
      <c r="T38" s="285">
        <v>432.8</v>
      </c>
      <c r="U38" s="288">
        <v>126871.3</v>
      </c>
      <c r="V38" s="289">
        <v>-1.0947553207389382</v>
      </c>
    </row>
    <row r="39" spans="1:22" ht="20">
      <c r="A39" s="290">
        <v>2002</v>
      </c>
      <c r="B39" s="291">
        <v>95563.1</v>
      </c>
      <c r="C39" s="291">
        <v>33683.800000000003</v>
      </c>
      <c r="D39" s="292">
        <v>152.6</v>
      </c>
      <c r="E39" s="291">
        <v>129399.50000000001</v>
      </c>
      <c r="F39" s="293">
        <v>5.43883994012615</v>
      </c>
      <c r="G39" s="294">
        <v>3445.4</v>
      </c>
      <c r="H39" s="291"/>
      <c r="I39" s="291"/>
      <c r="J39" s="291">
        <v>92.7</v>
      </c>
      <c r="K39" s="291">
        <v>50.1</v>
      </c>
      <c r="L39" s="291">
        <v>3588.2</v>
      </c>
      <c r="M39" s="294"/>
      <c r="N39" s="291"/>
      <c r="O39" s="291">
        <v>435.1</v>
      </c>
      <c r="P39" s="291"/>
      <c r="Q39" s="291"/>
      <c r="R39" s="291"/>
      <c r="S39" s="291"/>
      <c r="T39" s="291">
        <v>435.1</v>
      </c>
      <c r="U39" s="294">
        <v>132552.6</v>
      </c>
      <c r="V39" s="295">
        <v>4.4780025112062471</v>
      </c>
    </row>
    <row r="40" spans="1:22" ht="20">
      <c r="A40" s="284">
        <v>2003</v>
      </c>
      <c r="B40" s="285">
        <v>105101</v>
      </c>
      <c r="C40" s="285">
        <v>35329.5</v>
      </c>
      <c r="D40" s="286">
        <v>150</v>
      </c>
      <c r="E40" s="285">
        <v>140580.5</v>
      </c>
      <c r="F40" s="287">
        <v>8.6406825374131913</v>
      </c>
      <c r="G40" s="288">
        <v>1134.5</v>
      </c>
      <c r="H40" s="285"/>
      <c r="I40" s="285"/>
      <c r="J40" s="285"/>
      <c r="K40" s="285">
        <v>23.5</v>
      </c>
      <c r="L40" s="285">
        <v>1158</v>
      </c>
      <c r="M40" s="288"/>
      <c r="N40" s="285"/>
      <c r="O40" s="285">
        <v>401.5</v>
      </c>
      <c r="P40" s="285"/>
      <c r="Q40" s="285">
        <v>186.1</v>
      </c>
      <c r="R40" s="285"/>
      <c r="S40" s="285"/>
      <c r="T40" s="285">
        <v>587.6</v>
      </c>
      <c r="U40" s="288">
        <v>141150.9</v>
      </c>
      <c r="V40" s="289">
        <v>6.4867079182151066</v>
      </c>
    </row>
    <row r="41" spans="1:22" ht="20">
      <c r="A41" s="290">
        <v>2004</v>
      </c>
      <c r="B41" s="291">
        <v>104463.7</v>
      </c>
      <c r="C41" s="291">
        <v>46083.7</v>
      </c>
      <c r="D41" s="292">
        <v>150.9</v>
      </c>
      <c r="E41" s="291">
        <v>150698.29999999999</v>
      </c>
      <c r="F41" s="293">
        <v>7.1971575005068233</v>
      </c>
      <c r="G41" s="294"/>
      <c r="H41" s="291"/>
      <c r="I41" s="291"/>
      <c r="J41" s="291"/>
      <c r="K41" s="291">
        <v>463.5</v>
      </c>
      <c r="L41" s="291">
        <v>463.5</v>
      </c>
      <c r="M41" s="294"/>
      <c r="N41" s="291"/>
      <c r="O41" s="291">
        <v>378.7</v>
      </c>
      <c r="P41" s="291"/>
      <c r="Q41" s="291">
        <v>765.6</v>
      </c>
      <c r="R41" s="291"/>
      <c r="S41" s="291"/>
      <c r="T41" s="291">
        <v>1144.3</v>
      </c>
      <c r="U41" s="294">
        <v>150017.5</v>
      </c>
      <c r="V41" s="295">
        <v>6.2816460964825627</v>
      </c>
    </row>
    <row r="42" spans="1:22" ht="20">
      <c r="A42" s="284">
        <v>2005</v>
      </c>
      <c r="B42" s="285">
        <v>122242.3</v>
      </c>
      <c r="C42" s="285">
        <v>39560.5</v>
      </c>
      <c r="D42" s="286">
        <v>153.4</v>
      </c>
      <c r="E42" s="285">
        <v>161956.19999999998</v>
      </c>
      <c r="F42" s="287">
        <v>7.4704890499760035</v>
      </c>
      <c r="G42" s="288"/>
      <c r="H42" s="285"/>
      <c r="I42" s="285"/>
      <c r="J42" s="285">
        <v>101.1</v>
      </c>
      <c r="K42" s="285">
        <v>534.79999999999995</v>
      </c>
      <c r="L42" s="285">
        <v>635.9</v>
      </c>
      <c r="M42" s="288"/>
      <c r="N42" s="285">
        <v>9.3000000000000007</v>
      </c>
      <c r="O42" s="285">
        <v>384.1</v>
      </c>
      <c r="P42" s="285"/>
      <c r="Q42" s="285">
        <v>1404.7</v>
      </c>
      <c r="R42" s="285"/>
      <c r="S42" s="285"/>
      <c r="T42" s="285">
        <v>1798.1000000000001</v>
      </c>
      <c r="U42" s="288">
        <v>160793.99999999997</v>
      </c>
      <c r="V42" s="289">
        <v>7.1834952588864409</v>
      </c>
    </row>
    <row r="43" spans="1:22" ht="20">
      <c r="A43" s="290">
        <v>2006</v>
      </c>
      <c r="B43" s="291">
        <v>131835.1</v>
      </c>
      <c r="C43" s="291">
        <v>44244.2</v>
      </c>
      <c r="D43" s="292">
        <v>220.5</v>
      </c>
      <c r="E43" s="291">
        <v>176299.8</v>
      </c>
      <c r="F43" s="293">
        <v>8.8564686007698512</v>
      </c>
      <c r="G43" s="294"/>
      <c r="H43" s="291"/>
      <c r="I43" s="291"/>
      <c r="J43" s="291">
        <v>40.5</v>
      </c>
      <c r="K43" s="291">
        <v>532.70000000000005</v>
      </c>
      <c r="L43" s="291">
        <v>573.20000000000005</v>
      </c>
      <c r="M43" s="294"/>
      <c r="N43" s="291">
        <v>106.7</v>
      </c>
      <c r="O43" s="291">
        <v>325.7</v>
      </c>
      <c r="P43" s="291"/>
      <c r="Q43" s="291">
        <v>1668.8</v>
      </c>
      <c r="R43" s="291">
        <v>134.5</v>
      </c>
      <c r="S43" s="291"/>
      <c r="T43" s="291">
        <v>2235.6999999999998</v>
      </c>
      <c r="U43" s="294">
        <v>174637.3</v>
      </c>
      <c r="V43" s="295">
        <v>8.6093386569150674</v>
      </c>
    </row>
    <row r="44" spans="1:22" ht="20">
      <c r="A44" s="284">
        <v>2007</v>
      </c>
      <c r="B44" s="285">
        <v>155196.29999999999</v>
      </c>
      <c r="C44" s="285">
        <v>35850.800000000003</v>
      </c>
      <c r="D44" s="286">
        <v>511</v>
      </c>
      <c r="E44" s="285">
        <v>191558.09999999998</v>
      </c>
      <c r="F44" s="287">
        <v>8.654746063239994</v>
      </c>
      <c r="G44" s="288"/>
      <c r="H44" s="285"/>
      <c r="I44" s="285">
        <v>15.3178</v>
      </c>
      <c r="J44" s="285">
        <v>215.610196</v>
      </c>
      <c r="K44" s="285">
        <v>633.40202099999999</v>
      </c>
      <c r="L44" s="285">
        <v>864.330017</v>
      </c>
      <c r="M44" s="288"/>
      <c r="N44" s="285">
        <v>117.508</v>
      </c>
      <c r="O44" s="285">
        <v>14.932700000000001</v>
      </c>
      <c r="P44" s="285"/>
      <c r="Q44" s="285">
        <v>1237.1757</v>
      </c>
      <c r="R44" s="285">
        <v>962.375</v>
      </c>
      <c r="S44" s="285">
        <v>90.224999999999994</v>
      </c>
      <c r="T44" s="285">
        <v>2422.2163999999998</v>
      </c>
      <c r="U44" s="288">
        <v>190000.21361699997</v>
      </c>
      <c r="V44" s="289">
        <v>8.7970402754737886</v>
      </c>
    </row>
    <row r="45" spans="1:22" ht="20">
      <c r="A45" s="290">
        <v>2008</v>
      </c>
      <c r="B45" s="291">
        <v>164139.29999999999</v>
      </c>
      <c r="C45" s="291">
        <v>33269.800000000003</v>
      </c>
      <c r="D45" s="292">
        <v>1008.9</v>
      </c>
      <c r="E45" s="291">
        <v>198417.99999999997</v>
      </c>
      <c r="F45" s="293">
        <v>3.5811067242784267</v>
      </c>
      <c r="G45" s="294"/>
      <c r="H45" s="291">
        <v>29.9</v>
      </c>
      <c r="I45" s="291">
        <v>93.97</v>
      </c>
      <c r="J45" s="291">
        <v>215.5</v>
      </c>
      <c r="K45" s="291">
        <v>450</v>
      </c>
      <c r="L45" s="291">
        <v>789.37</v>
      </c>
      <c r="M45" s="294"/>
      <c r="N45" s="291">
        <v>54.29</v>
      </c>
      <c r="O45" s="291">
        <v>0.03</v>
      </c>
      <c r="P45" s="291"/>
      <c r="Q45" s="291">
        <v>911.59</v>
      </c>
      <c r="R45" s="291">
        <v>97.33</v>
      </c>
      <c r="S45" s="291">
        <v>58.94</v>
      </c>
      <c r="T45" s="291">
        <v>1122.18</v>
      </c>
      <c r="U45" s="294">
        <v>198085.18999999997</v>
      </c>
      <c r="V45" s="295">
        <v>4.2552459437217305</v>
      </c>
    </row>
    <row r="46" spans="1:22" ht="20">
      <c r="A46" s="284">
        <v>2009</v>
      </c>
      <c r="B46" s="285">
        <v>156923.4</v>
      </c>
      <c r="C46" s="285">
        <v>35958.400000000001</v>
      </c>
      <c r="D46" s="286">
        <v>1931.1</v>
      </c>
      <c r="E46" s="285">
        <v>194812.9</v>
      </c>
      <c r="F46" s="287">
        <v>-1.8169218518481078</v>
      </c>
      <c r="G46" s="288"/>
      <c r="H46" s="285"/>
      <c r="I46" s="285">
        <v>125.31</v>
      </c>
      <c r="J46" s="285">
        <v>182.14</v>
      </c>
      <c r="K46" s="285">
        <v>504.5</v>
      </c>
      <c r="L46" s="285">
        <v>811.95</v>
      </c>
      <c r="M46" s="288"/>
      <c r="N46" s="285">
        <v>2E-3</v>
      </c>
      <c r="O46" s="285">
        <v>7.8E-2</v>
      </c>
      <c r="P46" s="285"/>
      <c r="Q46" s="285">
        <v>1215</v>
      </c>
      <c r="R46" s="285">
        <v>330.7</v>
      </c>
      <c r="S46" s="285"/>
      <c r="T46" s="285">
        <v>1545.78</v>
      </c>
      <c r="U46" s="288">
        <v>194079.07</v>
      </c>
      <c r="V46" s="289">
        <v>-2.0224227767860703</v>
      </c>
    </row>
    <row r="47" spans="1:22" ht="20">
      <c r="A47" s="290">
        <v>2010</v>
      </c>
      <c r="B47" s="291">
        <v>155827.6</v>
      </c>
      <c r="C47" s="291">
        <v>51795.5</v>
      </c>
      <c r="D47" s="292">
        <v>3584.6</v>
      </c>
      <c r="E47" s="291">
        <v>211207.7</v>
      </c>
      <c r="F47" s="293">
        <v>8.4156644657515045</v>
      </c>
      <c r="G47" s="294"/>
      <c r="H47" s="291"/>
      <c r="I47" s="291">
        <v>156</v>
      </c>
      <c r="J47" s="291">
        <v>303.24</v>
      </c>
      <c r="K47" s="291">
        <v>684.6</v>
      </c>
      <c r="L47" s="291">
        <v>1143.8400000000001</v>
      </c>
      <c r="M47" s="294"/>
      <c r="N47" s="291"/>
      <c r="O47" s="291">
        <v>0.34499999999999997</v>
      </c>
      <c r="P47" s="291">
        <v>3.7999999999999999E-2</v>
      </c>
      <c r="Q47" s="291">
        <v>1288.0999999999999</v>
      </c>
      <c r="R47" s="291">
        <v>629.1</v>
      </c>
      <c r="S47" s="291"/>
      <c r="T47" s="291">
        <v>1917.5830000000001</v>
      </c>
      <c r="U47" s="294">
        <v>210433.95699999999</v>
      </c>
      <c r="V47" s="295">
        <v>8.426919502448138</v>
      </c>
    </row>
    <row r="48" spans="1:22" ht="20">
      <c r="A48" s="284">
        <v>2011</v>
      </c>
      <c r="B48" s="285">
        <v>171638.3</v>
      </c>
      <c r="C48" s="285">
        <v>52338.6</v>
      </c>
      <c r="D48" s="286">
        <v>5418.2</v>
      </c>
      <c r="E48" s="285">
        <v>229395.1</v>
      </c>
      <c r="F48" s="287">
        <v>8.611144385360948</v>
      </c>
      <c r="G48" s="288">
        <v>2094.1</v>
      </c>
      <c r="H48" s="285">
        <v>838.7</v>
      </c>
      <c r="I48" s="285">
        <v>329.9</v>
      </c>
      <c r="J48" s="285">
        <v>218.6</v>
      </c>
      <c r="K48" s="285">
        <v>1074.5</v>
      </c>
      <c r="L48" s="285">
        <v>4555.8</v>
      </c>
      <c r="M48" s="288">
        <v>621.79999999999995</v>
      </c>
      <c r="N48" s="285">
        <v>3.0000000000000001E-3</v>
      </c>
      <c r="O48" s="285">
        <v>19.399999999999999</v>
      </c>
      <c r="P48" s="285"/>
      <c r="Q48" s="285">
        <v>42.5</v>
      </c>
      <c r="R48" s="285">
        <v>1170.6400000000001</v>
      </c>
      <c r="S48" s="285">
        <v>1790.3</v>
      </c>
      <c r="T48" s="285">
        <v>3644.643</v>
      </c>
      <c r="U48" s="288">
        <v>230306.25699999998</v>
      </c>
      <c r="V48" s="289">
        <v>9.4434853971785415</v>
      </c>
    </row>
    <row r="49" spans="1:22" ht="20">
      <c r="A49" s="290">
        <v>2012</v>
      </c>
      <c r="B49" s="291">
        <v>174871.7</v>
      </c>
      <c r="C49" s="291">
        <v>57865</v>
      </c>
      <c r="D49" s="292">
        <v>6760.1</v>
      </c>
      <c r="E49" s="291">
        <v>239496.80000000002</v>
      </c>
      <c r="F49" s="293">
        <v>4.4036250120425446</v>
      </c>
      <c r="G49" s="294">
        <v>3966.8</v>
      </c>
      <c r="H49" s="291">
        <v>3.7</v>
      </c>
      <c r="I49" s="291">
        <v>277.39999999999998</v>
      </c>
      <c r="J49" s="291">
        <v>79</v>
      </c>
      <c r="K49" s="291">
        <v>1499.8</v>
      </c>
      <c r="L49" s="291">
        <v>5826.7</v>
      </c>
      <c r="M49" s="294">
        <v>1.7</v>
      </c>
      <c r="N49" s="291"/>
      <c r="O49" s="291">
        <v>12.9</v>
      </c>
      <c r="P49" s="291"/>
      <c r="Q49" s="291"/>
      <c r="R49" s="291">
        <v>1234.0999999999999</v>
      </c>
      <c r="S49" s="291">
        <v>1704.9</v>
      </c>
      <c r="T49" s="291">
        <v>2953.6</v>
      </c>
      <c r="U49" s="294">
        <v>242369.90000000002</v>
      </c>
      <c r="V49" s="295">
        <v>5.238087387265411</v>
      </c>
    </row>
    <row r="50" spans="1:22" ht="20">
      <c r="A50" s="284">
        <v>2013</v>
      </c>
      <c r="B50" s="285">
        <v>171812.45</v>
      </c>
      <c r="C50" s="285">
        <v>59420.5</v>
      </c>
      <c r="D50" s="286">
        <v>8921</v>
      </c>
      <c r="E50" s="285">
        <v>240153.95</v>
      </c>
      <c r="F50" s="287">
        <v>0.27438779975348382</v>
      </c>
      <c r="G50" s="288">
        <v>4571.2</v>
      </c>
      <c r="H50" s="285">
        <v>173.2</v>
      </c>
      <c r="I50" s="285">
        <v>276.7</v>
      </c>
      <c r="J50" s="285">
        <v>3.3</v>
      </c>
      <c r="K50" s="285">
        <v>2405</v>
      </c>
      <c r="L50" s="285">
        <v>7429.4</v>
      </c>
      <c r="M50" s="288">
        <v>0.16</v>
      </c>
      <c r="N50" s="285">
        <v>0.1</v>
      </c>
      <c r="O50" s="285">
        <v>0.2</v>
      </c>
      <c r="P50" s="285"/>
      <c r="Q50" s="285">
        <v>421.55</v>
      </c>
      <c r="R50" s="285">
        <v>0</v>
      </c>
      <c r="S50" s="285">
        <v>804.7</v>
      </c>
      <c r="T50" s="285">
        <v>1226.71</v>
      </c>
      <c r="U50" s="288">
        <v>246356.64</v>
      </c>
      <c r="V50" s="289">
        <v>1.6448989746663978</v>
      </c>
    </row>
    <row r="51" spans="1:22" ht="20">
      <c r="A51" s="290">
        <v>2014</v>
      </c>
      <c r="B51" s="291">
        <v>200416.59899999999</v>
      </c>
      <c r="C51" s="291">
        <v>40644.699999999997</v>
      </c>
      <c r="D51" s="292">
        <v>10901.5</v>
      </c>
      <c r="E51" s="291">
        <v>251962.799</v>
      </c>
      <c r="F51" s="293">
        <v>4.9171995713582772</v>
      </c>
      <c r="G51" s="294">
        <v>5300.6989999999996</v>
      </c>
      <c r="H51" s="291">
        <v>4.048</v>
      </c>
      <c r="I51" s="291">
        <v>102.664</v>
      </c>
      <c r="J51" s="291">
        <v>293.88200000000001</v>
      </c>
      <c r="K51" s="291">
        <v>2252.0439999999999</v>
      </c>
      <c r="L51" s="291">
        <v>7953.3369999999986</v>
      </c>
      <c r="M51" s="294">
        <v>0.221</v>
      </c>
      <c r="N51" s="291">
        <v>0.9</v>
      </c>
      <c r="O51" s="291">
        <v>0.08</v>
      </c>
      <c r="P51" s="291"/>
      <c r="Q51" s="291">
        <v>785.40700000000004</v>
      </c>
      <c r="R51" s="291">
        <v>0</v>
      </c>
      <c r="S51" s="291">
        <v>1909.38</v>
      </c>
      <c r="T51" s="291">
        <v>2695.9880000000003</v>
      </c>
      <c r="U51" s="294">
        <v>257220.14799999999</v>
      </c>
      <c r="V51" s="295">
        <v>4.4096672206602516</v>
      </c>
    </row>
    <row r="52" spans="1:22" ht="20">
      <c r="A52" s="284">
        <v>2015</v>
      </c>
      <c r="B52" s="285">
        <v>179366.441207</v>
      </c>
      <c r="C52" s="285">
        <v>67145.827144399998</v>
      </c>
      <c r="D52" s="286">
        <v>15271.035195200002</v>
      </c>
      <c r="E52" s="285">
        <v>261783.30354659999</v>
      </c>
      <c r="F52" s="287">
        <v>3.8976009893428643</v>
      </c>
      <c r="G52" s="288">
        <v>4841.9864699999998</v>
      </c>
      <c r="H52" s="285">
        <v>8.3667400000000001</v>
      </c>
      <c r="I52" s="285">
        <v>3.2799999999999999E-3</v>
      </c>
      <c r="J52" s="285">
        <v>417.45442200000002</v>
      </c>
      <c r="K52" s="285">
        <v>1867.6953068999999</v>
      </c>
      <c r="L52" s="296">
        <v>7135.5062189</v>
      </c>
      <c r="M52" s="288">
        <v>1.92998</v>
      </c>
      <c r="N52" s="285">
        <v>2.1510889999999998</v>
      </c>
      <c r="O52" s="285">
        <v>2.1099999999999999E-3</v>
      </c>
      <c r="P52" s="285"/>
      <c r="Q52" s="285">
        <v>371.75776000000002</v>
      </c>
      <c r="R52" s="285"/>
      <c r="S52" s="285">
        <v>2818.6149099999998</v>
      </c>
      <c r="T52" s="285">
        <v>3194.4558489999999</v>
      </c>
      <c r="U52" s="288">
        <v>265724.35391649994</v>
      </c>
      <c r="V52" s="289">
        <v>3.3061974276213935</v>
      </c>
    </row>
    <row r="53" spans="1:22" ht="20">
      <c r="A53" s="290">
        <v>2016</v>
      </c>
      <c r="B53" s="291">
        <v>185798.117014574</v>
      </c>
      <c r="C53" s="291">
        <v>67230.883210035201</v>
      </c>
      <c r="D53" s="292">
        <v>21378.748815180999</v>
      </c>
      <c r="E53" s="291">
        <v>274407.74903979024</v>
      </c>
      <c r="F53" s="293">
        <v>4.8224792498819502</v>
      </c>
      <c r="G53" s="294">
        <v>4586.9577600000002</v>
      </c>
      <c r="H53" s="291">
        <v>68.287859999999995</v>
      </c>
      <c r="I53" s="291">
        <v>0</v>
      </c>
      <c r="J53" s="291">
        <v>1039.2925250000001</v>
      </c>
      <c r="K53" s="291">
        <v>635.79490266374205</v>
      </c>
      <c r="L53" s="291">
        <v>6330.333047663742</v>
      </c>
      <c r="M53" s="294">
        <v>3.1491899999999999</v>
      </c>
      <c r="N53" s="291">
        <v>4.7100000000000001E-4</v>
      </c>
      <c r="O53" s="291"/>
      <c r="P53" s="291"/>
      <c r="Q53" s="291"/>
      <c r="R53" s="291">
        <v>4.2561520000000002</v>
      </c>
      <c r="S53" s="291">
        <v>1444.2907599999999</v>
      </c>
      <c r="T53" s="291">
        <v>1451.6965729999999</v>
      </c>
      <c r="U53" s="294">
        <v>279286.38551445398</v>
      </c>
      <c r="V53" s="295">
        <v>5.1037969979280451</v>
      </c>
    </row>
    <row r="54" spans="1:22" ht="20">
      <c r="A54" s="284">
        <v>2017</v>
      </c>
      <c r="B54" s="285">
        <v>212138.462684</v>
      </c>
      <c r="C54" s="285">
        <v>58218.462419000003</v>
      </c>
      <c r="D54" s="286">
        <v>26920.598753999999</v>
      </c>
      <c r="E54" s="285">
        <v>297277.52385699999</v>
      </c>
      <c r="F54" s="287">
        <v>8.3342306830750381</v>
      </c>
      <c r="G54" s="288">
        <v>2072.99289</v>
      </c>
      <c r="H54" s="285">
        <v>0.47889999999999999</v>
      </c>
      <c r="I54" s="285"/>
      <c r="J54" s="285">
        <v>493.94785000000002</v>
      </c>
      <c r="K54" s="285">
        <v>160.84858750000001</v>
      </c>
      <c r="L54" s="285">
        <v>2728.2682275000002</v>
      </c>
      <c r="M54" s="288">
        <v>98.005219999999994</v>
      </c>
      <c r="N54" s="285">
        <v>0.758884</v>
      </c>
      <c r="O54" s="285"/>
      <c r="P54" s="285"/>
      <c r="Q54" s="285"/>
      <c r="R54" s="285"/>
      <c r="S54" s="285">
        <v>3204.90931</v>
      </c>
      <c r="T54" s="296">
        <v>3303.6734139999999</v>
      </c>
      <c r="U54" s="288">
        <v>296702.1186705</v>
      </c>
      <c r="V54" s="289">
        <v>6.2357973962696711</v>
      </c>
    </row>
    <row r="55" spans="1:22" ht="20">
      <c r="A55" s="297">
        <v>2018</v>
      </c>
      <c r="B55" s="298">
        <v>209683.47899999999</v>
      </c>
      <c r="C55" s="298">
        <v>59938.425999999999</v>
      </c>
      <c r="D55" s="299">
        <v>35179.978999999999</v>
      </c>
      <c r="E55" s="298">
        <v>304801.88399999996</v>
      </c>
      <c r="F55" s="300">
        <v>2.5310894834482678</v>
      </c>
      <c r="G55" s="301">
        <v>2051.2833799999999</v>
      </c>
      <c r="H55" s="298">
        <v>10.676110000000001</v>
      </c>
      <c r="I55" s="298"/>
      <c r="J55" s="298">
        <v>414.92786899999999</v>
      </c>
      <c r="K55" s="298"/>
      <c r="L55" s="302">
        <v>2476.8873589999998</v>
      </c>
      <c r="M55" s="298">
        <v>89.564820000000012</v>
      </c>
      <c r="N55" s="298">
        <v>105.92717399999999</v>
      </c>
      <c r="O55" s="298"/>
      <c r="P55" s="298"/>
      <c r="Q55" s="298"/>
      <c r="R55" s="298">
        <v>4.4168919999999998</v>
      </c>
      <c r="S55" s="298">
        <v>2911.9685299999996</v>
      </c>
      <c r="T55" s="298">
        <v>3111.8774159999998</v>
      </c>
      <c r="U55" s="301">
        <v>304166.89394299994</v>
      </c>
      <c r="V55" s="303">
        <v>2.5159157291997358</v>
      </c>
    </row>
    <row r="56" spans="1:22" ht="20">
      <c r="A56" s="284">
        <v>2019</v>
      </c>
      <c r="B56" s="285">
        <v>175142.50380683586</v>
      </c>
      <c r="C56" s="285">
        <v>88822.775601959991</v>
      </c>
      <c r="D56" s="286">
        <v>39932.281015846616</v>
      </c>
      <c r="E56" s="285">
        <v>303897.56042464252</v>
      </c>
      <c r="F56" s="287">
        <v>-0.29669225251818254</v>
      </c>
      <c r="G56" s="304">
        <v>1960.6</v>
      </c>
      <c r="H56" s="285">
        <v>3.9</v>
      </c>
      <c r="I56" s="285"/>
      <c r="J56" s="285">
        <v>247</v>
      </c>
      <c r="K56" s="285"/>
      <c r="L56" s="305">
        <v>2211.5</v>
      </c>
      <c r="M56" s="285">
        <v>120.7</v>
      </c>
      <c r="N56" s="285">
        <v>0.2</v>
      </c>
      <c r="O56" s="285"/>
      <c r="P56" s="285"/>
      <c r="Q56" s="285"/>
      <c r="R56" s="285"/>
      <c r="S56" s="285">
        <v>2667.8</v>
      </c>
      <c r="T56" s="305">
        <v>2788.7000000000003</v>
      </c>
      <c r="U56" s="285">
        <v>303320.36042464251</v>
      </c>
      <c r="V56" s="289">
        <v>-0.27831218163936189</v>
      </c>
    </row>
    <row r="57" spans="1:22" ht="20">
      <c r="A57" s="306">
        <v>2020</v>
      </c>
      <c r="B57" s="307">
        <v>182802.62484254889</v>
      </c>
      <c r="C57" s="307">
        <v>78094.368848523198</v>
      </c>
      <c r="D57" s="308">
        <v>45806.097999999998</v>
      </c>
      <c r="E57" s="307">
        <v>306703.0916910721</v>
      </c>
      <c r="F57" s="309">
        <v>0.92318321427435901</v>
      </c>
      <c r="G57" s="310">
        <v>1689.5004310000002</v>
      </c>
      <c r="H57" s="307">
        <v>30.133666999999992</v>
      </c>
      <c r="I57" s="307"/>
      <c r="J57" s="307">
        <v>169.886539</v>
      </c>
      <c r="K57" s="307"/>
      <c r="L57" s="311">
        <v>1889.5206370000003</v>
      </c>
      <c r="M57" s="307">
        <v>0</v>
      </c>
      <c r="N57" s="307">
        <v>314.962154</v>
      </c>
      <c r="O57" s="307"/>
      <c r="P57" s="307"/>
      <c r="Q57" s="307"/>
      <c r="R57" s="307">
        <v>327.57048399999996</v>
      </c>
      <c r="S57" s="307">
        <v>1841.1101039999999</v>
      </c>
      <c r="T57" s="311">
        <v>2483.642742</v>
      </c>
      <c r="U57" s="307">
        <v>306108.96958607208</v>
      </c>
      <c r="V57" s="312">
        <v>0.91936102064680281</v>
      </c>
    </row>
    <row r="58" spans="1:22" ht="18">
      <c r="A58" s="313" t="s">
        <v>334</v>
      </c>
      <c r="B58" s="246"/>
      <c r="C58" s="246"/>
      <c r="D58" s="246"/>
      <c r="E58" s="246"/>
      <c r="F58" s="246"/>
      <c r="G58" s="246"/>
      <c r="H58" s="246"/>
      <c r="I58" s="314"/>
      <c r="J58" s="246"/>
      <c r="K58" s="246"/>
      <c r="L58" s="246"/>
      <c r="M58" s="246"/>
      <c r="N58" s="315"/>
      <c r="O58" s="315"/>
      <c r="P58" s="315"/>
      <c r="Q58" s="315"/>
      <c r="R58" s="315"/>
      <c r="S58" s="315"/>
      <c r="T58" s="315"/>
      <c r="U58" s="316"/>
      <c r="V58" s="315"/>
    </row>
    <row r="59" spans="1:22" ht="18">
      <c r="A59" s="317" t="s">
        <v>335</v>
      </c>
      <c r="B59" s="246"/>
      <c r="C59" s="246"/>
      <c r="D59" s="246"/>
      <c r="E59" s="318"/>
      <c r="F59" s="246"/>
      <c r="G59" s="246"/>
      <c r="H59" s="246"/>
      <c r="I59" s="246"/>
      <c r="J59" s="246"/>
      <c r="K59" s="246"/>
      <c r="L59" s="246"/>
      <c r="M59" s="246"/>
      <c r="N59" s="315"/>
      <c r="O59" s="315"/>
      <c r="P59" s="315"/>
      <c r="Q59" s="315"/>
      <c r="R59" s="315"/>
      <c r="S59" s="315"/>
      <c r="T59" s="315"/>
      <c r="U59" s="316"/>
      <c r="V59" s="315"/>
    </row>
  </sheetData>
  <mergeCells count="11">
    <mergeCell ref="A1:E1"/>
    <mergeCell ref="A2:E2"/>
    <mergeCell ref="A3:F3"/>
    <mergeCell ref="A10:B10"/>
    <mergeCell ref="A14:A15"/>
    <mergeCell ref="B15:H15"/>
    <mergeCell ref="A23:V23"/>
    <mergeCell ref="A24:V24"/>
    <mergeCell ref="U26:V26"/>
    <mergeCell ref="U28:V28"/>
    <mergeCell ref="U29:V29"/>
  </mergeCells>
  <hyperlinks>
    <hyperlink ref="A2" r:id="rId1" xr:uid="{00000000-0004-0000-0900-000000000000}"/>
    <hyperlink ref="A9" r:id="rId2" xr:uid="{95D1BBCE-D6F9-4B25-982F-497AC90356F6}"/>
    <hyperlink ref="A21" r:id="rId3" xr:uid="{47E129EF-2103-4B0B-86B9-F7FF26CD05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Sheet3</vt:lpstr>
      <vt:lpstr>Sheet2</vt:lpstr>
      <vt:lpstr>Sheet1</vt:lpstr>
      <vt:lpstr>Average Temp</vt:lpstr>
      <vt:lpstr>Baseline emission</vt:lpstr>
      <vt:lpstr>Project emission</vt:lpstr>
      <vt:lpstr>Emission reduction</vt:lpstr>
      <vt:lpstr>grid loss</vt:lpstr>
      <vt:lpstr>SOx and NOx</vt:lpstr>
      <vt:lpstr>'grid loss'!Yazdırma_Alanı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xiaodong jia</dc:creator>
  <cp:lastModifiedBy>Engin</cp:lastModifiedBy>
  <dcterms:created xsi:type="dcterms:W3CDTF">2008-09-03T12:42:16Z</dcterms:created>
  <dcterms:modified xsi:type="dcterms:W3CDTF">2022-11-19T14:56:19Z</dcterms:modified>
</cp:coreProperties>
</file>