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IN000731\Desktop\Projects as part of audit team\BELL_VCS_VER_5125\AR Stage\03_AR Comms-response\"/>
    </mc:Choice>
  </mc:AlternateContent>
  <xr:revisionPtr revIDLastSave="0" documentId="13_ncr:1_{D7038347-F900-410B-9D3E-43D285219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mbatolampy ER MP4" sheetId="4" r:id="rId1"/>
    <sheet name="phase init MP4" sheetId="6" r:id="rId2"/>
    <sheet name="phase ext MP4" sheetId="7" r:id="rId3"/>
    <sheet name="SDG impacts vcs4" sheetId="5" r:id="rId4"/>
  </sheets>
  <externalReferences>
    <externalReference r:id="rId5"/>
    <externalReference r:id="rId6"/>
    <externalReference r:id="rId7"/>
    <externalReference r:id="rId8"/>
  </externalReferences>
  <definedNames>
    <definedName name="_dura">#REF!</definedName>
    <definedName name="_Fill" hidden="1">[1]Marche!#REF!</definedName>
    <definedName name="_ftn1" localSheetId="0">'Ambatolampy ER MP4'!#REF!</definedName>
    <definedName name="_ftnref1" localSheetId="0">'Ambatolampy ER MP4'!#REF!</definedName>
    <definedName name="_GA">#REF!</definedName>
    <definedName name="_LTD">#REF!</definedName>
    <definedName name="_ref">#REF!</definedName>
    <definedName name="_TA">#REF!</definedName>
    <definedName name="_TAG1">[2]Production!#REF!</definedName>
    <definedName name="_TAG2">[2]Production!#REF!</definedName>
    <definedName name="_TAG3">[2]Production!#REF!</definedName>
    <definedName name="_TAG4">[2]Production!#REF!</definedName>
    <definedName name="_TV">#REF!</definedName>
    <definedName name="_uncertime">#REF!</definedName>
    <definedName name="AERSHELL500">10473333.33333</definedName>
    <definedName name="ANNEE">[2]Production!#REF!</definedName>
    <definedName name="AOUT">[2]Production!#REF!</definedName>
    <definedName name="AVRIL">[2]Production!#REF!</definedName>
    <definedName name="Bakel">[2]Production!#REF!</definedName>
    <definedName name="BandaFassi">[2]Production!#REF!</definedName>
    <definedName name="BETTENTY">[2]Production!#REF!</definedName>
    <definedName name="BOUTOUTE">[2]Production!#REF!</definedName>
    <definedName name="C.SECOND.">[2]Production!#REF!</definedName>
    <definedName name="CDM">[3]Guidance!$B$72:$B$73</definedName>
    <definedName name="CDMM">[3]Guidance!$B$72:$B$73</definedName>
    <definedName name="CENTRES_SECONDAIRES">[2]Production!#REF!</definedName>
    <definedName name="CI">[2]Production!#REF!</definedName>
    <definedName name="CII">[2]Production!#REF!</definedName>
    <definedName name="CIII_VAP">[2]Production!#REF!</definedName>
    <definedName name="CIV">[2]Production!#REF!</definedName>
    <definedName name="COEF_DO_DAZ">1.04708</definedName>
    <definedName name="COEF_JET_GAZ">10836/9706</definedName>
    <definedName name="CV">[2]Production!#REF!</definedName>
    <definedName name="Dabo">[2]Production!#REF!</definedName>
    <definedName name="datejour">[4]Utilisation!$F$5</definedName>
    <definedName name="day">[3]Base_data!$AJ$6:$AJ$36</definedName>
    <definedName name="DÉC">[2]Production!#REF!</definedName>
    <definedName name="Diama">[2]Production!#REF!</definedName>
    <definedName name="Dioul">[2]Production!#REF!</definedName>
    <definedName name="DO_BT">131686</definedName>
    <definedName name="DO_CS">130952</definedName>
    <definedName name="DO_DK">91874</definedName>
    <definedName name="DO_KK">102685</definedName>
    <definedName name="DO_OURO">175134</definedName>
    <definedName name="DO_STL">107857</definedName>
    <definedName name="DO_TB">121252</definedName>
    <definedName name="EFOP">[3]Guidance!$B$67:$B$70</definedName>
    <definedName name="ENSEMBLE">[2]Production!#REF!</definedName>
    <definedName name="FEVRIER">[2]Production!#REF!</definedName>
    <definedName name="FO_BT">89077</definedName>
    <definedName name="FO_DK">49265</definedName>
    <definedName name="FO_KK">60076</definedName>
    <definedName name="FO_STL">107857</definedName>
    <definedName name="FO_TB">78647</definedName>
    <definedName name="Fongolemby">[2]Production!#REF!</definedName>
    <definedName name="Fuel_type">[3]Fuel_type!$B$3:$B$62</definedName>
    <definedName name="G101_">[2]Production!#REF!</definedName>
    <definedName name="G102_">[2]Production!#REF!</definedName>
    <definedName name="G103_">[2]Production!#REF!</definedName>
    <definedName name="G104_">[2]Production!#REF!</definedName>
    <definedName name="G105_">[2]Production!#REF!</definedName>
    <definedName name="G106_">[2]Production!#REF!</definedName>
    <definedName name="G125_">[2]Production!#REF!</definedName>
    <definedName name="G126_">[2]Production!#REF!</definedName>
    <definedName name="G128_">[2]Production!#REF!</definedName>
    <definedName name="G130_">[2]Production!#REF!</definedName>
    <definedName name="G149_">[2]Production!#REF!</definedName>
    <definedName name="G150_">[2]Production!#REF!</definedName>
    <definedName name="G157_">[2]Production!#REF!</definedName>
    <definedName name="G228_">[2]Production!#REF!</definedName>
    <definedName name="G229_">[2]Production!#REF!</definedName>
    <definedName name="G240_">[2]Production!#REF!</definedName>
    <definedName name="G250_">[2]Production!#REF!</definedName>
    <definedName name="G301_">[2]Production!#REF!</definedName>
    <definedName name="G302_">[2]Production!#REF!</definedName>
    <definedName name="G303_">[2]Production!#REF!</definedName>
    <definedName name="G401_">[2]Production!#REF!</definedName>
    <definedName name="G402_">[2]Production!#REF!</definedName>
    <definedName name="G403_">[2]Production!#REF!</definedName>
    <definedName name="G804_">[2]Production!#REF!</definedName>
    <definedName name="G82_">[2]Production!#REF!</definedName>
    <definedName name="G83_">[2]Production!#REF!</definedName>
    <definedName name="G93_">[2]Production!#REF!</definedName>
    <definedName name="G94_">[2]Production!#REF!</definedName>
    <definedName name="GAZ">100000</definedName>
    <definedName name="GOUDIRY">[2]Production!#REF!</definedName>
    <definedName name="Gr_GAY">[2]Production!#REF!</definedName>
    <definedName name="GTI">#REF!</definedName>
    <definedName name="H_BT">959459</definedName>
    <definedName name="H_C1">857054</definedName>
    <definedName name="H_C4">857054</definedName>
    <definedName name="H_CS">966853</definedName>
    <definedName name="H_KK">970437</definedName>
    <definedName name="H_OURO">850452</definedName>
    <definedName name="H_STL">850446</definedName>
    <definedName name="H_TB">966853</definedName>
    <definedName name="JANVIER">[2]Production!#REF!</definedName>
    <definedName name="JUILLET">[2]Production!#REF!</definedName>
    <definedName name="JUIN">[2]Production!#REF!</definedName>
    <definedName name="KAHONE">[2]Production!#REF!</definedName>
    <definedName name="KEDOUGOU">[2]Production!#REF!</definedName>
    <definedName name="KIDIRA">[2]Production!#REF!</definedName>
    <definedName name="Kolda">[2]Production!#REF!</definedName>
    <definedName name="KOUMPENTOUM">[2]Production!#REF!</definedName>
    <definedName name="KOUNGHEL">[2]Production!#REF!</definedName>
    <definedName name="lcmr">[3]Fuel_type!$B$48:$B$60</definedName>
    <definedName name="MAI">[2]Production!#REF!</definedName>
    <definedName name="MARS">[2]Production!#REF!</definedName>
    <definedName name="med._Yorofoula">[2]Production!#REF!</definedName>
    <definedName name="MEDINA_SABBAH">[2]Production!#REF!</definedName>
    <definedName name="MEDINAGOUNASS">[2]Production!#REF!</definedName>
    <definedName name="mois">[4]Utilisation!$H$5</definedName>
    <definedName name="month">[3]Base_data!$AI$6:$AI$17</definedName>
    <definedName name="MWh">[2]Production!#REF!</definedName>
    <definedName name="NAPHTA">80000</definedName>
    <definedName name="NGANDA">[2]Production!#REF!</definedName>
    <definedName name="NOV">[2]Production!#REF!</definedName>
    <definedName name="num_cumulmois">[4]Utilisation!$J$5</definedName>
    <definedName name="OCT">[2]Production!#REF!</definedName>
    <definedName name="OUROSSOGUI">[2]Production!#REF!</definedName>
    <definedName name="Pakour">[2]Production!#REF!</definedName>
    <definedName name="periode">[4]Utilisation!$K$6:$W$11</definedName>
    <definedName name="PuissancesModules">#REF!</definedName>
    <definedName name="R.I">[2]Production!#REF!</definedName>
    <definedName name="R.N.I">[2]Production!#REF!</definedName>
    <definedName name="Salemata">[2]Production!#REF!</definedName>
    <definedName name="Sareya">[2]Production!#REF!</definedName>
    <definedName name="Sédhiou">[2]Production!#REF!</definedName>
    <definedName name="SENELEC">[2]Production!#REF!</definedName>
    <definedName name="SEPT">[2]Production!#REF!</definedName>
    <definedName name="SINDIAN">[2]Production!#REF!</definedName>
    <definedName name="ST_LOUIS">[2]Production!#REF!</definedName>
    <definedName name="T_32">871447.6495726</definedName>
    <definedName name="T_68">1228028.846154</definedName>
    <definedName name="TAG">[2]Production!#REF!</definedName>
    <definedName name="TAMBA">[2]Production!#REF!</definedName>
    <definedName name="Thionk_E">[2]Production!#REF!</definedName>
    <definedName name="TOTAL_CS">[2]Production!#REF!</definedName>
    <definedName name="VELINGARA">[2]Production!#REF!</definedName>
    <definedName name="x">#REF!</definedName>
    <definedName name="year">[3]Base_data!$AH$6:$AH$76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7" l="1"/>
  <c r="I21" i="6"/>
  <c r="L6" i="7"/>
  <c r="L21" i="7"/>
  <c r="M10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37" i="4"/>
  <c r="C45" i="4" l="1"/>
  <c r="D21" i="7"/>
  <c r="F21" i="7"/>
  <c r="G21" i="7"/>
  <c r="H21" i="7"/>
  <c r="E46" i="4" l="1"/>
  <c r="D45" i="4"/>
  <c r="D44" i="4"/>
  <c r="C44" i="4"/>
  <c r="H38" i="4"/>
  <c r="K21" i="7"/>
  <c r="I30" i="4"/>
  <c r="I29" i="4"/>
  <c r="H30" i="4"/>
  <c r="H29" i="4"/>
  <c r="N18" i="7"/>
  <c r="N19" i="7"/>
  <c r="N20" i="7"/>
  <c r="M18" i="7"/>
  <c r="M19" i="7"/>
  <c r="M20" i="7"/>
  <c r="F24" i="4"/>
  <c r="K18" i="7"/>
  <c r="K19" i="7"/>
  <c r="K20" i="7"/>
  <c r="I18" i="7"/>
  <c r="I19" i="7"/>
  <c r="I20" i="7"/>
  <c r="F18" i="7"/>
  <c r="F19" i="7"/>
  <c r="F20" i="7"/>
  <c r="D18" i="7"/>
  <c r="D19" i="7"/>
  <c r="D20" i="7"/>
  <c r="D21" i="6"/>
  <c r="F21" i="6"/>
  <c r="H21" i="6"/>
  <c r="K21" i="6"/>
  <c r="K18" i="6"/>
  <c r="K19" i="6"/>
  <c r="K20" i="6"/>
  <c r="I18" i="6"/>
  <c r="I19" i="6"/>
  <c r="I20" i="6"/>
  <c r="H18" i="6"/>
  <c r="H19" i="6"/>
  <c r="H20" i="6"/>
  <c r="F19" i="6"/>
  <c r="F20" i="6"/>
  <c r="F18" i="6"/>
  <c r="D18" i="6"/>
  <c r="D19" i="6"/>
  <c r="D20" i="6"/>
  <c r="G23" i="4"/>
  <c r="G24" i="4"/>
  <c r="G25" i="4"/>
  <c r="F23" i="4"/>
  <c r="F25" i="4"/>
  <c r="E23" i="4"/>
  <c r="E24" i="4"/>
  <c r="E25" i="4"/>
  <c r="D23" i="4"/>
  <c r="D24" i="4"/>
  <c r="D25" i="4"/>
  <c r="C23" i="4"/>
  <c r="C24" i="4"/>
  <c r="F16" i="4"/>
  <c r="L38" i="4"/>
  <c r="J38" i="4"/>
  <c r="F17" i="7"/>
  <c r="F22" i="4" s="1"/>
  <c r="D17" i="7"/>
  <c r="F16" i="7"/>
  <c r="M16" i="7" s="1"/>
  <c r="D16" i="7"/>
  <c r="F15" i="7"/>
  <c r="F20" i="4" s="1"/>
  <c r="D15" i="7"/>
  <c r="F14" i="7"/>
  <c r="M14" i="7" s="1"/>
  <c r="D14" i="7"/>
  <c r="F13" i="7"/>
  <c r="M13" i="7" s="1"/>
  <c r="D13" i="7"/>
  <c r="F12" i="7"/>
  <c r="M12" i="7" s="1"/>
  <c r="D12" i="7"/>
  <c r="F11" i="7"/>
  <c r="D11" i="7"/>
  <c r="I11" i="7" s="1"/>
  <c r="K11" i="7" s="1"/>
  <c r="N11" i="7" s="1"/>
  <c r="F10" i="7"/>
  <c r="D10" i="7"/>
  <c r="F9" i="7"/>
  <c r="M9" i="7" s="1"/>
  <c r="D9" i="7"/>
  <c r="F8" i="7"/>
  <c r="M8" i="7" s="1"/>
  <c r="D8" i="7"/>
  <c r="F7" i="7"/>
  <c r="I7" i="7" s="1"/>
  <c r="K7" i="7" s="1"/>
  <c r="D7" i="7"/>
  <c r="F6" i="7"/>
  <c r="M6" i="7" s="1"/>
  <c r="D6" i="7"/>
  <c r="F17" i="6"/>
  <c r="D17" i="6"/>
  <c r="H17" i="6" s="1"/>
  <c r="F16" i="6"/>
  <c r="D16" i="6"/>
  <c r="I16" i="6" s="1"/>
  <c r="F15" i="6"/>
  <c r="D15" i="6"/>
  <c r="H15" i="6" s="1"/>
  <c r="F14" i="6"/>
  <c r="D14" i="6"/>
  <c r="I14" i="6" s="1"/>
  <c r="K14" i="6" s="1"/>
  <c r="F13" i="6"/>
  <c r="D13" i="6"/>
  <c r="H13" i="6" s="1"/>
  <c r="F12" i="6"/>
  <c r="D12" i="6"/>
  <c r="I12" i="6" s="1"/>
  <c r="F11" i="6"/>
  <c r="D11" i="6"/>
  <c r="H11" i="6" s="1"/>
  <c r="F10" i="6"/>
  <c r="D10" i="6"/>
  <c r="I10" i="6" s="1"/>
  <c r="K10" i="6" s="1"/>
  <c r="F9" i="6"/>
  <c r="D9" i="6"/>
  <c r="H9" i="6" s="1"/>
  <c r="F8" i="6"/>
  <c r="D8" i="6"/>
  <c r="I8" i="6" s="1"/>
  <c r="F7" i="6"/>
  <c r="D7" i="6"/>
  <c r="H7" i="6" s="1"/>
  <c r="F6" i="6"/>
  <c r="D6" i="6"/>
  <c r="I6" i="6" s="1"/>
  <c r="I37" i="4" l="1"/>
  <c r="K37" i="4" s="1"/>
  <c r="M37" i="4" s="1"/>
  <c r="F45" i="4" s="1"/>
  <c r="I31" i="4"/>
  <c r="H31" i="4"/>
  <c r="J30" i="4"/>
  <c r="C25" i="4"/>
  <c r="I15" i="7"/>
  <c r="K15" i="7" s="1"/>
  <c r="N15" i="7" s="1"/>
  <c r="F12" i="4"/>
  <c r="I8" i="7"/>
  <c r="K8" i="7" s="1"/>
  <c r="I10" i="7"/>
  <c r="K10" i="7" s="1"/>
  <c r="E15" i="4" s="1"/>
  <c r="I12" i="7"/>
  <c r="K12" i="7" s="1"/>
  <c r="N12" i="7" s="1"/>
  <c r="I14" i="7"/>
  <c r="K14" i="7" s="1"/>
  <c r="E19" i="4" s="1"/>
  <c r="I16" i="7"/>
  <c r="K16" i="7" s="1"/>
  <c r="N16" i="7" s="1"/>
  <c r="F18" i="4"/>
  <c r="M17" i="7"/>
  <c r="M7" i="7"/>
  <c r="I9" i="7"/>
  <c r="K9" i="7" s="1"/>
  <c r="N9" i="7" s="1"/>
  <c r="M11" i="7"/>
  <c r="I13" i="7"/>
  <c r="K13" i="7" s="1"/>
  <c r="N13" i="7" s="1"/>
  <c r="M15" i="7"/>
  <c r="I17" i="7"/>
  <c r="K17" i="7" s="1"/>
  <c r="N17" i="7" s="1"/>
  <c r="F14" i="4"/>
  <c r="C14" i="4"/>
  <c r="C22" i="4"/>
  <c r="I6" i="7"/>
  <c r="D11" i="4" s="1"/>
  <c r="F21" i="4"/>
  <c r="F17" i="4"/>
  <c r="F13" i="4"/>
  <c r="F19" i="4"/>
  <c r="F15" i="4"/>
  <c r="K8" i="6"/>
  <c r="K12" i="6"/>
  <c r="K16" i="6"/>
  <c r="I17" i="6"/>
  <c r="I13" i="6"/>
  <c r="I9" i="6"/>
  <c r="K6" i="6"/>
  <c r="I15" i="6"/>
  <c r="I11" i="6"/>
  <c r="I7" i="6"/>
  <c r="C12" i="4"/>
  <c r="C16" i="4"/>
  <c r="C18" i="4"/>
  <c r="C20" i="4"/>
  <c r="H8" i="6"/>
  <c r="H10" i="6"/>
  <c r="H12" i="6"/>
  <c r="C17" i="4" s="1"/>
  <c r="H14" i="6"/>
  <c r="H16" i="6"/>
  <c r="H6" i="6"/>
  <c r="C11" i="4" s="1"/>
  <c r="D17" i="4" l="1"/>
  <c r="D15" i="4"/>
  <c r="D21" i="4"/>
  <c r="D13" i="4"/>
  <c r="D19" i="4"/>
  <c r="N7" i="7"/>
  <c r="K6" i="7"/>
  <c r="C15" i="4"/>
  <c r="C21" i="4"/>
  <c r="N10" i="7"/>
  <c r="G15" i="4" s="1"/>
  <c r="F11" i="4"/>
  <c r="I36" i="4" s="1"/>
  <c r="I38" i="4" s="1"/>
  <c r="C13" i="4"/>
  <c r="C19" i="4"/>
  <c r="N14" i="7"/>
  <c r="G19" i="4" s="1"/>
  <c r="N8" i="7"/>
  <c r="G13" i="4" s="1"/>
  <c r="D16" i="4"/>
  <c r="K11" i="6"/>
  <c r="K17" i="6"/>
  <c r="D22" i="4"/>
  <c r="G17" i="4"/>
  <c r="E17" i="4"/>
  <c r="D20" i="4"/>
  <c r="K15" i="6"/>
  <c r="E11" i="4"/>
  <c r="K9" i="6"/>
  <c r="D14" i="4"/>
  <c r="D12" i="4"/>
  <c r="K7" i="6"/>
  <c r="D18" i="4"/>
  <c r="K13" i="6"/>
  <c r="G21" i="4"/>
  <c r="E21" i="4"/>
  <c r="E13" i="4"/>
  <c r="N6" i="7" l="1"/>
  <c r="N21" i="7" s="1"/>
  <c r="G18" i="4"/>
  <c r="E18" i="4"/>
  <c r="G20" i="4"/>
  <c r="E20" i="4"/>
  <c r="G14" i="4"/>
  <c r="E14" i="4"/>
  <c r="G22" i="4"/>
  <c r="E22" i="4"/>
  <c r="G12" i="4"/>
  <c r="E12" i="4"/>
  <c r="G16" i="4"/>
  <c r="E16" i="4"/>
  <c r="E38" i="4"/>
  <c r="D39" i="4"/>
  <c r="D40" i="4" s="1"/>
  <c r="H36" i="4" l="1"/>
  <c r="K36" i="4" s="1"/>
  <c r="G11" i="4"/>
  <c r="K38" i="4" l="1"/>
  <c r="M36" i="4"/>
  <c r="E45" i="4"/>
  <c r="E44" i="4"/>
  <c r="C39" i="4"/>
  <c r="C40" i="4" s="1"/>
  <c r="E31" i="4"/>
  <c r="E30" i="4"/>
  <c r="E29" i="4"/>
  <c r="E28" i="4"/>
  <c r="M38" i="4" l="1"/>
  <c r="F44" i="4"/>
  <c r="D47" i="4"/>
  <c r="D48" i="4" l="1"/>
  <c r="F46" i="4"/>
  <c r="G45" i="4"/>
  <c r="J29" i="4" l="1"/>
  <c r="J31" i="4" s="1"/>
  <c r="E37" i="4" l="1"/>
  <c r="E34" i="4"/>
  <c r="E39" i="4"/>
  <c r="E40" i="4" s="1"/>
  <c r="E36" i="4"/>
  <c r="E33" i="4"/>
  <c r="E35" i="4"/>
  <c r="E32" i="4"/>
  <c r="G44" i="4" l="1"/>
  <c r="D49" i="4" l="1"/>
  <c r="G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Harold pro</author>
  </authors>
  <commentList>
    <comment ref="G3" authorId="0" shapeId="0" xr:uid="{D8556C8F-0E7A-45E6-8D42-EC9D312FEAA6}">
      <text>
        <r>
          <rPr>
            <b/>
            <sz val="9"/>
            <color indexed="81"/>
            <rFont val="Tahoma"/>
            <charset val="1"/>
          </rPr>
          <t>Harold pro:</t>
        </r>
        <r>
          <rPr>
            <sz val="9"/>
            <color indexed="81"/>
            <rFont val="Tahoma"/>
            <charset val="1"/>
          </rPr>
          <t xml:space="preserve">
see phase ext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Harold pro</author>
  </authors>
  <commentList>
    <comment ref="L3" authorId="0" shapeId="0" xr:uid="{8A204931-DA42-4C78-A4A6-61EE5374024C}">
      <text>
        <r>
          <rPr>
            <b/>
            <sz val="9"/>
            <color indexed="81"/>
            <rFont val="Tahoma"/>
            <family val="2"/>
          </rPr>
          <t>Harold pro:</t>
        </r>
        <r>
          <rPr>
            <sz val="9"/>
            <color indexed="81"/>
            <rFont val="Tahoma"/>
            <family val="2"/>
          </rPr>
          <t xml:space="preserve">
Project emissions from BESS are calculated as per Tool05 ver03, equation (1) with a TDL default value of 0.2 and emission factor conservative default value of 1.3 tCO2/MWh as per para.49 of ACM0002. v22.0 and as per the procedure described in TOOL05 under option A2 (a) of Paragraph 20.</t>
        </r>
      </text>
    </comment>
    <comment ref="M3" authorId="0" shapeId="0" xr:uid="{35BB41D4-0BFB-4EA1-AB65-3E173E6314E1}">
      <text>
        <r>
          <rPr>
            <b/>
            <sz val="9"/>
            <color indexed="81"/>
            <rFont val="Tahoma"/>
            <family val="2"/>
          </rPr>
          <t>Harold pro:</t>
        </r>
        <r>
          <rPr>
            <sz val="9"/>
            <color indexed="81"/>
            <rFont val="Tahoma"/>
            <family val="2"/>
          </rPr>
          <t xml:space="preserve">
% indicator for share of consumption used for BESS on the total plant production. It should be below 2%.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Harold pro</author>
  </authors>
  <commentList>
    <comment ref="E3" authorId="0" shapeId="0" xr:uid="{9BC2CC94-BBCA-46A2-BE08-B07783169F6D}">
      <text>
        <r>
          <rPr>
            <b/>
            <sz val="9"/>
            <color indexed="81"/>
            <rFont val="Tahoma"/>
            <family val="2"/>
          </rPr>
          <t>Harold pro:</t>
        </r>
        <r>
          <rPr>
            <sz val="9"/>
            <color indexed="81"/>
            <rFont val="Tahoma"/>
            <family val="2"/>
          </rPr>
          <t xml:space="preserve">
source : sheet 'Ambatolampy ER MP4'</t>
        </r>
      </text>
    </comment>
    <comment ref="E10" authorId="0" shapeId="0" xr:uid="{01530957-8E49-444C-96A5-51B5F8DEF320}">
      <text>
        <r>
          <rPr>
            <b/>
            <sz val="9"/>
            <color indexed="81"/>
            <rFont val="Tahoma"/>
            <family val="2"/>
          </rPr>
          <t>Harold pro:</t>
        </r>
        <r>
          <rPr>
            <sz val="9"/>
            <color indexed="81"/>
            <rFont val="Tahoma"/>
            <family val="2"/>
          </rPr>
          <t xml:space="preserve">
source : sheet 'Ambatolampy ER MP4'</t>
        </r>
      </text>
    </comment>
  </commentList>
</comments>
</file>

<file path=xl/sharedStrings.xml><?xml version="1.0" encoding="utf-8"?>
<sst xmlns="http://schemas.openxmlformats.org/spreadsheetml/2006/main" count="104" uniqueCount="78">
  <si>
    <t>[kWh]</t>
  </si>
  <si>
    <t>Month</t>
  </si>
  <si>
    <t>EF</t>
  </si>
  <si>
    <t>tCO2/MWh</t>
  </si>
  <si>
    <t>BE</t>
  </si>
  <si>
    <t>tCO2</t>
  </si>
  <si>
    <t>Invoiced production</t>
  </si>
  <si>
    <t>EGfacility,y</t>
  </si>
  <si>
    <t>[MWh]</t>
  </si>
  <si>
    <t>Index énergie produite</t>
  </si>
  <si>
    <t>Index énergie consommée</t>
  </si>
  <si>
    <t>Consumption</t>
  </si>
  <si>
    <t>Invoiced imports</t>
  </si>
  <si>
    <t>phase initiale</t>
  </si>
  <si>
    <t>phase ext</t>
  </si>
  <si>
    <t>total site</t>
  </si>
  <si>
    <t>total MP</t>
  </si>
  <si>
    <t>Updated Ex-ante expected ERs :</t>
  </si>
  <si>
    <t>10/07/2018 - 31/12/2018</t>
  </si>
  <si>
    <t>phase extension</t>
  </si>
  <si>
    <t>total</t>
  </si>
  <si>
    <t>ERs per year</t>
  </si>
  <si>
    <t xml:space="preserve"> </t>
  </si>
  <si>
    <t>EGPJ,y (MWh)</t>
  </si>
  <si>
    <t xml:space="preserve">MP3 : </t>
  </si>
  <si>
    <r>
      <t xml:space="preserve"> 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/MWh</t>
    </r>
  </si>
  <si>
    <t>SDG Target</t>
  </si>
  <si>
    <t>SDG Indicator</t>
  </si>
  <si>
    <t>Net Impact on SDG Indicator</t>
  </si>
  <si>
    <t>Current Project Contributions</t>
  </si>
  <si>
    <t>7.2</t>
  </si>
  <si>
    <t>8.5</t>
  </si>
  <si>
    <t>Increase of employment due to implemented activities</t>
  </si>
  <si>
    <t>13.0</t>
  </si>
  <si>
    <t xml:space="preserve">Tonnes of greenhouse gas emissions avoided or removed </t>
  </si>
  <si>
    <t>Increase in tonnes of greenhouse gas emissions avoided</t>
  </si>
  <si>
    <r>
      <t>Increase of renewable energy delivered to the Namibian grid from the project activity</t>
    </r>
    <r>
      <rPr>
        <sz val="8"/>
        <color rgb="FF000000"/>
        <rFont val="Calibri"/>
        <family val="2"/>
        <scheme val="minor"/>
      </rPr>
      <t>  </t>
    </r>
  </si>
  <si>
    <t xml:space="preserve">7.2.1 Renewable energy share in the total final energy consumption </t>
  </si>
  <si>
    <t>8.5.2 Unemployment rate, by sex, age, and persons with disabilities</t>
  </si>
  <si>
    <t>Percent difference</t>
  </si>
  <si>
    <t xml:space="preserve">ex-ante expected this MP : </t>
  </si>
  <si>
    <t>01/01/2028 - 09/07/2028</t>
  </si>
  <si>
    <t>ini</t>
  </si>
  <si>
    <t>ext</t>
  </si>
  <si>
    <t>total expected</t>
  </si>
  <si>
    <t>total achieved</t>
  </si>
  <si>
    <t>percent difference</t>
  </si>
  <si>
    <r>
      <t>PE</t>
    </r>
    <r>
      <rPr>
        <vertAlign val="subscript"/>
        <sz val="11"/>
        <color theme="0"/>
        <rFont val="Calibri"/>
        <family val="2"/>
        <scheme val="minor"/>
      </rPr>
      <t>BESS</t>
    </r>
  </si>
  <si>
    <t>% share indicator</t>
  </si>
  <si>
    <t>Total VCUs</t>
  </si>
  <si>
    <t>ex-post volume this MP :</t>
  </si>
  <si>
    <t>EGPJ,y (MWh) with error factor adjustemnt (0,5S)</t>
  </si>
  <si>
    <t>Vintage period</t>
  </si>
  <si>
    <t xml:space="preserve">Total </t>
  </si>
  <si>
    <r>
      <t>Baseline emissions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</si>
  <si>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r>
      <t>Project emissions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</si>
  <si>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r>
      <t>Leakage emissions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</si>
  <si>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r>
      <t>Reduction VCUs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</si>
  <si>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r>
      <t>Removal VCUs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</si>
  <si>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r>
      <t>Total VCUs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</si>
  <si>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t>EGPJ,y (MWh) with error factor adjustemnt (0.5S)</t>
  </si>
  <si>
    <t>Ambatolampy phase init 20 MW solar PV 2024</t>
  </si>
  <si>
    <t>Total</t>
  </si>
  <si>
    <t>Ambatolampy phase ext 20 MW solar PV 2024</t>
  </si>
  <si>
    <t>01-Jan-2024 to 31-Dec-2024</t>
  </si>
  <si>
    <t>Ambatolampy solar PV ER ex-post MR4</t>
  </si>
  <si>
    <t>01/01/2024 - 31/03/2025</t>
  </si>
  <si>
    <t>MP (2024)</t>
  </si>
  <si>
    <t>MP (2025)</t>
  </si>
  <si>
    <t>01-Jan-2025 to 31-Mar-2025</t>
  </si>
  <si>
    <t>ACM0002: Large-scale Consolidated Methodology: Grid-connected electricity generation from renewable sources, Version 22.0</t>
  </si>
  <si>
    <r>
      <t xml:space="preserve">BE_Amb1
</t>
    </r>
    <r>
      <rPr>
        <i/>
        <sz val="11"/>
        <color theme="1"/>
        <rFont val="Calibri"/>
        <family val="2"/>
        <scheme val="minor"/>
      </rPr>
      <t>(tCO2e)</t>
    </r>
  </si>
  <si>
    <r>
      <t xml:space="preserve">PE(BESS)_Amb1
</t>
    </r>
    <r>
      <rPr>
        <i/>
        <sz val="11"/>
        <color theme="1"/>
        <rFont val="Calibri"/>
        <family val="2"/>
        <scheme val="minor"/>
      </rPr>
      <t>(tCO2e)</t>
    </r>
  </si>
  <si>
    <r>
      <t xml:space="preserve">Total VCUs
</t>
    </r>
    <r>
      <rPr>
        <i/>
        <sz val="11"/>
        <color theme="1"/>
        <rFont val="Calibri"/>
        <family val="2"/>
        <scheme val="minor"/>
      </rPr>
      <t>(tCO2e)</t>
    </r>
  </si>
  <si>
    <t>Total Electricity Generation (MWh)</t>
  </si>
  <si>
    <t xml:space="preserve">NEA Ambatolampy employs 11 people in permanent positions for the operation and maintenance of the plant </t>
  </si>
  <si>
    <r>
      <t>70,206 MWh net produced during this monitoring period</t>
    </r>
    <r>
      <rPr>
        <sz val="8"/>
        <color rgb="FF000000"/>
        <rFont val="Calibri"/>
        <family val="2"/>
        <scheme val="minor"/>
      </rPr>
      <t>  </t>
    </r>
  </si>
  <si>
    <r>
      <t>47,036 tCO</t>
    </r>
    <r>
      <rPr>
        <vertAlign val="subscript"/>
        <sz val="9.5"/>
        <color rgb="FF000000"/>
        <rFont val="Calibri"/>
        <family val="2"/>
        <scheme val="minor"/>
      </rPr>
      <t>2</t>
    </r>
    <r>
      <rPr>
        <sz val="9.5"/>
        <color rgb="FF000000"/>
        <rFont val="Calibri"/>
        <family val="2"/>
        <scheme val="minor"/>
      </rPr>
      <t>e avoided during this monitoring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</si>
</sst>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#,##0.0000"/>
    <numFmt numFmtId="168" formatCode="_-* #,##0_-;\-* #,##0_-;_-* &quot;-&quot;??_-;_-@_-"/>
    <numFmt numFmtId="169" formatCode="0.000"/>
    <numFmt numFmtId="170" formatCode="[$]\ #,##0.0000"/>
    <numFmt numFmtId="171" formatCode="_(* #,##0.00_);_(* \(#,##0.00\);_(* &quot;-&quot;??_);_(@_)"/>
    <numFmt numFmtId="172" formatCode="_(* #,##0_);_(* \(#,##0\);_(* &quot;-&quot;??_);_(@_)"/>
    <numFmt numFmtId="173" formatCode="_-* #,##0\ _€_-;\-* #,##0\ _€_-;_-* &quot;-&quot;??\ _€_-;_-@_-"/>
    <numFmt numFmtId="174" formatCode="0.0%"/>
    <numFmt numFmtId="175" formatCode="#,##0.0"/>
    <numFmt numFmtId="176" formatCode="_(* #,##0.0_);_(* \(#,##0.0\);_(* &quot;-&quot;??_);_(@_)"/>
    <numFmt numFmtId="177" formatCode="_-* #,##0.0\ _€_-;\-* #,##0.0\ _€_-;_-* &quot;-&quot;?\ _€_-;_-@_-"/>
    <numFmt numFmtId="178" formatCode="_-* #,##0\ _F_-;\-* #,##0\ _F_-;_-* &quot;-&quot;\ _F_-;_-@_-"/>
    <numFmt numFmtId="179" formatCode="_-* #,##0.0_-;\-* #,##0.0_-;_-* &quot;-&quot;??_-;_-@_-"/>
    <numFmt numFmtId="180" formatCode="0.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84593"/>
      <name val="Calibri"/>
      <family val="2"/>
      <scheme val="minor"/>
    </font>
    <font>
      <b/>
      <sz val="11"/>
      <color rgb="FF41515C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.5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bscript"/>
      <sz val="9.5"/>
      <color rgb="FF000000"/>
      <name val="Calibri"/>
      <family val="2"/>
      <scheme val="minor"/>
    </font>
    <font>
      <b/>
      <sz val="10.5"/>
      <name val="Franklin Gothic Book"/>
      <family val="2"/>
    </font>
    <font>
      <sz val="8"/>
      <color theme="1"/>
      <name val="Franklin Gothic Book"/>
      <family val="2"/>
    </font>
    <font>
      <u/>
      <sz val="11"/>
      <color theme="1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404040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sz val="9.5"/>
      <color rgb="FFFFFFFF"/>
      <name val="Calibri"/>
      <family val="2"/>
      <scheme val="minor"/>
    </font>
    <font>
      <b/>
      <vertAlign val="subscript"/>
      <sz val="9.5"/>
      <color rgb="FFFFFFFF"/>
      <name val="Calibri"/>
      <family val="2"/>
      <scheme val="minor"/>
    </font>
    <font>
      <b/>
      <sz val="9.5"/>
      <color rgb="FF40404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name val="Verdana"/>
      <family val="2"/>
    </font>
    <font>
      <sz val="11"/>
      <name val="ＭＳ Ｐゴシック"/>
      <family val="3"/>
      <charset val="128"/>
    </font>
    <font>
      <b/>
      <sz val="9.5"/>
      <color rgb="FF4F5150"/>
      <name val="Franklin Gothic Book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1515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2" fillId="0" borderId="0"/>
    <xf numFmtId="0" fontId="33" fillId="0" borderId="0"/>
    <xf numFmtId="0" fontId="33" fillId="0" borderId="0"/>
    <xf numFmtId="165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>
      <alignment vertical="center"/>
    </xf>
    <xf numFmtId="165" fontId="36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166" fontId="1" fillId="0" borderId="0" applyFont="0" applyFill="0" applyBorder="0" applyAlignment="0" applyProtection="0"/>
    <xf numFmtId="0" fontId="32" fillId="0" borderId="0"/>
    <xf numFmtId="178" fontId="3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9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172" fontId="0" fillId="0" borderId="0" xfId="3" applyNumberFormat="1" applyFont="1" applyFill="1" applyBorder="1"/>
    <xf numFmtId="172" fontId="2" fillId="0" borderId="0" xfId="0" applyNumberFormat="1" applyFont="1"/>
    <xf numFmtId="1" fontId="0" fillId="0" borderId="0" xfId="0" applyNumberFormat="1"/>
    <xf numFmtId="0" fontId="0" fillId="3" borderId="0" xfId="0" applyFill="1"/>
    <xf numFmtId="0" fontId="0" fillId="4" borderId="0" xfId="0" applyFill="1"/>
    <xf numFmtId="169" fontId="0" fillId="0" borderId="0" xfId="0" applyNumberFormat="1"/>
    <xf numFmtId="0" fontId="0" fillId="0" borderId="0" xfId="0" applyAlignment="1">
      <alignment horizontal="center"/>
    </xf>
    <xf numFmtId="17" fontId="0" fillId="0" borderId="1" xfId="0" applyNumberFormat="1" applyBorder="1"/>
    <xf numFmtId="172" fontId="0" fillId="0" borderId="0" xfId="0" applyNumberFormat="1"/>
    <xf numFmtId="0" fontId="0" fillId="0" borderId="1" xfId="0" applyBorder="1"/>
    <xf numFmtId="3" fontId="0" fillId="0" borderId="1" xfId="0" applyNumberFormat="1" applyBorder="1"/>
    <xf numFmtId="173" fontId="0" fillId="0" borderId="0" xfId="0" applyNumberFormat="1"/>
    <xf numFmtId="0" fontId="5" fillId="4" borderId="0" xfId="0" applyFont="1" applyFill="1"/>
    <xf numFmtId="0" fontId="5" fillId="4" borderId="0" xfId="0" applyFont="1" applyFill="1" applyAlignment="1">
      <alignment vertical="center" wrapText="1"/>
    </xf>
    <xf numFmtId="0" fontId="12" fillId="3" borderId="0" xfId="0" applyFont="1" applyFill="1"/>
    <xf numFmtId="0" fontId="2" fillId="0" borderId="6" xfId="0" applyFont="1" applyBorder="1" applyAlignment="1">
      <alignment horizontal="center" vertical="center"/>
    </xf>
    <xf numFmtId="170" fontId="2" fillId="0" borderId="5" xfId="0" applyNumberFormat="1" applyFont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3" borderId="8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4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168" fontId="0" fillId="0" borderId="1" xfId="2" applyNumberFormat="1" applyFont="1" applyBorder="1"/>
    <xf numFmtId="0" fontId="8" fillId="0" borderId="1" xfId="0" applyFont="1" applyBorder="1" applyAlignment="1">
      <alignment vertical="center" wrapText="1"/>
    </xf>
    <xf numFmtId="174" fontId="9" fillId="0" borderId="1" xfId="0" applyNumberFormat="1" applyFont="1" applyBorder="1" applyAlignment="1">
      <alignment vertical="center" wrapText="1"/>
    </xf>
    <xf numFmtId="168" fontId="0" fillId="0" borderId="1" xfId="0" applyNumberFormat="1" applyBorder="1"/>
    <xf numFmtId="168" fontId="0" fillId="0" borderId="6" xfId="0" applyNumberFormat="1" applyBorder="1"/>
    <xf numFmtId="168" fontId="0" fillId="0" borderId="3" xfId="0" applyNumberFormat="1" applyBorder="1"/>
    <xf numFmtId="174" fontId="0" fillId="0" borderId="1" xfId="5" applyNumberFormat="1" applyFont="1" applyBorder="1"/>
    <xf numFmtId="10" fontId="0" fillId="0" borderId="1" xfId="5" applyNumberFormat="1" applyFont="1" applyBorder="1" applyAlignment="1">
      <alignment horizontal="center" vertical="center"/>
    </xf>
    <xf numFmtId="0" fontId="25" fillId="0" borderId="1" xfId="0" applyFont="1" applyBorder="1" applyAlignment="1">
      <alignment wrapText="1"/>
    </xf>
    <xf numFmtId="176" fontId="0" fillId="0" borderId="1" xfId="3" applyNumberFormat="1" applyFont="1" applyFill="1" applyBorder="1" applyAlignment="1">
      <alignment horizontal="center" vertical="center"/>
    </xf>
    <xf numFmtId="168" fontId="0" fillId="0" borderId="1" xfId="2" applyNumberFormat="1" applyFont="1" applyFill="1" applyBorder="1"/>
    <xf numFmtId="0" fontId="27" fillId="5" borderId="1" xfId="0" applyFont="1" applyFill="1" applyBorder="1" applyAlignment="1">
      <alignment vertical="center" wrapText="1"/>
    </xf>
    <xf numFmtId="177" fontId="0" fillId="0" borderId="0" xfId="0" applyNumberFormat="1"/>
    <xf numFmtId="172" fontId="15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172" fontId="30" fillId="0" borderId="1" xfId="0" applyNumberFormat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72" fontId="15" fillId="0" borderId="6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77" fontId="15" fillId="0" borderId="0" xfId="0" applyNumberFormat="1" applyFont="1" applyAlignment="1">
      <alignment vertical="center" wrapText="1"/>
    </xf>
    <xf numFmtId="168" fontId="0" fillId="0" borderId="1" xfId="2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wrapText="1"/>
    </xf>
    <xf numFmtId="0" fontId="38" fillId="2" borderId="4" xfId="0" applyFont="1" applyFill="1" applyBorder="1" applyAlignment="1">
      <alignment vertical="center"/>
    </xf>
    <xf numFmtId="0" fontId="32" fillId="7" borderId="1" xfId="0" applyFont="1" applyFill="1" applyBorder="1" applyAlignment="1">
      <alignment horizontal="center" vertical="center"/>
    </xf>
    <xf numFmtId="3" fontId="32" fillId="7" borderId="1" xfId="0" applyNumberFormat="1" applyFont="1" applyFill="1" applyBorder="1" applyAlignment="1">
      <alignment horizontal="center" vertical="center" wrapText="1"/>
    </xf>
    <xf numFmtId="3" fontId="39" fillId="7" borderId="1" xfId="0" applyNumberFormat="1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/>
    </xf>
    <xf numFmtId="3" fontId="32" fillId="8" borderId="1" xfId="0" applyNumberFormat="1" applyFont="1" applyFill="1" applyBorder="1" applyAlignment="1">
      <alignment horizontal="center" vertical="center" wrapText="1"/>
    </xf>
    <xf numFmtId="3" fontId="39" fillId="8" borderId="1" xfId="0" applyNumberFormat="1" applyFont="1" applyFill="1" applyBorder="1" applyAlignment="1">
      <alignment horizontal="center" vertical="center" wrapText="1"/>
    </xf>
    <xf numFmtId="17" fontId="32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3" fontId="32" fillId="0" borderId="3" xfId="0" applyNumberFormat="1" applyFont="1" applyBorder="1" applyAlignment="1">
      <alignment horizontal="center" vertical="center" wrapText="1"/>
    </xf>
    <xf numFmtId="3" fontId="39" fillId="0" borderId="1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textRotation="90"/>
    </xf>
    <xf numFmtId="3" fontId="32" fillId="9" borderId="1" xfId="0" applyNumberFormat="1" applyFont="1" applyFill="1" applyBorder="1" applyAlignment="1">
      <alignment horizontal="center" vertical="center" wrapText="1"/>
    </xf>
    <xf numFmtId="3" fontId="41" fillId="0" borderId="3" xfId="0" applyNumberFormat="1" applyFont="1" applyBorder="1" applyAlignment="1">
      <alignment horizontal="center" vertical="center" wrapText="1"/>
    </xf>
    <xf numFmtId="167" fontId="42" fillId="0" borderId="3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0" fontId="39" fillId="0" borderId="1" xfId="0" applyFont="1" applyBorder="1" applyAlignment="1">
      <alignment horizontal="center" vertical="center"/>
    </xf>
    <xf numFmtId="3" fontId="39" fillId="0" borderId="1" xfId="0" applyNumberFormat="1" applyFont="1" applyBorder="1" applyAlignment="1">
      <alignment horizontal="center" vertical="center"/>
    </xf>
    <xf numFmtId="175" fontId="32" fillId="0" borderId="3" xfId="0" applyNumberFormat="1" applyFont="1" applyBorder="1" applyAlignment="1">
      <alignment horizontal="center" vertical="center" wrapText="1"/>
    </xf>
    <xf numFmtId="167" fontId="44" fillId="0" borderId="3" xfId="0" applyNumberFormat="1" applyFont="1" applyBorder="1" applyAlignment="1">
      <alignment horizontal="center" wrapText="1"/>
    </xf>
    <xf numFmtId="179" fontId="2" fillId="0" borderId="1" xfId="2" applyNumberFormat="1" applyFont="1" applyBorder="1"/>
    <xf numFmtId="168" fontId="0" fillId="0" borderId="0" xfId="2" applyNumberFormat="1" applyFont="1"/>
    <xf numFmtId="4" fontId="39" fillId="0" borderId="1" xfId="0" applyNumberFormat="1" applyFont="1" applyBorder="1" applyAlignment="1">
      <alignment horizontal="center" vertical="center"/>
    </xf>
    <xf numFmtId="17" fontId="0" fillId="0" borderId="0" xfId="0" applyNumberFormat="1"/>
    <xf numFmtId="168" fontId="0" fillId="0" borderId="0" xfId="2" applyNumberFormat="1" applyFont="1" applyFill="1" applyBorder="1" applyAlignment="1">
      <alignment horizontal="center" vertical="center"/>
    </xf>
    <xf numFmtId="168" fontId="0" fillId="0" borderId="0" xfId="0" applyNumberFormat="1"/>
    <xf numFmtId="176" fontId="0" fillId="0" borderId="0" xfId="3" applyNumberFormat="1" applyFont="1" applyFill="1" applyBorder="1" applyAlignment="1">
      <alignment horizontal="center" vertical="center"/>
    </xf>
    <xf numFmtId="176" fontId="2" fillId="0" borderId="0" xfId="3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14" fontId="0" fillId="0" borderId="14" xfId="0" applyNumberFormat="1" applyBorder="1"/>
    <xf numFmtId="168" fontId="0" fillId="0" borderId="15" xfId="2" applyNumberFormat="1" applyFont="1" applyFill="1" applyBorder="1"/>
    <xf numFmtId="0" fontId="0" fillId="0" borderId="14" xfId="0" applyBorder="1"/>
    <xf numFmtId="0" fontId="2" fillId="0" borderId="14" xfId="0" applyFont="1" applyBorder="1"/>
    <xf numFmtId="3" fontId="2" fillId="0" borderId="15" xfId="0" applyNumberFormat="1" applyFont="1" applyBorder="1"/>
    <xf numFmtId="0" fontId="2" fillId="0" borderId="16" xfId="0" applyFont="1" applyBorder="1"/>
    <xf numFmtId="3" fontId="2" fillId="0" borderId="17" xfId="0" applyNumberFormat="1" applyFont="1" applyBorder="1"/>
    <xf numFmtId="168" fontId="2" fillId="0" borderId="18" xfId="2" applyNumberFormat="1" applyFont="1" applyBorder="1"/>
    <xf numFmtId="180" fontId="0" fillId="0" borderId="0" xfId="19" applyNumberFormat="1" applyFont="1"/>
    <xf numFmtId="4" fontId="32" fillId="0" borderId="3" xfId="0" applyNumberFormat="1" applyFont="1" applyBorder="1" applyAlignment="1">
      <alignment horizontal="center" vertical="center" wrapText="1"/>
    </xf>
    <xf numFmtId="4" fontId="32" fillId="3" borderId="3" xfId="0" applyNumberFormat="1" applyFont="1" applyFill="1" applyBorder="1" applyAlignment="1">
      <alignment horizontal="center" vertical="center" wrapText="1"/>
    </xf>
    <xf numFmtId="179" fontId="2" fillId="0" borderId="0" xfId="2" applyNumberFormat="1" applyFont="1" applyBorder="1"/>
    <xf numFmtId="3" fontId="32" fillId="3" borderId="3" xfId="0" applyNumberFormat="1" applyFont="1" applyFill="1" applyBorder="1" applyAlignment="1">
      <alignment horizontal="center" vertical="center" wrapText="1"/>
    </xf>
    <xf numFmtId="165" fontId="32" fillId="3" borderId="3" xfId="2" applyFont="1" applyFill="1" applyBorder="1" applyAlignment="1">
      <alignment horizontal="center" vertical="center" wrapText="1"/>
    </xf>
    <xf numFmtId="3" fontId="32" fillId="3" borderId="1" xfId="0" applyNumberFormat="1" applyFont="1" applyFill="1" applyBorder="1" applyAlignment="1">
      <alignment horizontal="center" vertical="center" wrapText="1"/>
    </xf>
    <xf numFmtId="168" fontId="2" fillId="0" borderId="1" xfId="2" applyNumberFormat="1" applyFont="1" applyBorder="1"/>
    <xf numFmtId="4" fontId="10" fillId="0" borderId="1" xfId="0" applyNumberFormat="1" applyFont="1" applyBorder="1" applyAlignment="1">
      <alignment horizontal="center" wrapText="1"/>
    </xf>
    <xf numFmtId="171" fontId="0" fillId="0" borderId="1" xfId="3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2" fillId="0" borderId="0" xfId="0" applyNumberFormat="1" applyFont="1"/>
    <xf numFmtId="172" fontId="2" fillId="0" borderId="1" xfId="3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5" fillId="3" borderId="14" xfId="0" applyFont="1" applyFill="1" applyBorder="1" applyAlignment="1">
      <alignment vertical="center" wrapText="1"/>
    </xf>
    <xf numFmtId="0" fontId="15" fillId="3" borderId="16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7" xfId="0" applyFont="1" applyFill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horizontal="justify" vertical="center" wrapText="1"/>
    </xf>
  </cellXfs>
  <cellStyles count="20">
    <cellStyle name="Comma" xfId="2" builtinId="3"/>
    <cellStyle name="Comma 2" xfId="1" xr:uid="{00000000-0005-0000-0000-000000000000}"/>
    <cellStyle name="Comma 2 2" xfId="12" xr:uid="{9A37A246-4A70-47A4-8847-3BC1D6656624}"/>
    <cellStyle name="Currency" xfId="19" builtinId="4"/>
    <cellStyle name="Hyperlink" xfId="4" builtinId="8"/>
    <cellStyle name="Milliers [0] 2" xfId="18" xr:uid="{80B17490-CE25-4223-B6BC-86BE7EF1131C}"/>
    <cellStyle name="Milliers 2" xfId="3" xr:uid="{ADA3ADA2-20DB-4FF9-B6DA-02B5A418A942}"/>
    <cellStyle name="Milliers 2 2" xfId="9" xr:uid="{DDEC5B34-26FB-4C8A-87E7-77D42E97D441}"/>
    <cellStyle name="Milliers 3" xfId="16" xr:uid="{1B463CDE-18CB-4FE7-A3D7-F25DED741259}"/>
    <cellStyle name="Normal" xfId="0" builtinId="0"/>
    <cellStyle name="Normal 2" xfId="6" xr:uid="{BC53ECAB-EF2C-44D2-8816-4CB275070B36}"/>
    <cellStyle name="Normal 2 2" xfId="7" xr:uid="{6EA4CE39-D9F1-42FF-80A0-FBF66F2ADB15}"/>
    <cellStyle name="Normal 3" xfId="8" xr:uid="{06F11B00-6D03-4207-9A35-BF3DE897D1BB}"/>
    <cellStyle name="Normal 4" xfId="11" xr:uid="{E3A3D746-D8F9-4F96-B29A-3E19C970B640}"/>
    <cellStyle name="Normal 5" xfId="17" xr:uid="{8EBE6DA4-1FEC-491E-B9F6-F1EAED624881}"/>
    <cellStyle name="Percent" xfId="5" builtinId="5"/>
    <cellStyle name="Pourcentage 2" xfId="10" xr:uid="{3DE6026C-CDA8-4638-92A9-21F48D74FFA3}"/>
    <cellStyle name="桁区切り 2" xfId="13" xr:uid="{11046FBC-B577-4E05-84A7-9813CF59DF69}"/>
    <cellStyle name="標準 2" xfId="14" xr:uid="{12F26457-ACC1-4CA7-BDEB-D15A2E187831}"/>
    <cellStyle name="標準 3" xfId="15" xr:uid="{687F42DF-8E35-416B-AD74-C5B0DA392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399758</xdr:colOff>
      <xdr:row>0</xdr:row>
      <xdr:rowOff>152400</xdr:rowOff>
    </xdr:from>
    <xdr:ext cx="1747468" cy="386243"/>
    <xdr:pic>
      <xdr:nvPicPr>
        <xdr:cNvPr id="2" name="Image 1">
          <a:extLst>
            <a:ext uri="{FF2B5EF4-FFF2-40B4-BE49-F238E27FC236}">
              <a16:creationId xmlns:a16="http://schemas.microsoft.com/office/drawing/2014/main" id="{5EF7C1A5-3012-4510-8BA4-5D21EAB6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9758" y="152400"/>
          <a:ext cx="1747468" cy="386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ege/Downloads/Bilprodjour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ege/Downloads/rapanne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ege/Downloads/GEF_calculation_sheet_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ege/Downloads/Bilan_Exploitation_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che"/>
      <sheetName val="TdB"/>
      <sheetName val="Cumul Annee GRP"/>
      <sheetName val="Cumul Mois GRP"/>
      <sheetName val="G105"/>
      <sheetName val="G106"/>
      <sheetName val="C.I"/>
      <sheetName val="G101"/>
      <sheetName val="G103"/>
      <sheetName val="CII"/>
      <sheetName val="G301"/>
      <sheetName val="G302"/>
      <sheetName val="G303"/>
      <sheetName val="TAG1"/>
      <sheetName val="CIII TAV"/>
      <sheetName val="TAG2"/>
      <sheetName val="TAG3"/>
      <sheetName val="TAG C3"/>
      <sheetName val="TAG4"/>
      <sheetName val="TAG"/>
      <sheetName val="G401"/>
      <sheetName val="G402"/>
      <sheetName val="G403"/>
      <sheetName val="CIV_Pils"/>
      <sheetName val="G404"/>
      <sheetName val="G405"/>
      <sheetName val="CIV_War"/>
      <sheetName val="C.IV"/>
      <sheetName val="C.V"/>
      <sheetName val="G601"/>
      <sheetName val="G602"/>
      <sheetName val="G603"/>
      <sheetName val="G604"/>
      <sheetName val="CVI"/>
      <sheetName val="G701"/>
      <sheetName val="G702"/>
      <sheetName val="G703"/>
      <sheetName val="G704"/>
      <sheetName val="KAH2"/>
      <sheetName val="S.L"/>
      <sheetName val="KAH"/>
      <sheetName val="BWSC"/>
      <sheetName val="804"/>
      <sheetName val="805"/>
      <sheetName val="Bte"/>
      <sheetName val="Tba"/>
      <sheetName val="CS"/>
      <sheetName val="Aggreko Kahone"/>
      <sheetName val="GTI"/>
      <sheetName val="Aggreko Nouakchott"/>
      <sheetName val="Kounoune 1"/>
      <sheetName val="Manantali "/>
      <sheetName val="Achats"/>
      <sheetName val="Aggreko Boutoute"/>
      <sheetName val="Total Achat"/>
      <sheetName val="SEN R.I"/>
      <sheetName val="ENS. R.I"/>
      <sheetName val="Senelec"/>
      <sheetName val="Ens Pays"/>
      <sheetName val="CoûtsEnsRI"/>
      <sheetName val="OrdreJour"/>
      <sheetName val="OrdreMois"/>
      <sheetName val="Passé"/>
      <sheetName val="PrixCom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Base_data"/>
      <sheetName val="Fuel_type"/>
      <sheetName val="OM(1)"/>
      <sheetName val="OM(2)"/>
      <sheetName val="OM(3)"/>
      <sheetName val="OM"/>
      <sheetName val="BM"/>
      <sheetName val="CM"/>
      <sheetName val="DV"/>
      <sheetName val="DV_ECE"/>
    </sheetNames>
    <sheetDataSet>
      <sheetData sheetId="0" refreshError="1">
        <row r="67">
          <cell r="B67" t="str">
            <v>A1</v>
          </cell>
        </row>
        <row r="68">
          <cell r="B68" t="str">
            <v>A2</v>
          </cell>
        </row>
        <row r="69">
          <cell r="B69" t="str">
            <v>A3</v>
          </cell>
        </row>
        <row r="70">
          <cell r="B70" t="str">
            <v>Import</v>
          </cell>
        </row>
        <row r="72">
          <cell r="B72" t="str">
            <v>+</v>
          </cell>
        </row>
        <row r="73">
          <cell r="B73" t="str">
            <v>++</v>
          </cell>
        </row>
      </sheetData>
      <sheetData sheetId="1" refreshError="1">
        <row r="6">
          <cell r="AH6">
            <v>1950</v>
          </cell>
          <cell r="AI6">
            <v>1</v>
          </cell>
          <cell r="AJ6">
            <v>1</v>
          </cell>
        </row>
        <row r="7">
          <cell r="AH7">
            <v>1951</v>
          </cell>
          <cell r="AI7">
            <v>2</v>
          </cell>
          <cell r="AJ7">
            <v>2</v>
          </cell>
        </row>
        <row r="8">
          <cell r="AH8">
            <v>1952</v>
          </cell>
          <cell r="AI8">
            <v>3</v>
          </cell>
          <cell r="AJ8">
            <v>3</v>
          </cell>
        </row>
        <row r="9">
          <cell r="AH9">
            <v>1953</v>
          </cell>
          <cell r="AI9">
            <v>4</v>
          </cell>
          <cell r="AJ9">
            <v>4</v>
          </cell>
        </row>
        <row r="10">
          <cell r="AH10">
            <v>1954</v>
          </cell>
          <cell r="AI10">
            <v>5</v>
          </cell>
          <cell r="AJ10">
            <v>5</v>
          </cell>
        </row>
        <row r="11">
          <cell r="AH11">
            <v>1955</v>
          </cell>
          <cell r="AI11">
            <v>6</v>
          </cell>
          <cell r="AJ11">
            <v>6</v>
          </cell>
        </row>
        <row r="12">
          <cell r="AH12">
            <v>1956</v>
          </cell>
          <cell r="AI12">
            <v>7</v>
          </cell>
          <cell r="AJ12">
            <v>7</v>
          </cell>
        </row>
        <row r="13">
          <cell r="AH13">
            <v>1957</v>
          </cell>
          <cell r="AI13">
            <v>8</v>
          </cell>
          <cell r="AJ13">
            <v>8</v>
          </cell>
        </row>
        <row r="14">
          <cell r="AH14">
            <v>1958</v>
          </cell>
          <cell r="AI14">
            <v>9</v>
          </cell>
          <cell r="AJ14">
            <v>9</v>
          </cell>
        </row>
        <row r="15">
          <cell r="AH15">
            <v>1959</v>
          </cell>
          <cell r="AI15">
            <v>10</v>
          </cell>
          <cell r="AJ15">
            <v>10</v>
          </cell>
        </row>
        <row r="16">
          <cell r="AH16">
            <v>1960</v>
          </cell>
          <cell r="AI16">
            <v>11</v>
          </cell>
          <cell r="AJ16">
            <v>11</v>
          </cell>
        </row>
        <row r="17">
          <cell r="AH17">
            <v>1961</v>
          </cell>
          <cell r="AI17">
            <v>12</v>
          </cell>
          <cell r="AJ17">
            <v>12</v>
          </cell>
        </row>
        <row r="18">
          <cell r="AH18">
            <v>1962</v>
          </cell>
          <cell r="AJ18">
            <v>13</v>
          </cell>
        </row>
        <row r="19">
          <cell r="AH19">
            <v>1963</v>
          </cell>
          <cell r="AJ19">
            <v>14</v>
          </cell>
        </row>
        <row r="20">
          <cell r="AH20">
            <v>1964</v>
          </cell>
          <cell r="AJ20">
            <v>15</v>
          </cell>
        </row>
        <row r="21">
          <cell r="AH21">
            <v>1965</v>
          </cell>
          <cell r="AJ21">
            <v>16</v>
          </cell>
        </row>
        <row r="22">
          <cell r="AH22">
            <v>1966</v>
          </cell>
          <cell r="AJ22">
            <v>17</v>
          </cell>
        </row>
        <row r="23">
          <cell r="AH23">
            <v>1967</v>
          </cell>
          <cell r="AJ23">
            <v>18</v>
          </cell>
        </row>
        <row r="24">
          <cell r="AH24">
            <v>1968</v>
          </cell>
          <cell r="AJ24">
            <v>19</v>
          </cell>
        </row>
        <row r="25">
          <cell r="AH25">
            <v>1969</v>
          </cell>
          <cell r="AJ25">
            <v>20</v>
          </cell>
        </row>
        <row r="26">
          <cell r="AH26">
            <v>1970</v>
          </cell>
          <cell r="AJ26">
            <v>21</v>
          </cell>
        </row>
        <row r="27">
          <cell r="AH27">
            <v>1971</v>
          </cell>
          <cell r="AJ27">
            <v>22</v>
          </cell>
        </row>
        <row r="28">
          <cell r="AH28">
            <v>1972</v>
          </cell>
          <cell r="AJ28">
            <v>23</v>
          </cell>
        </row>
        <row r="29">
          <cell r="AH29">
            <v>1973</v>
          </cell>
          <cell r="AJ29">
            <v>24</v>
          </cell>
        </row>
        <row r="30">
          <cell r="AH30">
            <v>1974</v>
          </cell>
          <cell r="AJ30">
            <v>25</v>
          </cell>
        </row>
        <row r="31">
          <cell r="AH31">
            <v>1975</v>
          </cell>
          <cell r="AJ31">
            <v>26</v>
          </cell>
        </row>
        <row r="32">
          <cell r="AH32">
            <v>1976</v>
          </cell>
          <cell r="AJ32">
            <v>27</v>
          </cell>
        </row>
        <row r="33">
          <cell r="AH33">
            <v>1977</v>
          </cell>
          <cell r="AJ33">
            <v>28</v>
          </cell>
        </row>
        <row r="34">
          <cell r="AH34">
            <v>1978</v>
          </cell>
          <cell r="AJ34">
            <v>29</v>
          </cell>
        </row>
        <row r="35">
          <cell r="AH35">
            <v>1979</v>
          </cell>
          <cell r="AJ35">
            <v>30</v>
          </cell>
        </row>
        <row r="36">
          <cell r="AH36">
            <v>1980</v>
          </cell>
          <cell r="AJ36">
            <v>31</v>
          </cell>
        </row>
        <row r="37">
          <cell r="AH37">
            <v>1981</v>
          </cell>
        </row>
        <row r="38">
          <cell r="AH38">
            <v>1982</v>
          </cell>
        </row>
        <row r="39">
          <cell r="AH39">
            <v>1983</v>
          </cell>
        </row>
        <row r="40">
          <cell r="AH40">
            <v>1984</v>
          </cell>
        </row>
        <row r="41">
          <cell r="AH41">
            <v>1985</v>
          </cell>
        </row>
        <row r="42">
          <cell r="AH42">
            <v>1986</v>
          </cell>
        </row>
        <row r="43">
          <cell r="AH43">
            <v>1987</v>
          </cell>
        </row>
        <row r="44">
          <cell r="AH44">
            <v>1988</v>
          </cell>
        </row>
        <row r="45">
          <cell r="AH45">
            <v>1989</v>
          </cell>
        </row>
        <row r="46">
          <cell r="AH46">
            <v>1990</v>
          </cell>
        </row>
        <row r="47">
          <cell r="AH47">
            <v>1991</v>
          </cell>
        </row>
        <row r="48">
          <cell r="AH48">
            <v>1992</v>
          </cell>
        </row>
        <row r="49">
          <cell r="AH49">
            <v>1993</v>
          </cell>
        </row>
        <row r="50">
          <cell r="AH50">
            <v>1994</v>
          </cell>
        </row>
        <row r="51">
          <cell r="AH51">
            <v>1995</v>
          </cell>
        </row>
        <row r="52">
          <cell r="AH52">
            <v>1996</v>
          </cell>
        </row>
        <row r="53">
          <cell r="AH53">
            <v>1997</v>
          </cell>
        </row>
        <row r="54">
          <cell r="AH54">
            <v>1998</v>
          </cell>
        </row>
        <row r="55">
          <cell r="AH55">
            <v>1999</v>
          </cell>
        </row>
        <row r="56">
          <cell r="AH56">
            <v>2000</v>
          </cell>
        </row>
        <row r="57">
          <cell r="AH57">
            <v>2001</v>
          </cell>
        </row>
        <row r="58">
          <cell r="AH58">
            <v>2002</v>
          </cell>
        </row>
        <row r="59">
          <cell r="AH59">
            <v>2003</v>
          </cell>
        </row>
        <row r="60">
          <cell r="AH60">
            <v>2004</v>
          </cell>
        </row>
        <row r="61">
          <cell r="AH61">
            <v>2005</v>
          </cell>
        </row>
        <row r="62">
          <cell r="AH62">
            <v>2006</v>
          </cell>
        </row>
        <row r="63">
          <cell r="AH63">
            <v>2007</v>
          </cell>
        </row>
        <row r="64">
          <cell r="AH64">
            <v>2008</v>
          </cell>
        </row>
        <row r="65">
          <cell r="AH65">
            <v>2009</v>
          </cell>
        </row>
        <row r="66">
          <cell r="AH66">
            <v>2010</v>
          </cell>
        </row>
        <row r="67">
          <cell r="AH67">
            <v>2011</v>
          </cell>
        </row>
        <row r="68">
          <cell r="AH68">
            <v>2012</v>
          </cell>
        </row>
        <row r="69">
          <cell r="AH69">
            <v>2013</v>
          </cell>
        </row>
        <row r="70">
          <cell r="AH70">
            <v>2014</v>
          </cell>
        </row>
        <row r="71">
          <cell r="AH71">
            <v>2015</v>
          </cell>
        </row>
        <row r="72">
          <cell r="AH72">
            <v>2016</v>
          </cell>
        </row>
        <row r="73">
          <cell r="AH73">
            <v>2017</v>
          </cell>
        </row>
        <row r="74">
          <cell r="AH74">
            <v>2018</v>
          </cell>
        </row>
        <row r="75">
          <cell r="AH75">
            <v>2019</v>
          </cell>
        </row>
        <row r="76">
          <cell r="AH76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ilisation"/>
      <sheetName val="TdB"/>
      <sheetName val="Demande"/>
      <sheetName val="Cumul Annee GRP"/>
      <sheetName val="Cumul Mois GRP"/>
      <sheetName val="Bilan journalier"/>
      <sheetName val="PlcmAnnee"/>
      <sheetName val="PlcmMois"/>
      <sheetName val="PlcmJour"/>
      <sheetName val="Journal"/>
      <sheetName val="Inf_grp_evol_cout"/>
      <sheetName val="Indispo Grpes RI"/>
    </sheetNames>
    <sheetDataSet>
      <sheetData sheetId="0" refreshError="1">
        <row r="5">
          <cell r="F5">
            <v>41274</v>
          </cell>
          <cell r="H5">
            <v>12</v>
          </cell>
          <cell r="J5">
            <v>15</v>
          </cell>
        </row>
        <row r="6">
          <cell r="K6">
            <v>1</v>
          </cell>
          <cell r="L6">
            <v>2</v>
          </cell>
          <cell r="M6">
            <v>3</v>
          </cell>
          <cell r="N6">
            <v>4</v>
          </cell>
          <cell r="O6">
            <v>5</v>
          </cell>
          <cell r="P6">
            <v>6</v>
          </cell>
          <cell r="Q6">
            <v>7</v>
          </cell>
          <cell r="R6">
            <v>8</v>
          </cell>
          <cell r="S6">
            <v>9</v>
          </cell>
          <cell r="T6">
            <v>10</v>
          </cell>
          <cell r="U6">
            <v>11</v>
          </cell>
          <cell r="V6">
            <v>12</v>
          </cell>
        </row>
        <row r="7">
          <cell r="K7" t="str">
            <v>Janvier</v>
          </cell>
          <cell r="L7" t="str">
            <v>Février</v>
          </cell>
          <cell r="M7" t="str">
            <v>Mars</v>
          </cell>
          <cell r="N7" t="str">
            <v>Avril</v>
          </cell>
          <cell r="O7" t="str">
            <v>Mai</v>
          </cell>
          <cell r="P7" t="str">
            <v>Juin</v>
          </cell>
          <cell r="Q7" t="str">
            <v>Juillet</v>
          </cell>
          <cell r="R7" t="str">
            <v>Août</v>
          </cell>
          <cell r="S7" t="str">
            <v>Septembre</v>
          </cell>
          <cell r="T7" t="str">
            <v>Octobre</v>
          </cell>
          <cell r="U7" t="str">
            <v>Novembre</v>
          </cell>
          <cell r="V7" t="str">
            <v>Décembre</v>
          </cell>
        </row>
        <row r="8">
          <cell r="K8">
            <v>3</v>
          </cell>
          <cell r="L8">
            <v>25</v>
          </cell>
          <cell r="M8">
            <v>16</v>
          </cell>
          <cell r="N8">
            <v>26</v>
          </cell>
          <cell r="O8">
            <v>27</v>
          </cell>
          <cell r="P8">
            <v>18</v>
          </cell>
          <cell r="Q8">
            <v>28</v>
          </cell>
          <cell r="R8">
            <v>29</v>
          </cell>
          <cell r="S8">
            <v>22</v>
          </cell>
          <cell r="T8">
            <v>23</v>
          </cell>
          <cell r="U8">
            <v>24</v>
          </cell>
          <cell r="V8">
            <v>15</v>
          </cell>
        </row>
        <row r="9">
          <cell r="K9" t="str">
            <v>Fin Janvier</v>
          </cell>
          <cell r="L9" t="str">
            <v>fin fév</v>
          </cell>
          <cell r="M9" t="str">
            <v>1er trim</v>
          </cell>
          <cell r="N9" t="str">
            <v>fin avr</v>
          </cell>
          <cell r="O9" t="str">
            <v>fin mai</v>
          </cell>
          <cell r="P9" t="str">
            <v>1er sem</v>
          </cell>
          <cell r="Q9" t="str">
            <v>fin juil</v>
          </cell>
          <cell r="R9" t="str">
            <v>fin août</v>
          </cell>
          <cell r="S9" t="str">
            <v>fin Sept</v>
          </cell>
          <cell r="T9" t="str">
            <v>fin oct</v>
          </cell>
          <cell r="U9" t="str">
            <v>fin nov</v>
          </cell>
          <cell r="V9" t="str">
            <v>Année</v>
          </cell>
        </row>
        <row r="10">
          <cell r="L10">
            <v>3</v>
          </cell>
          <cell r="M10">
            <v>25</v>
          </cell>
          <cell r="N10">
            <v>16</v>
          </cell>
          <cell r="O10">
            <v>26</v>
          </cell>
          <cell r="P10">
            <v>27</v>
          </cell>
          <cell r="Q10">
            <v>18</v>
          </cell>
          <cell r="R10">
            <v>28</v>
          </cell>
          <cell r="S10">
            <v>29</v>
          </cell>
          <cell r="T10">
            <v>22</v>
          </cell>
          <cell r="U10">
            <v>23</v>
          </cell>
          <cell r="V10">
            <v>24</v>
          </cell>
        </row>
        <row r="11">
          <cell r="L11" t="str">
            <v>Janvier</v>
          </cell>
          <cell r="M11" t="str">
            <v>fin fév</v>
          </cell>
          <cell r="N11" t="str">
            <v>1er trim</v>
          </cell>
          <cell r="O11" t="str">
            <v>fin avr</v>
          </cell>
          <cell r="P11" t="str">
            <v>fin mai</v>
          </cell>
          <cell r="Q11" t="str">
            <v>1er sem</v>
          </cell>
          <cell r="R11" t="str">
            <v>fin juil</v>
          </cell>
          <cell r="S11" t="str">
            <v>fin août</v>
          </cell>
          <cell r="T11" t="str">
            <v>fin Sept</v>
          </cell>
          <cell r="U11" t="str">
            <v>fin oct</v>
          </cell>
          <cell r="V11" t="str">
            <v>fin nov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9A0C-128E-4812-BCC2-7A60A368752C}">
  <dimension ref="B1:S70"/>
  <sheetViews>
    <sheetView tabSelected="1" topLeftCell="A24" zoomScaleNormal="100" workbookViewId="0">
      <selection activeCell="H31" sqref="H31"/>
    </sheetView>
  </sheetViews>
  <sheetFormatPr defaultColWidth="8.85546875" defaultRowHeight="15"/>
  <cols>
    <col min="1" max="1" width="6.28515625" customWidth="1"/>
    <col min="2" max="2" width="21.85546875" customWidth="1"/>
    <col min="3" max="3" width="16" customWidth="1"/>
    <col min="4" max="4" width="13.85546875" customWidth="1"/>
    <col min="5" max="5" width="14.28515625" customWidth="1"/>
    <col min="6" max="6" width="14" customWidth="1"/>
    <col min="7" max="7" width="24.85546875" customWidth="1"/>
    <col min="8" max="8" width="13.7109375" customWidth="1"/>
    <col min="9" max="9" width="11.85546875" customWidth="1"/>
    <col min="10" max="10" width="10.7109375" customWidth="1"/>
    <col min="11" max="11" width="10" customWidth="1"/>
    <col min="12" max="12" width="11.140625" customWidth="1"/>
    <col min="13" max="13" width="10.140625" customWidth="1"/>
    <col min="14" max="14" width="10.5703125" customWidth="1"/>
    <col min="15" max="15" width="8.85546875" customWidth="1"/>
    <col min="16" max="16" width="10.5703125" bestFit="1" customWidth="1"/>
  </cols>
  <sheetData>
    <row r="1" spans="2:19" s="9" customFormat="1" ht="10.9" customHeight="1"/>
    <row r="2" spans="2:19" s="9" customFormat="1"/>
    <row r="3" spans="2:19" s="9" customFormat="1" ht="13.9" customHeight="1">
      <c r="B3"/>
      <c r="C3" s="113"/>
      <c r="D3" s="113"/>
      <c r="E3" s="113"/>
      <c r="F3" s="113"/>
      <c r="G3" s="113"/>
    </row>
    <row r="4" spans="2:19" s="9" customFormat="1" ht="10.15" customHeight="1"/>
    <row r="5" spans="2:19" s="10" customFormat="1" ht="10.9" customHeight="1"/>
    <row r="6" spans="2:19" s="10" customFormat="1" ht="13.7" customHeight="1">
      <c r="B6" s="18" t="s">
        <v>65</v>
      </c>
      <c r="E6" s="18" t="s">
        <v>70</v>
      </c>
      <c r="F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2:19" s="10" customFormat="1" ht="11.45" customHeight="1"/>
    <row r="8" spans="2:19" s="9" customFormat="1">
      <c r="B8" s="20" t="s">
        <v>24</v>
      </c>
      <c r="C8" s="20" t="s">
        <v>66</v>
      </c>
      <c r="D8" s="20"/>
    </row>
    <row r="9" spans="2:19" ht="18">
      <c r="C9" s="21" t="s">
        <v>2</v>
      </c>
      <c r="D9" s="22">
        <v>0.67030000000000001</v>
      </c>
      <c r="E9" s="26" t="s">
        <v>25</v>
      </c>
      <c r="F9" s="12"/>
    </row>
    <row r="10" spans="2:19" ht="40.9" customHeight="1">
      <c r="B10" s="15" t="s">
        <v>22</v>
      </c>
      <c r="C10" s="5" t="s">
        <v>23</v>
      </c>
      <c r="D10" s="44" t="s">
        <v>60</v>
      </c>
      <c r="E10" s="5" t="s">
        <v>71</v>
      </c>
      <c r="F10" s="5" t="s">
        <v>72</v>
      </c>
      <c r="G10" s="5" t="s">
        <v>73</v>
      </c>
    </row>
    <row r="11" spans="2:19" ht="15" customHeight="1">
      <c r="B11" s="13">
        <v>45292</v>
      </c>
      <c r="C11" s="56">
        <f>'phase init MP4'!H6+'phase ext MP4'!H6</f>
        <v>4802.8450000000003</v>
      </c>
      <c r="D11" s="39">
        <f>'phase init MP4'!I6+'phase ext MP4'!I6</f>
        <v>4562.4872500000001</v>
      </c>
      <c r="E11" s="45">
        <f>'phase init MP4'!K6+'phase ext MP4'!K6</f>
        <v>3058.2352036749999</v>
      </c>
      <c r="F11" s="106">
        <f>'phase ext MP4'!L6</f>
        <v>0.78623999999999994</v>
      </c>
      <c r="G11" s="109">
        <f>'phase init MP4'!K6+'phase ext MP4'!N6</f>
        <v>3057.448963675</v>
      </c>
    </row>
    <row r="12" spans="2:19">
      <c r="B12" s="13">
        <v>45323</v>
      </c>
      <c r="C12" s="56">
        <f>'phase init MP4'!H7+'phase ext MP4'!H7</f>
        <v>3953.1729999999998</v>
      </c>
      <c r="D12" s="39">
        <f>'phase init MP4'!I7+'phase ext MP4'!I7</f>
        <v>3755.3216499999999</v>
      </c>
      <c r="E12" s="45">
        <f>'phase init MP4'!K7+'phase ext MP4'!K7</f>
        <v>2517.1921019949996</v>
      </c>
      <c r="F12" s="106">
        <f>'phase ext MP4'!L7</f>
        <v>0.3276</v>
      </c>
      <c r="G12" s="109">
        <f>'phase init MP4'!K7+'phase ext MP4'!N7</f>
        <v>2516.864501995</v>
      </c>
    </row>
    <row r="13" spans="2:19">
      <c r="B13" s="13">
        <v>45352</v>
      </c>
      <c r="C13" s="56">
        <f>'phase init MP4'!H8+'phase ext MP4'!H8</f>
        <v>4597.4859999999999</v>
      </c>
      <c r="D13" s="39">
        <f>'phase init MP4'!I8+'phase ext MP4'!I8</f>
        <v>4367.4102999999996</v>
      </c>
      <c r="E13" s="45">
        <f>'phase init MP4'!K8+'phase ext MP4'!K8</f>
        <v>2927.47512409</v>
      </c>
      <c r="F13" s="106">
        <f>'phase ext MP4'!L8</f>
        <v>0.52415999999999996</v>
      </c>
      <c r="G13" s="109">
        <f>'phase init MP4'!K8+'phase ext MP4'!N8</f>
        <v>2926.9509640900001</v>
      </c>
    </row>
    <row r="14" spans="2:19">
      <c r="B14" s="13">
        <v>45383</v>
      </c>
      <c r="C14" s="56">
        <f>'phase init MP4'!H9+'phase ext MP4'!H9</f>
        <v>4273.55</v>
      </c>
      <c r="D14" s="39">
        <f>'phase init MP4'!I9+'phase ext MP4'!I9</f>
        <v>4059.6795000000002</v>
      </c>
      <c r="E14" s="45">
        <f>'phase init MP4'!K9+'phase ext MP4'!K9</f>
        <v>2721.2031688500001</v>
      </c>
      <c r="F14" s="106">
        <f>'phase ext MP4'!L9</f>
        <v>0.19655999999999998</v>
      </c>
      <c r="G14" s="109">
        <f>'phase init MP4'!K9+'phase ext MP4'!N9</f>
        <v>2721.0066088499998</v>
      </c>
    </row>
    <row r="15" spans="2:19">
      <c r="B15" s="13">
        <v>45413</v>
      </c>
      <c r="C15" s="56">
        <f>'phase init MP4'!H10+'phase ext MP4'!H10</f>
        <v>4503.6560000000009</v>
      </c>
      <c r="D15" s="39">
        <f>'phase init MP4'!I10+'phase ext MP4'!I10</f>
        <v>4278.2608</v>
      </c>
      <c r="E15" s="45">
        <f>'phase init MP4'!K10+'phase ext MP4'!K10</f>
        <v>2867.7182142399997</v>
      </c>
      <c r="F15" s="106">
        <f>'phase ext MP4'!L10</f>
        <v>0.29483999999999999</v>
      </c>
      <c r="G15" s="109">
        <f>'phase init MP4'!K10+'phase ext MP4'!N10</f>
        <v>2867.4233742399997</v>
      </c>
    </row>
    <row r="16" spans="2:19">
      <c r="B16" s="13">
        <v>45444</v>
      </c>
      <c r="C16" s="56">
        <f>'phase init MP4'!H11+'phase ext MP4'!H11</f>
        <v>4400.0370000000003</v>
      </c>
      <c r="D16" s="39">
        <f>'phase init MP4'!I11+'phase ext MP4'!I11</f>
        <v>4179.3688500000007</v>
      </c>
      <c r="E16" s="45">
        <f>'phase init MP4'!K11+'phase ext MP4'!K11</f>
        <v>2801.4309401550004</v>
      </c>
      <c r="F16" s="106">
        <f>'phase ext MP4'!L11</f>
        <v>7.8787800000000008</v>
      </c>
      <c r="G16" s="109">
        <f>'phase init MP4'!K11+'phase ext MP4'!N11</f>
        <v>2793.5521601550004</v>
      </c>
    </row>
    <row r="17" spans="2:18" ht="14.45" customHeight="1">
      <c r="B17" s="13">
        <v>45474</v>
      </c>
      <c r="C17" s="56">
        <f>'phase init MP4'!H12+'phase ext MP4'!H12</f>
        <v>5553.5149999999994</v>
      </c>
      <c r="D17" s="39">
        <f>'phase init MP4'!I12+'phase ext MP4'!I12</f>
        <v>5275.52675</v>
      </c>
      <c r="E17" s="45">
        <f>'phase init MP4'!K12+'phase ext MP4'!K12</f>
        <v>3536.1855805249998</v>
      </c>
      <c r="F17" s="106">
        <f>'phase ext MP4'!L12</f>
        <v>2.5552799999999998</v>
      </c>
      <c r="G17" s="109">
        <f>'phase init MP4'!K12+'phase ext MP4'!N12</f>
        <v>3533.6303005250002</v>
      </c>
      <c r="J17" s="2"/>
      <c r="K17" s="2"/>
      <c r="L17" s="2"/>
    </row>
    <row r="18" spans="2:18">
      <c r="B18" s="13">
        <v>45505</v>
      </c>
      <c r="C18" s="56">
        <f>'phase init MP4'!H13+'phase ext MP4'!H13</f>
        <v>5049.76</v>
      </c>
      <c r="D18" s="39">
        <f>'phase init MP4'!I13+'phase ext MP4'!I13</f>
        <v>4797.0720000000001</v>
      </c>
      <c r="E18" s="45">
        <f>'phase init MP4'!K13+'phase ext MP4'!K13</f>
        <v>3215.4773615999998</v>
      </c>
      <c r="F18" s="106">
        <f>'phase ext MP4'!L13</f>
        <v>1.0483199999999999</v>
      </c>
      <c r="G18" s="109">
        <f>'phase init MP4'!K13+'phase ext MP4'!N13</f>
        <v>3214.4290415999994</v>
      </c>
      <c r="J18" s="107"/>
      <c r="K18" s="107"/>
      <c r="L18" s="107"/>
      <c r="O18" s="97"/>
    </row>
    <row r="19" spans="2:18">
      <c r="B19" s="13">
        <v>45536</v>
      </c>
      <c r="C19" s="56">
        <f>'phase init MP4'!H14+'phase ext MP4'!H14</f>
        <v>5632.3090000000002</v>
      </c>
      <c r="D19" s="39">
        <f>'phase init MP4'!I14+'phase ext MP4'!I14</f>
        <v>5350.4184500000001</v>
      </c>
      <c r="E19" s="45">
        <f>'phase init MP4'!K14+'phase ext MP4'!K14</f>
        <v>3586.3854870350001</v>
      </c>
      <c r="F19" s="106">
        <f>'phase ext MP4'!L14</f>
        <v>1.6216200000000003</v>
      </c>
      <c r="G19" s="109">
        <f>'phase init MP4'!K14+'phase ext MP4'!N14</f>
        <v>3584.7638670350002</v>
      </c>
      <c r="J19" s="1"/>
      <c r="K19" s="1"/>
      <c r="L19" s="1"/>
    </row>
    <row r="20" spans="2:18">
      <c r="B20" s="13">
        <v>45566</v>
      </c>
      <c r="C20" s="56">
        <f>'phase init MP4'!H15+'phase ext MP4'!H15</f>
        <v>5613.6109999999999</v>
      </c>
      <c r="D20" s="39">
        <f>'phase init MP4'!I15+'phase ext MP4'!I15</f>
        <v>5332.72955</v>
      </c>
      <c r="E20" s="45">
        <f>'phase init MP4'!K15+'phase ext MP4'!K15</f>
        <v>3574.5286173650002</v>
      </c>
      <c r="F20" s="106">
        <f>'phase ext MP4'!L15</f>
        <v>0.63881999999999994</v>
      </c>
      <c r="G20" s="109">
        <f>'phase init MP4'!K15+'phase ext MP4'!N15</f>
        <v>3573.889797365</v>
      </c>
      <c r="J20" s="1"/>
      <c r="K20" s="1"/>
      <c r="L20" s="1"/>
    </row>
    <row r="21" spans="2:18">
      <c r="B21" s="13">
        <v>45597</v>
      </c>
      <c r="C21" s="56">
        <f>'phase init MP4'!H16+'phase ext MP4'!H16</f>
        <v>5496.4340000000002</v>
      </c>
      <c r="D21" s="39">
        <f>'phase init MP4'!I16+'phase ext MP4'!I16</f>
        <v>5221.4927000000007</v>
      </c>
      <c r="E21" s="45">
        <f>'phase init MP4'!K16+'phase ext MP4'!K16</f>
        <v>3499.9665568099999</v>
      </c>
      <c r="F21" s="106">
        <f>'phase ext MP4'!L16</f>
        <v>0.3276</v>
      </c>
      <c r="G21" s="109">
        <f>'phase init MP4'!K16+'phase ext MP4'!N16</f>
        <v>3499.6389568100003</v>
      </c>
      <c r="I21" s="2"/>
      <c r="J21" s="108"/>
      <c r="K21" s="108"/>
      <c r="L21" s="108"/>
      <c r="N21" s="14"/>
      <c r="O21" s="14"/>
    </row>
    <row r="22" spans="2:18" ht="14.45" customHeight="1">
      <c r="B22" s="13">
        <v>45627</v>
      </c>
      <c r="C22" s="56">
        <f>'phase init MP4'!H17+'phase ext MP4'!H17</f>
        <v>5682.8150000000005</v>
      </c>
      <c r="D22" s="39">
        <f>'phase init MP4'!I17+'phase ext MP4'!I17</f>
        <v>5398.5677500000002</v>
      </c>
      <c r="E22" s="45">
        <f>'phase init MP4'!K17+'phase ext MP4'!K17</f>
        <v>3618.6599628250005</v>
      </c>
      <c r="F22" s="106">
        <f>'phase ext MP4'!L17</f>
        <v>0.19655999999999998</v>
      </c>
      <c r="G22" s="109">
        <f>'phase init MP4'!K17+'phase ext MP4'!N17</f>
        <v>3618.4634028250002</v>
      </c>
    </row>
    <row r="23" spans="2:18" ht="14.45" customHeight="1">
      <c r="B23" s="13">
        <v>45658</v>
      </c>
      <c r="C23" s="56">
        <f>'phase init MP4'!H18+'phase ext MP4'!H18</f>
        <v>5181.1859999999997</v>
      </c>
      <c r="D23" s="39">
        <f>'phase init MP4'!I18+'phase ext MP4'!I18</f>
        <v>4922.0023000000001</v>
      </c>
      <c r="E23" s="45">
        <f>'phase init MP4'!K18+'phase ext MP4'!K18</f>
        <v>3299.2181416899998</v>
      </c>
      <c r="F23" s="106">
        <f>'phase ext MP4'!L18</f>
        <v>0.73709999999999998</v>
      </c>
      <c r="G23" s="109">
        <f>'phase init MP4'!K18+'phase ext MP4'!N18</f>
        <v>3298.48104169</v>
      </c>
    </row>
    <row r="24" spans="2:18" ht="14.45" customHeight="1">
      <c r="B24" s="13">
        <v>45689</v>
      </c>
      <c r="C24" s="56">
        <f>'phase init MP4'!H19+'phase ext MP4'!H19</f>
        <v>3793.7150000000001</v>
      </c>
      <c r="D24" s="39">
        <f>'phase init MP4'!I19+'phase ext MP4'!I19</f>
        <v>3603.7997500000001</v>
      </c>
      <c r="E24" s="45">
        <f>'phase init MP4'!K19+'phase ext MP4'!K19</f>
        <v>2415.6269724250001</v>
      </c>
      <c r="F24" s="106">
        <f>'phase ext MP4'!L19</f>
        <v>2.3423400000000001</v>
      </c>
      <c r="G24" s="109">
        <f>'phase init MP4'!K19+'phase ext MP4'!N19</f>
        <v>2413.2846324250004</v>
      </c>
    </row>
    <row r="25" spans="2:18" ht="14.45" customHeight="1">
      <c r="B25" s="13">
        <v>45717</v>
      </c>
      <c r="C25" s="56">
        <f>'phase init MP4'!H20+'phase ext MP4'!H20</f>
        <v>5373.2999999999993</v>
      </c>
      <c r="D25" s="39">
        <f>'phase init MP4'!I20+'phase ext MP4'!I20</f>
        <v>5104.3549999999996</v>
      </c>
      <c r="E25" s="45">
        <f>'phase init MP4'!K20+'phase ext MP4'!K20</f>
        <v>3421.4491564999998</v>
      </c>
      <c r="F25" s="106">
        <f>'phase ext MP4'!L20</f>
        <v>2.9483999999999999</v>
      </c>
      <c r="G25" s="109">
        <f>'phase init MP4'!K20+'phase ext MP4'!N20</f>
        <v>3418.5007565000001</v>
      </c>
    </row>
    <row r="26" spans="2:18" ht="22.9" customHeight="1" thickBot="1">
      <c r="B26" s="81"/>
      <c r="C26" s="82"/>
      <c r="D26" s="83"/>
      <c r="E26" s="84"/>
      <c r="F26" s="84"/>
      <c r="G26" s="85"/>
      <c r="P26" s="48"/>
    </row>
    <row r="27" spans="2:18" ht="30">
      <c r="B27" s="86" t="s">
        <v>17</v>
      </c>
      <c r="C27" s="87" t="s">
        <v>13</v>
      </c>
      <c r="D27" s="87" t="s">
        <v>19</v>
      </c>
      <c r="E27" s="88" t="s">
        <v>20</v>
      </c>
      <c r="F27" s="84"/>
      <c r="H27" s="110" t="s">
        <v>74</v>
      </c>
      <c r="I27" s="111"/>
      <c r="J27" s="112"/>
      <c r="P27" s="55"/>
      <c r="Q27" s="54"/>
      <c r="R27" s="54"/>
    </row>
    <row r="28" spans="2:18">
      <c r="B28" s="89" t="s">
        <v>18</v>
      </c>
      <c r="C28" s="46">
        <v>11358</v>
      </c>
      <c r="D28" s="46">
        <v>0</v>
      </c>
      <c r="E28" s="90">
        <f>C28+D28</f>
        <v>11358</v>
      </c>
      <c r="F28" s="84"/>
      <c r="H28" s="23" t="s">
        <v>13</v>
      </c>
      <c r="I28" s="23" t="s">
        <v>14</v>
      </c>
      <c r="J28" s="23" t="s">
        <v>15</v>
      </c>
    </row>
    <row r="29" spans="2:18">
      <c r="B29" s="91">
        <v>2019</v>
      </c>
      <c r="C29" s="46">
        <v>23751</v>
      </c>
      <c r="D29" s="46">
        <v>0</v>
      </c>
      <c r="E29" s="90">
        <f t="shared" ref="E29:E37" si="0">C29+D29</f>
        <v>23751</v>
      </c>
      <c r="F29" s="84"/>
      <c r="G29" s="15">
        <v>2024</v>
      </c>
      <c r="H29" s="16">
        <f>ROUNDDOWN(SUM('phase init MP4'!I6:I17),0)</f>
        <v>27111</v>
      </c>
      <c r="I29" s="16">
        <f>ROUNDDOWN(SUM('phase ext MP4'!I6:I17),0)</f>
        <v>29466</v>
      </c>
      <c r="J29" s="16">
        <f>H29+I29</f>
        <v>56577</v>
      </c>
    </row>
    <row r="30" spans="2:18">
      <c r="B30" s="91">
        <v>2020</v>
      </c>
      <c r="C30" s="46">
        <v>23632</v>
      </c>
      <c r="D30" s="46">
        <v>0</v>
      </c>
      <c r="E30" s="90">
        <f t="shared" si="0"/>
        <v>23632</v>
      </c>
      <c r="F30" s="84"/>
      <c r="G30" s="15">
        <v>2025</v>
      </c>
      <c r="H30" s="16">
        <f>ROUNDDOWN(SUM('phase init MP4'!I18:I20),0)</f>
        <v>6709</v>
      </c>
      <c r="I30" s="16">
        <f>ROUNDDOWN(SUM('phase ext MP4'!I18:I20),0)</f>
        <v>6920</v>
      </c>
      <c r="J30" s="16">
        <f>H30+I30</f>
        <v>13629</v>
      </c>
      <c r="N30" s="14"/>
      <c r="O30" s="14"/>
    </row>
    <row r="31" spans="2:18">
      <c r="B31" s="91">
        <v>2021</v>
      </c>
      <c r="C31" s="46">
        <v>23513</v>
      </c>
      <c r="D31" s="46">
        <v>0</v>
      </c>
      <c r="E31" s="90">
        <f t="shared" si="0"/>
        <v>23513</v>
      </c>
      <c r="F31" s="84"/>
      <c r="G31" s="3" t="s">
        <v>16</v>
      </c>
      <c r="H31" s="4">
        <f>SUM(H29:H30)</f>
        <v>33820</v>
      </c>
      <c r="I31" s="4">
        <f>SUM(I29:I30)</f>
        <v>36386</v>
      </c>
      <c r="J31" s="4">
        <f>SUM(J29:J30)</f>
        <v>70206</v>
      </c>
      <c r="N31" s="14"/>
      <c r="O31" s="14"/>
    </row>
    <row r="32" spans="2:18">
      <c r="B32" s="91">
        <v>2022</v>
      </c>
      <c r="C32" s="46">
        <v>23393</v>
      </c>
      <c r="D32" s="36">
        <v>8471.1016251525889</v>
      </c>
      <c r="E32" s="90">
        <f t="shared" si="0"/>
        <v>31864.101625152587</v>
      </c>
      <c r="F32" s="84"/>
      <c r="K32" s="11"/>
      <c r="L32" s="6"/>
      <c r="N32" s="14"/>
      <c r="O32" s="14"/>
    </row>
    <row r="33" spans="2:15">
      <c r="B33" s="91">
        <v>2023</v>
      </c>
      <c r="C33" s="46">
        <v>23274</v>
      </c>
      <c r="D33" s="36">
        <v>22446.362493928478</v>
      </c>
      <c r="E33" s="90">
        <f t="shared" si="0"/>
        <v>45720.362493928478</v>
      </c>
      <c r="F33" s="84"/>
      <c r="K33" s="11"/>
      <c r="L33" s="6"/>
      <c r="N33" s="14"/>
      <c r="O33" s="14"/>
    </row>
    <row r="34" spans="2:15">
      <c r="B34" s="91">
        <v>2024</v>
      </c>
      <c r="C34" s="46">
        <v>23155</v>
      </c>
      <c r="D34" s="36">
        <v>22322.870293107353</v>
      </c>
      <c r="E34" s="90">
        <f t="shared" si="0"/>
        <v>45477.870293107349</v>
      </c>
      <c r="F34" s="84"/>
      <c r="K34" s="11"/>
      <c r="L34" s="6"/>
      <c r="N34" s="14"/>
      <c r="O34" s="14"/>
    </row>
    <row r="35" spans="2:15" ht="35.25" customHeight="1">
      <c r="B35" s="91">
        <v>2025</v>
      </c>
      <c r="C35" s="46">
        <v>23035</v>
      </c>
      <c r="D35" s="36">
        <v>22198.378092286232</v>
      </c>
      <c r="E35" s="90">
        <f t="shared" si="0"/>
        <v>45233.378092286235</v>
      </c>
      <c r="F35" s="84"/>
      <c r="G35" s="47" t="s">
        <v>52</v>
      </c>
      <c r="H35" s="47" t="s">
        <v>54</v>
      </c>
      <c r="I35" s="47" t="s">
        <v>55</v>
      </c>
      <c r="J35" s="47" t="s">
        <v>56</v>
      </c>
      <c r="K35" s="47" t="s">
        <v>57</v>
      </c>
      <c r="L35" s="47" t="s">
        <v>58</v>
      </c>
      <c r="M35" s="47" t="s">
        <v>59</v>
      </c>
      <c r="N35" s="14"/>
      <c r="O35" s="14"/>
    </row>
    <row r="36" spans="2:15" ht="14.45" customHeight="1">
      <c r="B36" s="91">
        <v>2026</v>
      </c>
      <c r="C36" s="46">
        <v>22916</v>
      </c>
      <c r="D36" s="36">
        <v>22073.88589146511</v>
      </c>
      <c r="E36" s="90">
        <f t="shared" si="0"/>
        <v>44989.885891465106</v>
      </c>
      <c r="F36" s="84"/>
      <c r="G36" s="52" t="s">
        <v>64</v>
      </c>
      <c r="H36" s="53">
        <f>ROUNDDOWN(SUM(E11:E22),0)</f>
        <v>37924</v>
      </c>
      <c r="I36" s="53">
        <f>ROUNDUP(SUM(F11:F22),0)</f>
        <v>17</v>
      </c>
      <c r="J36" s="53">
        <v>0</v>
      </c>
      <c r="K36" s="49">
        <f>H36-I36</f>
        <v>37907</v>
      </c>
      <c r="L36" s="49">
        <v>0</v>
      </c>
      <c r="M36" s="49">
        <f>K36</f>
        <v>37907</v>
      </c>
      <c r="N36" s="14"/>
      <c r="O36" s="14"/>
    </row>
    <row r="37" spans="2:15" ht="13.9" customHeight="1">
      <c r="B37" s="91">
        <v>2027</v>
      </c>
      <c r="C37" s="46">
        <v>22797</v>
      </c>
      <c r="D37" s="36">
        <v>21950.393690643985</v>
      </c>
      <c r="E37" s="90">
        <f t="shared" si="0"/>
        <v>44747.393690643985</v>
      </c>
      <c r="F37" s="84"/>
      <c r="G37" s="52" t="s">
        <v>69</v>
      </c>
      <c r="H37" s="53">
        <f>ROUNDDOWN(SUM(E23:E25),0)</f>
        <v>9136</v>
      </c>
      <c r="I37" s="53">
        <f>ROUNDUP(SUM(F23:F25),0)</f>
        <v>7</v>
      </c>
      <c r="J37" s="53">
        <v>0</v>
      </c>
      <c r="K37" s="49">
        <f>H37-I37</f>
        <v>9129</v>
      </c>
      <c r="L37" s="49">
        <v>0</v>
      </c>
      <c r="M37" s="49">
        <f>K37</f>
        <v>9129</v>
      </c>
      <c r="N37" s="14"/>
      <c r="O37" s="14"/>
    </row>
    <row r="38" spans="2:15">
      <c r="B38" s="91" t="s">
        <v>41</v>
      </c>
      <c r="C38" s="46">
        <v>11887</v>
      </c>
      <c r="D38" s="36">
        <v>11441.037071278113</v>
      </c>
      <c r="E38" s="90">
        <f>C38+D38</f>
        <v>23328.037071278115</v>
      </c>
      <c r="G38" s="50" t="s">
        <v>53</v>
      </c>
      <c r="H38" s="51">
        <f>SUM(H36:H37)</f>
        <v>47060</v>
      </c>
      <c r="I38" s="51">
        <f>SUM(I36:I37)</f>
        <v>24</v>
      </c>
      <c r="J38" s="51">
        <f>J36</f>
        <v>0</v>
      </c>
      <c r="K38" s="51">
        <f>SUM(K36:K37)</f>
        <v>47036</v>
      </c>
      <c r="L38" s="51">
        <f>L36</f>
        <v>0</v>
      </c>
      <c r="M38" s="51">
        <f>SUM(M36:M37)</f>
        <v>47036</v>
      </c>
      <c r="N38" s="14"/>
      <c r="O38" s="14"/>
    </row>
    <row r="39" spans="2:15">
      <c r="B39" s="92" t="s">
        <v>20</v>
      </c>
      <c r="C39" s="4">
        <f>SUM(C28:C38)</f>
        <v>232711</v>
      </c>
      <c r="D39" s="4">
        <f>SUM(D28:D38)</f>
        <v>130904.02915786186</v>
      </c>
      <c r="E39" s="93">
        <f>SUM(C39:D39)</f>
        <v>363615.02915786183</v>
      </c>
      <c r="F39" s="11"/>
    </row>
    <row r="40" spans="2:15" ht="15" customHeight="1" thickBot="1">
      <c r="B40" s="94" t="s">
        <v>21</v>
      </c>
      <c r="C40" s="95">
        <f>C39/10</f>
        <v>23271.1</v>
      </c>
      <c r="D40" s="95">
        <f>D39/10</f>
        <v>13090.402915786186</v>
      </c>
      <c r="E40" s="96">
        <f>E39/10</f>
        <v>36361.502915786186</v>
      </c>
      <c r="N40" s="8"/>
    </row>
    <row r="41" spans="2:15">
      <c r="N41" s="17"/>
      <c r="O41" s="7"/>
    </row>
    <row r="42" spans="2:15">
      <c r="K42" s="1"/>
    </row>
    <row r="43" spans="2:15">
      <c r="C43" s="15" t="s">
        <v>42</v>
      </c>
      <c r="D43" s="15" t="s">
        <v>43</v>
      </c>
      <c r="E43" s="15" t="s">
        <v>44</v>
      </c>
      <c r="F43" s="15" t="s">
        <v>45</v>
      </c>
      <c r="G43" s="15" t="s">
        <v>46</v>
      </c>
    </row>
    <row r="44" spans="2:15">
      <c r="B44" s="15" t="s">
        <v>67</v>
      </c>
      <c r="C44" s="41">
        <f>C34</f>
        <v>23155</v>
      </c>
      <c r="D44" s="41">
        <f>D34</f>
        <v>22322.870293107353</v>
      </c>
      <c r="E44" s="41">
        <f>SUM(C44:D44)</f>
        <v>45477.870293107349</v>
      </c>
      <c r="F44" s="16">
        <f>M36</f>
        <v>37907</v>
      </c>
      <c r="G44" s="38">
        <f>-(E44-F44)/E44</f>
        <v>-0.16647372104965949</v>
      </c>
    </row>
    <row r="45" spans="2:15">
      <c r="B45" s="15" t="s">
        <v>68</v>
      </c>
      <c r="C45" s="39">
        <f>C35*(90/365)</f>
        <v>5679.8630136986294</v>
      </c>
      <c r="D45" s="39">
        <f>D35*(90/365)</f>
        <v>5473.5726802897552</v>
      </c>
      <c r="E45" s="40">
        <f>SUM(C45:D45)</f>
        <v>11153.435693988384</v>
      </c>
      <c r="F45" s="16">
        <f>M37</f>
        <v>9129</v>
      </c>
      <c r="G45" s="42">
        <f>-(E45-F45)/E45</f>
        <v>-0.1815078106452471</v>
      </c>
    </row>
    <row r="46" spans="2:15">
      <c r="C46" s="30"/>
      <c r="E46" s="39">
        <f>SUM(E44:E45)</f>
        <v>56631.305987095737</v>
      </c>
      <c r="F46" s="16">
        <f>M38</f>
        <v>47036</v>
      </c>
      <c r="G46" s="42">
        <f>-(E46-F46)/E46</f>
        <v>-0.16943465844284372</v>
      </c>
    </row>
    <row r="47" spans="2:15" ht="45">
      <c r="C47" s="35" t="s">
        <v>40</v>
      </c>
      <c r="D47" s="36">
        <f>E46</f>
        <v>56631.305987095737</v>
      </c>
    </row>
    <row r="48" spans="2:15" ht="30">
      <c r="C48" s="35" t="s">
        <v>50</v>
      </c>
      <c r="D48" s="16">
        <f>M38</f>
        <v>47036</v>
      </c>
    </row>
    <row r="49" spans="2:6" ht="15" customHeight="1">
      <c r="C49" s="37" t="s">
        <v>39</v>
      </c>
      <c r="D49" s="38">
        <f>-(D47-D48)/D47</f>
        <v>-0.16943465844284372</v>
      </c>
      <c r="E49" s="31"/>
    </row>
    <row r="52" spans="2:6">
      <c r="F52" s="1"/>
    </row>
    <row r="53" spans="2:6">
      <c r="F53" s="8"/>
    </row>
    <row r="60" spans="2:6" ht="28.15" customHeight="1"/>
    <row r="61" spans="2:6" ht="26.45" customHeight="1"/>
    <row r="63" spans="2:6">
      <c r="B63" s="32"/>
      <c r="C63" s="33"/>
      <c r="D63" s="34"/>
      <c r="E63" s="33"/>
    </row>
    <row r="69" spans="2:2">
      <c r="B69" s="30"/>
    </row>
    <row r="70" spans="2:2">
      <c r="B70" s="30"/>
    </row>
  </sheetData>
  <mergeCells count="2">
    <mergeCell ref="H27:J27"/>
    <mergeCell ref="C3:G3"/>
  </mergeCells>
  <phoneticPr fontId="31" type="noConversion"/>
  <pageMargins left="0.7" right="0.7" top="0.75" bottom="0.75" header="0.3" footer="0.3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069B4-C7D5-4CB3-91DB-86755C9BA055}">
  <dimension ref="A1:K23"/>
  <sheetViews>
    <sheetView workbookViewId="0">
      <selection activeCell="I22" sqref="I22"/>
    </sheetView>
  </sheetViews>
  <sheetFormatPr defaultColWidth="11.42578125" defaultRowHeight="15"/>
  <cols>
    <col min="2" max="2" width="11.28515625" customWidth="1"/>
    <col min="3" max="3" width="20" customWidth="1"/>
    <col min="4" max="4" width="17.42578125" style="1" customWidth="1"/>
    <col min="5" max="5" width="22.5703125" style="1" bestFit="1" customWidth="1"/>
    <col min="6" max="6" width="12" customWidth="1"/>
    <col min="7" max="7" width="14.7109375" customWidth="1"/>
    <col min="8" max="8" width="12.85546875" customWidth="1"/>
    <col min="9" max="9" width="15.28515625" customWidth="1"/>
    <col min="11" max="11" width="11.42578125" style="2"/>
  </cols>
  <sheetData>
    <row r="1" spans="1:11" ht="15.75" thickBot="1">
      <c r="A1" s="58" t="s">
        <v>61</v>
      </c>
    </row>
    <row r="3" spans="1:11" ht="40.15" customHeight="1">
      <c r="B3" s="59" t="s">
        <v>1</v>
      </c>
      <c r="C3" s="59" t="s">
        <v>9</v>
      </c>
      <c r="D3" s="60" t="s">
        <v>6</v>
      </c>
      <c r="E3" s="60" t="s">
        <v>10</v>
      </c>
      <c r="F3" s="60" t="s">
        <v>11</v>
      </c>
      <c r="G3" s="60" t="s">
        <v>12</v>
      </c>
      <c r="H3" s="60" t="s">
        <v>7</v>
      </c>
      <c r="I3" s="60" t="s">
        <v>51</v>
      </c>
      <c r="J3" s="60" t="s">
        <v>2</v>
      </c>
      <c r="K3" s="61" t="s">
        <v>4</v>
      </c>
    </row>
    <row r="4" spans="1:11">
      <c r="B4" s="62"/>
      <c r="C4" s="62"/>
      <c r="D4" s="63" t="s">
        <v>0</v>
      </c>
      <c r="E4" s="63"/>
      <c r="F4" s="63" t="s">
        <v>0</v>
      </c>
      <c r="G4" s="63" t="s">
        <v>0</v>
      </c>
      <c r="H4" s="63" t="s">
        <v>8</v>
      </c>
      <c r="I4" s="63" t="s">
        <v>8</v>
      </c>
      <c r="J4" s="63" t="s">
        <v>3</v>
      </c>
      <c r="K4" s="64" t="s">
        <v>5</v>
      </c>
    </row>
    <row r="5" spans="1:11">
      <c r="B5" s="65">
        <v>45261</v>
      </c>
      <c r="C5" s="66">
        <v>59330830</v>
      </c>
      <c r="D5" s="66"/>
      <c r="E5" s="66">
        <v>1260</v>
      </c>
      <c r="F5" s="66"/>
      <c r="G5" s="67"/>
      <c r="H5" s="67"/>
      <c r="I5" s="67"/>
      <c r="J5" s="67"/>
      <c r="K5" s="68"/>
    </row>
    <row r="6" spans="1:11">
      <c r="A6" s="69"/>
      <c r="B6" s="65">
        <v>45292</v>
      </c>
      <c r="C6" s="66">
        <v>61425730</v>
      </c>
      <c r="D6" s="66">
        <f>C6-C5</f>
        <v>2094900</v>
      </c>
      <c r="E6" s="66">
        <v>1260</v>
      </c>
      <c r="F6" s="70">
        <f>E6-E5</f>
        <v>0</v>
      </c>
      <c r="G6" s="101"/>
      <c r="H6" s="71">
        <f t="shared" ref="H6:H20" si="0">(D6-F6)/1000</f>
        <v>2094.9</v>
      </c>
      <c r="I6" s="71">
        <f>((D6*(1-0.05))-(F6*(1+0.05))-(G6*((1+0.05))))/1000</f>
        <v>1990.155</v>
      </c>
      <c r="J6" s="72">
        <v>0.67030000000000001</v>
      </c>
      <c r="K6" s="73">
        <f>I6*J6</f>
        <v>1334.0008965</v>
      </c>
    </row>
    <row r="7" spans="1:11">
      <c r="A7" s="69"/>
      <c r="B7" s="65">
        <v>45323</v>
      </c>
      <c r="C7" s="66">
        <v>63218160</v>
      </c>
      <c r="D7" s="66">
        <f t="shared" ref="D7:D20" si="1">C7-C6</f>
        <v>1792430</v>
      </c>
      <c r="E7" s="66">
        <v>1390</v>
      </c>
      <c r="F7" s="70">
        <f t="shared" ref="F7:F20" si="2">E7-E6</f>
        <v>130</v>
      </c>
      <c r="G7" s="101"/>
      <c r="H7" s="71">
        <f t="shared" si="0"/>
        <v>1792.3</v>
      </c>
      <c r="I7" s="71">
        <f t="shared" ref="I7:I20" si="3">((D7*(1-0.05))-(F7*(1+0.05))-(G7*((1+0.05))))/1000</f>
        <v>1702.672</v>
      </c>
      <c r="J7" s="72">
        <v>0.67030000000000001</v>
      </c>
      <c r="K7" s="73">
        <f t="shared" ref="K7:K20" si="4">I7*J7</f>
        <v>1141.3010416</v>
      </c>
    </row>
    <row r="8" spans="1:11">
      <c r="A8" s="69"/>
      <c r="B8" s="65">
        <v>45352</v>
      </c>
      <c r="C8" s="66">
        <v>65426530</v>
      </c>
      <c r="D8" s="66">
        <f t="shared" si="1"/>
        <v>2208370</v>
      </c>
      <c r="E8" s="66">
        <v>1390</v>
      </c>
      <c r="F8" s="70">
        <f t="shared" si="2"/>
        <v>0</v>
      </c>
      <c r="G8" s="101"/>
      <c r="H8" s="71">
        <f t="shared" si="0"/>
        <v>2208.37</v>
      </c>
      <c r="I8" s="71">
        <f t="shared" si="3"/>
        <v>2097.9515000000001</v>
      </c>
      <c r="J8" s="72">
        <v>0.67030000000000001</v>
      </c>
      <c r="K8" s="73">
        <f t="shared" si="4"/>
        <v>1406.2568904500001</v>
      </c>
    </row>
    <row r="9" spans="1:11">
      <c r="A9" s="69"/>
      <c r="B9" s="65">
        <v>45383</v>
      </c>
      <c r="C9" s="66">
        <v>67465300</v>
      </c>
      <c r="D9" s="66">
        <f t="shared" si="1"/>
        <v>2038770</v>
      </c>
      <c r="E9" s="66">
        <v>1390</v>
      </c>
      <c r="F9" s="70">
        <f t="shared" si="2"/>
        <v>0</v>
      </c>
      <c r="G9" s="101"/>
      <c r="H9" s="71">
        <f t="shared" si="0"/>
        <v>2038.77</v>
      </c>
      <c r="I9" s="71">
        <f t="shared" si="3"/>
        <v>1936.8315</v>
      </c>
      <c r="J9" s="72">
        <v>0.67030000000000001</v>
      </c>
      <c r="K9" s="73">
        <f t="shared" si="4"/>
        <v>1298.2581544500001</v>
      </c>
    </row>
    <row r="10" spans="1:11">
      <c r="A10" s="69"/>
      <c r="B10" s="65">
        <v>45413</v>
      </c>
      <c r="C10" s="66">
        <v>69705100</v>
      </c>
      <c r="D10" s="66">
        <f t="shared" si="1"/>
        <v>2239800</v>
      </c>
      <c r="E10" s="66">
        <v>1390</v>
      </c>
      <c r="F10" s="70">
        <f t="shared" si="2"/>
        <v>0</v>
      </c>
      <c r="G10" s="101"/>
      <c r="H10" s="71">
        <f t="shared" si="0"/>
        <v>2239.8000000000002</v>
      </c>
      <c r="I10" s="71">
        <f t="shared" si="3"/>
        <v>2127.81</v>
      </c>
      <c r="J10" s="72">
        <v>0.67030000000000001</v>
      </c>
      <c r="K10" s="73">
        <f t="shared" si="4"/>
        <v>1426.271043</v>
      </c>
    </row>
    <row r="11" spans="1:11">
      <c r="A11" s="69"/>
      <c r="B11" s="65">
        <v>45444</v>
      </c>
      <c r="C11" s="66">
        <v>71897290</v>
      </c>
      <c r="D11" s="66">
        <f t="shared" si="1"/>
        <v>2192190</v>
      </c>
      <c r="E11" s="66">
        <v>1390</v>
      </c>
      <c r="F11" s="70">
        <f t="shared" si="2"/>
        <v>0</v>
      </c>
      <c r="G11" s="101"/>
      <c r="H11" s="71">
        <f t="shared" si="0"/>
        <v>2192.19</v>
      </c>
      <c r="I11" s="71">
        <f t="shared" si="3"/>
        <v>2082.5805</v>
      </c>
      <c r="J11" s="72">
        <v>0.67030000000000001</v>
      </c>
      <c r="K11" s="73">
        <f t="shared" si="4"/>
        <v>1395.9537091500001</v>
      </c>
    </row>
    <row r="12" spans="1:11">
      <c r="A12" s="69"/>
      <c r="B12" s="65">
        <v>45474</v>
      </c>
      <c r="C12" s="66">
        <v>74652060</v>
      </c>
      <c r="D12" s="66">
        <f t="shared" si="1"/>
        <v>2754770</v>
      </c>
      <c r="E12" s="66">
        <v>1390</v>
      </c>
      <c r="F12" s="70">
        <f t="shared" si="2"/>
        <v>0</v>
      </c>
      <c r="G12" s="101"/>
      <c r="H12" s="71">
        <f t="shared" si="0"/>
        <v>2754.77</v>
      </c>
      <c r="I12" s="71">
        <f t="shared" si="3"/>
        <v>2617.0315000000001</v>
      </c>
      <c r="J12" s="72">
        <v>0.67030000000000001</v>
      </c>
      <c r="K12" s="73">
        <f t="shared" si="4"/>
        <v>1754.1962144500001</v>
      </c>
    </row>
    <row r="13" spans="1:11">
      <c r="A13" s="69"/>
      <c r="B13" s="65">
        <v>45505</v>
      </c>
      <c r="C13" s="66">
        <v>77135870</v>
      </c>
      <c r="D13" s="66">
        <f t="shared" si="1"/>
        <v>2483810</v>
      </c>
      <c r="E13" s="66">
        <v>1390</v>
      </c>
      <c r="F13" s="70">
        <f t="shared" si="2"/>
        <v>0</v>
      </c>
      <c r="G13" s="101"/>
      <c r="H13" s="71">
        <f t="shared" si="0"/>
        <v>2483.81</v>
      </c>
      <c r="I13" s="71">
        <f t="shared" si="3"/>
        <v>2359.6194999999998</v>
      </c>
      <c r="J13" s="72">
        <v>0.67030000000000001</v>
      </c>
      <c r="K13" s="73">
        <f t="shared" si="4"/>
        <v>1581.6529508499998</v>
      </c>
    </row>
    <row r="14" spans="1:11">
      <c r="A14" s="69"/>
      <c r="B14" s="65">
        <v>45536</v>
      </c>
      <c r="C14" s="66">
        <v>79882070</v>
      </c>
      <c r="D14" s="66">
        <f t="shared" si="1"/>
        <v>2746200</v>
      </c>
      <c r="E14" s="66">
        <v>1440</v>
      </c>
      <c r="F14" s="70">
        <f t="shared" si="2"/>
        <v>50</v>
      </c>
      <c r="G14" s="101"/>
      <c r="H14" s="71">
        <f t="shared" si="0"/>
        <v>2746.15</v>
      </c>
      <c r="I14" s="71">
        <f t="shared" si="3"/>
        <v>2608.8375000000001</v>
      </c>
      <c r="J14" s="72">
        <v>0.67030000000000001</v>
      </c>
      <c r="K14" s="73">
        <f t="shared" si="4"/>
        <v>1748.7037762500001</v>
      </c>
    </row>
    <row r="15" spans="1:11">
      <c r="A15" s="69"/>
      <c r="B15" s="65">
        <v>45566</v>
      </c>
      <c r="C15" s="66">
        <v>82568990</v>
      </c>
      <c r="D15" s="66">
        <f t="shared" si="1"/>
        <v>2686920</v>
      </c>
      <c r="E15" s="66">
        <v>1440</v>
      </c>
      <c r="F15" s="70">
        <f t="shared" si="2"/>
        <v>0</v>
      </c>
      <c r="G15" s="101"/>
      <c r="H15" s="71">
        <f t="shared" si="0"/>
        <v>2686.92</v>
      </c>
      <c r="I15" s="71">
        <f t="shared" si="3"/>
        <v>2552.5740000000001</v>
      </c>
      <c r="J15" s="72">
        <v>0.67030000000000001</v>
      </c>
      <c r="K15" s="73">
        <f t="shared" si="4"/>
        <v>1710.9903522</v>
      </c>
    </row>
    <row r="16" spans="1:11">
      <c r="A16" s="69"/>
      <c r="B16" s="65">
        <v>45597</v>
      </c>
      <c r="C16" s="66">
        <v>85173290</v>
      </c>
      <c r="D16" s="66">
        <f t="shared" si="1"/>
        <v>2604300</v>
      </c>
      <c r="E16" s="66">
        <v>1460</v>
      </c>
      <c r="F16" s="70">
        <f t="shared" si="2"/>
        <v>20</v>
      </c>
      <c r="G16" s="102"/>
      <c r="H16" s="71">
        <f t="shared" si="0"/>
        <v>2604.2800000000002</v>
      </c>
      <c r="I16" s="71">
        <f t="shared" si="3"/>
        <v>2474.0639999999999</v>
      </c>
      <c r="J16" s="72">
        <v>0.67030000000000001</v>
      </c>
      <c r="K16" s="73">
        <f t="shared" si="4"/>
        <v>1658.3650991999998</v>
      </c>
    </row>
    <row r="17" spans="1:11" ht="15.75" customHeight="1">
      <c r="A17" s="69"/>
      <c r="B17" s="65">
        <v>45627</v>
      </c>
      <c r="C17" s="66">
        <v>87869580</v>
      </c>
      <c r="D17" s="66">
        <f t="shared" si="1"/>
        <v>2696290</v>
      </c>
      <c r="E17" s="66">
        <v>1460</v>
      </c>
      <c r="F17" s="70">
        <f t="shared" si="2"/>
        <v>0</v>
      </c>
      <c r="G17" s="101"/>
      <c r="H17" s="71">
        <f t="shared" si="0"/>
        <v>2696.29</v>
      </c>
      <c r="I17" s="71">
        <f t="shared" si="3"/>
        <v>2561.4755</v>
      </c>
      <c r="J17" s="72">
        <v>0.67030000000000001</v>
      </c>
      <c r="K17" s="73">
        <f t="shared" si="4"/>
        <v>1716.9570276500001</v>
      </c>
    </row>
    <row r="18" spans="1:11" ht="15.75" customHeight="1">
      <c r="A18" s="69"/>
      <c r="B18" s="65">
        <v>45658</v>
      </c>
      <c r="C18" s="66">
        <v>90420460</v>
      </c>
      <c r="D18" s="66">
        <f t="shared" si="1"/>
        <v>2550880</v>
      </c>
      <c r="E18" s="66">
        <v>1460</v>
      </c>
      <c r="F18" s="70">
        <f t="shared" si="2"/>
        <v>0</v>
      </c>
      <c r="G18" s="101"/>
      <c r="H18" s="71">
        <f t="shared" si="0"/>
        <v>2550.88</v>
      </c>
      <c r="I18" s="71">
        <f t="shared" si="3"/>
        <v>2423.3359999999998</v>
      </c>
      <c r="J18" s="72">
        <v>0.67030000000000001</v>
      </c>
      <c r="K18" s="73">
        <f t="shared" si="4"/>
        <v>1624.3621208</v>
      </c>
    </row>
    <row r="19" spans="1:11" ht="15.75" customHeight="1">
      <c r="A19" s="69"/>
      <c r="B19" s="65">
        <v>45689</v>
      </c>
      <c r="C19" s="66">
        <v>92276550</v>
      </c>
      <c r="D19" s="66">
        <f t="shared" si="1"/>
        <v>1856090</v>
      </c>
      <c r="E19" s="66">
        <v>1480</v>
      </c>
      <c r="F19" s="70">
        <f t="shared" si="2"/>
        <v>20</v>
      </c>
      <c r="G19" s="101"/>
      <c r="H19" s="71">
        <f t="shared" si="0"/>
        <v>1856.07</v>
      </c>
      <c r="I19" s="71">
        <f t="shared" si="3"/>
        <v>1763.2645</v>
      </c>
      <c r="J19" s="72">
        <v>0.67030000000000001</v>
      </c>
      <c r="K19" s="73">
        <f t="shared" si="4"/>
        <v>1181.9161943500001</v>
      </c>
    </row>
    <row r="20" spans="1:11" ht="15.75" customHeight="1">
      <c r="A20" s="69"/>
      <c r="B20" s="65">
        <v>45717</v>
      </c>
      <c r="C20" s="66">
        <v>94932130</v>
      </c>
      <c r="D20" s="66">
        <f t="shared" si="1"/>
        <v>2655580</v>
      </c>
      <c r="E20" s="66">
        <v>1480</v>
      </c>
      <c r="F20" s="70">
        <f t="shared" si="2"/>
        <v>0</v>
      </c>
      <c r="G20" s="101"/>
      <c r="H20" s="71">
        <f t="shared" si="0"/>
        <v>2655.58</v>
      </c>
      <c r="I20" s="71">
        <f t="shared" si="3"/>
        <v>2522.8009999999999</v>
      </c>
      <c r="J20" s="72">
        <v>0.67030000000000001</v>
      </c>
      <c r="K20" s="73">
        <f t="shared" si="4"/>
        <v>1691.0335103</v>
      </c>
    </row>
    <row r="21" spans="1:11">
      <c r="B21" s="74" t="s">
        <v>62</v>
      </c>
      <c r="C21" s="68"/>
      <c r="D21" s="75">
        <f>SUM(D6:D20)</f>
        <v>35601300</v>
      </c>
      <c r="E21" s="66"/>
      <c r="F21" s="75">
        <f>SUM(F6:F20)</f>
        <v>220</v>
      </c>
      <c r="G21" s="75"/>
      <c r="H21" s="67">
        <f>SUM(H6:H20)</f>
        <v>35601.080000000009</v>
      </c>
      <c r="I21" s="67">
        <f>ROUNDDOWN(SUM(I6:I17),0)+ROUNDDOWN(SUM(I18:I20),0)</f>
        <v>33820</v>
      </c>
      <c r="J21" s="77"/>
      <c r="K21" s="104">
        <f>SUM(K6:K20)</f>
        <v>22670.2189812</v>
      </c>
    </row>
    <row r="22" spans="1:11">
      <c r="F22" s="79"/>
      <c r="G22" s="79"/>
      <c r="H22" s="79"/>
      <c r="I22" s="79"/>
    </row>
    <row r="23" spans="1:11">
      <c r="K23" s="100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C1A5-98CE-401E-B83D-938A1801A46B}">
  <dimension ref="A1:N23"/>
  <sheetViews>
    <sheetView workbookViewId="0">
      <selection activeCell="I21" sqref="I21"/>
    </sheetView>
  </sheetViews>
  <sheetFormatPr defaultColWidth="11.42578125" defaultRowHeight="15"/>
  <cols>
    <col min="2" max="2" width="10.7109375" customWidth="1"/>
    <col min="3" max="3" width="20" customWidth="1"/>
    <col min="4" max="4" width="18.85546875" style="1" customWidth="1"/>
    <col min="5" max="5" width="22.5703125" style="1" bestFit="1" customWidth="1"/>
    <col min="6" max="6" width="12.5703125" customWidth="1"/>
    <col min="7" max="7" width="14.7109375" customWidth="1"/>
    <col min="8" max="8" width="13" customWidth="1"/>
    <col min="9" max="9" width="16.42578125" customWidth="1"/>
    <col min="11" max="11" width="11.7109375" style="2" bestFit="1" customWidth="1"/>
  </cols>
  <sheetData>
    <row r="1" spans="1:14" ht="15.75" thickBot="1">
      <c r="A1" s="58" t="s">
        <v>63</v>
      </c>
    </row>
    <row r="3" spans="1:14" ht="43.15" customHeight="1">
      <c r="B3" s="59" t="s">
        <v>1</v>
      </c>
      <c r="C3" s="59" t="s">
        <v>9</v>
      </c>
      <c r="D3" s="60" t="s">
        <v>6</v>
      </c>
      <c r="E3" s="60" t="s">
        <v>10</v>
      </c>
      <c r="F3" s="60" t="s">
        <v>11</v>
      </c>
      <c r="G3" s="60" t="s">
        <v>12</v>
      </c>
      <c r="H3" s="60" t="s">
        <v>7</v>
      </c>
      <c r="I3" s="60" t="s">
        <v>60</v>
      </c>
      <c r="J3" s="60" t="s">
        <v>2</v>
      </c>
      <c r="K3" s="61" t="s">
        <v>4</v>
      </c>
      <c r="L3" s="23" t="s">
        <v>47</v>
      </c>
      <c r="M3" s="23" t="s">
        <v>48</v>
      </c>
      <c r="N3" s="23" t="s">
        <v>49</v>
      </c>
    </row>
    <row r="4" spans="1:14">
      <c r="B4" s="62"/>
      <c r="C4" s="62"/>
      <c r="D4" s="63" t="s">
        <v>0</v>
      </c>
      <c r="E4" s="63"/>
      <c r="F4" s="63" t="s">
        <v>0</v>
      </c>
      <c r="G4" s="63" t="s">
        <v>0</v>
      </c>
      <c r="H4" s="63" t="s">
        <v>8</v>
      </c>
      <c r="I4" s="63" t="s">
        <v>8</v>
      </c>
      <c r="J4" s="63" t="s">
        <v>3</v>
      </c>
      <c r="K4" s="64" t="s">
        <v>5</v>
      </c>
      <c r="L4" s="25" t="s">
        <v>5</v>
      </c>
      <c r="M4" s="24"/>
      <c r="N4" s="25" t="s">
        <v>5</v>
      </c>
    </row>
    <row r="5" spans="1:14">
      <c r="A5" s="69"/>
      <c r="B5" s="65"/>
      <c r="C5" s="103">
        <v>42378260</v>
      </c>
      <c r="D5" s="66"/>
      <c r="E5" s="66">
        <v>121670</v>
      </c>
      <c r="F5" s="70"/>
      <c r="G5" s="67"/>
      <c r="H5" s="71"/>
      <c r="I5" s="71"/>
      <c r="J5" s="72"/>
      <c r="K5" s="73"/>
    </row>
    <row r="6" spans="1:14">
      <c r="A6" s="69"/>
      <c r="B6" s="65">
        <v>45292</v>
      </c>
      <c r="C6" s="103">
        <v>45088360</v>
      </c>
      <c r="D6" s="66">
        <f t="shared" ref="D6:D20" si="0">C6-C5</f>
        <v>2710100</v>
      </c>
      <c r="E6" s="66">
        <v>122150</v>
      </c>
      <c r="F6" s="70">
        <f>E6-E5</f>
        <v>480</v>
      </c>
      <c r="G6" s="98">
        <v>1675</v>
      </c>
      <c r="H6" s="71">
        <f>(D6-F6-G6)/1000</f>
        <v>2707.9450000000002</v>
      </c>
      <c r="I6" s="71">
        <f>((D6*(1-0.05))-(F6*(1+0.05))-(G6*((1+0.05))))/1000</f>
        <v>2572.3322499999999</v>
      </c>
      <c r="J6" s="72">
        <v>0.67030000000000001</v>
      </c>
      <c r="K6" s="73">
        <f>I6*J6</f>
        <v>1724.2343071749999</v>
      </c>
      <c r="L6" s="105">
        <f>(F6*(1+0.05))/1000*1.3*(1+0.2)</f>
        <v>0.78623999999999994</v>
      </c>
      <c r="M6" s="43">
        <f>F6/D6</f>
        <v>1.7711523560016236E-4</v>
      </c>
      <c r="N6" s="57">
        <f>K6-L6</f>
        <v>1723.448067175</v>
      </c>
    </row>
    <row r="7" spans="1:14">
      <c r="A7" s="69"/>
      <c r="B7" s="65">
        <v>45323</v>
      </c>
      <c r="C7" s="103">
        <v>47251030</v>
      </c>
      <c r="D7" s="66">
        <f t="shared" si="0"/>
        <v>2162670</v>
      </c>
      <c r="E7" s="66">
        <v>122350</v>
      </c>
      <c r="F7" s="70">
        <f t="shared" ref="F7:F20" si="1">E7-E6</f>
        <v>200</v>
      </c>
      <c r="G7" s="98">
        <v>1597</v>
      </c>
      <c r="H7" s="71">
        <f t="shared" ref="H7:H20" si="2">(D7-F7-G7)/1000</f>
        <v>2160.873</v>
      </c>
      <c r="I7" s="71">
        <f t="shared" ref="I7:I20" si="3">((D7*(1-0.05))-(F7*(1+0.05))-(G7*((1+0.05))))/1000</f>
        <v>2052.6496499999998</v>
      </c>
      <c r="J7" s="72">
        <v>0.67030000000000001</v>
      </c>
      <c r="K7" s="73">
        <f t="shared" ref="K7:K20" si="4">I7*J7</f>
        <v>1375.8910603949998</v>
      </c>
      <c r="L7" s="105">
        <f t="shared" ref="L7:L20" si="5">(F7*(1+0.05))/1000*1.3*(1+0.2)</f>
        <v>0.3276</v>
      </c>
      <c r="M7" s="43">
        <f t="shared" ref="M7:M20" si="6">F7/D7</f>
        <v>9.2478279164181319E-5</v>
      </c>
      <c r="N7" s="57">
        <f t="shared" ref="N7:N20" si="7">K7-L7</f>
        <v>1375.5634603949998</v>
      </c>
    </row>
    <row r="8" spans="1:14">
      <c r="A8" s="69"/>
      <c r="B8" s="65">
        <v>45352</v>
      </c>
      <c r="C8" s="103">
        <v>49642160</v>
      </c>
      <c r="D8" s="66">
        <f t="shared" si="0"/>
        <v>2391130</v>
      </c>
      <c r="E8" s="66">
        <v>122670</v>
      </c>
      <c r="F8" s="70">
        <f t="shared" si="1"/>
        <v>320</v>
      </c>
      <c r="G8" s="98">
        <v>1694</v>
      </c>
      <c r="H8" s="71">
        <f t="shared" si="2"/>
        <v>2389.116</v>
      </c>
      <c r="I8" s="71">
        <f t="shared" si="3"/>
        <v>2269.4587999999999</v>
      </c>
      <c r="J8" s="72">
        <v>0.67030000000000001</v>
      </c>
      <c r="K8" s="73">
        <f t="shared" si="4"/>
        <v>1521.2182336399999</v>
      </c>
      <c r="L8" s="105">
        <f t="shared" si="5"/>
        <v>0.52415999999999996</v>
      </c>
      <c r="M8" s="43">
        <f t="shared" si="6"/>
        <v>1.3382793909155923E-4</v>
      </c>
      <c r="N8" s="57">
        <f t="shared" si="7"/>
        <v>1520.6940736399999</v>
      </c>
    </row>
    <row r="9" spans="1:14">
      <c r="A9" s="69"/>
      <c r="B9" s="65">
        <v>45383</v>
      </c>
      <c r="C9" s="103">
        <v>51878870</v>
      </c>
      <c r="D9" s="66">
        <f t="shared" si="0"/>
        <v>2236710</v>
      </c>
      <c r="E9" s="66">
        <v>122790</v>
      </c>
      <c r="F9" s="70">
        <f t="shared" si="1"/>
        <v>120</v>
      </c>
      <c r="G9" s="98">
        <v>1810</v>
      </c>
      <c r="H9" s="71">
        <f t="shared" si="2"/>
        <v>2234.7800000000002</v>
      </c>
      <c r="I9" s="71">
        <f t="shared" si="3"/>
        <v>2122.848</v>
      </c>
      <c r="J9" s="72">
        <v>0.67030000000000001</v>
      </c>
      <c r="K9" s="73">
        <f t="shared" si="4"/>
        <v>1422.9450144</v>
      </c>
      <c r="L9" s="105">
        <f t="shared" si="5"/>
        <v>0.19655999999999998</v>
      </c>
      <c r="M9" s="43">
        <f t="shared" si="6"/>
        <v>5.3650227342838365E-5</v>
      </c>
      <c r="N9" s="57">
        <f t="shared" si="7"/>
        <v>1422.7484543999999</v>
      </c>
    </row>
    <row r="10" spans="1:14">
      <c r="A10" s="69"/>
      <c r="B10" s="65">
        <v>45413</v>
      </c>
      <c r="C10" s="103">
        <v>54144850</v>
      </c>
      <c r="D10" s="66">
        <f t="shared" si="0"/>
        <v>2265980</v>
      </c>
      <c r="E10" s="66">
        <v>122970</v>
      </c>
      <c r="F10" s="70">
        <f t="shared" si="1"/>
        <v>180</v>
      </c>
      <c r="G10" s="98">
        <v>1944</v>
      </c>
      <c r="H10" s="71">
        <f t="shared" si="2"/>
        <v>2263.8560000000002</v>
      </c>
      <c r="I10" s="71">
        <f t="shared" si="3"/>
        <v>2150.4507999999996</v>
      </c>
      <c r="J10" s="72">
        <v>0.67030000000000001</v>
      </c>
      <c r="K10" s="73">
        <f t="shared" si="4"/>
        <v>1441.4471712399998</v>
      </c>
      <c r="L10" s="105">
        <f t="shared" si="5"/>
        <v>0.29483999999999999</v>
      </c>
      <c r="M10" s="43">
        <f>F10/D10</f>
        <v>7.9435829089400609E-5</v>
      </c>
      <c r="N10" s="57">
        <f t="shared" si="7"/>
        <v>1441.1523312399997</v>
      </c>
    </row>
    <row r="11" spans="1:14">
      <c r="A11" s="69"/>
      <c r="B11" s="65">
        <v>45444</v>
      </c>
      <c r="C11" s="103">
        <v>56359360</v>
      </c>
      <c r="D11" s="66">
        <f t="shared" si="0"/>
        <v>2214510</v>
      </c>
      <c r="E11" s="66">
        <v>127780</v>
      </c>
      <c r="F11" s="70">
        <f t="shared" si="1"/>
        <v>4810</v>
      </c>
      <c r="G11" s="98">
        <v>1853</v>
      </c>
      <c r="H11" s="71">
        <f t="shared" si="2"/>
        <v>2207.8470000000002</v>
      </c>
      <c r="I11" s="71">
        <f t="shared" si="3"/>
        <v>2096.7883500000003</v>
      </c>
      <c r="J11" s="72">
        <v>0.67030000000000001</v>
      </c>
      <c r="K11" s="73">
        <f t="shared" si="4"/>
        <v>1405.4772310050002</v>
      </c>
      <c r="L11" s="105">
        <f t="shared" si="5"/>
        <v>7.8787800000000008</v>
      </c>
      <c r="M11" s="43">
        <f t="shared" si="6"/>
        <v>2.1720380580805684E-3</v>
      </c>
      <c r="N11" s="57">
        <f t="shared" si="7"/>
        <v>1397.5984510050002</v>
      </c>
    </row>
    <row r="12" spans="1:14">
      <c r="A12" s="69"/>
      <c r="B12" s="65">
        <v>45474</v>
      </c>
      <c r="C12" s="103">
        <v>59161230</v>
      </c>
      <c r="D12" s="66">
        <f t="shared" si="0"/>
        <v>2801870</v>
      </c>
      <c r="E12" s="66">
        <v>129340</v>
      </c>
      <c r="F12" s="70">
        <f t="shared" si="1"/>
        <v>1560</v>
      </c>
      <c r="G12" s="99">
        <v>1565</v>
      </c>
      <c r="H12" s="71">
        <f t="shared" si="2"/>
        <v>2798.7449999999999</v>
      </c>
      <c r="I12" s="71">
        <f t="shared" si="3"/>
        <v>2658.4952499999999</v>
      </c>
      <c r="J12" s="72">
        <v>0.67030000000000001</v>
      </c>
      <c r="K12" s="73">
        <f t="shared" si="4"/>
        <v>1781.9893660749999</v>
      </c>
      <c r="L12" s="105">
        <f t="shared" si="5"/>
        <v>2.5552799999999998</v>
      </c>
      <c r="M12" s="43">
        <f t="shared" si="6"/>
        <v>5.5677101364445889E-4</v>
      </c>
      <c r="N12" s="57">
        <f t="shared" si="7"/>
        <v>1779.4340860749999</v>
      </c>
    </row>
    <row r="13" spans="1:14">
      <c r="A13" s="69"/>
      <c r="B13" s="65">
        <v>45505</v>
      </c>
      <c r="C13" s="103">
        <v>61729180</v>
      </c>
      <c r="D13" s="66">
        <f t="shared" si="0"/>
        <v>2567950</v>
      </c>
      <c r="E13" s="66">
        <v>129980</v>
      </c>
      <c r="F13" s="70">
        <f t="shared" si="1"/>
        <v>640</v>
      </c>
      <c r="G13" s="99">
        <v>1360</v>
      </c>
      <c r="H13" s="71">
        <f t="shared" si="2"/>
        <v>2565.9499999999998</v>
      </c>
      <c r="I13" s="71">
        <f t="shared" si="3"/>
        <v>2437.4524999999999</v>
      </c>
      <c r="J13" s="72">
        <v>0.67030000000000001</v>
      </c>
      <c r="K13" s="73">
        <f t="shared" si="4"/>
        <v>1633.82441075</v>
      </c>
      <c r="L13" s="105">
        <f t="shared" si="5"/>
        <v>1.0483199999999999</v>
      </c>
      <c r="M13" s="43">
        <f t="shared" si="6"/>
        <v>2.492260363324831E-4</v>
      </c>
      <c r="N13" s="57">
        <f t="shared" si="7"/>
        <v>1632.7760907499999</v>
      </c>
    </row>
    <row r="14" spans="1:14">
      <c r="A14" s="69"/>
      <c r="B14" s="65">
        <v>45536</v>
      </c>
      <c r="C14" s="103">
        <v>64618040</v>
      </c>
      <c r="D14" s="66">
        <f t="shared" si="0"/>
        <v>2888860</v>
      </c>
      <c r="E14" s="66">
        <v>130970</v>
      </c>
      <c r="F14" s="70">
        <f t="shared" si="1"/>
        <v>990</v>
      </c>
      <c r="G14" s="99">
        <v>1711</v>
      </c>
      <c r="H14" s="71">
        <f t="shared" si="2"/>
        <v>2886.1590000000001</v>
      </c>
      <c r="I14" s="71">
        <f t="shared" si="3"/>
        <v>2741.58095</v>
      </c>
      <c r="J14" s="72">
        <v>0.67030000000000001</v>
      </c>
      <c r="K14" s="73">
        <f t="shared" si="4"/>
        <v>1837.681710785</v>
      </c>
      <c r="L14" s="105">
        <f t="shared" si="5"/>
        <v>1.6216200000000003</v>
      </c>
      <c r="M14" s="43">
        <f t="shared" si="6"/>
        <v>3.4269573464965416E-4</v>
      </c>
      <c r="N14" s="57">
        <f t="shared" si="7"/>
        <v>1836.0600907850001</v>
      </c>
    </row>
    <row r="15" spans="1:14">
      <c r="A15" s="69"/>
      <c r="B15" s="65">
        <v>45566</v>
      </c>
      <c r="C15" s="103">
        <v>67546740</v>
      </c>
      <c r="D15" s="66">
        <f t="shared" si="0"/>
        <v>2928700</v>
      </c>
      <c r="E15" s="66">
        <v>131360</v>
      </c>
      <c r="F15" s="70">
        <f t="shared" si="1"/>
        <v>390</v>
      </c>
      <c r="G15" s="99">
        <v>1619</v>
      </c>
      <c r="H15" s="71">
        <f t="shared" si="2"/>
        <v>2926.6909999999998</v>
      </c>
      <c r="I15" s="71">
        <f t="shared" si="3"/>
        <v>2780.1555499999999</v>
      </c>
      <c r="J15" s="72">
        <v>0.67030000000000001</v>
      </c>
      <c r="K15" s="73">
        <f t="shared" si="4"/>
        <v>1863.538265165</v>
      </c>
      <c r="L15" s="105">
        <f t="shared" si="5"/>
        <v>0.63881999999999994</v>
      </c>
      <c r="M15" s="43">
        <f t="shared" si="6"/>
        <v>1.3316488544405368E-4</v>
      </c>
      <c r="N15" s="57">
        <f t="shared" si="7"/>
        <v>1862.8994451650001</v>
      </c>
    </row>
    <row r="16" spans="1:14">
      <c r="A16" s="69"/>
      <c r="B16" s="65">
        <v>45597</v>
      </c>
      <c r="C16" s="103">
        <v>70440070</v>
      </c>
      <c r="D16" s="66">
        <f t="shared" si="0"/>
        <v>2893330</v>
      </c>
      <c r="E16" s="66">
        <v>131560</v>
      </c>
      <c r="F16" s="70">
        <f t="shared" si="1"/>
        <v>200</v>
      </c>
      <c r="G16" s="99">
        <v>976</v>
      </c>
      <c r="H16" s="71">
        <f t="shared" si="2"/>
        <v>2892.154</v>
      </c>
      <c r="I16" s="71">
        <f t="shared" si="3"/>
        <v>2747.4287000000004</v>
      </c>
      <c r="J16" s="72">
        <v>0.67030000000000001</v>
      </c>
      <c r="K16" s="73">
        <f t="shared" si="4"/>
        <v>1841.6014576100004</v>
      </c>
      <c r="L16" s="105">
        <f t="shared" si="5"/>
        <v>0.3276</v>
      </c>
      <c r="M16" s="43">
        <f t="shared" si="6"/>
        <v>6.9124503599658527E-5</v>
      </c>
      <c r="N16" s="57">
        <f t="shared" si="7"/>
        <v>1841.2738576100003</v>
      </c>
    </row>
    <row r="17" spans="1:14" ht="15.75" customHeight="1">
      <c r="A17" s="69"/>
      <c r="B17" s="65">
        <v>45627</v>
      </c>
      <c r="C17" s="103">
        <v>73427660</v>
      </c>
      <c r="D17" s="66">
        <f t="shared" si="0"/>
        <v>2987590</v>
      </c>
      <c r="E17" s="66">
        <v>131680</v>
      </c>
      <c r="F17" s="70">
        <f t="shared" si="1"/>
        <v>120</v>
      </c>
      <c r="G17" s="99">
        <v>945</v>
      </c>
      <c r="H17" s="71">
        <f t="shared" si="2"/>
        <v>2986.5250000000001</v>
      </c>
      <c r="I17" s="71">
        <f t="shared" si="3"/>
        <v>2837.0922500000001</v>
      </c>
      <c r="J17" s="72">
        <v>0.67030000000000001</v>
      </c>
      <c r="K17" s="73">
        <f t="shared" si="4"/>
        <v>1901.7029351750002</v>
      </c>
      <c r="L17" s="105">
        <f t="shared" si="5"/>
        <v>0.19655999999999998</v>
      </c>
      <c r="M17" s="43">
        <f t="shared" si="6"/>
        <v>4.0166153990340039E-5</v>
      </c>
      <c r="N17" s="57">
        <f t="shared" si="7"/>
        <v>1901.5063751750001</v>
      </c>
    </row>
    <row r="18" spans="1:14" ht="15.75" customHeight="1">
      <c r="A18" s="69"/>
      <c r="B18" s="65">
        <v>45658</v>
      </c>
      <c r="C18" s="103">
        <v>76059210</v>
      </c>
      <c r="D18" s="66">
        <f t="shared" si="0"/>
        <v>2631550</v>
      </c>
      <c r="E18" s="66">
        <v>132130</v>
      </c>
      <c r="F18" s="70">
        <f t="shared" si="1"/>
        <v>450</v>
      </c>
      <c r="G18" s="99">
        <v>794</v>
      </c>
      <c r="H18" s="71">
        <f t="shared" si="2"/>
        <v>2630.306</v>
      </c>
      <c r="I18" s="71">
        <f t="shared" si="3"/>
        <v>2498.6662999999999</v>
      </c>
      <c r="J18" s="72">
        <v>0.67030000000000001</v>
      </c>
      <c r="K18" s="73">
        <f t="shared" si="4"/>
        <v>1674.8560208899999</v>
      </c>
      <c r="L18" s="105">
        <f t="shared" si="5"/>
        <v>0.73709999999999998</v>
      </c>
      <c r="M18" s="43">
        <f t="shared" si="6"/>
        <v>1.7100188102069124E-4</v>
      </c>
      <c r="N18" s="57">
        <f t="shared" si="7"/>
        <v>1674.1189208899998</v>
      </c>
    </row>
    <row r="19" spans="1:14" ht="15.75" customHeight="1">
      <c r="A19" s="69"/>
      <c r="B19" s="65">
        <v>45689</v>
      </c>
      <c r="C19" s="103">
        <v>77999130</v>
      </c>
      <c r="D19" s="66">
        <f t="shared" si="0"/>
        <v>1939920</v>
      </c>
      <c r="E19" s="66">
        <v>133560</v>
      </c>
      <c r="F19" s="70">
        <f t="shared" si="1"/>
        <v>1430</v>
      </c>
      <c r="G19" s="99">
        <v>845</v>
      </c>
      <c r="H19" s="71">
        <f t="shared" si="2"/>
        <v>1937.645</v>
      </c>
      <c r="I19" s="71">
        <f t="shared" si="3"/>
        <v>1840.5352499999999</v>
      </c>
      <c r="J19" s="72">
        <v>0.67030000000000001</v>
      </c>
      <c r="K19" s="73">
        <f t="shared" si="4"/>
        <v>1233.710778075</v>
      </c>
      <c r="L19" s="105">
        <f t="shared" si="5"/>
        <v>2.3423400000000001</v>
      </c>
      <c r="M19" s="43">
        <f t="shared" si="6"/>
        <v>7.3714379974431938E-4</v>
      </c>
      <c r="N19" s="57">
        <f t="shared" si="7"/>
        <v>1231.3684380750001</v>
      </c>
    </row>
    <row r="20" spans="1:14" ht="15.75" customHeight="1">
      <c r="A20" s="69"/>
      <c r="B20" s="65">
        <v>45717</v>
      </c>
      <c r="C20" s="103">
        <v>80719650</v>
      </c>
      <c r="D20" s="66">
        <f t="shared" si="0"/>
        <v>2720520</v>
      </c>
      <c r="E20" s="66">
        <v>135360</v>
      </c>
      <c r="F20" s="70">
        <f t="shared" si="1"/>
        <v>1800</v>
      </c>
      <c r="G20" s="98">
        <v>1000</v>
      </c>
      <c r="H20" s="71">
        <f t="shared" si="2"/>
        <v>2717.72</v>
      </c>
      <c r="I20" s="71">
        <f t="shared" si="3"/>
        <v>2581.5540000000001</v>
      </c>
      <c r="J20" s="72">
        <v>0.67030000000000001</v>
      </c>
      <c r="K20" s="73">
        <f t="shared" si="4"/>
        <v>1730.4156462000001</v>
      </c>
      <c r="L20" s="105">
        <f t="shared" si="5"/>
        <v>2.9483999999999999</v>
      </c>
      <c r="M20" s="43">
        <f t="shared" si="6"/>
        <v>6.6163821622336905E-4</v>
      </c>
      <c r="N20" s="57">
        <f t="shared" si="7"/>
        <v>1727.4672462000001</v>
      </c>
    </row>
    <row r="21" spans="1:14">
      <c r="B21" s="74" t="s">
        <v>62</v>
      </c>
      <c r="C21" s="66"/>
      <c r="D21" s="75">
        <f>SUM(D6:D20)</f>
        <v>38341390</v>
      </c>
      <c r="E21" s="66"/>
      <c r="F21" s="75">
        <f>SUM(F6:F20)</f>
        <v>13690</v>
      </c>
      <c r="G21" s="80">
        <f>SUM(G6:G20)</f>
        <v>21388</v>
      </c>
      <c r="H21" s="76">
        <f>SUM(H6:H20)</f>
        <v>38306.311999999998</v>
      </c>
      <c r="I21" s="67">
        <f>ROUNDDOWN(SUM(I6:I17),0)+ROUNDDOWN(SUM(I18:I20),0)</f>
        <v>36386</v>
      </c>
      <c r="J21" s="77">
        <v>0.67030000000000001</v>
      </c>
      <c r="K21" s="78">
        <f>SUM(K6:K20)</f>
        <v>24390.533608579997</v>
      </c>
      <c r="L21" s="78">
        <f>SUM(L6:L20)</f>
        <v>22.424220000000005</v>
      </c>
      <c r="M21" s="78"/>
      <c r="N21" s="104">
        <f>SUM(N6:N20)</f>
        <v>24368.10938858</v>
      </c>
    </row>
    <row r="22" spans="1:14">
      <c r="F22" s="79"/>
      <c r="G22" s="79"/>
      <c r="H22" s="79"/>
      <c r="I22" s="79"/>
    </row>
    <row r="23" spans="1:14">
      <c r="K23" s="100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E389-A533-47E3-A64F-463912AF4B69}">
  <dimension ref="B1:E12"/>
  <sheetViews>
    <sheetView workbookViewId="0">
      <selection activeCell="B34" sqref="B34"/>
    </sheetView>
  </sheetViews>
  <sheetFormatPr defaultColWidth="11.5703125" defaultRowHeight="15"/>
  <cols>
    <col min="2" max="2" width="18.85546875" customWidth="1"/>
    <col min="3" max="3" width="20.5703125" customWidth="1"/>
    <col min="4" max="4" width="24.140625" customWidth="1"/>
    <col min="5" max="5" width="26.5703125" customWidth="1"/>
  </cols>
  <sheetData>
    <row r="1" spans="2:5" ht="15.75" thickBot="1"/>
    <row r="2" spans="2:5" ht="29.25" thickBot="1">
      <c r="B2" s="27" t="s">
        <v>26</v>
      </c>
      <c r="C2" s="28" t="s">
        <v>27</v>
      </c>
      <c r="D2" s="28" t="s">
        <v>28</v>
      </c>
      <c r="E2" s="29" t="s">
        <v>29</v>
      </c>
    </row>
    <row r="3" spans="2:5" ht="37.9" customHeight="1">
      <c r="B3" s="125" t="s">
        <v>30</v>
      </c>
      <c r="C3" s="123" t="s">
        <v>37</v>
      </c>
      <c r="D3" s="126" t="s">
        <v>36</v>
      </c>
      <c r="E3" s="127" t="s">
        <v>76</v>
      </c>
    </row>
    <row r="4" spans="2:5">
      <c r="B4" s="114"/>
      <c r="C4" s="117"/>
      <c r="D4" s="119"/>
      <c r="E4" s="121"/>
    </row>
    <row r="5" spans="2:5">
      <c r="B5" s="114"/>
      <c r="C5" s="117"/>
      <c r="D5" s="119"/>
      <c r="E5" s="121"/>
    </row>
    <row r="6" spans="2:5">
      <c r="B6" s="114"/>
      <c r="C6" s="124"/>
      <c r="D6" s="119"/>
      <c r="E6" s="121"/>
    </row>
    <row r="7" spans="2:5" ht="37.9" customHeight="1">
      <c r="B7" s="114" t="s">
        <v>31</v>
      </c>
      <c r="C7" s="116" t="s">
        <v>38</v>
      </c>
      <c r="D7" s="119" t="s">
        <v>32</v>
      </c>
      <c r="E7" s="128" t="s">
        <v>75</v>
      </c>
    </row>
    <row r="8" spans="2:5">
      <c r="B8" s="114"/>
      <c r="C8" s="117"/>
      <c r="D8" s="119"/>
      <c r="E8" s="128"/>
    </row>
    <row r="9" spans="2:5">
      <c r="B9" s="114"/>
      <c r="C9" s="124"/>
      <c r="D9" s="119"/>
      <c r="E9" s="128"/>
    </row>
    <row r="10" spans="2:5" ht="14.45" customHeight="1">
      <c r="B10" s="114" t="s">
        <v>33</v>
      </c>
      <c r="C10" s="116" t="s">
        <v>34</v>
      </c>
      <c r="D10" s="119" t="s">
        <v>35</v>
      </c>
      <c r="E10" s="121" t="s">
        <v>77</v>
      </c>
    </row>
    <row r="11" spans="2:5">
      <c r="B11" s="114"/>
      <c r="C11" s="117"/>
      <c r="D11" s="119"/>
      <c r="E11" s="121"/>
    </row>
    <row r="12" spans="2:5" ht="15.75" thickBot="1">
      <c r="B12" s="115"/>
      <c r="C12" s="118"/>
      <c r="D12" s="120"/>
      <c r="E12" s="122"/>
    </row>
  </sheetData>
  <mergeCells count="12">
    <mergeCell ref="B10:B12"/>
    <mergeCell ref="C10:C12"/>
    <mergeCell ref="D10:D12"/>
    <mergeCell ref="E10:E12"/>
    <mergeCell ref="C3:C6"/>
    <mergeCell ref="C7:C9"/>
    <mergeCell ref="B3:B6"/>
    <mergeCell ref="D3:D6"/>
    <mergeCell ref="E3:E6"/>
    <mergeCell ref="B7:B9"/>
    <mergeCell ref="D7:D9"/>
    <mergeCell ref="E7:E9"/>
  </mergeCells>
  <phoneticPr fontId="3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Ambatolampy ER MP4</vt:lpstr>
      <vt:lpstr>phase init MP4</vt:lpstr>
      <vt:lpstr>phase ext MP4</vt:lpstr>
      <vt:lpstr>SDG impacts vcs4</vt:lpstr>
    </vt:vector>
  </TitlesOfParts>
  <Company>Groupe CASINO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COONJUL,RAMCHAND</dc:creator>
  <cp:lastModifiedBy>Saurabh Sanjay Gaikwad</cp:lastModifiedBy>
  <dcterms:created xsi:type="dcterms:W3CDTF">2020-01-14T10:32:19Z</dcterms:created>
  <dcterms:modified xsi:type="dcterms:W3CDTF">2025-09-24T12:30:42Z</dcterms:modified>
</cp:coreProperties>
</file>