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IN000731\Desktop\Projects as part of audit team\BELL_VCS_VER_PRC_12623\AR Stage\"/>
    </mc:Choice>
  </mc:AlternateContent>
  <xr:revisionPtr revIDLastSave="0" documentId="13_ncr:1_{BBF1D5C1-CB05-445B-A7E5-B293E186A3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mbatolampy ER MP3" sheetId="4" r:id="rId1"/>
    <sheet name="phase ini" sheetId="3" r:id="rId2"/>
    <sheet name="phase ext" sheetId="2" r:id="rId3"/>
    <sheet name="SDG impacts" sheetId="5" r:id="rId4"/>
  </sheets>
  <externalReferences>
    <externalReference r:id="rId5"/>
    <externalReference r:id="rId6"/>
    <externalReference r:id="rId7"/>
    <externalReference r:id="rId8"/>
  </externalReferences>
  <definedNames>
    <definedName name="_dura">#REF!</definedName>
    <definedName name="_Fill" hidden="1">[1]Marche!#REF!</definedName>
    <definedName name="_ftn1" localSheetId="0">'Ambatolampy ER MP3'!$G$41</definedName>
    <definedName name="_ftnref1" localSheetId="0">'Ambatolampy ER MP3'!$G$38</definedName>
    <definedName name="_GA">#REF!</definedName>
    <definedName name="_LTD">#REF!</definedName>
    <definedName name="_ref">#REF!</definedName>
    <definedName name="_TA">#REF!</definedName>
    <definedName name="_TAG1">[2]Production!#REF!</definedName>
    <definedName name="_TAG2">[2]Production!#REF!</definedName>
    <definedName name="_TAG3">[2]Production!#REF!</definedName>
    <definedName name="_TAG4">[2]Production!#REF!</definedName>
    <definedName name="_TV">#REF!</definedName>
    <definedName name="_uncertime">#REF!</definedName>
    <definedName name="AERSHELL500">10473333.33333</definedName>
    <definedName name="ANNEE">[2]Production!#REF!</definedName>
    <definedName name="AOUT">[2]Production!#REF!</definedName>
    <definedName name="AVRIL">[2]Production!#REF!</definedName>
    <definedName name="Bakel">[2]Production!#REF!</definedName>
    <definedName name="BandaFassi">[2]Production!#REF!</definedName>
    <definedName name="BETTENTY">[2]Production!#REF!</definedName>
    <definedName name="BOUTOUTE">[2]Production!#REF!</definedName>
    <definedName name="C.SECOND.">[2]Production!#REF!</definedName>
    <definedName name="CDM">[3]Guidance!$B$72:$B$73</definedName>
    <definedName name="CDMM">[3]Guidance!$B$72:$B$73</definedName>
    <definedName name="CENTRES_SECONDAIRES">[2]Production!#REF!</definedName>
    <definedName name="CI">[2]Production!#REF!</definedName>
    <definedName name="CII">[2]Production!#REF!</definedName>
    <definedName name="CIII_VAP">[2]Production!#REF!</definedName>
    <definedName name="CIV">[2]Production!#REF!</definedName>
    <definedName name="COEF_DO_DAZ">1.04708</definedName>
    <definedName name="COEF_JET_GAZ">10836/9706</definedName>
    <definedName name="CV">[2]Production!#REF!</definedName>
    <definedName name="Dabo">[2]Production!#REF!</definedName>
    <definedName name="datejour">[4]Utilisation!$F$5</definedName>
    <definedName name="day">[3]Base_data!$AJ$6:$AJ$36</definedName>
    <definedName name="DÉC">[2]Production!#REF!</definedName>
    <definedName name="Diama">[2]Production!#REF!</definedName>
    <definedName name="Dioul">[2]Production!#REF!</definedName>
    <definedName name="DO_BT">131686</definedName>
    <definedName name="DO_CS">130952</definedName>
    <definedName name="DO_DK">91874</definedName>
    <definedName name="DO_KK">102685</definedName>
    <definedName name="DO_OURO">175134</definedName>
    <definedName name="DO_STL">107857</definedName>
    <definedName name="DO_TB">121252</definedName>
    <definedName name="EFOP">[3]Guidance!$B$67:$B$70</definedName>
    <definedName name="ENSEMBLE">[2]Production!#REF!</definedName>
    <definedName name="FEVRIER">[2]Production!#REF!</definedName>
    <definedName name="FO_BT">89077</definedName>
    <definedName name="FO_DK">49265</definedName>
    <definedName name="FO_KK">60076</definedName>
    <definedName name="FO_STL">107857</definedName>
    <definedName name="FO_TB">78647</definedName>
    <definedName name="Fongolemby">[2]Production!#REF!</definedName>
    <definedName name="Fuel_type">[3]Fuel_type!$B$3:$B$62</definedName>
    <definedName name="G101_">[2]Production!#REF!</definedName>
    <definedName name="G102_">[2]Production!#REF!</definedName>
    <definedName name="G103_">[2]Production!#REF!</definedName>
    <definedName name="G104_">[2]Production!#REF!</definedName>
    <definedName name="G105_">[2]Production!#REF!</definedName>
    <definedName name="G106_">[2]Production!#REF!</definedName>
    <definedName name="G125_">[2]Production!#REF!</definedName>
    <definedName name="G126_">[2]Production!#REF!</definedName>
    <definedName name="G128_">[2]Production!#REF!</definedName>
    <definedName name="G130_">[2]Production!#REF!</definedName>
    <definedName name="G149_">[2]Production!#REF!</definedName>
    <definedName name="G150_">[2]Production!#REF!</definedName>
    <definedName name="G157_">[2]Production!#REF!</definedName>
    <definedName name="G228_">[2]Production!#REF!</definedName>
    <definedName name="G229_">[2]Production!#REF!</definedName>
    <definedName name="G240_">[2]Production!#REF!</definedName>
    <definedName name="G250_">[2]Production!#REF!</definedName>
    <definedName name="G301_">[2]Production!#REF!</definedName>
    <definedName name="G302_">[2]Production!#REF!</definedName>
    <definedName name="G303_">[2]Production!#REF!</definedName>
    <definedName name="G401_">[2]Production!#REF!</definedName>
    <definedName name="G402_">[2]Production!#REF!</definedName>
    <definedName name="G403_">[2]Production!#REF!</definedName>
    <definedName name="G804_">[2]Production!#REF!</definedName>
    <definedName name="G82_">[2]Production!#REF!</definedName>
    <definedName name="G83_">[2]Production!#REF!</definedName>
    <definedName name="G93_">[2]Production!#REF!</definedName>
    <definedName name="G94_">[2]Production!#REF!</definedName>
    <definedName name="GAZ">100000</definedName>
    <definedName name="GOUDIRY">[2]Production!#REF!</definedName>
    <definedName name="Gr_GAY">[2]Production!#REF!</definedName>
    <definedName name="GTI">#REF!</definedName>
    <definedName name="H_BT">959459</definedName>
    <definedName name="H_C1">857054</definedName>
    <definedName name="H_C4">857054</definedName>
    <definedName name="H_CS">966853</definedName>
    <definedName name="H_KK">970437</definedName>
    <definedName name="H_OURO">850452</definedName>
    <definedName name="H_STL">850446</definedName>
    <definedName name="H_TB">966853</definedName>
    <definedName name="JANVIER">[2]Production!#REF!</definedName>
    <definedName name="JUILLET">[2]Production!#REF!</definedName>
    <definedName name="JUIN">[2]Production!#REF!</definedName>
    <definedName name="KAHONE">[2]Production!#REF!</definedName>
    <definedName name="KEDOUGOU">[2]Production!#REF!</definedName>
    <definedName name="KIDIRA">[2]Production!#REF!</definedName>
    <definedName name="Kolda">[2]Production!#REF!</definedName>
    <definedName name="KOUMPENTOUM">[2]Production!#REF!</definedName>
    <definedName name="KOUNGHEL">[2]Production!#REF!</definedName>
    <definedName name="lcmr">[3]Fuel_type!$B$48:$B$60</definedName>
    <definedName name="MAI">[2]Production!#REF!</definedName>
    <definedName name="MARS">[2]Production!#REF!</definedName>
    <definedName name="med._Yorofoula">[2]Production!#REF!</definedName>
    <definedName name="MEDINA_SABBAH">[2]Production!#REF!</definedName>
    <definedName name="MEDINAGOUNASS">[2]Production!#REF!</definedName>
    <definedName name="mois">[4]Utilisation!$H$5</definedName>
    <definedName name="month">[3]Base_data!$AI$6:$AI$17</definedName>
    <definedName name="MWh">[2]Production!#REF!</definedName>
    <definedName name="NAPHTA">80000</definedName>
    <definedName name="NGANDA">[2]Production!#REF!</definedName>
    <definedName name="NOV">[2]Production!#REF!</definedName>
    <definedName name="num_cumulmois">[4]Utilisation!$J$5</definedName>
    <definedName name="OCT">[2]Production!#REF!</definedName>
    <definedName name="OUROSSOGUI">[2]Production!#REF!</definedName>
    <definedName name="Pakour">[2]Production!#REF!</definedName>
    <definedName name="periode">[4]Utilisation!$K$6:$W$11</definedName>
    <definedName name="PuissancesModules">#REF!</definedName>
    <definedName name="R.I">[2]Production!#REF!</definedName>
    <definedName name="R.N.I">[2]Production!#REF!</definedName>
    <definedName name="Salemata">[2]Production!#REF!</definedName>
    <definedName name="Sareya">[2]Production!#REF!</definedName>
    <definedName name="Sédhiou">[2]Production!#REF!</definedName>
    <definedName name="SENELEC">[2]Production!#REF!</definedName>
    <definedName name="SEPT">[2]Production!#REF!</definedName>
    <definedName name="SINDIAN">[2]Production!#REF!</definedName>
    <definedName name="ST_LOUIS">[2]Production!#REF!</definedName>
    <definedName name="T_32">871447.6495726</definedName>
    <definedName name="T_68">1228028.846154</definedName>
    <definedName name="TAG">[2]Production!#REF!</definedName>
    <definedName name="TAMBA">[2]Production!#REF!</definedName>
    <definedName name="Thionk_E">[2]Production!#REF!</definedName>
    <definedName name="TOTAL_CS">[2]Production!#REF!</definedName>
    <definedName name="VELINGARA">[2]Production!#REF!</definedName>
    <definedName name="x">#REF!</definedName>
    <definedName name="year">[3]Base_data!$AH$6:$AH$76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2" l="1"/>
  <c r="K10" i="2"/>
  <c r="K9" i="2"/>
  <c r="K8" i="2"/>
  <c r="K7" i="2"/>
  <c r="K6" i="2"/>
  <c r="K5" i="2"/>
  <c r="C50" i="4" l="1"/>
  <c r="N6" i="2"/>
  <c r="N7" i="2"/>
  <c r="N8" i="2"/>
  <c r="N9" i="2"/>
  <c r="N10" i="2"/>
  <c r="N11" i="2"/>
  <c r="N5" i="2"/>
  <c r="N25" i="4"/>
  <c r="L25" i="4"/>
  <c r="F12" i="4" l="1"/>
  <c r="F13" i="4"/>
  <c r="F14" i="4"/>
  <c r="F15" i="4"/>
  <c r="F16" i="4"/>
  <c r="F17" i="4"/>
  <c r="F11" i="4"/>
  <c r="E48" i="4" l="1"/>
  <c r="D49" i="4"/>
  <c r="D50" i="4" s="1"/>
  <c r="D55" i="4"/>
  <c r="C55" i="4"/>
  <c r="E20" i="2"/>
  <c r="L20" i="2" s="1"/>
  <c r="E21" i="2"/>
  <c r="L21" i="2" s="1"/>
  <c r="F27" i="4" s="1"/>
  <c r="E22" i="2"/>
  <c r="L22" i="2" s="1"/>
  <c r="F28" i="4" s="1"/>
  <c r="E23" i="2"/>
  <c r="L23" i="2" s="1"/>
  <c r="E24" i="2"/>
  <c r="L24" i="2" s="1"/>
  <c r="E25" i="2"/>
  <c r="L25" i="2" s="1"/>
  <c r="F31" i="4" s="1"/>
  <c r="E26" i="2"/>
  <c r="L26" i="2" s="1"/>
  <c r="F32" i="4" s="1"/>
  <c r="E27" i="2"/>
  <c r="L27" i="2" s="1"/>
  <c r="E28" i="2"/>
  <c r="L28" i="2" s="1"/>
  <c r="C20" i="2"/>
  <c r="I20" i="2" s="1"/>
  <c r="C21" i="2"/>
  <c r="I21" i="2" s="1"/>
  <c r="C22" i="2"/>
  <c r="I22" i="2" s="1"/>
  <c r="C23" i="2"/>
  <c r="C24" i="2"/>
  <c r="I24" i="2" s="1"/>
  <c r="C25" i="2"/>
  <c r="I25" i="2" s="1"/>
  <c r="C26" i="2"/>
  <c r="C27" i="2"/>
  <c r="I27" i="2" s="1"/>
  <c r="C28" i="2"/>
  <c r="I28" i="2" s="1"/>
  <c r="E20" i="3"/>
  <c r="E21" i="3"/>
  <c r="E22" i="3"/>
  <c r="E23" i="3"/>
  <c r="E24" i="3"/>
  <c r="E25" i="3"/>
  <c r="E26" i="3"/>
  <c r="E27" i="3"/>
  <c r="E28" i="3"/>
  <c r="C20" i="3"/>
  <c r="C21" i="3"/>
  <c r="C22" i="3"/>
  <c r="C23" i="3"/>
  <c r="C24" i="3"/>
  <c r="C25" i="3"/>
  <c r="C26" i="3"/>
  <c r="C27" i="3"/>
  <c r="C28" i="3"/>
  <c r="H27" i="3" l="1"/>
  <c r="I27" i="3"/>
  <c r="K27" i="3" s="1"/>
  <c r="I26" i="3"/>
  <c r="K26" i="3" s="1"/>
  <c r="H26" i="3"/>
  <c r="H25" i="3"/>
  <c r="I25" i="3"/>
  <c r="K25" i="3" s="1"/>
  <c r="H21" i="3"/>
  <c r="I21" i="3"/>
  <c r="K21" i="3" s="1"/>
  <c r="H20" i="3"/>
  <c r="I20" i="3"/>
  <c r="K20" i="3" s="1"/>
  <c r="H24" i="3"/>
  <c r="I24" i="3"/>
  <c r="K24" i="3" s="1"/>
  <c r="I23" i="3"/>
  <c r="K23" i="3" s="1"/>
  <c r="H23" i="3"/>
  <c r="I22" i="3"/>
  <c r="K22" i="3" s="1"/>
  <c r="H22" i="3"/>
  <c r="F34" i="4"/>
  <c r="M26" i="2"/>
  <c r="I26" i="2"/>
  <c r="F29" i="4"/>
  <c r="F26" i="4"/>
  <c r="F33" i="4"/>
  <c r="I23" i="2"/>
  <c r="F30" i="4"/>
  <c r="I28" i="3"/>
  <c r="H28" i="3"/>
  <c r="M27" i="2"/>
  <c r="M25" i="2"/>
  <c r="M24" i="2"/>
  <c r="M23" i="2"/>
  <c r="M21" i="2"/>
  <c r="M20" i="2"/>
  <c r="M28" i="2"/>
  <c r="M22" i="2"/>
  <c r="H28" i="2"/>
  <c r="H27" i="2"/>
  <c r="C33" i="4" s="1"/>
  <c r="H26" i="2"/>
  <c r="C32" i="4" s="1"/>
  <c r="H25" i="2"/>
  <c r="C31" i="4" s="1"/>
  <c r="H24" i="2"/>
  <c r="C30" i="4" s="1"/>
  <c r="H23" i="2"/>
  <c r="C29" i="4" s="1"/>
  <c r="H22" i="2"/>
  <c r="H21" i="2"/>
  <c r="C27" i="4" s="1"/>
  <c r="D54" i="4"/>
  <c r="C54" i="4"/>
  <c r="C28" i="4" l="1"/>
  <c r="C34" i="4"/>
  <c r="K28" i="3"/>
  <c r="D34" i="4"/>
  <c r="K28" i="2"/>
  <c r="K27" i="2"/>
  <c r="D33" i="4"/>
  <c r="K26" i="2"/>
  <c r="D32" i="4"/>
  <c r="D31" i="4"/>
  <c r="K25" i="2"/>
  <c r="D30" i="4"/>
  <c r="K24" i="2"/>
  <c r="K23" i="2"/>
  <c r="D29" i="4"/>
  <c r="K22" i="2"/>
  <c r="D28" i="4"/>
  <c r="K21" i="2"/>
  <c r="D27" i="4"/>
  <c r="E55" i="4"/>
  <c r="E54" i="4"/>
  <c r="E19" i="3"/>
  <c r="E18" i="3"/>
  <c r="E17" i="3"/>
  <c r="C49" i="4"/>
  <c r="E41" i="4"/>
  <c r="E40" i="4"/>
  <c r="E39" i="4"/>
  <c r="E38" i="4"/>
  <c r="E29" i="4" l="1"/>
  <c r="N23" i="2"/>
  <c r="G29" i="4" s="1"/>
  <c r="E30" i="4"/>
  <c r="N24" i="2"/>
  <c r="G30" i="4" s="1"/>
  <c r="E34" i="4"/>
  <c r="N28" i="2"/>
  <c r="G34" i="4" s="1"/>
  <c r="E28" i="4"/>
  <c r="N22" i="2"/>
  <c r="G28" i="4" s="1"/>
  <c r="N25" i="2"/>
  <c r="G31" i="4" s="1"/>
  <c r="E31" i="4"/>
  <c r="N26" i="2"/>
  <c r="G32" i="4" s="1"/>
  <c r="E32" i="4"/>
  <c r="E33" i="4"/>
  <c r="N27" i="2"/>
  <c r="G33" i="4" s="1"/>
  <c r="N21" i="2"/>
  <c r="G27" i="4" s="1"/>
  <c r="E27" i="4"/>
  <c r="E56" i="4"/>
  <c r="D57" i="4" s="1"/>
  <c r="E19" i="2"/>
  <c r="L19" i="2" s="1"/>
  <c r="C19" i="2"/>
  <c r="I19" i="2" s="1"/>
  <c r="E18" i="2"/>
  <c r="L18" i="2" s="1"/>
  <c r="F24" i="4" s="1"/>
  <c r="C18" i="2"/>
  <c r="I18" i="2" s="1"/>
  <c r="E17" i="2"/>
  <c r="C17" i="2"/>
  <c r="I17" i="2" s="1"/>
  <c r="E16" i="2"/>
  <c r="L16" i="2" s="1"/>
  <c r="H20" i="2"/>
  <c r="C26" i="4" s="1"/>
  <c r="C19" i="3"/>
  <c r="C18" i="3"/>
  <c r="C17" i="3"/>
  <c r="H17" i="3" l="1"/>
  <c r="I17" i="3"/>
  <c r="D23" i="4" s="1"/>
  <c r="I18" i="3"/>
  <c r="K18" i="3" s="1"/>
  <c r="H18" i="3"/>
  <c r="H19" i="3"/>
  <c r="I19" i="3"/>
  <c r="K19" i="3" s="1"/>
  <c r="F22" i="4"/>
  <c r="M17" i="2"/>
  <c r="L17" i="2"/>
  <c r="F23" i="4" s="1"/>
  <c r="K13" i="4"/>
  <c r="K17" i="2"/>
  <c r="K19" i="2"/>
  <c r="K18" i="2"/>
  <c r="D24" i="4"/>
  <c r="F25" i="4"/>
  <c r="K20" i="2"/>
  <c r="D26" i="4"/>
  <c r="M18" i="2"/>
  <c r="M19" i="2"/>
  <c r="H18" i="2"/>
  <c r="C24" i="4" s="1"/>
  <c r="H17" i="2"/>
  <c r="C23" i="4" s="1"/>
  <c r="H19" i="2"/>
  <c r="C25" i="4" s="1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H5" i="3" l="1"/>
  <c r="C11" i="4" s="1"/>
  <c r="I5" i="3"/>
  <c r="H9" i="3"/>
  <c r="C15" i="4" s="1"/>
  <c r="I9" i="3"/>
  <c r="H13" i="3"/>
  <c r="I13" i="3"/>
  <c r="K13" i="3" s="1"/>
  <c r="H6" i="3"/>
  <c r="C12" i="4" s="1"/>
  <c r="I6" i="3"/>
  <c r="I10" i="3"/>
  <c r="H10" i="3"/>
  <c r="C16" i="4" s="1"/>
  <c r="I14" i="3"/>
  <c r="K14" i="3" s="1"/>
  <c r="H14" i="3"/>
  <c r="E25" i="4"/>
  <c r="D25" i="4"/>
  <c r="J13" i="4"/>
  <c r="K17" i="3"/>
  <c r="J19" i="4" s="1"/>
  <c r="I7" i="3"/>
  <c r="H7" i="3"/>
  <c r="C13" i="4" s="1"/>
  <c r="I11" i="3"/>
  <c r="H11" i="3"/>
  <c r="C17" i="4" s="1"/>
  <c r="I15" i="3"/>
  <c r="K15" i="3" s="1"/>
  <c r="H15" i="3"/>
  <c r="H8" i="3"/>
  <c r="C14" i="4" s="1"/>
  <c r="I8" i="3"/>
  <c r="I12" i="3"/>
  <c r="K12" i="3" s="1"/>
  <c r="H12" i="3"/>
  <c r="H16" i="3"/>
  <c r="I16" i="3"/>
  <c r="K16" i="3" s="1"/>
  <c r="N19" i="2"/>
  <c r="G25" i="4" s="1"/>
  <c r="K24" i="4"/>
  <c r="N17" i="2"/>
  <c r="E23" i="4"/>
  <c r="E26" i="4"/>
  <c r="N20" i="2"/>
  <c r="G26" i="4" s="1"/>
  <c r="N18" i="2"/>
  <c r="G24" i="4" s="1"/>
  <c r="E24" i="4"/>
  <c r="L13" i="4"/>
  <c r="C16" i="2"/>
  <c r="I16" i="2" s="1"/>
  <c r="C15" i="2"/>
  <c r="E15" i="2"/>
  <c r="L15" i="2" s="1"/>
  <c r="E12" i="2"/>
  <c r="E14" i="2"/>
  <c r="L14" i="2" s="1"/>
  <c r="F20" i="4" s="1"/>
  <c r="C14" i="2"/>
  <c r="I14" i="2" s="1"/>
  <c r="E13" i="2"/>
  <c r="L13" i="2" s="1"/>
  <c r="F19" i="4" s="1"/>
  <c r="C13" i="2"/>
  <c r="I13" i="2" s="1"/>
  <c r="C12" i="2"/>
  <c r="K9" i="3" l="1"/>
  <c r="D15" i="4"/>
  <c r="D17" i="4"/>
  <c r="K11" i="3"/>
  <c r="D11" i="4"/>
  <c r="K5" i="3"/>
  <c r="J12" i="4"/>
  <c r="J14" i="4" s="1"/>
  <c r="D14" i="4"/>
  <c r="K8" i="3"/>
  <c r="K6" i="3"/>
  <c r="D12" i="4"/>
  <c r="K7" i="3"/>
  <c r="D13" i="4"/>
  <c r="K10" i="3"/>
  <c r="D16" i="4"/>
  <c r="F21" i="4"/>
  <c r="I15" i="2"/>
  <c r="H12" i="2"/>
  <c r="C18" i="4" s="1"/>
  <c r="I12" i="2"/>
  <c r="K16" i="2"/>
  <c r="D22" i="4"/>
  <c r="K13" i="2"/>
  <c r="D19" i="4"/>
  <c r="J24" i="4"/>
  <c r="M24" i="4" s="1"/>
  <c r="O24" i="4" s="1"/>
  <c r="G23" i="4"/>
  <c r="K19" i="4"/>
  <c r="L19" i="4" s="1"/>
  <c r="F55" i="4" s="1"/>
  <c r="G55" i="4" s="1"/>
  <c r="L12" i="2"/>
  <c r="F18" i="4" s="1"/>
  <c r="M12" i="2"/>
  <c r="D20" i="4"/>
  <c r="K14" i="2"/>
  <c r="M15" i="2"/>
  <c r="M13" i="2"/>
  <c r="M16" i="2"/>
  <c r="M14" i="2"/>
  <c r="H16" i="2"/>
  <c r="C22" i="4" s="1"/>
  <c r="H14" i="2"/>
  <c r="C20" i="4" s="1"/>
  <c r="H13" i="2"/>
  <c r="C19" i="4" s="1"/>
  <c r="H15" i="2"/>
  <c r="C21" i="4" s="1"/>
  <c r="E13" i="4" l="1"/>
  <c r="G13" i="4"/>
  <c r="K23" i="4"/>
  <c r="K25" i="4" s="1"/>
  <c r="E16" i="4"/>
  <c r="G16" i="4"/>
  <c r="E17" i="4"/>
  <c r="G17" i="4"/>
  <c r="E12" i="4"/>
  <c r="G12" i="4"/>
  <c r="E11" i="4"/>
  <c r="G11" i="4"/>
  <c r="J18" i="4"/>
  <c r="J20" i="4" s="1"/>
  <c r="E14" i="4"/>
  <c r="G14" i="4"/>
  <c r="E15" i="4"/>
  <c r="G15" i="4"/>
  <c r="E20" i="4"/>
  <c r="N14" i="2"/>
  <c r="G20" i="4" s="1"/>
  <c r="N13" i="2"/>
  <c r="G19" i="4" s="1"/>
  <c r="E19" i="4"/>
  <c r="D21" i="4"/>
  <c r="K15" i="2"/>
  <c r="E22" i="4"/>
  <c r="N16" i="2"/>
  <c r="G22" i="4" s="1"/>
  <c r="D18" i="4"/>
  <c r="K12" i="2"/>
  <c r="K12" i="4"/>
  <c r="E21" i="4" l="1"/>
  <c r="N15" i="2"/>
  <c r="G21" i="4" s="1"/>
  <c r="N12" i="2"/>
  <c r="G18" i="4" s="1"/>
  <c r="E18" i="4"/>
  <c r="J23" i="4" s="1"/>
  <c r="K14" i="4"/>
  <c r="L12" i="4"/>
  <c r="L14" i="4" s="1"/>
  <c r="K18" i="4" l="1"/>
  <c r="M23" i="4"/>
  <c r="J25" i="4"/>
  <c r="E47" i="4"/>
  <c r="E44" i="4"/>
  <c r="E49" i="4"/>
  <c r="E50" i="4" s="1"/>
  <c r="E46" i="4"/>
  <c r="E43" i="4"/>
  <c r="E45" i="4"/>
  <c r="E42" i="4"/>
  <c r="M25" i="4" l="1"/>
  <c r="O23" i="4"/>
  <c r="O25" i="4" s="1"/>
  <c r="L18" i="4"/>
  <c r="K20" i="4"/>
  <c r="F54" i="4" l="1"/>
  <c r="G54" i="4" s="1"/>
  <c r="L20" i="4"/>
  <c r="D58" i="4" l="1"/>
  <c r="D59" i="4" s="1"/>
  <c r="F56" i="4"/>
  <c r="G5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</authors>
  <commentList>
    <comment ref="E3" authorId="0" shapeId="0" xr:uid="{FBA69604-CE91-4127-80ED-5847D57D3FB0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Consumption corresponds to electricity consumed for the operation of the plant. This is not billed.</t>
        </r>
      </text>
    </comment>
    <comment ref="F3" authorId="0" shapeId="0" xr:uid="{E89F85F0-0C14-44AD-9D22-772982E28AB5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Invoiced imports correpond to electricity consumed in the offices of the plant.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  <author>Saurabh Gaikwad</author>
  </authors>
  <commentList>
    <comment ref="E3" authorId="0" shapeId="0" xr:uid="{9F1AB89D-CBFE-4521-8C15-B8FDC91B9CD9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Consumption data includes, but is not limited to, electricity from the grid used during the night into battery system. Using this for PE(bess) calculations is therefor conservative. </t>
        </r>
      </text>
    </comment>
    <comment ref="F3" authorId="1" shapeId="0" xr:uid="{49D2E0BF-D965-4AB2-A59F-53B7FF7536F2}">
      <text>
        <r>
          <rPr>
            <b/>
            <sz val="9"/>
            <color indexed="81"/>
            <rFont val="Tahoma"/>
            <family val="2"/>
          </rPr>
          <t>Harold Pro :</t>
        </r>
        <r>
          <rPr>
            <sz val="9"/>
            <color indexed="81"/>
            <rFont val="Tahoma"/>
            <family val="2"/>
          </rPr>
          <t xml:space="preserve">
Since this corresponds to office consumption, the imports identified in tab 'phase ini' actually accounts for the whole plant.</t>
        </r>
      </text>
    </comment>
    <comment ref="L3" authorId="0" shapeId="0" xr:uid="{222D199F-2656-428D-8373-113F6DDA79D4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Project emissions from BESS are calculated as per Tool05 ver03, equation (1) with a TDL default value of 0.2
</t>
        </r>
      </text>
    </comment>
    <comment ref="M3" authorId="0" shapeId="0" xr:uid="{A6D5292C-8348-4608-A184-2171D6F01D74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% indicator for share of consumption used for BESS on the total plant production. It should be below 2%.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pro</author>
  </authors>
  <commentList>
    <comment ref="E3" authorId="0" shapeId="0" xr:uid="{9BC2CC94-BBCA-46A2-BE08-B07783169F6D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source : sheet 'Ambatolampy ER MP3'</t>
        </r>
      </text>
    </comment>
    <comment ref="E10" authorId="0" shapeId="0" xr:uid="{01530957-8E49-444C-96A5-51B5F8DEF320}">
      <text>
        <r>
          <rPr>
            <b/>
            <sz val="9"/>
            <color indexed="81"/>
            <rFont val="Tahoma"/>
            <family val="2"/>
          </rPr>
          <t>Harold pro:</t>
        </r>
        <r>
          <rPr>
            <sz val="9"/>
            <color indexed="81"/>
            <rFont val="Tahoma"/>
            <family val="2"/>
          </rPr>
          <t xml:space="preserve">
source : sheet 'Ambatolampy ER MP3'</t>
        </r>
      </text>
    </comment>
  </commentList>
</comments>
</file>

<file path=xl/sharedStrings.xml><?xml version="1.0" encoding="utf-8"?>
<sst xmlns="http://schemas.openxmlformats.org/spreadsheetml/2006/main" count="142" uniqueCount="85">
  <si>
    <t>[kWh]</t>
  </si>
  <si>
    <t>Month</t>
  </si>
  <si>
    <t>EF</t>
  </si>
  <si>
    <t>tCO2/MWh</t>
  </si>
  <si>
    <t>BE</t>
  </si>
  <si>
    <t>tCO2</t>
  </si>
  <si>
    <t>Invoiced production</t>
  </si>
  <si>
    <t>EGfacility,y</t>
  </si>
  <si>
    <t>[MWh]</t>
  </si>
  <si>
    <t>Index énergie produite</t>
  </si>
  <si>
    <t>Index énergie consommée</t>
  </si>
  <si>
    <t>Consumption</t>
  </si>
  <si>
    <t>Invoiced imports</t>
  </si>
  <si>
    <t xml:space="preserve">Ambatolampy phase init 20 MW solar PV </t>
  </si>
  <si>
    <t xml:space="preserve">Ambatolampy phase ext 20 MW solar PV </t>
  </si>
  <si>
    <t>phase initiale</t>
  </si>
  <si>
    <t>phase ext</t>
  </si>
  <si>
    <t>total site</t>
  </si>
  <si>
    <t>total MP</t>
  </si>
  <si>
    <t xml:space="preserve">Total ER </t>
  </si>
  <si>
    <t>-</t>
  </si>
  <si>
    <t>Total Electricity Generation</t>
  </si>
  <si>
    <t>Updated Ex-ante expected ERs :</t>
  </si>
  <si>
    <t>10/07/2018 - 31/12/2018</t>
  </si>
  <si>
    <t>phase extension</t>
  </si>
  <si>
    <t>total</t>
  </si>
  <si>
    <t>ERs per year</t>
  </si>
  <si>
    <t xml:space="preserve"> </t>
  </si>
  <si>
    <t>EGPJ,y (MWh)</t>
  </si>
  <si>
    <t>Ambatolampy solar PV ER ex-post MR3</t>
  </si>
  <si>
    <t xml:space="preserve">MP3 : </t>
  </si>
  <si>
    <r>
      <t xml:space="preserve">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</si>
  <si>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t>note: billing for the extension phase begins on august 17, 2022</t>
  </si>
  <si>
    <r>
      <t xml:space="preserve">BE_Amb1
</t>
    </r>
    <r>
      <rPr>
        <i/>
        <sz val="11"/>
        <color theme="1"/>
        <rFont val="Calibri"/>
        <family val="2"/>
        <scheme val="minor"/>
      </rPr>
      <t>(tCO2)</t>
    </r>
  </si>
  <si>
    <t>SDG Target</t>
  </si>
  <si>
    <t>SDG Indicator</t>
  </si>
  <si>
    <t>Net Impact on SDG Indicator</t>
  </si>
  <si>
    <t>Current Project Contributions</t>
  </si>
  <si>
    <t>7.2</t>
  </si>
  <si>
    <t>8.5</t>
  </si>
  <si>
    <t>Increase of employment due to implemented activities</t>
  </si>
  <si>
    <t>13.0</t>
  </si>
  <si>
    <t xml:space="preserve">Tonnes of greenhouse gas emissions avoided or removed </t>
  </si>
  <si>
    <t>Increase in tonnes of greenhouse gas emissions avoided</t>
  </si>
  <si>
    <r>
      <t>Increase of renewable energy delivered to the Namibian grid from the project activity</t>
    </r>
    <r>
      <rPr>
        <sz val="8"/>
        <color rgb="FF000000"/>
        <rFont val="Calibri"/>
        <family val="2"/>
        <scheme val="minor"/>
      </rPr>
      <t>  </t>
    </r>
  </si>
  <si>
    <t xml:space="preserve">7.2.1 Renewable energy share in the total final energy consumption </t>
  </si>
  <si>
    <t>8.5.2 Unemployment rate, by sex, age, and persons with disabilities</t>
  </si>
  <si>
    <t>Percent difference</t>
  </si>
  <si>
    <t xml:space="preserve">ex-ante expected this MP : </t>
  </si>
  <si>
    <t xml:space="preserve">6 permanent positions for the operation, maintenance and cleaning of the plant.    </t>
  </si>
  <si>
    <t>01/01/2028 - 09/07/2028</t>
  </si>
  <si>
    <t>ini</t>
  </si>
  <si>
    <t>ext</t>
  </si>
  <si>
    <t>MP (2022)</t>
  </si>
  <si>
    <t>total expected</t>
  </si>
  <si>
    <t>total achieved</t>
  </si>
  <si>
    <t>percent difference</t>
  </si>
  <si>
    <t>01/01/2022 - 31/12/2023</t>
  </si>
  <si>
    <r>
      <t>PE</t>
    </r>
    <r>
      <rPr>
        <vertAlign val="subscript"/>
        <sz val="11"/>
        <color theme="0"/>
        <rFont val="Calibri"/>
        <family val="2"/>
        <scheme val="minor"/>
      </rPr>
      <t>BESS</t>
    </r>
  </si>
  <si>
    <t>% share indicator</t>
  </si>
  <si>
    <t>Total VCUs</t>
  </si>
  <si>
    <r>
      <t xml:space="preserve">PE(BESS)_Amb1
</t>
    </r>
    <r>
      <rPr>
        <i/>
        <sz val="11"/>
        <color theme="1"/>
        <rFont val="Calibri"/>
        <family val="2"/>
        <scheme val="minor"/>
      </rPr>
      <t>(tCO2)</t>
    </r>
  </si>
  <si>
    <r>
      <t xml:space="preserve">Total VCUs
</t>
    </r>
    <r>
      <rPr>
        <i/>
        <sz val="11"/>
        <color theme="1"/>
        <rFont val="Calibri"/>
        <family val="2"/>
        <scheme val="minor"/>
      </rPr>
      <t>(tCO2)</t>
    </r>
  </si>
  <si>
    <t>ex-post volume this MP :</t>
  </si>
  <si>
    <t>MP (2023)</t>
  </si>
  <si>
    <t>EGPJ,y (MWh) with error factor adjustemnt (0,5S)</t>
  </si>
  <si>
    <t>ACM0002: Large-scale Consolidated Methodology: Grid-connected electricity generation from renewable sources, Version 21.0</t>
  </si>
  <si>
    <r>
      <t>87,271 MWh net produced during this monitoring period</t>
    </r>
    <r>
      <rPr>
        <sz val="8"/>
        <color rgb="FF000000"/>
        <rFont val="Calibri"/>
        <family val="2"/>
        <scheme val="minor"/>
      </rPr>
      <t>  </t>
    </r>
  </si>
  <si>
    <t>Vintage period</t>
  </si>
  <si>
    <t>01-Jan-2022 to 31-Dec-2022</t>
  </si>
  <si>
    <t xml:space="preserve">Total </t>
  </si>
  <si>
    <r>
      <t>Baseline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</si>
  <si>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Project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</si>
  <si>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Leakage emissions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</si>
  <si>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Reduction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</si>
  <si>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Removal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</si>
  <si>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r>
      <t>Total VCUs (tCO</t>
    </r>
    <r>
      <rPr>
        <b/>
        <vertAlign val="subscript"/>
        <sz val="9.5"/>
        <color rgb="FFFFFFFF"/>
        <rFont val="Calibri"/>
        <family val="2"/>
        <scheme val="minor"/>
      </rPr>
      <t>2</t>
    </r>
    <r>
      <rPr>
        <b/>
        <sz val="9.5"/>
        <color rgb="FFFFFFFF"/>
        <rFont val="Calibri"/>
        <family val="2"/>
        <scheme val="minor"/>
      </rPr>
      <t>e)</t>
    </r>
  </si>
  <si>
    <t>01-Jan-2023 to 31-Dec-2023</t>
  </si>
  <si>
    <r>
      <t>58,394 tCO</t>
    </r>
    <r>
      <rPr>
        <vertAlign val="subscript"/>
        <sz val="9.5"/>
        <color rgb="FF000000"/>
        <rFont val="Calibri"/>
        <family val="2"/>
        <scheme val="minor"/>
      </rPr>
      <t>2</t>
    </r>
    <r>
      <rPr>
        <sz val="9.5"/>
        <color rgb="FF000000"/>
        <rFont val="Calibri"/>
        <family val="2"/>
        <scheme val="minor"/>
      </rPr>
      <t xml:space="preserve"> avoided during this monitoring period</t>
    </r>
  </si>
  <si>
    <t>JMR</t>
  </si>
  <si>
    <t xml:space="preserve">Invoices </t>
  </si>
  <si>
    <t>Invoiced exports</t>
  </si>
  <si>
    <t>Invoiced export</t>
  </si>
  <si>
    <t>Calculation</t>
  </si>
  <si>
    <t>EGPJ,y (MWh) with error factor adjustemnt (0.5S)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</si>
</sst>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_-* #,##0.00\ _€_-;\-* #,##0.00\ _€_-;_-* &quot;-&quot;??\ _€_-;_-@_-"/>
    <numFmt numFmtId="166" formatCode="#,##0.0000"/>
    <numFmt numFmtId="167" formatCode="_-* #,##0_-;\-* #,##0_-;_-* &quot;-&quot;??_-;_-@_-"/>
    <numFmt numFmtId="168" formatCode="0.000"/>
    <numFmt numFmtId="169" formatCode="[$]\ #,##0.0000"/>
    <numFmt numFmtId="170" formatCode="_(* #,##0.00_);_(* \(#,##0.00\);_(* &quot;-&quot;??_);_(@_)"/>
    <numFmt numFmtId="171" formatCode="_(* #,##0_);_(* \(#,##0\);_(* &quot;-&quot;??_);_(@_)"/>
    <numFmt numFmtId="172" formatCode="_-* #,##0\ _€_-;\-* #,##0\ _€_-;_-* &quot;-&quot;??\ _€_-;_-@_-"/>
    <numFmt numFmtId="173" formatCode="0.0%"/>
    <numFmt numFmtId="174" formatCode="#,##0.0"/>
    <numFmt numFmtId="175" formatCode="_(* #,##0.0_);_(* \(#,##0.0\);_(* &quot;-&quot;??_);_(@_)"/>
    <numFmt numFmtId="176" formatCode="_-* #,##0.0\ _€_-;\-* #,##0.0\ _€_-;_-* &quot;-&quot;?\ _€_-;_-@_-"/>
    <numFmt numFmtId="177" formatCode="_-* #,##0\ _F_-;\-* #,##0\ _F_-;_-* &quot;-&quot;\ _F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84593"/>
      <name val="Calibri"/>
      <family val="2"/>
      <scheme val="minor"/>
    </font>
    <font>
      <b/>
      <sz val="11"/>
      <color rgb="FF41515C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4F51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.5"/>
      <color theme="1"/>
      <name val="Franklin Gothic Book"/>
      <family val="2"/>
    </font>
    <font>
      <sz val="9.5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9.5"/>
      <color rgb="FF000000"/>
      <name val="Calibri"/>
      <family val="2"/>
      <scheme val="minor"/>
    </font>
    <font>
      <b/>
      <sz val="10.5"/>
      <name val="Franklin Gothic Book"/>
      <family val="2"/>
    </font>
    <font>
      <sz val="8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04040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9.5"/>
      <color rgb="FFFFFFFF"/>
      <name val="Calibri"/>
      <family val="2"/>
      <scheme val="minor"/>
    </font>
    <font>
      <b/>
      <vertAlign val="subscript"/>
      <sz val="9.5"/>
      <color rgb="FFFFFFFF"/>
      <name val="Calibri"/>
      <family val="2"/>
      <scheme val="minor"/>
    </font>
    <font>
      <b/>
      <sz val="9.5"/>
      <color rgb="FF40404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name val="Verdana"/>
      <family val="2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lightDown"/>
    </fill>
    <fill>
      <patternFill patternType="solid">
        <fgColor theme="0"/>
        <bgColor indexed="64"/>
      </patternFill>
    </fill>
    <fill>
      <patternFill patternType="solid">
        <fgColor rgb="FF41515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38" fillId="0" borderId="0"/>
    <xf numFmtId="0" fontId="38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>
      <alignment vertical="center"/>
    </xf>
    <xf numFmtId="164" fontId="41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165" fontId="1" fillId="0" borderId="0" applyFont="0" applyFill="0" applyBorder="0" applyAlignment="0" applyProtection="0"/>
    <xf numFmtId="0" fontId="37" fillId="0" borderId="0"/>
    <xf numFmtId="177" fontId="37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71" fontId="0" fillId="0" borderId="0" xfId="3" applyNumberFormat="1" applyFont="1" applyFill="1" applyBorder="1"/>
    <xf numFmtId="171" fontId="2" fillId="0" borderId="0" xfId="0" applyNumberFormat="1" applyFont="1"/>
    <xf numFmtId="1" fontId="0" fillId="0" borderId="0" xfId="0" applyNumberFormat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0" fillId="4" borderId="0" xfId="0" applyFill="1"/>
    <xf numFmtId="0" fontId="0" fillId="5" borderId="0" xfId="0" applyFill="1"/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17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1" fontId="0" fillId="0" borderId="0" xfId="0" applyNumberFormat="1"/>
    <xf numFmtId="0" fontId="0" fillId="0" borderId="1" xfId="0" applyBorder="1"/>
    <xf numFmtId="3" fontId="0" fillId="0" borderId="1" xfId="0" applyNumberFormat="1" applyBorder="1"/>
    <xf numFmtId="2" fontId="0" fillId="0" borderId="0" xfId="0" applyNumberFormat="1"/>
    <xf numFmtId="14" fontId="0" fillId="0" borderId="1" xfId="0" applyNumberFormat="1" applyBorder="1"/>
    <xf numFmtId="172" fontId="0" fillId="0" borderId="0" xfId="0" applyNumberFormat="1"/>
    <xf numFmtId="0" fontId="5" fillId="5" borderId="0" xfId="0" applyFont="1" applyFill="1"/>
    <xf numFmtId="0" fontId="5" fillId="5" borderId="0" xfId="0" applyFont="1" applyFill="1" applyAlignment="1">
      <alignment vertical="center" wrapText="1"/>
    </xf>
    <xf numFmtId="0" fontId="12" fillId="4" borderId="0" xfId="0" applyFont="1" applyFill="1"/>
    <xf numFmtId="0" fontId="2" fillId="0" borderId="13" xfId="0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 wrapText="1"/>
    </xf>
    <xf numFmtId="3" fontId="16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8" fillId="0" borderId="1" xfId="2" applyNumberFormat="1" applyFont="1" applyFill="1" applyBorder="1" applyAlignment="1">
      <alignment horizontal="center" vertical="center" wrapText="1"/>
    </xf>
    <xf numFmtId="164" fontId="8" fillId="0" borderId="3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9" fillId="0" borderId="0" xfId="0" applyNumberFormat="1" applyFont="1"/>
    <xf numFmtId="0" fontId="23" fillId="4" borderId="15" xfId="0" applyFont="1" applyFill="1" applyBorder="1" applyAlignment="1">
      <alignment vertical="center" wrapText="1"/>
    </xf>
    <xf numFmtId="0" fontId="23" fillId="4" borderId="16" xfId="0" applyFont="1" applyFill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4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167" fontId="0" fillId="0" borderId="1" xfId="2" applyNumberFormat="1" applyFont="1" applyBorder="1"/>
    <xf numFmtId="0" fontId="8" fillId="0" borderId="1" xfId="0" applyFont="1" applyBorder="1" applyAlignment="1">
      <alignment vertical="center" wrapText="1"/>
    </xf>
    <xf numFmtId="173" fontId="9" fillId="0" borderId="1" xfId="0" applyNumberFormat="1" applyFont="1" applyBorder="1" applyAlignment="1">
      <alignment vertical="center" wrapText="1"/>
    </xf>
    <xf numFmtId="167" fontId="2" fillId="0" borderId="1" xfId="2" applyNumberFormat="1" applyFont="1" applyBorder="1"/>
    <xf numFmtId="167" fontId="0" fillId="0" borderId="1" xfId="0" applyNumberFormat="1" applyBorder="1"/>
    <xf numFmtId="167" fontId="0" fillId="0" borderId="13" xfId="0" applyNumberFormat="1" applyBorder="1"/>
    <xf numFmtId="167" fontId="0" fillId="0" borderId="3" xfId="0" applyNumberFormat="1" applyBorder="1"/>
    <xf numFmtId="173" fontId="0" fillId="0" borderId="1" xfId="5" applyNumberFormat="1" applyFont="1" applyBorder="1"/>
    <xf numFmtId="167" fontId="8" fillId="3" borderId="5" xfId="2" applyNumberFormat="1" applyFont="1" applyFill="1" applyBorder="1" applyAlignment="1">
      <alignment vertical="center" wrapText="1"/>
    </xf>
    <xf numFmtId="167" fontId="8" fillId="3" borderId="6" xfId="2" applyNumberFormat="1" applyFont="1" applyFill="1" applyBorder="1" applyAlignment="1">
      <alignment vertical="center" wrapText="1"/>
    </xf>
    <xf numFmtId="167" fontId="8" fillId="3" borderId="7" xfId="2" applyNumberFormat="1" applyFont="1" applyFill="1" applyBorder="1" applyAlignment="1">
      <alignment vertical="center" wrapText="1"/>
    </xf>
    <xf numFmtId="167" fontId="8" fillId="3" borderId="8" xfId="2" applyNumberFormat="1" applyFont="1" applyFill="1" applyBorder="1" applyAlignment="1">
      <alignment vertical="center" wrapText="1"/>
    </xf>
    <xf numFmtId="167" fontId="8" fillId="3" borderId="0" xfId="2" applyNumberFormat="1" applyFont="1" applyFill="1" applyBorder="1" applyAlignment="1">
      <alignment vertical="center" wrapText="1"/>
    </xf>
    <xf numFmtId="167" fontId="8" fillId="3" borderId="9" xfId="2" applyNumberFormat="1" applyFont="1" applyFill="1" applyBorder="1" applyAlignment="1">
      <alignment vertical="center" wrapText="1"/>
    </xf>
    <xf numFmtId="167" fontId="8" fillId="3" borderId="10" xfId="2" applyNumberFormat="1" applyFont="1" applyFill="1" applyBorder="1" applyAlignment="1">
      <alignment vertical="center" wrapText="1"/>
    </xf>
    <xf numFmtId="167" fontId="8" fillId="3" borderId="11" xfId="2" applyNumberFormat="1" applyFont="1" applyFill="1" applyBorder="1" applyAlignment="1">
      <alignment vertical="center" wrapText="1"/>
    </xf>
    <xf numFmtId="167" fontId="8" fillId="3" borderId="12" xfId="2" applyNumberFormat="1" applyFont="1" applyFill="1" applyBorder="1" applyAlignment="1">
      <alignment vertical="center" wrapText="1"/>
    </xf>
    <xf numFmtId="10" fontId="0" fillId="0" borderId="1" xfId="5" applyNumberFormat="1" applyFont="1" applyBorder="1" applyAlignment="1">
      <alignment horizontal="center" vertical="center"/>
    </xf>
    <xf numFmtId="0" fontId="30" fillId="0" borderId="1" xfId="0" applyFont="1" applyBorder="1" applyAlignment="1">
      <alignment wrapText="1"/>
    </xf>
    <xf numFmtId="175" fontId="0" fillId="0" borderId="1" xfId="3" applyNumberFormat="1" applyFont="1" applyFill="1" applyBorder="1" applyAlignment="1">
      <alignment horizontal="center" vertical="center"/>
    </xf>
    <xf numFmtId="167" fontId="0" fillId="0" borderId="1" xfId="2" applyNumberFormat="1" applyFont="1" applyFill="1" applyBorder="1"/>
    <xf numFmtId="0" fontId="32" fillId="6" borderId="1" xfId="0" applyFont="1" applyFill="1" applyBorder="1" applyAlignment="1">
      <alignment vertical="center" wrapText="1"/>
    </xf>
    <xf numFmtId="176" fontId="0" fillId="0" borderId="0" xfId="0" applyNumberFormat="1"/>
    <xf numFmtId="0" fontId="20" fillId="0" borderId="1" xfId="0" applyFont="1" applyBorder="1" applyAlignment="1">
      <alignment vertical="center" wrapText="1"/>
    </xf>
    <xf numFmtId="171" fontId="20" fillId="0" borderId="1" xfId="0" applyNumberFormat="1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171" fontId="35" fillId="0" borderId="1" xfId="0" applyNumberFormat="1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71" fontId="20" fillId="0" borderId="13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74" fontId="0" fillId="0" borderId="0" xfId="0" applyNumberFormat="1"/>
    <xf numFmtId="174" fontId="2" fillId="0" borderId="0" xfId="0" applyNumberFormat="1" applyFont="1"/>
    <xf numFmtId="176" fontId="20" fillId="0" borderId="0" xfId="0" applyNumberFormat="1" applyFont="1" applyAlignment="1">
      <alignment vertical="center" wrapText="1"/>
    </xf>
    <xf numFmtId="167" fontId="0" fillId="0" borderId="1" xfId="2" applyNumberFormat="1" applyFont="1" applyFill="1" applyBorder="1" applyAlignment="1">
      <alignment horizontal="center" vertical="center"/>
    </xf>
    <xf numFmtId="175" fontId="2" fillId="0" borderId="1" xfId="3" applyNumberFormat="1" applyFont="1" applyFill="1" applyBorder="1" applyAlignment="1">
      <alignment horizontal="center" vertical="center"/>
    </xf>
    <xf numFmtId="171" fontId="20" fillId="0" borderId="1" xfId="2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center" wrapText="1"/>
    </xf>
    <xf numFmtId="167" fontId="0" fillId="0" borderId="22" xfId="2" applyNumberFormat="1" applyFont="1" applyBorder="1"/>
    <xf numFmtId="167" fontId="0" fillId="0" borderId="30" xfId="2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0" fillId="4" borderId="21" xfId="0" applyFont="1" applyFill="1" applyBorder="1" applyAlignment="1">
      <alignment vertical="center" wrapText="1"/>
    </xf>
    <xf numFmtId="0" fontId="20" fillId="4" borderId="23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24" xfId="0" applyFont="1" applyFill="1" applyBorder="1" applyAlignment="1">
      <alignment vertical="center" wrapText="1"/>
    </xf>
    <xf numFmtId="0" fontId="20" fillId="4" borderId="22" xfId="0" applyFont="1" applyFill="1" applyBorder="1" applyAlignment="1">
      <alignment vertical="center" wrapText="1"/>
    </xf>
    <xf numFmtId="0" fontId="20" fillId="4" borderId="25" xfId="0" applyFont="1" applyFill="1" applyBorder="1" applyAlignment="1">
      <alignment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vertical="center" wrapText="1"/>
    </xf>
    <xf numFmtId="0" fontId="20" fillId="4" borderId="19" xfId="0" applyFont="1" applyFill="1" applyBorder="1" applyAlignment="1">
      <alignment vertical="center" wrapText="1"/>
    </xf>
    <xf numFmtId="0" fontId="20" fillId="4" borderId="20" xfId="0" applyFont="1" applyFill="1" applyBorder="1" applyAlignment="1">
      <alignment vertical="center" wrapText="1"/>
    </xf>
    <xf numFmtId="0" fontId="20" fillId="4" borderId="22" xfId="0" applyFont="1" applyFill="1" applyBorder="1" applyAlignment="1">
      <alignment horizontal="justify" vertic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3" fontId="0" fillId="0" borderId="0" xfId="0" applyNumberFormat="1" applyFill="1"/>
  </cellXfs>
  <cellStyles count="19">
    <cellStyle name="Comma" xfId="2" builtinId="3"/>
    <cellStyle name="Comma 2" xfId="1" xr:uid="{00000000-0005-0000-0000-000000000000}"/>
    <cellStyle name="Comma 2 2" xfId="12" xr:uid="{9A37A246-4A70-47A4-8847-3BC1D6656624}"/>
    <cellStyle name="Hyperlink" xfId="4" builtinId="8"/>
    <cellStyle name="Milliers [0] 2" xfId="18" xr:uid="{80B17490-CE25-4223-B6BC-86BE7EF1131C}"/>
    <cellStyle name="Milliers 2" xfId="3" xr:uid="{ADA3ADA2-20DB-4FF9-B6DA-02B5A418A942}"/>
    <cellStyle name="Milliers 2 2" xfId="9" xr:uid="{DDEC5B34-26FB-4C8A-87E7-77D42E97D441}"/>
    <cellStyle name="Milliers 3" xfId="16" xr:uid="{1B463CDE-18CB-4FE7-A3D7-F25DED741259}"/>
    <cellStyle name="Normal" xfId="0" builtinId="0"/>
    <cellStyle name="Normal 2" xfId="6" xr:uid="{BC53ECAB-EF2C-44D2-8816-4CB275070B36}"/>
    <cellStyle name="Normal 2 2" xfId="7" xr:uid="{6EA4CE39-D9F1-42FF-80A0-FBF66F2ADB15}"/>
    <cellStyle name="Normal 3" xfId="8" xr:uid="{06F11B00-6D03-4207-9A35-BF3DE897D1BB}"/>
    <cellStyle name="Normal 4" xfId="11" xr:uid="{E3A3D746-D8F9-4F96-B29A-3E19C970B640}"/>
    <cellStyle name="Normal 5" xfId="17" xr:uid="{8EBE6DA4-1FEC-491E-B9F6-F1EAED624881}"/>
    <cellStyle name="Percent" xfId="5" builtinId="5"/>
    <cellStyle name="Pourcentage 2" xfId="10" xr:uid="{3DE6026C-CDA8-4638-92A9-21F48D74FFA3}"/>
    <cellStyle name="桁区切り 2" xfId="13" xr:uid="{11046FBC-B577-4E05-84A7-9813CF59DF69}"/>
    <cellStyle name="標準 2" xfId="14" xr:uid="{12F26457-ACC1-4CA7-BDEB-D15A2E187831}"/>
    <cellStyle name="標準 3" xfId="15" xr:uid="{687F42DF-8E35-416B-AD74-C5B0DA392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399758</xdr:colOff>
      <xdr:row>0</xdr:row>
      <xdr:rowOff>152400</xdr:rowOff>
    </xdr:from>
    <xdr:ext cx="1747468" cy="386243"/>
    <xdr:pic>
      <xdr:nvPicPr>
        <xdr:cNvPr id="2" name="Image 1">
          <a:extLst>
            <a:ext uri="{FF2B5EF4-FFF2-40B4-BE49-F238E27FC236}">
              <a16:creationId xmlns:a16="http://schemas.microsoft.com/office/drawing/2014/main" id="{5EF7C1A5-3012-4510-8BA4-5D21EAB6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9758" y="152400"/>
          <a:ext cx="1747468" cy="386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Bilprodjour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rapanne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GEF_calculation_sheet_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ege/Downloads/Bilan_Exploitation_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che"/>
      <sheetName val="TdB"/>
      <sheetName val="Cumul Annee GRP"/>
      <sheetName val="Cumul Mois GRP"/>
      <sheetName val="G105"/>
      <sheetName val="G106"/>
      <sheetName val="C.I"/>
      <sheetName val="G101"/>
      <sheetName val="G103"/>
      <sheetName val="CII"/>
      <sheetName val="G301"/>
      <sheetName val="G302"/>
      <sheetName val="G303"/>
      <sheetName val="TAG1"/>
      <sheetName val="CIII TAV"/>
      <sheetName val="TAG2"/>
      <sheetName val="TAG3"/>
      <sheetName val="TAG C3"/>
      <sheetName val="TAG4"/>
      <sheetName val="TAG"/>
      <sheetName val="G401"/>
      <sheetName val="G402"/>
      <sheetName val="G403"/>
      <sheetName val="CIV_Pils"/>
      <sheetName val="G404"/>
      <sheetName val="G405"/>
      <sheetName val="CIV_War"/>
      <sheetName val="C.IV"/>
      <sheetName val="C.V"/>
      <sheetName val="G601"/>
      <sheetName val="G602"/>
      <sheetName val="G603"/>
      <sheetName val="G604"/>
      <sheetName val="CVI"/>
      <sheetName val="G701"/>
      <sheetName val="G702"/>
      <sheetName val="G703"/>
      <sheetName val="G704"/>
      <sheetName val="KAH2"/>
      <sheetName val="S.L"/>
      <sheetName val="KAH"/>
      <sheetName val="BWSC"/>
      <sheetName val="804"/>
      <sheetName val="805"/>
      <sheetName val="Bte"/>
      <sheetName val="Tba"/>
      <sheetName val="CS"/>
      <sheetName val="Aggreko Kahone"/>
      <sheetName val="GTI"/>
      <sheetName val="Aggreko Nouakchott"/>
      <sheetName val="Kounoune 1"/>
      <sheetName val="Manantali "/>
      <sheetName val="Achats"/>
      <sheetName val="Aggreko Boutoute"/>
      <sheetName val="Total Achat"/>
      <sheetName val="SEN R.I"/>
      <sheetName val="ENS. R.I"/>
      <sheetName val="Senelec"/>
      <sheetName val="Ens Pays"/>
      <sheetName val="CoûtsEnsRI"/>
      <sheetName val="OrdreJour"/>
      <sheetName val="OrdreMois"/>
      <sheetName val="Passé"/>
      <sheetName val="PrixCom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Base_data"/>
      <sheetName val="Fuel_type"/>
      <sheetName val="OM(1)"/>
      <sheetName val="OM(2)"/>
      <sheetName val="OM(3)"/>
      <sheetName val="OM"/>
      <sheetName val="BM"/>
      <sheetName val="CM"/>
      <sheetName val="DV"/>
      <sheetName val="DV_ECE"/>
    </sheetNames>
    <sheetDataSet>
      <sheetData sheetId="0" refreshError="1">
        <row r="67">
          <cell r="B67" t="str">
            <v>A1</v>
          </cell>
        </row>
        <row r="68">
          <cell r="B68" t="str">
            <v>A2</v>
          </cell>
        </row>
        <row r="69">
          <cell r="B69" t="str">
            <v>A3</v>
          </cell>
        </row>
        <row r="70">
          <cell r="B70" t="str">
            <v>Import</v>
          </cell>
        </row>
        <row r="72">
          <cell r="B72" t="str">
            <v>+</v>
          </cell>
        </row>
        <row r="73">
          <cell r="B73" t="str">
            <v>++</v>
          </cell>
        </row>
      </sheetData>
      <sheetData sheetId="1" refreshError="1">
        <row r="6">
          <cell r="AH6">
            <v>1950</v>
          </cell>
          <cell r="AI6">
            <v>1</v>
          </cell>
          <cell r="AJ6">
            <v>1</v>
          </cell>
        </row>
        <row r="7">
          <cell r="AH7">
            <v>1951</v>
          </cell>
          <cell r="AI7">
            <v>2</v>
          </cell>
          <cell r="AJ7">
            <v>2</v>
          </cell>
        </row>
        <row r="8">
          <cell r="AH8">
            <v>1952</v>
          </cell>
          <cell r="AI8">
            <v>3</v>
          </cell>
          <cell r="AJ8">
            <v>3</v>
          </cell>
        </row>
        <row r="9">
          <cell r="AH9">
            <v>1953</v>
          </cell>
          <cell r="AI9">
            <v>4</v>
          </cell>
          <cell r="AJ9">
            <v>4</v>
          </cell>
        </row>
        <row r="10">
          <cell r="AH10">
            <v>1954</v>
          </cell>
          <cell r="AI10">
            <v>5</v>
          </cell>
          <cell r="AJ10">
            <v>5</v>
          </cell>
        </row>
        <row r="11">
          <cell r="AH11">
            <v>1955</v>
          </cell>
          <cell r="AI11">
            <v>6</v>
          </cell>
          <cell r="AJ11">
            <v>6</v>
          </cell>
        </row>
        <row r="12">
          <cell r="AH12">
            <v>1956</v>
          </cell>
          <cell r="AI12">
            <v>7</v>
          </cell>
          <cell r="AJ12">
            <v>7</v>
          </cell>
        </row>
        <row r="13">
          <cell r="AH13">
            <v>1957</v>
          </cell>
          <cell r="AI13">
            <v>8</v>
          </cell>
          <cell r="AJ13">
            <v>8</v>
          </cell>
        </row>
        <row r="14">
          <cell r="AH14">
            <v>1958</v>
          </cell>
          <cell r="AI14">
            <v>9</v>
          </cell>
          <cell r="AJ14">
            <v>9</v>
          </cell>
        </row>
        <row r="15">
          <cell r="AH15">
            <v>1959</v>
          </cell>
          <cell r="AI15">
            <v>10</v>
          </cell>
          <cell r="AJ15">
            <v>10</v>
          </cell>
        </row>
        <row r="16">
          <cell r="AH16">
            <v>1960</v>
          </cell>
          <cell r="AI16">
            <v>11</v>
          </cell>
          <cell r="AJ16">
            <v>11</v>
          </cell>
        </row>
        <row r="17">
          <cell r="AH17">
            <v>1961</v>
          </cell>
          <cell r="AI17">
            <v>12</v>
          </cell>
          <cell r="AJ17">
            <v>12</v>
          </cell>
        </row>
        <row r="18">
          <cell r="AH18">
            <v>1962</v>
          </cell>
          <cell r="AJ18">
            <v>13</v>
          </cell>
        </row>
        <row r="19">
          <cell r="AH19">
            <v>1963</v>
          </cell>
          <cell r="AJ19">
            <v>14</v>
          </cell>
        </row>
        <row r="20">
          <cell r="AH20">
            <v>1964</v>
          </cell>
          <cell r="AJ20">
            <v>15</v>
          </cell>
        </row>
        <row r="21">
          <cell r="AH21">
            <v>1965</v>
          </cell>
          <cell r="AJ21">
            <v>16</v>
          </cell>
        </row>
        <row r="22">
          <cell r="AH22">
            <v>1966</v>
          </cell>
          <cell r="AJ22">
            <v>17</v>
          </cell>
        </row>
        <row r="23">
          <cell r="AH23">
            <v>1967</v>
          </cell>
          <cell r="AJ23">
            <v>18</v>
          </cell>
        </row>
        <row r="24">
          <cell r="AH24">
            <v>1968</v>
          </cell>
          <cell r="AJ24">
            <v>19</v>
          </cell>
        </row>
        <row r="25">
          <cell r="AH25">
            <v>1969</v>
          </cell>
          <cell r="AJ25">
            <v>20</v>
          </cell>
        </row>
        <row r="26">
          <cell r="AH26">
            <v>1970</v>
          </cell>
          <cell r="AJ26">
            <v>21</v>
          </cell>
        </row>
        <row r="27">
          <cell r="AH27">
            <v>1971</v>
          </cell>
          <cell r="AJ27">
            <v>22</v>
          </cell>
        </row>
        <row r="28">
          <cell r="AH28">
            <v>1972</v>
          </cell>
          <cell r="AJ28">
            <v>23</v>
          </cell>
        </row>
        <row r="29">
          <cell r="AH29">
            <v>1973</v>
          </cell>
          <cell r="AJ29">
            <v>24</v>
          </cell>
        </row>
        <row r="30">
          <cell r="AH30">
            <v>1974</v>
          </cell>
          <cell r="AJ30">
            <v>25</v>
          </cell>
        </row>
        <row r="31">
          <cell r="AH31">
            <v>1975</v>
          </cell>
          <cell r="AJ31">
            <v>26</v>
          </cell>
        </row>
        <row r="32">
          <cell r="AH32">
            <v>1976</v>
          </cell>
          <cell r="AJ32">
            <v>27</v>
          </cell>
        </row>
        <row r="33">
          <cell r="AH33">
            <v>1977</v>
          </cell>
          <cell r="AJ33">
            <v>28</v>
          </cell>
        </row>
        <row r="34">
          <cell r="AH34">
            <v>1978</v>
          </cell>
          <cell r="AJ34">
            <v>29</v>
          </cell>
        </row>
        <row r="35">
          <cell r="AH35">
            <v>1979</v>
          </cell>
          <cell r="AJ35">
            <v>30</v>
          </cell>
        </row>
        <row r="36">
          <cell r="AH36">
            <v>1980</v>
          </cell>
          <cell r="AJ36">
            <v>31</v>
          </cell>
        </row>
        <row r="37">
          <cell r="AH37">
            <v>1981</v>
          </cell>
        </row>
        <row r="38">
          <cell r="AH38">
            <v>1982</v>
          </cell>
        </row>
        <row r="39">
          <cell r="AH39">
            <v>1983</v>
          </cell>
        </row>
        <row r="40">
          <cell r="AH40">
            <v>1984</v>
          </cell>
        </row>
        <row r="41">
          <cell r="AH41">
            <v>1985</v>
          </cell>
        </row>
        <row r="42">
          <cell r="AH42">
            <v>1986</v>
          </cell>
        </row>
        <row r="43">
          <cell r="AH43">
            <v>1987</v>
          </cell>
        </row>
        <row r="44">
          <cell r="AH44">
            <v>1988</v>
          </cell>
        </row>
        <row r="45">
          <cell r="AH45">
            <v>1989</v>
          </cell>
        </row>
        <row r="46">
          <cell r="AH46">
            <v>1990</v>
          </cell>
        </row>
        <row r="47">
          <cell r="AH47">
            <v>1991</v>
          </cell>
        </row>
        <row r="48">
          <cell r="AH48">
            <v>1992</v>
          </cell>
        </row>
        <row r="49">
          <cell r="AH49">
            <v>1993</v>
          </cell>
        </row>
        <row r="50">
          <cell r="AH50">
            <v>1994</v>
          </cell>
        </row>
        <row r="51">
          <cell r="AH51">
            <v>1995</v>
          </cell>
        </row>
        <row r="52">
          <cell r="AH52">
            <v>1996</v>
          </cell>
        </row>
        <row r="53">
          <cell r="AH53">
            <v>1997</v>
          </cell>
        </row>
        <row r="54">
          <cell r="AH54">
            <v>1998</v>
          </cell>
        </row>
        <row r="55">
          <cell r="AH55">
            <v>1999</v>
          </cell>
        </row>
        <row r="56">
          <cell r="AH56">
            <v>2000</v>
          </cell>
        </row>
        <row r="57">
          <cell r="AH57">
            <v>2001</v>
          </cell>
        </row>
        <row r="58">
          <cell r="AH58">
            <v>2002</v>
          </cell>
        </row>
        <row r="59">
          <cell r="AH59">
            <v>2003</v>
          </cell>
        </row>
        <row r="60">
          <cell r="AH60">
            <v>2004</v>
          </cell>
        </row>
        <row r="61">
          <cell r="AH61">
            <v>2005</v>
          </cell>
        </row>
        <row r="62">
          <cell r="AH62">
            <v>2006</v>
          </cell>
        </row>
        <row r="63">
          <cell r="AH63">
            <v>2007</v>
          </cell>
        </row>
        <row r="64">
          <cell r="AH64">
            <v>2008</v>
          </cell>
        </row>
        <row r="65">
          <cell r="AH65">
            <v>2009</v>
          </cell>
        </row>
        <row r="66">
          <cell r="AH66">
            <v>2010</v>
          </cell>
        </row>
        <row r="67">
          <cell r="AH67">
            <v>2011</v>
          </cell>
        </row>
        <row r="68">
          <cell r="AH68">
            <v>2012</v>
          </cell>
        </row>
        <row r="69">
          <cell r="AH69">
            <v>2013</v>
          </cell>
        </row>
        <row r="70">
          <cell r="AH70">
            <v>2014</v>
          </cell>
        </row>
        <row r="71">
          <cell r="AH71">
            <v>2015</v>
          </cell>
        </row>
        <row r="72">
          <cell r="AH72">
            <v>2016</v>
          </cell>
        </row>
        <row r="73">
          <cell r="AH73">
            <v>2017</v>
          </cell>
        </row>
        <row r="74">
          <cell r="AH74">
            <v>2018</v>
          </cell>
        </row>
        <row r="75">
          <cell r="AH75">
            <v>2019</v>
          </cell>
        </row>
        <row r="76">
          <cell r="AH7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sation"/>
      <sheetName val="TdB"/>
      <sheetName val="Demande"/>
      <sheetName val="Cumul Annee GRP"/>
      <sheetName val="Cumul Mois GRP"/>
      <sheetName val="Bilan journalier"/>
      <sheetName val="PlcmAnnee"/>
      <sheetName val="PlcmMois"/>
      <sheetName val="PlcmJour"/>
      <sheetName val="Journal"/>
      <sheetName val="Inf_grp_evol_cout"/>
      <sheetName val="Indispo Grpes RI"/>
    </sheetNames>
    <sheetDataSet>
      <sheetData sheetId="0" refreshError="1">
        <row r="5">
          <cell r="F5">
            <v>41274</v>
          </cell>
          <cell r="H5">
            <v>12</v>
          </cell>
          <cell r="J5">
            <v>15</v>
          </cell>
        </row>
        <row r="6">
          <cell r="K6">
            <v>1</v>
          </cell>
          <cell r="L6">
            <v>2</v>
          </cell>
          <cell r="M6">
            <v>3</v>
          </cell>
          <cell r="N6">
            <v>4</v>
          </cell>
          <cell r="O6">
            <v>5</v>
          </cell>
          <cell r="P6">
            <v>6</v>
          </cell>
          <cell r="Q6">
            <v>7</v>
          </cell>
          <cell r="R6">
            <v>8</v>
          </cell>
          <cell r="S6">
            <v>9</v>
          </cell>
          <cell r="T6">
            <v>10</v>
          </cell>
          <cell r="U6">
            <v>11</v>
          </cell>
          <cell r="V6">
            <v>12</v>
          </cell>
        </row>
        <row r="7">
          <cell r="K7" t="str">
            <v>Janvier</v>
          </cell>
          <cell r="L7" t="str">
            <v>Février</v>
          </cell>
          <cell r="M7" t="str">
            <v>Mars</v>
          </cell>
          <cell r="N7" t="str">
            <v>Avril</v>
          </cell>
          <cell r="O7" t="str">
            <v>Mai</v>
          </cell>
          <cell r="P7" t="str">
            <v>Juin</v>
          </cell>
          <cell r="Q7" t="str">
            <v>Juillet</v>
          </cell>
          <cell r="R7" t="str">
            <v>Août</v>
          </cell>
          <cell r="S7" t="str">
            <v>Septembre</v>
          </cell>
          <cell r="T7" t="str">
            <v>Octobre</v>
          </cell>
          <cell r="U7" t="str">
            <v>Novembre</v>
          </cell>
          <cell r="V7" t="str">
            <v>Décembre</v>
          </cell>
        </row>
        <row r="8">
          <cell r="K8">
            <v>3</v>
          </cell>
          <cell r="L8">
            <v>25</v>
          </cell>
          <cell r="M8">
            <v>16</v>
          </cell>
          <cell r="N8">
            <v>26</v>
          </cell>
          <cell r="O8">
            <v>27</v>
          </cell>
          <cell r="P8">
            <v>18</v>
          </cell>
          <cell r="Q8">
            <v>28</v>
          </cell>
          <cell r="R8">
            <v>29</v>
          </cell>
          <cell r="S8">
            <v>22</v>
          </cell>
          <cell r="T8">
            <v>23</v>
          </cell>
          <cell r="U8">
            <v>24</v>
          </cell>
          <cell r="V8">
            <v>15</v>
          </cell>
        </row>
        <row r="9">
          <cell r="K9" t="str">
            <v>Fin Janvier</v>
          </cell>
          <cell r="L9" t="str">
            <v>fin fév</v>
          </cell>
          <cell r="M9" t="str">
            <v>1er trim</v>
          </cell>
          <cell r="N9" t="str">
            <v>fin avr</v>
          </cell>
          <cell r="O9" t="str">
            <v>fin mai</v>
          </cell>
          <cell r="P9" t="str">
            <v>1er sem</v>
          </cell>
          <cell r="Q9" t="str">
            <v>fin juil</v>
          </cell>
          <cell r="R9" t="str">
            <v>fin août</v>
          </cell>
          <cell r="S9" t="str">
            <v>fin Sept</v>
          </cell>
          <cell r="T9" t="str">
            <v>fin oct</v>
          </cell>
          <cell r="U9" t="str">
            <v>fin nov</v>
          </cell>
          <cell r="V9" t="str">
            <v>Année</v>
          </cell>
        </row>
        <row r="10">
          <cell r="L10">
            <v>3</v>
          </cell>
          <cell r="M10">
            <v>25</v>
          </cell>
          <cell r="N10">
            <v>16</v>
          </cell>
          <cell r="O10">
            <v>26</v>
          </cell>
          <cell r="P10">
            <v>27</v>
          </cell>
          <cell r="Q10">
            <v>18</v>
          </cell>
          <cell r="R10">
            <v>28</v>
          </cell>
          <cell r="S10">
            <v>29</v>
          </cell>
          <cell r="T10">
            <v>22</v>
          </cell>
          <cell r="U10">
            <v>23</v>
          </cell>
          <cell r="V10">
            <v>24</v>
          </cell>
        </row>
        <row r="11">
          <cell r="L11" t="str">
            <v>Janvier</v>
          </cell>
          <cell r="M11" t="str">
            <v>fin fév</v>
          </cell>
          <cell r="N11" t="str">
            <v>1er trim</v>
          </cell>
          <cell r="O11" t="str">
            <v>fin avr</v>
          </cell>
          <cell r="P11" t="str">
            <v>fin mai</v>
          </cell>
          <cell r="Q11" t="str">
            <v>1er sem</v>
          </cell>
          <cell r="R11" t="str">
            <v>fin juil</v>
          </cell>
          <cell r="S11" t="str">
            <v>fin août</v>
          </cell>
          <cell r="T11" t="str">
            <v>fin Sept</v>
          </cell>
          <cell r="U11" t="str">
            <v>fin oct</v>
          </cell>
          <cell r="V11" t="str">
            <v>fin nov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9A0C-128E-4812-BCC2-7A60A368752C}">
  <dimension ref="B1:S67"/>
  <sheetViews>
    <sheetView tabSelected="1" topLeftCell="A33" zoomScaleNormal="100" workbookViewId="0">
      <selection activeCell="L28" sqref="L28"/>
    </sheetView>
  </sheetViews>
  <sheetFormatPr defaultColWidth="8.88671875" defaultRowHeight="14.4"/>
  <cols>
    <col min="1" max="1" width="6.21875" customWidth="1"/>
    <col min="2" max="2" width="14.5546875" customWidth="1"/>
    <col min="3" max="3" width="16" customWidth="1"/>
    <col min="4" max="4" width="13.88671875" customWidth="1"/>
    <col min="5" max="5" width="14.33203125" customWidth="1"/>
    <col min="6" max="6" width="14" customWidth="1"/>
    <col min="7" max="7" width="15.88671875" customWidth="1"/>
    <col min="8" max="8" width="6.5546875" customWidth="1"/>
    <col min="9" max="9" width="11.33203125" customWidth="1"/>
    <col min="10" max="10" width="14" customWidth="1"/>
    <col min="11" max="11" width="15.33203125" customWidth="1"/>
    <col min="12" max="12" width="14.21875" customWidth="1"/>
    <col min="13" max="13" width="13.33203125" customWidth="1"/>
    <col min="14" max="14" width="10.5546875" customWidth="1"/>
    <col min="15" max="15" width="8.88671875" customWidth="1"/>
    <col min="16" max="16" width="10.5546875" bestFit="1" customWidth="1"/>
  </cols>
  <sheetData>
    <row r="1" spans="2:19" s="12" customFormat="1" ht="10.95" customHeight="1"/>
    <row r="2" spans="2:19" s="12" customFormat="1"/>
    <row r="3" spans="2:19" s="12" customFormat="1" ht="13.95" customHeight="1">
      <c r="B3"/>
      <c r="C3" s="104"/>
      <c r="D3" s="104"/>
      <c r="E3" s="104"/>
      <c r="F3" s="104"/>
      <c r="G3" s="104"/>
    </row>
    <row r="4" spans="2:19" s="12" customFormat="1" ht="10.199999999999999" customHeight="1"/>
    <row r="5" spans="2:19" s="13" customFormat="1" ht="10.95" customHeight="1"/>
    <row r="6" spans="2:19" s="13" customFormat="1" ht="13.65" customHeight="1">
      <c r="B6" s="26" t="s">
        <v>29</v>
      </c>
      <c r="E6" s="26" t="s">
        <v>66</v>
      </c>
      <c r="F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2:19" s="13" customFormat="1" ht="11.4" customHeight="1"/>
    <row r="8" spans="2:19" s="12" customFormat="1">
      <c r="B8" s="28" t="s">
        <v>30</v>
      </c>
      <c r="C8" s="28" t="s">
        <v>57</v>
      </c>
      <c r="D8" s="28"/>
    </row>
    <row r="9" spans="2:19" ht="15.6">
      <c r="C9" s="29" t="s">
        <v>2</v>
      </c>
      <c r="D9" s="30">
        <v>0.67030000000000001</v>
      </c>
      <c r="E9" s="48" t="s">
        <v>31</v>
      </c>
      <c r="F9" s="15"/>
    </row>
    <row r="10" spans="2:19" ht="40.799999999999997" customHeight="1">
      <c r="B10" s="16" t="s">
        <v>27</v>
      </c>
      <c r="C10" s="6" t="s">
        <v>28</v>
      </c>
      <c r="D10" s="77" t="s">
        <v>84</v>
      </c>
      <c r="E10" s="6" t="s">
        <v>33</v>
      </c>
      <c r="F10" s="6" t="s">
        <v>61</v>
      </c>
      <c r="G10" s="6" t="s">
        <v>62</v>
      </c>
      <c r="J10" s="98" t="s">
        <v>21</v>
      </c>
      <c r="K10" s="99"/>
      <c r="L10" s="100"/>
    </row>
    <row r="11" spans="2:19" ht="15" customHeight="1">
      <c r="B11" s="17">
        <v>44562</v>
      </c>
      <c r="C11" s="92">
        <f>'phase ini'!H5+'phase ext'!H5</f>
        <v>1846.3240000000001</v>
      </c>
      <c r="D11" s="63">
        <f>'phase ini'!I5+'phase ext'!I5</f>
        <v>1753.7911999999999</v>
      </c>
      <c r="E11" s="78">
        <f>'phase ini'!K5+'phase ext'!K5</f>
        <v>1175.56624136</v>
      </c>
      <c r="F11" s="78">
        <f>'phase ext'!L5</f>
        <v>0</v>
      </c>
      <c r="G11" s="93">
        <f>'phase ini'!K5+'phase ext'!N5</f>
        <v>1175.56624136</v>
      </c>
      <c r="J11" s="31" t="s">
        <v>15</v>
      </c>
      <c r="K11" s="31" t="s">
        <v>16</v>
      </c>
      <c r="L11" s="31" t="s">
        <v>17</v>
      </c>
    </row>
    <row r="12" spans="2:19">
      <c r="B12" s="17">
        <v>44593</v>
      </c>
      <c r="C12" s="92">
        <f>'phase ini'!H6+'phase ext'!H6</f>
        <v>1909.682</v>
      </c>
      <c r="D12" s="63">
        <f>'phase ini'!I6+'phase ext'!I6</f>
        <v>1813.9651000000001</v>
      </c>
      <c r="E12" s="78">
        <f>'phase ini'!K6+'phase ext'!K6</f>
        <v>1215.9008065300002</v>
      </c>
      <c r="F12" s="78">
        <f>'phase ext'!L6</f>
        <v>0</v>
      </c>
      <c r="G12" s="93">
        <f>'phase ini'!K6+'phase ext'!N6</f>
        <v>1215.9008065300002</v>
      </c>
      <c r="I12" s="21">
        <v>2022</v>
      </c>
      <c r="J12" s="22">
        <f>SUM('phase ini'!I5:I16)</f>
        <v>22515.474549999999</v>
      </c>
      <c r="K12" s="22">
        <f>SUM('phase ext'!I12:I16)</f>
        <v>12015.156000000001</v>
      </c>
      <c r="L12" s="22">
        <f>J12+K12</f>
        <v>34530.630550000002</v>
      </c>
    </row>
    <row r="13" spans="2:19">
      <c r="B13" s="17">
        <v>44621</v>
      </c>
      <c r="C13" s="92">
        <f>'phase ini'!H7+'phase ext'!H7</f>
        <v>1953.078</v>
      </c>
      <c r="D13" s="63">
        <f>'phase ini'!I7+'phase ext'!I7</f>
        <v>1855.1428999999998</v>
      </c>
      <c r="E13" s="78">
        <f>'phase ini'!K7+'phase ext'!K7</f>
        <v>1243.5022858699999</v>
      </c>
      <c r="F13" s="78">
        <f>'phase ext'!L7</f>
        <v>0</v>
      </c>
      <c r="G13" s="93">
        <f>'phase ini'!K7+'phase ext'!N7</f>
        <v>1243.5022858699999</v>
      </c>
      <c r="I13" s="21">
        <v>2023</v>
      </c>
      <c r="J13" s="22">
        <f>SUM('phase ini'!I17:I28)</f>
        <v>24624.226699999999</v>
      </c>
      <c r="K13" s="22">
        <f>SUM('phase ext'!I17:I28)</f>
        <v>28116.4375</v>
      </c>
      <c r="L13" s="22">
        <f>J13+K13</f>
        <v>52740.664199999999</v>
      </c>
    </row>
    <row r="14" spans="2:19">
      <c r="B14" s="17">
        <v>44652</v>
      </c>
      <c r="C14" s="92">
        <f>'phase ini'!H8+'phase ext'!H8</f>
        <v>1878.125</v>
      </c>
      <c r="D14" s="63">
        <f>'phase ini'!I8+'phase ext'!I8</f>
        <v>1783.9772499999999</v>
      </c>
      <c r="E14" s="78">
        <f>'phase ini'!K8+'phase ext'!K8</f>
        <v>1195.799950675</v>
      </c>
      <c r="F14" s="78">
        <f>'phase ext'!L8</f>
        <v>0</v>
      </c>
      <c r="G14" s="93">
        <f>'phase ini'!K8+'phase ext'!N8</f>
        <v>1195.799950675</v>
      </c>
      <c r="I14" s="3" t="s">
        <v>18</v>
      </c>
      <c r="J14" s="4">
        <f>J12+J13</f>
        <v>47139.701249999998</v>
      </c>
      <c r="K14" s="4">
        <f>K12+K13</f>
        <v>40131.593500000003</v>
      </c>
      <c r="L14" s="4">
        <f>L12+L13</f>
        <v>87271.294750000001</v>
      </c>
    </row>
    <row r="15" spans="2:19">
      <c r="B15" s="17">
        <v>44682</v>
      </c>
      <c r="C15" s="92">
        <f>'phase ini'!H9+'phase ext'!H9</f>
        <v>1880.64</v>
      </c>
      <c r="D15" s="63">
        <f>'phase ini'!I9+'phase ext'!I9</f>
        <v>1786.403</v>
      </c>
      <c r="E15" s="78">
        <f>'phase ini'!K9+'phase ext'!K9</f>
        <v>1197.4259308999999</v>
      </c>
      <c r="F15" s="78">
        <f>'phase ext'!L9</f>
        <v>0</v>
      </c>
      <c r="G15" s="93">
        <f>'phase ini'!K9+'phase ext'!N9</f>
        <v>1197.4259308999999</v>
      </c>
    </row>
    <row r="16" spans="2:19">
      <c r="B16" s="17">
        <v>44713</v>
      </c>
      <c r="C16" s="92">
        <f>'phase ini'!H10+'phase ext'!H10</f>
        <v>1544.7550000000001</v>
      </c>
      <c r="D16" s="63">
        <f>'phase ini'!I10+'phase ext'!I10</f>
        <v>1467.30375</v>
      </c>
      <c r="E16" s="78">
        <f>'phase ini'!K10+'phase ext'!K10</f>
        <v>983.53370362500004</v>
      </c>
      <c r="F16" s="78">
        <f>'phase ext'!L10</f>
        <v>0</v>
      </c>
      <c r="G16" s="93">
        <f>'phase ini'!K10+'phase ext'!N10</f>
        <v>983.53370362500004</v>
      </c>
      <c r="J16" s="101" t="s">
        <v>19</v>
      </c>
      <c r="K16" s="102"/>
      <c r="L16" s="103"/>
    </row>
    <row r="17" spans="2:18" ht="14.4" customHeight="1">
      <c r="B17" s="17">
        <v>44743</v>
      </c>
      <c r="C17" s="92">
        <f>'phase ini'!H11+'phase ext'!H11</f>
        <v>1714.5909999999999</v>
      </c>
      <c r="D17" s="63">
        <f>'phase ini'!I11+'phase ext'!I11</f>
        <v>1628.65155</v>
      </c>
      <c r="E17" s="78">
        <f>'phase ini'!K11+'phase ext'!K11</f>
        <v>1091.685133965</v>
      </c>
      <c r="F17" s="78">
        <f>'phase ext'!L11</f>
        <v>0</v>
      </c>
      <c r="G17" s="93">
        <f>'phase ini'!K11+'phase ext'!N11</f>
        <v>1091.685133965</v>
      </c>
      <c r="J17" s="31" t="s">
        <v>15</v>
      </c>
      <c r="K17" s="31" t="s">
        <v>16</v>
      </c>
      <c r="L17" s="31" t="s">
        <v>17</v>
      </c>
    </row>
    <row r="18" spans="2:18">
      <c r="B18" s="17">
        <v>44774</v>
      </c>
      <c r="C18" s="92">
        <f>'phase ini'!H12+'phase ext'!H12</f>
        <v>3419.5450000000001</v>
      </c>
      <c r="D18" s="63">
        <f>'phase ini'!I12+'phase ext'!I12</f>
        <v>3248.3152500000001</v>
      </c>
      <c r="E18" s="78">
        <f>'phase ini'!K12+'phase ext'!K12</f>
        <v>2177.3457120749999</v>
      </c>
      <c r="F18" s="78">
        <f>'phase ext'!L12</f>
        <v>0.28715651999999997</v>
      </c>
      <c r="G18" s="93">
        <f>'phase ini'!K12+'phase ext'!N12</f>
        <v>2177.0585555549997</v>
      </c>
      <c r="I18" s="21">
        <v>2022</v>
      </c>
      <c r="J18" s="22">
        <f>SUM('phase ini'!K5:K16)</f>
        <v>15092.122590865003</v>
      </c>
      <c r="K18" s="22">
        <f>SUM('phase ext'!N5:N16)</f>
        <v>8034.764507580001</v>
      </c>
      <c r="L18" s="22">
        <f>ROUNDDOWN(J18+K18,0)</f>
        <v>23126</v>
      </c>
    </row>
    <row r="19" spans="2:18">
      <c r="B19" s="17">
        <v>44805</v>
      </c>
      <c r="C19" s="92">
        <f>'phase ini'!H13+'phase ext'!H13</f>
        <v>5282.9139999999998</v>
      </c>
      <c r="D19" s="63">
        <f>'phase ini'!I13+'phase ext'!I13</f>
        <v>5018.5517</v>
      </c>
      <c r="E19" s="78">
        <f>'phase ini'!K13+'phase ext'!K13</f>
        <v>3363.9352045100004</v>
      </c>
      <c r="F19" s="78">
        <f>'phase ext'!L13</f>
        <v>0.31249385999999996</v>
      </c>
      <c r="G19" s="93">
        <f>'phase ini'!K13+'phase ext'!N13</f>
        <v>3363.62271065</v>
      </c>
      <c r="I19" s="21">
        <v>2023</v>
      </c>
      <c r="J19" s="22">
        <f>SUM('phase ini'!K17:K28)</f>
        <v>16505.619157009998</v>
      </c>
      <c r="K19" s="22">
        <f>SUM('phase ext'!N17:N28)</f>
        <v>18762.682810210001</v>
      </c>
      <c r="L19" s="22">
        <f>ROUNDDOWN(J19+K19,0)</f>
        <v>35268</v>
      </c>
    </row>
    <row r="20" spans="2:18">
      <c r="B20" s="17">
        <v>44835</v>
      </c>
      <c r="C20" s="92">
        <f>'phase ini'!H14+'phase ext'!H14</f>
        <v>5902.25</v>
      </c>
      <c r="D20" s="63">
        <f>'phase ini'!I14+'phase ext'!I14</f>
        <v>5606.3464999999997</v>
      </c>
      <c r="E20" s="78">
        <f>'phase ini'!K14+'phase ext'!K14</f>
        <v>3757.9340589500002</v>
      </c>
      <c r="F20" s="78">
        <f>'phase ext'!L14</f>
        <v>5.067467999999999</v>
      </c>
      <c r="G20" s="93">
        <f>'phase ini'!K14+'phase ext'!N14</f>
        <v>3752.86659095</v>
      </c>
      <c r="I20" s="3" t="s">
        <v>18</v>
      </c>
      <c r="J20" s="4">
        <f>J18+J19</f>
        <v>31597.741747874999</v>
      </c>
      <c r="K20" s="4">
        <f>K18+K19</f>
        <v>26797.44731779</v>
      </c>
      <c r="L20" s="4">
        <f>L18+L19</f>
        <v>58394</v>
      </c>
    </row>
    <row r="21" spans="2:18">
      <c r="B21" s="17">
        <v>44866</v>
      </c>
      <c r="C21" s="92">
        <f>'phase ini'!H15+'phase ext'!H15</f>
        <v>4933.9560000000001</v>
      </c>
      <c r="D21" s="63">
        <f>'phase ini'!I15+'phase ext'!I15</f>
        <v>4686.5947999999999</v>
      </c>
      <c r="E21" s="78">
        <f>'phase ini'!K15+'phase ext'!K15</f>
        <v>3141.4244944399998</v>
      </c>
      <c r="F21" s="78">
        <f>'phase ext'!L15</f>
        <v>4.2566731199999994</v>
      </c>
      <c r="G21" s="93">
        <f>'phase ini'!K15+'phase ext'!N15</f>
        <v>3137.1678213200003</v>
      </c>
      <c r="K21" s="14"/>
      <c r="L21" s="7"/>
      <c r="N21" s="20"/>
      <c r="O21" s="20"/>
    </row>
    <row r="22" spans="2:18" ht="28.8" customHeight="1">
      <c r="B22" s="17">
        <v>44896</v>
      </c>
      <c r="C22" s="92">
        <f>'phase ini'!H16+'phase ext'!H16</f>
        <v>4087.1909999999998</v>
      </c>
      <c r="D22" s="63">
        <f>'phase ini'!I16+'phase ext'!I16</f>
        <v>3881.5875500000002</v>
      </c>
      <c r="E22" s="78">
        <f>'phase ini'!K16+'phase ext'!K16</f>
        <v>2601.828134765</v>
      </c>
      <c r="F22" s="78">
        <f>'phase ext'!L16</f>
        <v>9.0707677199999992</v>
      </c>
      <c r="G22" s="93">
        <f>'phase ini'!K16+'phase ext'!N16</f>
        <v>2592.7573670450001</v>
      </c>
      <c r="I22" s="80" t="s">
        <v>68</v>
      </c>
      <c r="J22" s="80" t="s">
        <v>71</v>
      </c>
      <c r="K22" s="80" t="s">
        <v>72</v>
      </c>
      <c r="L22" s="80" t="s">
        <v>73</v>
      </c>
      <c r="M22" s="80" t="s">
        <v>74</v>
      </c>
      <c r="N22" s="80" t="s">
        <v>75</v>
      </c>
      <c r="O22" s="80" t="s">
        <v>76</v>
      </c>
    </row>
    <row r="23" spans="2:18" ht="28.8" customHeight="1">
      <c r="B23" s="17">
        <v>44927</v>
      </c>
      <c r="C23" s="92">
        <f>'phase ini'!H17+'phase ext'!H17</f>
        <v>4005.29</v>
      </c>
      <c r="D23" s="63">
        <f>'phase ini'!I17+'phase ext'!I17</f>
        <v>3803.4065000000001</v>
      </c>
      <c r="E23" s="78">
        <f>'phase ini'!K17+'phase ext'!K17</f>
        <v>2549.4233769500001</v>
      </c>
      <c r="F23" s="78">
        <f>'phase ext'!L17</f>
        <v>12.212597879999999</v>
      </c>
      <c r="G23" s="93">
        <f>'phase ini'!K17+'phase ext'!N17</f>
        <v>2537.2107790700002</v>
      </c>
      <c r="I23" s="86" t="s">
        <v>69</v>
      </c>
      <c r="J23" s="87">
        <f>ROUNDDOWN(SUM(E11:E22),0)</f>
        <v>23145</v>
      </c>
      <c r="K23" s="87">
        <f>ROUNDUP(SUM(F11:F22),0)</f>
        <v>19</v>
      </c>
      <c r="L23" s="87">
        <v>0</v>
      </c>
      <c r="M23" s="83">
        <f>ROUNDDOWN(J23-K23,0)</f>
        <v>23126</v>
      </c>
      <c r="N23" s="83">
        <v>0</v>
      </c>
      <c r="O23" s="83">
        <f>M23</f>
        <v>23126</v>
      </c>
      <c r="P23" s="81"/>
    </row>
    <row r="24" spans="2:18" ht="28.8" customHeight="1">
      <c r="B24" s="17">
        <v>44958</v>
      </c>
      <c r="C24" s="92">
        <f>'phase ini'!H18+'phase ext'!H18</f>
        <v>4045.8649999999998</v>
      </c>
      <c r="D24" s="63">
        <f>'phase ini'!I18+'phase ext'!I18</f>
        <v>3841.9222499999996</v>
      </c>
      <c r="E24" s="78">
        <f>'phase ini'!K18+'phase ext'!K18</f>
        <v>2575.2404841750003</v>
      </c>
      <c r="F24" s="78">
        <f>'phase ext'!L18</f>
        <v>12.533537520000001</v>
      </c>
      <c r="G24" s="93">
        <f>'phase ini'!K18+'phase ext'!N18</f>
        <v>2562.7069466550001</v>
      </c>
      <c r="I24" s="82" t="s">
        <v>77</v>
      </c>
      <c r="J24" s="83">
        <f>ROUNDDOWN(SUM(E23:E34),0)</f>
        <v>35352</v>
      </c>
      <c r="K24" s="83">
        <f>ROUNDUP(SUM(F23:F34),0)</f>
        <v>84</v>
      </c>
      <c r="L24" s="83">
        <v>0</v>
      </c>
      <c r="M24" s="83">
        <f>ROUNDDOWN(J24-K24,0)</f>
        <v>35268</v>
      </c>
      <c r="N24" s="83">
        <v>0</v>
      </c>
      <c r="O24" s="94">
        <f>M24</f>
        <v>35268</v>
      </c>
      <c r="P24" s="91"/>
      <c r="Q24" s="88"/>
      <c r="R24" s="88"/>
    </row>
    <row r="25" spans="2:18">
      <c r="B25" s="17">
        <v>44986</v>
      </c>
      <c r="C25" s="92">
        <f>'phase ini'!H19+'phase ext'!H19</f>
        <v>3705.7039999999997</v>
      </c>
      <c r="D25" s="63">
        <f>'phase ini'!I19+'phase ext'!I19</f>
        <v>3518.9202</v>
      </c>
      <c r="E25" s="78">
        <f>'phase ini'!K19+'phase ext'!K19</f>
        <v>2358.7322100599999</v>
      </c>
      <c r="F25" s="78">
        <f>'phase ext'!L19</f>
        <v>11.131538040000001</v>
      </c>
      <c r="G25" s="93">
        <f>'phase ini'!K19+'phase ext'!N19</f>
        <v>2347.6006720200003</v>
      </c>
      <c r="I25" s="84" t="s">
        <v>70</v>
      </c>
      <c r="J25" s="85">
        <f t="shared" ref="J25:O25" si="0">J23+J24</f>
        <v>58497</v>
      </c>
      <c r="K25" s="85">
        <f t="shared" si="0"/>
        <v>103</v>
      </c>
      <c r="L25" s="85">
        <f t="shared" si="0"/>
        <v>0</v>
      </c>
      <c r="M25" s="85">
        <f t="shared" si="0"/>
        <v>58394</v>
      </c>
      <c r="N25" s="85">
        <f t="shared" si="0"/>
        <v>0</v>
      </c>
      <c r="O25" s="85">
        <f t="shared" si="0"/>
        <v>58394</v>
      </c>
    </row>
    <row r="26" spans="2:18">
      <c r="B26" s="17">
        <v>45017</v>
      </c>
      <c r="C26" s="92">
        <f>'phase ini'!H20+'phase ext'!H20</f>
        <v>4085.5289999999995</v>
      </c>
      <c r="D26" s="63">
        <f>'phase ini'!I20+'phase ext'!I20</f>
        <v>3880.6954500000002</v>
      </c>
      <c r="E26" s="78">
        <f>'phase ini'!K20+'phase ext'!K20</f>
        <v>2601.230160135</v>
      </c>
      <c r="F26" s="78">
        <f>'phase ext'!L20</f>
        <v>3.2093964000000001</v>
      </c>
      <c r="G26" s="93">
        <f>'phase ini'!K20+'phase ext'!N20</f>
        <v>2598.0207637349999</v>
      </c>
      <c r="K26" s="14"/>
    </row>
    <row r="27" spans="2:18">
      <c r="B27" s="17">
        <v>45047</v>
      </c>
      <c r="C27" s="92">
        <f>'phase ini'!H21+'phase ext'!H21</f>
        <v>5022.5159999999996</v>
      </c>
      <c r="D27" s="63">
        <f>'phase ini'!I21+'phase ext'!I21</f>
        <v>4770.0257999999994</v>
      </c>
      <c r="E27" s="78">
        <f>'phase ini'!K21+'phase ext'!K21</f>
        <v>3197.3482937399999</v>
      </c>
      <c r="F27" s="78">
        <f>'phase ext'!L21</f>
        <v>9.9829119600000009</v>
      </c>
      <c r="G27" s="93">
        <f>'phase ini'!K21+'phase ext'!N21</f>
        <v>3187.36538178</v>
      </c>
      <c r="K27" s="14"/>
      <c r="L27" s="7"/>
      <c r="N27" s="20"/>
      <c r="O27" s="20"/>
    </row>
    <row r="28" spans="2:18">
      <c r="B28" s="17">
        <v>45078</v>
      </c>
      <c r="C28" s="92">
        <f>'phase ini'!H22+'phase ext'!H22</f>
        <v>4508.6120000000001</v>
      </c>
      <c r="D28" s="63">
        <f>'phase ini'!I22+'phase ext'!I22</f>
        <v>4281.5576000000001</v>
      </c>
      <c r="E28" s="78">
        <f>'phase ini'!K22+'phase ext'!K22</f>
        <v>2869.9280592800001</v>
      </c>
      <c r="F28" s="78">
        <f>'phase ext'!L22</f>
        <v>12.18726054</v>
      </c>
      <c r="G28" s="93">
        <f>'phase ini'!K22+'phase ext'!N22</f>
        <v>2857.7407987400002</v>
      </c>
      <c r="J28" s="81"/>
      <c r="K28" s="14"/>
      <c r="L28" s="7"/>
      <c r="N28" s="20"/>
      <c r="O28" s="20"/>
    </row>
    <row r="29" spans="2:18">
      <c r="B29" s="17">
        <v>45108</v>
      </c>
      <c r="C29" s="92">
        <f>'phase ini'!H23+'phase ext'!H23</f>
        <v>4145.5480000000007</v>
      </c>
      <c r="D29" s="63">
        <f>'phase ini'!I23+'phase ext'!I23</f>
        <v>3936.4404</v>
      </c>
      <c r="E29" s="78">
        <f>'phase ini'!K23+'phase ext'!K23</f>
        <v>2638.5960001200001</v>
      </c>
      <c r="F29" s="78">
        <f>'phase ext'!L23</f>
        <v>13.834187640000001</v>
      </c>
      <c r="G29" s="93">
        <f>'phase ini'!K23+'phase ext'!N23</f>
        <v>2624.7618124800001</v>
      </c>
      <c r="K29" s="14"/>
      <c r="L29" s="7"/>
      <c r="N29" s="20"/>
      <c r="O29" s="20"/>
    </row>
    <row r="30" spans="2:18">
      <c r="B30" s="17">
        <v>45139</v>
      </c>
      <c r="C30" s="92">
        <f>'phase ini'!H24+'phase ext'!H24</f>
        <v>5055.9989999999998</v>
      </c>
      <c r="D30" s="63">
        <f>'phase ini'!I24+'phase ext'!I24</f>
        <v>4802.1599500000002</v>
      </c>
      <c r="E30" s="78">
        <f>'phase ini'!K24+'phase ext'!K24</f>
        <v>3218.8878144850005</v>
      </c>
      <c r="F30" s="78">
        <f>'phase ext'!L24</f>
        <v>6.6806119800000001</v>
      </c>
      <c r="G30" s="93">
        <f>'phase ini'!K24+'phase ext'!N24</f>
        <v>3212.2072025050002</v>
      </c>
      <c r="K30" s="14"/>
      <c r="L30" s="7"/>
      <c r="N30" s="20"/>
      <c r="O30" s="20"/>
    </row>
    <row r="31" spans="2:18">
      <c r="B31" s="17">
        <v>45170</v>
      </c>
      <c r="C31" s="92">
        <f>'phase ini'!H25+'phase ext'!H25</f>
        <v>6241.6660000000002</v>
      </c>
      <c r="D31" s="63">
        <f>'phase ini'!I25+'phase ext'!I25</f>
        <v>5929.3202999999994</v>
      </c>
      <c r="E31" s="78">
        <f>'phase ini'!K25+'phase ext'!K25</f>
        <v>3974.4233970899995</v>
      </c>
      <c r="F31" s="78">
        <f>'phase ext'!L25</f>
        <v>0.61654193999999996</v>
      </c>
      <c r="G31" s="93">
        <f>'phase ini'!K25+'phase ext'!N25</f>
        <v>3973.80685515</v>
      </c>
      <c r="K31" s="14"/>
      <c r="L31" s="7"/>
      <c r="N31" s="20"/>
      <c r="O31" s="20"/>
    </row>
    <row r="32" spans="2:18">
      <c r="B32" s="17">
        <v>45200</v>
      </c>
      <c r="C32" s="92">
        <f>'phase ini'!H26+'phase ext'!H26</f>
        <v>5119.299</v>
      </c>
      <c r="D32" s="63">
        <f>'phase ini'!I26+'phase ext'!I26</f>
        <v>4863.0949500000006</v>
      </c>
      <c r="E32" s="78">
        <f>'phase ini'!K26+'phase ext'!K26</f>
        <v>3259.732544985</v>
      </c>
      <c r="F32" s="78">
        <f>'phase ext'!L26</f>
        <v>0.49830102000000004</v>
      </c>
      <c r="G32" s="93">
        <f>'phase ini'!K26+'phase ext'!N26</f>
        <v>3259.2342439650001</v>
      </c>
      <c r="K32" s="14"/>
      <c r="L32" s="7"/>
      <c r="N32" s="20"/>
      <c r="O32" s="20"/>
    </row>
    <row r="33" spans="2:15">
      <c r="B33" s="17">
        <v>45231</v>
      </c>
      <c r="C33" s="92">
        <f>'phase ini'!H27+'phase ext'!H27</f>
        <v>4657.0740000000005</v>
      </c>
      <c r="D33" s="63">
        <f>'phase ini'!I27+'phase ext'!I27</f>
        <v>4424.0027</v>
      </c>
      <c r="E33" s="78">
        <f>'phase ini'!K27+'phase ext'!K27</f>
        <v>2965.4090098099996</v>
      </c>
      <c r="F33" s="78">
        <f>'phase ext'!L27</f>
        <v>0.48985523999999997</v>
      </c>
      <c r="G33" s="93">
        <f>'phase ini'!K27+'phase ext'!N27</f>
        <v>2964.9191545699996</v>
      </c>
      <c r="K33" s="14"/>
      <c r="L33" s="7"/>
      <c r="N33" s="20"/>
      <c r="O33" s="20"/>
    </row>
    <row r="34" spans="2:15">
      <c r="B34" s="17">
        <v>45261</v>
      </c>
      <c r="C34" s="92">
        <f>'phase ini'!H28+'phase ext'!H28</f>
        <v>4936.1219999999994</v>
      </c>
      <c r="D34" s="63">
        <f>'phase ini'!I28+'phase ext'!I28</f>
        <v>4689.1180999999997</v>
      </c>
      <c r="E34" s="78">
        <f>'phase ini'!K28+'phase ext'!K28</f>
        <v>3143.1158624299997</v>
      </c>
      <c r="F34" s="78">
        <f>'phase ext'!L28</f>
        <v>0.38850588000000003</v>
      </c>
      <c r="G34" s="93">
        <f>'phase ini'!K28+'phase ext'!N28</f>
        <v>3142.72735655</v>
      </c>
      <c r="K34" s="14"/>
      <c r="L34" s="7"/>
      <c r="N34" s="20"/>
      <c r="O34" s="20"/>
    </row>
    <row r="35" spans="2:15">
      <c r="I35" s="19"/>
      <c r="J35" s="14"/>
      <c r="K35" s="14"/>
      <c r="L35" s="7"/>
      <c r="N35" s="20"/>
      <c r="O35" s="20"/>
    </row>
    <row r="36" spans="2:15">
      <c r="D36" s="14"/>
      <c r="E36" s="14"/>
      <c r="F36" s="14"/>
    </row>
    <row r="37" spans="2:15" ht="28.95" customHeight="1">
      <c r="B37" s="5" t="s">
        <v>22</v>
      </c>
      <c r="C37" s="21" t="s">
        <v>15</v>
      </c>
      <c r="D37" s="21" t="s">
        <v>24</v>
      </c>
      <c r="E37" s="21" t="s">
        <v>25</v>
      </c>
      <c r="I37" s="14"/>
      <c r="J37" s="23"/>
      <c r="K37" s="49"/>
      <c r="N37" s="9"/>
    </row>
    <row r="38" spans="2:15">
      <c r="B38" s="24" t="s">
        <v>23</v>
      </c>
      <c r="C38" s="79">
        <v>11358</v>
      </c>
      <c r="D38" s="79">
        <v>0</v>
      </c>
      <c r="E38" s="79">
        <f>C38+D38</f>
        <v>11358</v>
      </c>
      <c r="G38" s="20"/>
      <c r="K38" s="25"/>
      <c r="L38" s="20"/>
      <c r="N38" s="25"/>
      <c r="O38" s="8"/>
    </row>
    <row r="39" spans="2:15">
      <c r="B39" s="21">
        <v>2019</v>
      </c>
      <c r="C39" s="79">
        <v>23751</v>
      </c>
      <c r="D39" s="79">
        <v>0</v>
      </c>
      <c r="E39" s="79">
        <f t="shared" ref="E39:E47" si="1">C39+D39</f>
        <v>23751</v>
      </c>
      <c r="K39" s="1"/>
    </row>
    <row r="40" spans="2:15">
      <c r="B40" s="21">
        <v>2020</v>
      </c>
      <c r="C40" s="79">
        <v>23632</v>
      </c>
      <c r="D40" s="79">
        <v>0</v>
      </c>
      <c r="E40" s="79">
        <f t="shared" si="1"/>
        <v>23632</v>
      </c>
    </row>
    <row r="41" spans="2:15">
      <c r="B41" s="21">
        <v>2021</v>
      </c>
      <c r="C41" s="79">
        <v>23513</v>
      </c>
      <c r="D41" s="79">
        <v>0</v>
      </c>
      <c r="E41" s="79">
        <f t="shared" si="1"/>
        <v>23513</v>
      </c>
    </row>
    <row r="42" spans="2:15">
      <c r="B42" s="21">
        <v>2022</v>
      </c>
      <c r="C42" s="79">
        <v>23393</v>
      </c>
      <c r="D42" s="96">
        <v>8471.1016251525889</v>
      </c>
      <c r="E42" s="79">
        <f t="shared" si="1"/>
        <v>31864.101625152587</v>
      </c>
      <c r="F42" s="9"/>
    </row>
    <row r="43" spans="2:15">
      <c r="B43" s="21">
        <v>2023</v>
      </c>
      <c r="C43" s="79">
        <v>23274</v>
      </c>
      <c r="D43" s="96">
        <v>22446.362493928478</v>
      </c>
      <c r="E43" s="79">
        <f t="shared" si="1"/>
        <v>45720.362493928478</v>
      </c>
    </row>
    <row r="44" spans="2:15">
      <c r="B44" s="21">
        <v>2024</v>
      </c>
      <c r="C44" s="79">
        <v>23155</v>
      </c>
      <c r="D44" s="96">
        <v>22322.870293107353</v>
      </c>
      <c r="E44" s="79">
        <f t="shared" si="1"/>
        <v>45477.870293107349</v>
      </c>
    </row>
    <row r="45" spans="2:15">
      <c r="B45" s="21">
        <v>2025</v>
      </c>
      <c r="C45" s="79">
        <v>23035</v>
      </c>
      <c r="D45" s="96">
        <v>22198.378092286232</v>
      </c>
      <c r="E45" s="79">
        <f t="shared" si="1"/>
        <v>45233.378092286235</v>
      </c>
    </row>
    <row r="46" spans="2:15">
      <c r="B46" s="21">
        <v>2026</v>
      </c>
      <c r="C46" s="79">
        <v>22916</v>
      </c>
      <c r="D46" s="96">
        <v>22073.88589146511</v>
      </c>
      <c r="E46" s="79">
        <f t="shared" si="1"/>
        <v>44989.885891465106</v>
      </c>
    </row>
    <row r="47" spans="2:15">
      <c r="B47" s="21">
        <v>2027</v>
      </c>
      <c r="C47" s="79">
        <v>22797</v>
      </c>
      <c r="D47" s="96">
        <v>21950.393690643985</v>
      </c>
      <c r="E47" s="79">
        <f t="shared" si="1"/>
        <v>44747.393690643985</v>
      </c>
    </row>
    <row r="48" spans="2:15">
      <c r="B48" s="21" t="s">
        <v>50</v>
      </c>
      <c r="C48" s="79">
        <v>11887</v>
      </c>
      <c r="D48" s="97">
        <v>11441.037071278113</v>
      </c>
      <c r="E48" s="79">
        <f>C48+D48</f>
        <v>23328.037071278115</v>
      </c>
    </row>
    <row r="49" spans="2:7">
      <c r="B49" s="3" t="s">
        <v>25</v>
      </c>
      <c r="C49" s="4">
        <f>SUM(C38:C48)</f>
        <v>232711</v>
      </c>
      <c r="D49" s="4">
        <f>SUM(D38:D48)</f>
        <v>130904.02915786186</v>
      </c>
      <c r="E49" s="4">
        <f>SUM(C49:D49)</f>
        <v>363615.02915786183</v>
      </c>
      <c r="F49" s="1"/>
    </row>
    <row r="50" spans="2:7">
      <c r="B50" s="3" t="s">
        <v>26</v>
      </c>
      <c r="C50" s="4">
        <f>C49/10</f>
        <v>23271.1</v>
      </c>
      <c r="D50" s="4">
        <f>D49/10</f>
        <v>13090.402915786186</v>
      </c>
      <c r="E50" s="62">
        <f>E49/10</f>
        <v>36361.502915786186</v>
      </c>
      <c r="F50" s="9"/>
    </row>
    <row r="53" spans="2:7">
      <c r="C53" s="21" t="s">
        <v>51</v>
      </c>
      <c r="D53" s="21" t="s">
        <v>52</v>
      </c>
      <c r="E53" s="21" t="s">
        <v>54</v>
      </c>
      <c r="F53" s="21" t="s">
        <v>55</v>
      </c>
      <c r="G53" s="21" t="s">
        <v>56</v>
      </c>
    </row>
    <row r="54" spans="2:7">
      <c r="B54" s="21" t="s">
        <v>53</v>
      </c>
      <c r="C54" s="65">
        <f>C42</f>
        <v>23393</v>
      </c>
      <c r="D54" s="65">
        <f>D42</f>
        <v>8471.1016251525889</v>
      </c>
      <c r="E54" s="65">
        <f>SUM(C54:D54)</f>
        <v>31864.101625152587</v>
      </c>
      <c r="F54" s="22">
        <f>L18</f>
        <v>23126</v>
      </c>
      <c r="G54" s="61">
        <f>-(E54-F54)/E54</f>
        <v>-0.27423028359459495</v>
      </c>
    </row>
    <row r="55" spans="2:7">
      <c r="B55" s="21" t="s">
        <v>64</v>
      </c>
      <c r="C55" s="63">
        <f>C43</f>
        <v>23274</v>
      </c>
      <c r="D55" s="63">
        <f>D43</f>
        <v>22446.362493928478</v>
      </c>
      <c r="E55" s="64">
        <f>SUM(C55:D55)</f>
        <v>45720.362493928478</v>
      </c>
      <c r="F55" s="22">
        <f>L19</f>
        <v>35268</v>
      </c>
      <c r="G55" s="66">
        <f>-(E55-F55)/E55</f>
        <v>-0.22861503985924259</v>
      </c>
    </row>
    <row r="56" spans="2:7">
      <c r="C56" s="53"/>
      <c r="E56" s="63">
        <f>SUM(E54:E55)</f>
        <v>77584.464119081065</v>
      </c>
      <c r="F56" s="22">
        <f>L20</f>
        <v>58394</v>
      </c>
      <c r="G56" s="66">
        <f>-(E56-F56)/E56</f>
        <v>-0.24734931583243838</v>
      </c>
    </row>
    <row r="57" spans="2:7" ht="28.2" customHeight="1">
      <c r="C57" s="58" t="s">
        <v>48</v>
      </c>
      <c r="D57" s="59">
        <f>E56</f>
        <v>77584.464119081065</v>
      </c>
    </row>
    <row r="58" spans="2:7" ht="26.4" customHeight="1">
      <c r="C58" s="58" t="s">
        <v>63</v>
      </c>
      <c r="D58" s="22">
        <f>L20</f>
        <v>58394</v>
      </c>
    </row>
    <row r="59" spans="2:7" ht="28.8">
      <c r="C59" s="60" t="s">
        <v>47</v>
      </c>
      <c r="D59" s="61">
        <f>-(D57-D58)/D57</f>
        <v>-0.24734931583243838</v>
      </c>
      <c r="E59" s="54"/>
    </row>
    <row r="60" spans="2:7">
      <c r="B60" s="55"/>
      <c r="C60" s="56"/>
      <c r="D60" s="57"/>
      <c r="E60" s="56"/>
    </row>
    <row r="66" spans="2:2">
      <c r="B66" s="53"/>
    </row>
    <row r="67" spans="2:2">
      <c r="B67" s="53"/>
    </row>
  </sheetData>
  <mergeCells count="3">
    <mergeCell ref="J10:L10"/>
    <mergeCell ref="J16:L16"/>
    <mergeCell ref="C3:G3"/>
  </mergeCells>
  <phoneticPr fontId="36" type="noConversion"/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C0CE-A14D-4E6A-B36B-3867AE08F98F}">
  <dimension ref="A1:P34"/>
  <sheetViews>
    <sheetView topLeftCell="A10" zoomScaleNormal="100" workbookViewId="0">
      <selection activeCell="N5" sqref="N5"/>
    </sheetView>
  </sheetViews>
  <sheetFormatPr defaultColWidth="11.44140625" defaultRowHeight="14.4"/>
  <cols>
    <col min="1" max="1" width="13.109375" customWidth="1"/>
    <col min="2" max="2" width="22" customWidth="1"/>
    <col min="3" max="3" width="13.5546875" style="1" customWidth="1"/>
    <col min="4" max="4" width="12.88671875" style="1" customWidth="1"/>
    <col min="5" max="5" width="12.5546875" customWidth="1"/>
    <col min="6" max="7" width="11.88671875" customWidth="1"/>
    <col min="8" max="8" width="12.33203125" customWidth="1"/>
    <col min="9" max="9" width="17.109375" customWidth="1"/>
    <col min="11" max="11" width="11.44140625" style="2"/>
    <col min="12" max="12" width="4.5546875" customWidth="1"/>
    <col min="13" max="13" width="9" customWidth="1"/>
    <col min="14" max="14" width="16.109375" customWidth="1"/>
    <col min="15" max="16" width="9.5546875" customWidth="1"/>
    <col min="18" max="18" width="21.88671875" customWidth="1"/>
    <col min="19" max="19" width="16.5546875" customWidth="1"/>
    <col min="20" max="20" width="17.33203125" customWidth="1"/>
  </cols>
  <sheetData>
    <row r="1" spans="1:16" ht="15" thickBot="1">
      <c r="A1" s="39" t="s">
        <v>13</v>
      </c>
    </row>
    <row r="2" spans="1:16">
      <c r="B2" s="105" t="s">
        <v>79</v>
      </c>
      <c r="C2" s="105"/>
      <c r="D2" s="105"/>
      <c r="E2" s="105"/>
      <c r="F2" s="105" t="s">
        <v>80</v>
      </c>
      <c r="G2" s="105"/>
      <c r="H2" s="106" t="s">
        <v>83</v>
      </c>
      <c r="I2" s="107"/>
      <c r="J2" s="107"/>
      <c r="K2" s="107"/>
    </row>
    <row r="3" spans="1:16" ht="43.8" customHeight="1">
      <c r="A3" s="40" t="s">
        <v>1</v>
      </c>
      <c r="B3" s="41" t="s">
        <v>9</v>
      </c>
      <c r="C3" s="31" t="s">
        <v>6</v>
      </c>
      <c r="D3" s="31" t="s">
        <v>10</v>
      </c>
      <c r="E3" s="31" t="s">
        <v>11</v>
      </c>
      <c r="F3" s="31" t="s">
        <v>12</v>
      </c>
      <c r="G3" s="31" t="s">
        <v>82</v>
      </c>
      <c r="H3" s="31" t="s">
        <v>7</v>
      </c>
      <c r="I3" s="31" t="s">
        <v>65</v>
      </c>
      <c r="J3" s="31" t="s">
        <v>2</v>
      </c>
      <c r="K3" s="31" t="s">
        <v>4</v>
      </c>
      <c r="N3" s="11"/>
      <c r="O3" s="11"/>
      <c r="P3" s="11"/>
    </row>
    <row r="4" spans="1:16">
      <c r="A4" s="42"/>
      <c r="B4" s="42"/>
      <c r="C4" s="43" t="s">
        <v>0</v>
      </c>
      <c r="D4" s="43"/>
      <c r="E4" s="43" t="s">
        <v>0</v>
      </c>
      <c r="F4" s="43" t="s">
        <v>0</v>
      </c>
      <c r="G4" s="43" t="s">
        <v>0</v>
      </c>
      <c r="H4" s="43" t="s">
        <v>8</v>
      </c>
      <c r="I4" s="43" t="s">
        <v>8</v>
      </c>
      <c r="J4" s="43" t="s">
        <v>3</v>
      </c>
      <c r="K4" s="44" t="s">
        <v>5</v>
      </c>
      <c r="N4" s="33"/>
      <c r="O4" s="33"/>
      <c r="P4" s="33"/>
    </row>
    <row r="5" spans="1:16">
      <c r="A5" s="34">
        <v>44562</v>
      </c>
      <c r="B5" s="35">
        <v>9658150</v>
      </c>
      <c r="C5" s="35">
        <f>B6-B5</f>
        <v>1848490</v>
      </c>
      <c r="D5" s="35">
        <v>250</v>
      </c>
      <c r="E5" s="35">
        <f>D6-D5</f>
        <v>90</v>
      </c>
      <c r="F5" s="36">
        <v>2076</v>
      </c>
      <c r="G5" s="36">
        <v>1848490</v>
      </c>
      <c r="H5" s="37">
        <f>(C5-E5-F5)/1000</f>
        <v>1846.3240000000001</v>
      </c>
      <c r="I5" s="37">
        <f>((C5*(1-0.05))-(E5*(1+0.05))-(F5*((1+0.05))))/1000</f>
        <v>1753.7911999999999</v>
      </c>
      <c r="J5" s="38">
        <v>0.67030000000000001</v>
      </c>
      <c r="K5" s="95">
        <f>I5*J5</f>
        <v>1175.56624136</v>
      </c>
      <c r="M5" s="1"/>
      <c r="N5" s="1"/>
      <c r="O5" s="1"/>
      <c r="P5" s="1"/>
    </row>
    <row r="6" spans="1:16">
      <c r="A6" s="34">
        <v>44593</v>
      </c>
      <c r="B6" s="35">
        <v>11506640</v>
      </c>
      <c r="C6" s="35">
        <f t="shared" ref="C6:C16" si="0">B7-B6</f>
        <v>1912010</v>
      </c>
      <c r="D6" s="35">
        <v>340</v>
      </c>
      <c r="E6" s="35">
        <f t="shared" ref="E6:E16" si="1">D7-D6</f>
        <v>90</v>
      </c>
      <c r="F6" s="36">
        <v>2238</v>
      </c>
      <c r="G6" s="36">
        <v>1912010</v>
      </c>
      <c r="H6" s="37">
        <f t="shared" ref="H6:H28" si="2">(C6-E6-F6)/1000</f>
        <v>1909.682</v>
      </c>
      <c r="I6" s="37">
        <f t="shared" ref="I6:I28" si="3">((C6*(1-0.05))-(E6*(1+0.05))-(F6*((1+0.05))))/1000</f>
        <v>1813.9651000000001</v>
      </c>
      <c r="J6" s="38">
        <v>0.67030000000000001</v>
      </c>
      <c r="K6" s="95">
        <f t="shared" ref="K6:K28" si="4">I6*J6</f>
        <v>1215.9008065300002</v>
      </c>
      <c r="M6" s="1"/>
      <c r="N6" s="1"/>
      <c r="O6" s="1"/>
      <c r="P6" s="1"/>
    </row>
    <row r="7" spans="1:16">
      <c r="A7" s="34">
        <v>44621</v>
      </c>
      <c r="B7" s="35">
        <v>13418650</v>
      </c>
      <c r="C7" s="35">
        <f t="shared" si="0"/>
        <v>1955890</v>
      </c>
      <c r="D7" s="35">
        <v>430</v>
      </c>
      <c r="E7" s="35">
        <f t="shared" si="1"/>
        <v>50</v>
      </c>
      <c r="F7" s="36">
        <v>2762</v>
      </c>
      <c r="G7" s="36">
        <v>1955890</v>
      </c>
      <c r="H7" s="37">
        <f t="shared" si="2"/>
        <v>1953.078</v>
      </c>
      <c r="I7" s="37">
        <f t="shared" si="3"/>
        <v>1855.1428999999998</v>
      </c>
      <c r="J7" s="38">
        <v>0.67030000000000001</v>
      </c>
      <c r="K7" s="95">
        <f t="shared" si="4"/>
        <v>1243.5022858699999</v>
      </c>
      <c r="M7" s="1"/>
      <c r="N7" s="10"/>
      <c r="O7" s="10"/>
      <c r="P7" s="10"/>
    </row>
    <row r="8" spans="1:16">
      <c r="A8" s="34">
        <v>44652</v>
      </c>
      <c r="B8" s="35">
        <v>15374540</v>
      </c>
      <c r="C8" s="35">
        <f t="shared" si="0"/>
        <v>1880540</v>
      </c>
      <c r="D8" s="35">
        <v>480</v>
      </c>
      <c r="E8" s="35">
        <f t="shared" si="1"/>
        <v>60</v>
      </c>
      <c r="F8" s="36">
        <v>2355</v>
      </c>
      <c r="G8" s="36">
        <v>1880540</v>
      </c>
      <c r="H8" s="37">
        <f t="shared" si="2"/>
        <v>1878.125</v>
      </c>
      <c r="I8" s="37">
        <f t="shared" si="3"/>
        <v>1783.9772499999999</v>
      </c>
      <c r="J8" s="38">
        <v>0.67030000000000001</v>
      </c>
      <c r="K8" s="95">
        <f t="shared" si="4"/>
        <v>1195.799950675</v>
      </c>
      <c r="M8" s="1"/>
    </row>
    <row r="9" spans="1:16">
      <c r="A9" s="34">
        <v>44682</v>
      </c>
      <c r="B9" s="35">
        <v>17255080</v>
      </c>
      <c r="C9" s="35">
        <f t="shared" si="0"/>
        <v>1882690</v>
      </c>
      <c r="D9" s="35">
        <v>540</v>
      </c>
      <c r="E9" s="35">
        <f t="shared" si="1"/>
        <v>140</v>
      </c>
      <c r="F9" s="36">
        <v>1910</v>
      </c>
      <c r="G9" s="36">
        <v>1882690</v>
      </c>
      <c r="H9" s="37">
        <f t="shared" si="2"/>
        <v>1880.64</v>
      </c>
      <c r="I9" s="37">
        <f t="shared" si="3"/>
        <v>1786.403</v>
      </c>
      <c r="J9" s="38">
        <v>0.67030000000000001</v>
      </c>
      <c r="K9" s="95">
        <f t="shared" si="4"/>
        <v>1197.4259308999999</v>
      </c>
      <c r="M9" s="1"/>
      <c r="N9" s="2"/>
      <c r="O9" s="2"/>
      <c r="P9" s="2"/>
    </row>
    <row r="10" spans="1:16" ht="14.4" customHeight="1">
      <c r="A10" s="34">
        <v>44713</v>
      </c>
      <c r="B10" s="35">
        <v>19137770</v>
      </c>
      <c r="C10" s="35">
        <f t="shared" si="0"/>
        <v>1546890</v>
      </c>
      <c r="D10" s="35">
        <v>680</v>
      </c>
      <c r="E10" s="35">
        <f t="shared" si="1"/>
        <v>190</v>
      </c>
      <c r="F10" s="36">
        <v>1945</v>
      </c>
      <c r="G10" s="36">
        <v>1546890</v>
      </c>
      <c r="H10" s="37">
        <f t="shared" si="2"/>
        <v>1544.7550000000001</v>
      </c>
      <c r="I10" s="37">
        <f t="shared" si="3"/>
        <v>1467.30375</v>
      </c>
      <c r="J10" s="38">
        <v>0.67030000000000001</v>
      </c>
      <c r="K10" s="95">
        <f t="shared" si="4"/>
        <v>983.53370362500004</v>
      </c>
      <c r="M10" s="1"/>
      <c r="N10" s="33"/>
      <c r="O10" s="33"/>
      <c r="P10" s="33"/>
    </row>
    <row r="11" spans="1:16">
      <c r="A11" s="34">
        <v>44743</v>
      </c>
      <c r="B11" s="35">
        <v>20684660</v>
      </c>
      <c r="C11" s="35">
        <f t="shared" si="0"/>
        <v>1716690</v>
      </c>
      <c r="D11" s="35">
        <v>870</v>
      </c>
      <c r="E11" s="35">
        <f t="shared" si="1"/>
        <v>60</v>
      </c>
      <c r="F11" s="36">
        <v>2039</v>
      </c>
      <c r="G11" s="36">
        <v>1716690</v>
      </c>
      <c r="H11" s="37">
        <f t="shared" si="2"/>
        <v>1714.5909999999999</v>
      </c>
      <c r="I11" s="37">
        <f t="shared" si="3"/>
        <v>1628.65155</v>
      </c>
      <c r="J11" s="38">
        <v>0.67030000000000001</v>
      </c>
      <c r="K11" s="95">
        <f t="shared" si="4"/>
        <v>1091.685133965</v>
      </c>
      <c r="M11" s="1"/>
      <c r="N11" s="1"/>
      <c r="O11" s="1"/>
      <c r="P11" s="1"/>
    </row>
    <row r="12" spans="1:16">
      <c r="A12" s="34">
        <v>44774</v>
      </c>
      <c r="B12" s="35">
        <v>22401350</v>
      </c>
      <c r="C12" s="35">
        <f t="shared" si="0"/>
        <v>2107180</v>
      </c>
      <c r="D12" s="35">
        <v>930</v>
      </c>
      <c r="E12" s="35">
        <f t="shared" si="1"/>
        <v>210</v>
      </c>
      <c r="F12" s="36">
        <v>1975</v>
      </c>
      <c r="G12" s="36">
        <v>2107180</v>
      </c>
      <c r="H12" s="37">
        <f t="shared" si="2"/>
        <v>2104.9949999999999</v>
      </c>
      <c r="I12" s="37">
        <f t="shared" si="3"/>
        <v>1999.52675</v>
      </c>
      <c r="J12" s="38">
        <v>0.67030000000000001</v>
      </c>
      <c r="K12" s="95">
        <f t="shared" si="4"/>
        <v>1340.2827805249999</v>
      </c>
      <c r="M12" s="1"/>
      <c r="N12" s="89"/>
      <c r="O12" s="1"/>
      <c r="P12" s="1"/>
    </row>
    <row r="13" spans="1:16">
      <c r="A13" s="34">
        <v>44805</v>
      </c>
      <c r="B13" s="35">
        <v>24508530</v>
      </c>
      <c r="C13" s="35">
        <f t="shared" si="0"/>
        <v>2318630</v>
      </c>
      <c r="D13" s="35">
        <v>1140</v>
      </c>
      <c r="E13" s="35">
        <f t="shared" si="1"/>
        <v>0</v>
      </c>
      <c r="F13" s="36">
        <v>1796</v>
      </c>
      <c r="G13" s="36">
        <v>2318630</v>
      </c>
      <c r="H13" s="37">
        <f t="shared" si="2"/>
        <v>2316.8339999999998</v>
      </c>
      <c r="I13" s="37">
        <f t="shared" si="3"/>
        <v>2200.8127000000004</v>
      </c>
      <c r="J13" s="38">
        <v>0.67030000000000001</v>
      </c>
      <c r="K13" s="95">
        <f t="shared" si="4"/>
        <v>1475.2047528100002</v>
      </c>
      <c r="M13" s="1"/>
      <c r="N13" s="90"/>
      <c r="O13" s="10"/>
      <c r="P13" s="10"/>
    </row>
    <row r="14" spans="1:16">
      <c r="A14" s="34">
        <v>44835</v>
      </c>
      <c r="B14" s="35">
        <v>26827160</v>
      </c>
      <c r="C14" s="35">
        <f t="shared" si="0"/>
        <v>2564720</v>
      </c>
      <c r="D14" s="35">
        <v>1140</v>
      </c>
      <c r="E14" s="35">
        <f t="shared" si="1"/>
        <v>0</v>
      </c>
      <c r="F14" s="36">
        <v>1910</v>
      </c>
      <c r="G14" s="36">
        <v>2564720</v>
      </c>
      <c r="H14" s="37">
        <f t="shared" si="2"/>
        <v>2562.81</v>
      </c>
      <c r="I14" s="37">
        <f t="shared" si="3"/>
        <v>2434.4785000000002</v>
      </c>
      <c r="J14" s="38">
        <v>0.67030000000000001</v>
      </c>
      <c r="K14" s="95">
        <f t="shared" si="4"/>
        <v>1631.8309385500002</v>
      </c>
      <c r="M14" s="1"/>
      <c r="N14" s="89"/>
    </row>
    <row r="15" spans="1:16">
      <c r="A15" s="34">
        <v>44866</v>
      </c>
      <c r="B15" s="35">
        <v>29391880</v>
      </c>
      <c r="C15" s="35">
        <f t="shared" si="0"/>
        <v>2134690</v>
      </c>
      <c r="D15" s="35">
        <v>1140</v>
      </c>
      <c r="E15" s="35">
        <f t="shared" si="1"/>
        <v>50</v>
      </c>
      <c r="F15" s="36">
        <v>1544</v>
      </c>
      <c r="G15" s="36">
        <v>2134690</v>
      </c>
      <c r="H15" s="37">
        <f t="shared" si="2"/>
        <v>2133.096</v>
      </c>
      <c r="I15" s="37">
        <f t="shared" si="3"/>
        <v>2026.2818</v>
      </c>
      <c r="J15" s="38">
        <v>0.67030000000000001</v>
      </c>
      <c r="K15" s="95">
        <f t="shared" si="4"/>
        <v>1358.2166905399999</v>
      </c>
      <c r="M15" s="1"/>
    </row>
    <row r="16" spans="1:16" ht="15.75" customHeight="1">
      <c r="A16" s="34">
        <v>44896</v>
      </c>
      <c r="B16" s="35">
        <v>31526570</v>
      </c>
      <c r="C16" s="35">
        <f t="shared" si="0"/>
        <v>1859920</v>
      </c>
      <c r="D16" s="35">
        <v>1190</v>
      </c>
      <c r="E16" s="35">
        <f t="shared" si="1"/>
        <v>0</v>
      </c>
      <c r="F16" s="36">
        <v>1699</v>
      </c>
      <c r="G16" s="36">
        <v>1859920</v>
      </c>
      <c r="H16" s="37">
        <f t="shared" si="2"/>
        <v>1858.221</v>
      </c>
      <c r="I16" s="37">
        <f t="shared" si="3"/>
        <v>1765.14005</v>
      </c>
      <c r="J16" s="38">
        <v>0.67030000000000001</v>
      </c>
      <c r="K16" s="95">
        <f t="shared" si="4"/>
        <v>1183.1733755150001</v>
      </c>
      <c r="M16" s="1"/>
    </row>
    <row r="17" spans="1:13" ht="15.75" customHeight="1">
      <c r="A17" s="34">
        <v>44927</v>
      </c>
      <c r="B17" s="35">
        <v>33386490</v>
      </c>
      <c r="C17" s="35">
        <f>B18-B17</f>
        <v>1748740</v>
      </c>
      <c r="D17" s="35">
        <v>1190</v>
      </c>
      <c r="E17" s="35">
        <f>D18-D17</f>
        <v>20</v>
      </c>
      <c r="F17" s="36">
        <v>1710</v>
      </c>
      <c r="G17" s="36">
        <v>1748740</v>
      </c>
      <c r="H17" s="37">
        <f t="shared" si="2"/>
        <v>1747.01</v>
      </c>
      <c r="I17" s="37">
        <f t="shared" si="3"/>
        <v>1659.4865</v>
      </c>
      <c r="J17" s="38">
        <v>0.67030000000000001</v>
      </c>
      <c r="K17" s="95">
        <f t="shared" si="4"/>
        <v>1112.35380095</v>
      </c>
      <c r="M17" s="1"/>
    </row>
    <row r="18" spans="1:13" ht="15.75" customHeight="1">
      <c r="A18" s="34">
        <v>44958</v>
      </c>
      <c r="B18" s="35">
        <v>35135230</v>
      </c>
      <c r="C18" s="35">
        <f>B19-B18</f>
        <v>1777540</v>
      </c>
      <c r="D18" s="35">
        <v>1210</v>
      </c>
      <c r="E18" s="35">
        <f>D19-D18</f>
        <v>0</v>
      </c>
      <c r="F18" s="36">
        <v>1655</v>
      </c>
      <c r="G18" s="36">
        <v>1777540</v>
      </c>
      <c r="H18" s="37">
        <f t="shared" si="2"/>
        <v>1775.885</v>
      </c>
      <c r="I18" s="37">
        <f t="shared" si="3"/>
        <v>1686.92525</v>
      </c>
      <c r="J18" s="38">
        <v>0.67030000000000001</v>
      </c>
      <c r="K18" s="95">
        <f t="shared" si="4"/>
        <v>1130.7459950750001</v>
      </c>
      <c r="M18" s="1"/>
    </row>
    <row r="19" spans="1:13" ht="15.75" customHeight="1">
      <c r="A19" s="34">
        <v>44986</v>
      </c>
      <c r="B19" s="35">
        <v>36912770</v>
      </c>
      <c r="C19" s="35">
        <f>B20-B19</f>
        <v>1636790</v>
      </c>
      <c r="D19" s="35">
        <v>1210</v>
      </c>
      <c r="E19" s="35">
        <f>D20-D19</f>
        <v>0</v>
      </c>
      <c r="F19" s="36">
        <v>1806</v>
      </c>
      <c r="G19" s="36">
        <v>1636790</v>
      </c>
      <c r="H19" s="37">
        <f t="shared" si="2"/>
        <v>1634.9839999999999</v>
      </c>
      <c r="I19" s="37">
        <f t="shared" si="3"/>
        <v>1553.0542</v>
      </c>
      <c r="J19" s="38">
        <v>0.67030000000000001</v>
      </c>
      <c r="K19" s="95">
        <f t="shared" si="4"/>
        <v>1041.01223026</v>
      </c>
      <c r="M19" s="1"/>
    </row>
    <row r="20" spans="1:13" ht="15.75" customHeight="1">
      <c r="A20" s="34">
        <v>45017</v>
      </c>
      <c r="B20" s="35">
        <v>38549560</v>
      </c>
      <c r="C20" s="35">
        <f t="shared" ref="C20:C28" si="5">B21-B20</f>
        <v>1777080</v>
      </c>
      <c r="D20" s="35">
        <v>1210</v>
      </c>
      <c r="E20" s="35">
        <f t="shared" ref="E20:E28" si="6">D21-D20</f>
        <v>0</v>
      </c>
      <c r="F20" s="35">
        <v>1771</v>
      </c>
      <c r="G20" s="36">
        <v>1777080</v>
      </c>
      <c r="H20" s="37">
        <f t="shared" si="2"/>
        <v>1775.309</v>
      </c>
      <c r="I20" s="37">
        <f t="shared" si="3"/>
        <v>1686.36645</v>
      </c>
      <c r="J20" s="38">
        <v>0.67030000000000001</v>
      </c>
      <c r="K20" s="95">
        <f t="shared" si="4"/>
        <v>1130.371431435</v>
      </c>
      <c r="M20" s="1"/>
    </row>
    <row r="21" spans="1:13">
      <c r="A21" s="34">
        <v>45047</v>
      </c>
      <c r="B21" s="35">
        <v>40326640</v>
      </c>
      <c r="C21" s="35">
        <f t="shared" si="5"/>
        <v>2373040</v>
      </c>
      <c r="D21" s="35">
        <v>1210</v>
      </c>
      <c r="E21" s="35">
        <f t="shared" si="6"/>
        <v>0</v>
      </c>
      <c r="F21" s="36">
        <v>1824</v>
      </c>
      <c r="G21" s="36">
        <v>2373040</v>
      </c>
      <c r="H21" s="37">
        <f t="shared" si="2"/>
        <v>2371.2159999999999</v>
      </c>
      <c r="I21" s="37">
        <f t="shared" si="3"/>
        <v>2252.4728</v>
      </c>
      <c r="J21" s="38">
        <v>0.67030000000000001</v>
      </c>
      <c r="K21" s="95">
        <f t="shared" si="4"/>
        <v>1509.83251784</v>
      </c>
      <c r="M21" s="1"/>
    </row>
    <row r="22" spans="1:13">
      <c r="A22" s="34">
        <v>45078</v>
      </c>
      <c r="B22" s="35">
        <v>42699680</v>
      </c>
      <c r="C22" s="35">
        <f t="shared" si="5"/>
        <v>2171660</v>
      </c>
      <c r="D22" s="35">
        <v>1210</v>
      </c>
      <c r="E22" s="35">
        <f t="shared" si="6"/>
        <v>0</v>
      </c>
      <c r="F22" s="36">
        <v>1808</v>
      </c>
      <c r="G22" s="36">
        <v>2171660</v>
      </c>
      <c r="H22" s="37">
        <f t="shared" si="2"/>
        <v>2169.8519999999999</v>
      </c>
      <c r="I22" s="37">
        <f t="shared" si="3"/>
        <v>2061.1786000000002</v>
      </c>
      <c r="J22" s="38">
        <v>0.67030000000000001</v>
      </c>
      <c r="K22" s="95">
        <f t="shared" si="4"/>
        <v>1381.60801558</v>
      </c>
      <c r="M22" s="1"/>
    </row>
    <row r="23" spans="1:13">
      <c r="A23" s="34">
        <v>45108</v>
      </c>
      <c r="B23" s="35">
        <v>44871340</v>
      </c>
      <c r="C23" s="35">
        <f t="shared" si="5"/>
        <v>2037420</v>
      </c>
      <c r="D23" s="35">
        <v>1210</v>
      </c>
      <c r="E23" s="35">
        <f t="shared" si="6"/>
        <v>0</v>
      </c>
      <c r="F23" s="36">
        <v>1922</v>
      </c>
      <c r="G23" s="36">
        <v>2037420</v>
      </c>
      <c r="H23" s="37">
        <f t="shared" si="2"/>
        <v>2035.498</v>
      </c>
      <c r="I23" s="37">
        <f t="shared" si="3"/>
        <v>1933.5309</v>
      </c>
      <c r="J23" s="38">
        <v>0.67030000000000001</v>
      </c>
      <c r="K23" s="95">
        <f t="shared" si="4"/>
        <v>1296.0457622700001</v>
      </c>
      <c r="M23" s="1"/>
    </row>
    <row r="24" spans="1:13" s="129" customFormat="1" ht="13.95" customHeight="1">
      <c r="A24" s="123">
        <v>45139</v>
      </c>
      <c r="B24" s="124">
        <v>46908760</v>
      </c>
      <c r="C24" s="124">
        <f t="shared" si="5"/>
        <v>2549530</v>
      </c>
      <c r="D24" s="124">
        <v>1210</v>
      </c>
      <c r="E24" s="124">
        <f t="shared" si="6"/>
        <v>0</v>
      </c>
      <c r="F24" s="125">
        <v>2481</v>
      </c>
      <c r="G24" s="125">
        <v>2549530</v>
      </c>
      <c r="H24" s="126">
        <f t="shared" si="2"/>
        <v>2547.049</v>
      </c>
      <c r="I24" s="126">
        <f t="shared" si="3"/>
        <v>2419.4484500000003</v>
      </c>
      <c r="J24" s="127">
        <v>0.67030000000000001</v>
      </c>
      <c r="K24" s="128">
        <f t="shared" si="4"/>
        <v>1621.7562960350003</v>
      </c>
      <c r="M24" s="130"/>
    </row>
    <row r="25" spans="1:13">
      <c r="A25" s="34">
        <v>45170</v>
      </c>
      <c r="B25" s="35">
        <v>49458290</v>
      </c>
      <c r="C25" s="35">
        <f t="shared" si="5"/>
        <v>3080270</v>
      </c>
      <c r="D25" s="35">
        <v>1210</v>
      </c>
      <c r="E25" s="35">
        <f t="shared" si="6"/>
        <v>0</v>
      </c>
      <c r="F25" s="36">
        <v>1894</v>
      </c>
      <c r="G25" s="36">
        <v>3080270</v>
      </c>
      <c r="H25" s="37">
        <f t="shared" si="2"/>
        <v>3078.3760000000002</v>
      </c>
      <c r="I25" s="37">
        <f t="shared" si="3"/>
        <v>2924.2677999999996</v>
      </c>
      <c r="J25" s="38">
        <v>0.67030000000000001</v>
      </c>
      <c r="K25" s="95">
        <f t="shared" si="4"/>
        <v>1960.1367063399998</v>
      </c>
      <c r="M25" s="1"/>
    </row>
    <row r="26" spans="1:13">
      <c r="A26" s="34">
        <v>45200</v>
      </c>
      <c r="B26" s="35">
        <v>52538560</v>
      </c>
      <c r="C26" s="35">
        <f t="shared" si="5"/>
        <v>2381540</v>
      </c>
      <c r="D26" s="35">
        <v>1210</v>
      </c>
      <c r="E26" s="35">
        <f t="shared" si="6"/>
        <v>0</v>
      </c>
      <c r="F26" s="36">
        <v>1801</v>
      </c>
      <c r="G26" s="36">
        <v>2381540</v>
      </c>
      <c r="H26" s="37">
        <f t="shared" si="2"/>
        <v>2379.739</v>
      </c>
      <c r="I26" s="37">
        <f t="shared" si="3"/>
        <v>2260.57195</v>
      </c>
      <c r="J26" s="38">
        <v>0.67030000000000001</v>
      </c>
      <c r="K26" s="95">
        <f t="shared" si="4"/>
        <v>1515.2613780849999</v>
      </c>
      <c r="M26" s="1"/>
    </row>
    <row r="27" spans="1:13">
      <c r="A27" s="34">
        <v>45231</v>
      </c>
      <c r="B27" s="35">
        <v>54920100</v>
      </c>
      <c r="C27" s="35">
        <f t="shared" si="5"/>
        <v>2154230</v>
      </c>
      <c r="D27" s="35">
        <v>1210</v>
      </c>
      <c r="E27" s="35">
        <f t="shared" si="6"/>
        <v>50</v>
      </c>
      <c r="F27" s="36">
        <v>1546</v>
      </c>
      <c r="G27" s="36">
        <v>2154230</v>
      </c>
      <c r="H27" s="37">
        <f t="shared" si="2"/>
        <v>2152.634</v>
      </c>
      <c r="I27" s="37">
        <f t="shared" si="3"/>
        <v>2044.8426999999999</v>
      </c>
      <c r="J27" s="38">
        <v>0.67030000000000001</v>
      </c>
      <c r="K27" s="95">
        <f t="shared" si="4"/>
        <v>1370.6580618099999</v>
      </c>
      <c r="M27" s="1"/>
    </row>
    <row r="28" spans="1:13">
      <c r="A28" s="34">
        <v>45261</v>
      </c>
      <c r="B28" s="35">
        <v>57074330</v>
      </c>
      <c r="C28" s="35">
        <f t="shared" si="5"/>
        <v>2256500</v>
      </c>
      <c r="D28" s="35">
        <v>1260</v>
      </c>
      <c r="E28" s="35">
        <f t="shared" si="6"/>
        <v>0</v>
      </c>
      <c r="F28" s="36">
        <v>1518</v>
      </c>
      <c r="G28" s="36">
        <v>2256500</v>
      </c>
      <c r="H28" s="37">
        <f t="shared" si="2"/>
        <v>2254.982</v>
      </c>
      <c r="I28" s="37">
        <f t="shared" si="3"/>
        <v>2142.0810999999999</v>
      </c>
      <c r="J28" s="38">
        <v>0.67030000000000001</v>
      </c>
      <c r="K28" s="95">
        <f t="shared" si="4"/>
        <v>1435.8369613299999</v>
      </c>
      <c r="M28" s="1"/>
    </row>
    <row r="29" spans="1:13">
      <c r="A29" s="34">
        <v>45292</v>
      </c>
      <c r="B29" s="35">
        <v>59330830</v>
      </c>
      <c r="C29"/>
      <c r="D29" s="35">
        <v>1260</v>
      </c>
      <c r="E29" s="9"/>
    </row>
    <row r="30" spans="1:13">
      <c r="C30"/>
      <c r="D30"/>
    </row>
    <row r="31" spans="1:13">
      <c r="C31"/>
      <c r="D31"/>
    </row>
    <row r="33" spans="5:5">
      <c r="E33" s="1"/>
    </row>
    <row r="34" spans="5:5">
      <c r="E34" s="9"/>
    </row>
  </sheetData>
  <mergeCells count="3">
    <mergeCell ref="B2:E2"/>
    <mergeCell ref="F2:G2"/>
    <mergeCell ref="H2:K2"/>
  </mergeCells>
  <phoneticPr fontId="36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21A2-DD6B-4E86-8CA2-2E823C949E06}">
  <dimension ref="A1:O32"/>
  <sheetViews>
    <sheetView zoomScale="85" zoomScaleNormal="85" workbookViewId="0">
      <selection activeCell="E33" sqref="E33"/>
    </sheetView>
  </sheetViews>
  <sheetFormatPr defaultColWidth="11.44140625" defaultRowHeight="14.4"/>
  <cols>
    <col min="1" max="1" width="13.109375" customWidth="1"/>
    <col min="2" max="2" width="22" customWidth="1"/>
    <col min="3" max="3" width="13.5546875" style="1" customWidth="1"/>
    <col min="4" max="4" width="12.88671875" style="1" customWidth="1"/>
    <col min="5" max="5" width="12.5546875" customWidth="1"/>
    <col min="6" max="7" width="11.88671875" customWidth="1"/>
    <col min="8" max="8" width="12.33203125" customWidth="1"/>
    <col min="9" max="9" width="20.5546875" bestFit="1" customWidth="1"/>
    <col min="11" max="11" width="11.44140625" style="2"/>
    <col min="12" max="12" width="9.21875" customWidth="1"/>
    <col min="13" max="13" width="10.109375" customWidth="1"/>
  </cols>
  <sheetData>
    <row r="1" spans="1:15" ht="15" thickBot="1">
      <c r="A1" s="32" t="s">
        <v>14</v>
      </c>
    </row>
    <row r="2" spans="1:15">
      <c r="B2" s="105" t="s">
        <v>79</v>
      </c>
      <c r="C2" s="105"/>
      <c r="D2" s="105"/>
      <c r="E2" s="105"/>
      <c r="F2" s="105" t="s">
        <v>80</v>
      </c>
      <c r="G2" s="105"/>
      <c r="H2" s="105" t="s">
        <v>83</v>
      </c>
      <c r="I2" s="105"/>
      <c r="J2" s="105"/>
      <c r="K2" s="105"/>
      <c r="L2" s="105"/>
      <c r="M2" s="105"/>
      <c r="N2" s="105"/>
    </row>
    <row r="3" spans="1:15" s="45" customFormat="1" ht="43.8" customHeight="1">
      <c r="A3" s="41" t="s">
        <v>1</v>
      </c>
      <c r="B3" s="41" t="s">
        <v>9</v>
      </c>
      <c r="C3" s="31" t="s">
        <v>6</v>
      </c>
      <c r="D3" s="31" t="s">
        <v>10</v>
      </c>
      <c r="E3" s="31" t="s">
        <v>11</v>
      </c>
      <c r="F3" s="31" t="s">
        <v>12</v>
      </c>
      <c r="G3" s="31" t="s">
        <v>81</v>
      </c>
      <c r="H3" s="31" t="s">
        <v>7</v>
      </c>
      <c r="I3" s="31" t="s">
        <v>65</v>
      </c>
      <c r="J3" s="31" t="s">
        <v>2</v>
      </c>
      <c r="K3" s="31" t="s">
        <v>4</v>
      </c>
      <c r="L3" s="31" t="s">
        <v>58</v>
      </c>
      <c r="M3" s="31" t="s">
        <v>59</v>
      </c>
      <c r="N3" s="31" t="s">
        <v>60</v>
      </c>
    </row>
    <row r="4" spans="1:15">
      <c r="A4" s="42"/>
      <c r="B4" s="42"/>
      <c r="C4" s="43" t="s">
        <v>0</v>
      </c>
      <c r="D4" s="43"/>
      <c r="E4" s="43" t="s">
        <v>0</v>
      </c>
      <c r="F4" s="43" t="s">
        <v>0</v>
      </c>
      <c r="G4" s="43" t="s">
        <v>0</v>
      </c>
      <c r="H4" s="43" t="s">
        <v>8</v>
      </c>
      <c r="I4" s="43" t="s">
        <v>8</v>
      </c>
      <c r="J4" s="43" t="s">
        <v>3</v>
      </c>
      <c r="K4" s="44" t="s">
        <v>5</v>
      </c>
      <c r="L4" s="44" t="s">
        <v>5</v>
      </c>
      <c r="M4" s="43"/>
      <c r="N4" s="44" t="s">
        <v>5</v>
      </c>
    </row>
    <row r="5" spans="1:15">
      <c r="A5" s="34">
        <v>44562</v>
      </c>
      <c r="B5" s="67"/>
      <c r="C5" s="68"/>
      <c r="D5" s="68"/>
      <c r="E5" s="68"/>
      <c r="F5" s="68"/>
      <c r="G5" s="68"/>
      <c r="H5" s="68"/>
      <c r="I5" s="69"/>
      <c r="J5" s="38">
        <v>0.67030000000000001</v>
      </c>
      <c r="K5" s="95">
        <f t="shared" ref="K5:K11" si="0">I5*J5</f>
        <v>0</v>
      </c>
      <c r="L5" s="95">
        <v>0</v>
      </c>
      <c r="M5" s="18" t="s">
        <v>20</v>
      </c>
      <c r="N5" s="95">
        <f>K5-L5</f>
        <v>0</v>
      </c>
    </row>
    <row r="6" spans="1:15">
      <c r="A6" s="34">
        <v>44593</v>
      </c>
      <c r="B6" s="70"/>
      <c r="C6" s="71"/>
      <c r="D6" s="71"/>
      <c r="E6" s="71"/>
      <c r="F6" s="71"/>
      <c r="G6" s="71"/>
      <c r="H6" s="71"/>
      <c r="I6" s="72"/>
      <c r="J6" s="38">
        <v>0.67030000000000001</v>
      </c>
      <c r="K6" s="95">
        <f t="shared" si="0"/>
        <v>0</v>
      </c>
      <c r="L6" s="95">
        <v>0</v>
      </c>
      <c r="M6" s="18" t="s">
        <v>20</v>
      </c>
      <c r="N6" s="95">
        <f t="shared" ref="N6:N28" si="1">K6-L6</f>
        <v>0</v>
      </c>
    </row>
    <row r="7" spans="1:15">
      <c r="A7" s="34">
        <v>44621</v>
      </c>
      <c r="B7" s="70"/>
      <c r="C7" s="71"/>
      <c r="D7" s="71"/>
      <c r="E7" s="71"/>
      <c r="F7" s="71"/>
      <c r="G7" s="71"/>
      <c r="H7" s="71"/>
      <c r="I7" s="72"/>
      <c r="J7" s="38">
        <v>0.67030000000000001</v>
      </c>
      <c r="K7" s="95">
        <f t="shared" si="0"/>
        <v>0</v>
      </c>
      <c r="L7" s="95">
        <v>0</v>
      </c>
      <c r="M7" s="18" t="s">
        <v>20</v>
      </c>
      <c r="N7" s="95">
        <f t="shared" si="1"/>
        <v>0</v>
      </c>
    </row>
    <row r="8" spans="1:15">
      <c r="A8" s="34">
        <v>44652</v>
      </c>
      <c r="B8" s="70"/>
      <c r="C8" s="71"/>
      <c r="D8" s="71"/>
      <c r="E8" s="71"/>
      <c r="F8" s="71"/>
      <c r="G8" s="71"/>
      <c r="H8" s="71"/>
      <c r="I8" s="72"/>
      <c r="J8" s="38">
        <v>0.67030000000000001</v>
      </c>
      <c r="K8" s="95">
        <f t="shared" si="0"/>
        <v>0</v>
      </c>
      <c r="L8" s="95">
        <v>0</v>
      </c>
      <c r="M8" s="18" t="s">
        <v>20</v>
      </c>
      <c r="N8" s="95">
        <f t="shared" si="1"/>
        <v>0</v>
      </c>
    </row>
    <row r="9" spans="1:15">
      <c r="A9" s="34">
        <v>44682</v>
      </c>
      <c r="B9" s="70"/>
      <c r="C9" s="71"/>
      <c r="D9" s="71"/>
      <c r="E9" s="71"/>
      <c r="F9" s="71"/>
      <c r="G9" s="71"/>
      <c r="H9" s="71"/>
      <c r="I9" s="72"/>
      <c r="J9" s="38">
        <v>0.67030000000000001</v>
      </c>
      <c r="K9" s="95">
        <f t="shared" si="0"/>
        <v>0</v>
      </c>
      <c r="L9" s="95">
        <v>0</v>
      </c>
      <c r="M9" s="18" t="s">
        <v>20</v>
      </c>
      <c r="N9" s="95">
        <f t="shared" si="1"/>
        <v>0</v>
      </c>
    </row>
    <row r="10" spans="1:15">
      <c r="A10" s="34">
        <v>44713</v>
      </c>
      <c r="B10" s="70"/>
      <c r="C10" s="71"/>
      <c r="D10" s="71"/>
      <c r="E10" s="71"/>
      <c r="F10" s="71"/>
      <c r="G10" s="71"/>
      <c r="H10" s="71"/>
      <c r="I10" s="72"/>
      <c r="J10" s="38">
        <v>0.67030000000000001</v>
      </c>
      <c r="K10" s="95">
        <f t="shared" si="0"/>
        <v>0</v>
      </c>
      <c r="L10" s="95">
        <v>0</v>
      </c>
      <c r="M10" s="18" t="s">
        <v>20</v>
      </c>
      <c r="N10" s="95">
        <f t="shared" si="1"/>
        <v>0</v>
      </c>
    </row>
    <row r="11" spans="1:15">
      <c r="A11" s="34">
        <v>44743</v>
      </c>
      <c r="B11" s="73"/>
      <c r="C11" s="74"/>
      <c r="D11" s="74"/>
      <c r="E11" s="74"/>
      <c r="F11" s="74"/>
      <c r="G11" s="74"/>
      <c r="H11" s="74"/>
      <c r="I11" s="75"/>
      <c r="J11" s="38">
        <v>0.67030000000000001</v>
      </c>
      <c r="K11" s="95">
        <f t="shared" si="0"/>
        <v>0</v>
      </c>
      <c r="L11" s="95">
        <v>0</v>
      </c>
      <c r="M11" s="18" t="s">
        <v>20</v>
      </c>
      <c r="N11" s="95">
        <f t="shared" si="1"/>
        <v>0</v>
      </c>
    </row>
    <row r="12" spans="1:15">
      <c r="A12" s="34">
        <v>44774</v>
      </c>
      <c r="B12" s="46">
        <v>0</v>
      </c>
      <c r="C12" s="35">
        <f t="shared" ref="C12:C19" si="2">B13-B12</f>
        <v>1314890</v>
      </c>
      <c r="D12" s="35">
        <v>0</v>
      </c>
      <c r="E12" s="35">
        <f t="shared" ref="E12:E19" si="3">D13-D12</f>
        <v>340</v>
      </c>
      <c r="F12" s="36" t="s">
        <v>20</v>
      </c>
      <c r="G12" s="36">
        <v>1314890</v>
      </c>
      <c r="H12" s="37">
        <f>(C12-E12)/1000</f>
        <v>1314.55</v>
      </c>
      <c r="I12" s="37">
        <f>((C12*(1-0.05))-(E12*(1+0.05)))/1000</f>
        <v>1248.7885000000001</v>
      </c>
      <c r="J12" s="38">
        <v>0.67030000000000001</v>
      </c>
      <c r="K12" s="95">
        <f>I12*J12</f>
        <v>837.06293155000003</v>
      </c>
      <c r="L12" s="95">
        <f>(E12*(1+0.05))/1000*J12*(1+0.2)</f>
        <v>0.28715651999999997</v>
      </c>
      <c r="M12" s="76">
        <f>E12/C12</f>
        <v>2.5857676307523825E-4</v>
      </c>
      <c r="N12" s="95">
        <f t="shared" si="1"/>
        <v>836.77577502999998</v>
      </c>
      <c r="O12" s="1"/>
    </row>
    <row r="13" spans="1:15">
      <c r="A13" s="34">
        <v>44805</v>
      </c>
      <c r="B13" s="35">
        <v>1314890</v>
      </c>
      <c r="C13" s="35">
        <f t="shared" si="2"/>
        <v>2966450</v>
      </c>
      <c r="D13" s="35">
        <v>340</v>
      </c>
      <c r="E13" s="35">
        <f t="shared" si="3"/>
        <v>370</v>
      </c>
      <c r="F13" s="36" t="s">
        <v>20</v>
      </c>
      <c r="G13" s="36">
        <v>2966450</v>
      </c>
      <c r="H13" s="37">
        <f t="shared" ref="H13:H28" si="4">(C13-E13)/1000</f>
        <v>2966.08</v>
      </c>
      <c r="I13" s="37">
        <f t="shared" ref="I13:I28" si="5">((C13*(1-0.05))-(E13*(1+0.05)))/1000</f>
        <v>2817.739</v>
      </c>
      <c r="J13" s="38">
        <v>0.67030000000000001</v>
      </c>
      <c r="K13" s="95">
        <f t="shared" ref="K13:K28" si="6">I13*J13</f>
        <v>1888.7304517</v>
      </c>
      <c r="L13" s="95">
        <f t="shared" ref="L13:L28" si="7">(E13*(1+0.05))/1000*J13*(1+0.2)</f>
        <v>0.31249385999999996</v>
      </c>
      <c r="M13" s="76">
        <f t="shared" ref="M13:M28" si="8">E13/C13</f>
        <v>1.2472821048728277E-4</v>
      </c>
      <c r="N13" s="95">
        <f t="shared" si="1"/>
        <v>1888.4179578400001</v>
      </c>
      <c r="O13" s="1"/>
    </row>
    <row r="14" spans="1:15">
      <c r="A14" s="34">
        <v>44835</v>
      </c>
      <c r="B14" s="35">
        <v>4281340</v>
      </c>
      <c r="C14" s="35">
        <f t="shared" si="2"/>
        <v>3345440</v>
      </c>
      <c r="D14" s="35">
        <v>710</v>
      </c>
      <c r="E14" s="35">
        <f t="shared" si="3"/>
        <v>6000</v>
      </c>
      <c r="F14" s="36" t="s">
        <v>20</v>
      </c>
      <c r="G14" s="36">
        <v>3345440</v>
      </c>
      <c r="H14" s="37">
        <f t="shared" si="4"/>
        <v>3339.44</v>
      </c>
      <c r="I14" s="37">
        <f t="shared" si="5"/>
        <v>3171.8679999999999</v>
      </c>
      <c r="J14" s="38">
        <v>0.67030000000000001</v>
      </c>
      <c r="K14" s="95">
        <f t="shared" si="6"/>
        <v>2126.1031204000001</v>
      </c>
      <c r="L14" s="95">
        <f t="shared" si="7"/>
        <v>5.067467999999999</v>
      </c>
      <c r="M14" s="76">
        <f t="shared" si="8"/>
        <v>1.7934860586350375E-3</v>
      </c>
      <c r="N14" s="95">
        <f t="shared" si="1"/>
        <v>2121.0356523999999</v>
      </c>
      <c r="O14" s="1"/>
    </row>
    <row r="15" spans="1:15">
      <c r="A15" s="34">
        <v>44866</v>
      </c>
      <c r="B15" s="35">
        <v>7626780</v>
      </c>
      <c r="C15" s="35">
        <f t="shared" si="2"/>
        <v>2805900</v>
      </c>
      <c r="D15" s="35">
        <v>6710</v>
      </c>
      <c r="E15" s="35">
        <f t="shared" si="3"/>
        <v>5040</v>
      </c>
      <c r="F15" s="47" t="s">
        <v>20</v>
      </c>
      <c r="G15" s="36">
        <v>2805900</v>
      </c>
      <c r="H15" s="37">
        <f>(C15-E15)/1000</f>
        <v>2800.86</v>
      </c>
      <c r="I15" s="37">
        <f t="shared" si="5"/>
        <v>2660.3130000000001</v>
      </c>
      <c r="J15" s="38">
        <v>0.67030000000000001</v>
      </c>
      <c r="K15" s="95">
        <f t="shared" si="6"/>
        <v>1783.2078039</v>
      </c>
      <c r="L15" s="95">
        <f t="shared" si="7"/>
        <v>4.2566731199999994</v>
      </c>
      <c r="M15" s="76">
        <f t="shared" si="8"/>
        <v>1.796215118143911E-3</v>
      </c>
      <c r="N15" s="95">
        <f t="shared" si="1"/>
        <v>1778.9511307800001</v>
      </c>
      <c r="O15" s="1"/>
    </row>
    <row r="16" spans="1:15" ht="15.75" customHeight="1">
      <c r="A16" s="34">
        <v>44896</v>
      </c>
      <c r="B16" s="35">
        <v>10432680</v>
      </c>
      <c r="C16" s="35">
        <f t="shared" si="2"/>
        <v>2239710</v>
      </c>
      <c r="D16" s="35">
        <v>11750</v>
      </c>
      <c r="E16" s="35">
        <f t="shared" si="3"/>
        <v>10740</v>
      </c>
      <c r="F16" s="36" t="s">
        <v>20</v>
      </c>
      <c r="G16" s="36">
        <v>2239710</v>
      </c>
      <c r="H16" s="37">
        <f t="shared" si="4"/>
        <v>2228.9699999999998</v>
      </c>
      <c r="I16" s="37">
        <f t="shared" si="5"/>
        <v>2116.4475000000002</v>
      </c>
      <c r="J16" s="38">
        <v>0.67030000000000001</v>
      </c>
      <c r="K16" s="95">
        <f t="shared" si="6"/>
        <v>1418.6547592500001</v>
      </c>
      <c r="L16" s="95">
        <f t="shared" si="7"/>
        <v>9.0707677199999992</v>
      </c>
      <c r="M16" s="76">
        <f t="shared" si="8"/>
        <v>4.7952636725290326E-3</v>
      </c>
      <c r="N16" s="95">
        <f t="shared" si="1"/>
        <v>1409.58399153</v>
      </c>
      <c r="O16" s="1"/>
    </row>
    <row r="17" spans="1:15" ht="15.75" customHeight="1">
      <c r="A17" s="34">
        <v>44927</v>
      </c>
      <c r="B17" s="35">
        <v>12672390</v>
      </c>
      <c r="C17" s="35">
        <f t="shared" si="2"/>
        <v>2272740</v>
      </c>
      <c r="D17" s="35">
        <v>22490</v>
      </c>
      <c r="E17" s="35">
        <f t="shared" si="3"/>
        <v>14460</v>
      </c>
      <c r="F17" s="36" t="s">
        <v>20</v>
      </c>
      <c r="G17" s="36">
        <v>2272740</v>
      </c>
      <c r="H17" s="37">
        <f t="shared" si="4"/>
        <v>2258.2800000000002</v>
      </c>
      <c r="I17" s="37">
        <f t="shared" si="5"/>
        <v>2143.92</v>
      </c>
      <c r="J17" s="38">
        <v>0.67030000000000001</v>
      </c>
      <c r="K17" s="95">
        <f t="shared" si="6"/>
        <v>1437.0695760000001</v>
      </c>
      <c r="L17" s="95">
        <f t="shared" si="7"/>
        <v>12.212597879999999</v>
      </c>
      <c r="M17" s="76">
        <f t="shared" si="8"/>
        <v>6.3623643707595235E-3</v>
      </c>
      <c r="N17" s="95">
        <f t="shared" si="1"/>
        <v>1424.8569781200001</v>
      </c>
      <c r="O17" s="1"/>
    </row>
    <row r="18" spans="1:15" ht="15.75" customHeight="1">
      <c r="A18" s="34">
        <v>44958</v>
      </c>
      <c r="B18" s="35">
        <v>14945130</v>
      </c>
      <c r="C18" s="35">
        <f t="shared" si="2"/>
        <v>2284820</v>
      </c>
      <c r="D18" s="35">
        <v>36950</v>
      </c>
      <c r="E18" s="35">
        <f t="shared" si="3"/>
        <v>14840</v>
      </c>
      <c r="F18" s="36" t="s">
        <v>20</v>
      </c>
      <c r="G18" s="36">
        <v>2284820</v>
      </c>
      <c r="H18" s="37">
        <f t="shared" si="4"/>
        <v>2269.98</v>
      </c>
      <c r="I18" s="37">
        <f t="shared" si="5"/>
        <v>2154.9969999999998</v>
      </c>
      <c r="J18" s="38">
        <v>0.67030000000000001</v>
      </c>
      <c r="K18" s="95">
        <f t="shared" si="6"/>
        <v>1444.4944891</v>
      </c>
      <c r="L18" s="95">
        <f t="shared" si="7"/>
        <v>12.533537520000001</v>
      </c>
      <c r="M18" s="76">
        <f t="shared" si="8"/>
        <v>6.4950411848635776E-3</v>
      </c>
      <c r="N18" s="95">
        <f t="shared" si="1"/>
        <v>1431.96095158</v>
      </c>
      <c r="O18" s="1"/>
    </row>
    <row r="19" spans="1:15" ht="15.75" customHeight="1">
      <c r="A19" s="34">
        <v>44986</v>
      </c>
      <c r="B19" s="35">
        <v>17229950</v>
      </c>
      <c r="C19" s="35">
        <f t="shared" si="2"/>
        <v>2083900</v>
      </c>
      <c r="D19" s="35">
        <v>51790</v>
      </c>
      <c r="E19" s="35">
        <f t="shared" si="3"/>
        <v>13180</v>
      </c>
      <c r="F19" s="36" t="s">
        <v>20</v>
      </c>
      <c r="G19" s="36">
        <v>2083900</v>
      </c>
      <c r="H19" s="37">
        <f t="shared" si="4"/>
        <v>2070.7199999999998</v>
      </c>
      <c r="I19" s="37">
        <f t="shared" si="5"/>
        <v>1965.866</v>
      </c>
      <c r="J19" s="38">
        <v>0.67030000000000001</v>
      </c>
      <c r="K19" s="95">
        <f t="shared" si="6"/>
        <v>1317.7199797999999</v>
      </c>
      <c r="L19" s="95">
        <f t="shared" si="7"/>
        <v>11.131538040000001</v>
      </c>
      <c r="M19" s="76">
        <f t="shared" si="8"/>
        <v>6.3246796871251022E-3</v>
      </c>
      <c r="N19" s="95">
        <f t="shared" si="1"/>
        <v>1306.58844176</v>
      </c>
      <c r="O19" s="1"/>
    </row>
    <row r="20" spans="1:15" ht="15.75" customHeight="1">
      <c r="A20" s="34">
        <v>45017</v>
      </c>
      <c r="B20" s="35">
        <v>19313850</v>
      </c>
      <c r="C20" s="35">
        <f t="shared" ref="C20:C28" si="9">B21-B20</f>
        <v>2314020</v>
      </c>
      <c r="D20" s="35">
        <v>64970</v>
      </c>
      <c r="E20" s="35">
        <f t="shared" ref="E20:E28" si="10">D21-D20</f>
        <v>3800</v>
      </c>
      <c r="F20" s="36" t="s">
        <v>20</v>
      </c>
      <c r="G20" s="36">
        <v>2314020</v>
      </c>
      <c r="H20" s="37">
        <f t="shared" si="4"/>
        <v>2310.2199999999998</v>
      </c>
      <c r="I20" s="37">
        <f t="shared" si="5"/>
        <v>2194.3290000000002</v>
      </c>
      <c r="J20" s="38">
        <v>0.67030000000000001</v>
      </c>
      <c r="K20" s="95">
        <f t="shared" si="6"/>
        <v>1470.8587287</v>
      </c>
      <c r="L20" s="95">
        <f t="shared" si="7"/>
        <v>3.2093964000000001</v>
      </c>
      <c r="M20" s="76">
        <f t="shared" si="8"/>
        <v>1.6421638533806967E-3</v>
      </c>
      <c r="N20" s="95">
        <f t="shared" si="1"/>
        <v>1467.6493323</v>
      </c>
      <c r="O20" s="1"/>
    </row>
    <row r="21" spans="1:15">
      <c r="A21" s="34">
        <v>45047</v>
      </c>
      <c r="B21" s="35">
        <v>21627870</v>
      </c>
      <c r="C21" s="35">
        <f t="shared" si="9"/>
        <v>2663120</v>
      </c>
      <c r="D21" s="35">
        <v>68770</v>
      </c>
      <c r="E21" s="35">
        <f t="shared" si="10"/>
        <v>11820</v>
      </c>
      <c r="F21" s="36" t="s">
        <v>20</v>
      </c>
      <c r="G21" s="36">
        <v>2663120</v>
      </c>
      <c r="H21" s="37">
        <f t="shared" si="4"/>
        <v>2651.3</v>
      </c>
      <c r="I21" s="37">
        <f t="shared" si="5"/>
        <v>2517.5529999999999</v>
      </c>
      <c r="J21" s="38">
        <v>0.67030000000000001</v>
      </c>
      <c r="K21" s="95">
        <f t="shared" si="6"/>
        <v>1687.5157758999999</v>
      </c>
      <c r="L21" s="95">
        <f t="shared" si="7"/>
        <v>9.9829119600000009</v>
      </c>
      <c r="M21" s="76">
        <f t="shared" si="8"/>
        <v>4.4384030760912015E-3</v>
      </c>
      <c r="N21" s="95">
        <f t="shared" si="1"/>
        <v>1677.53286394</v>
      </c>
      <c r="O21" s="1"/>
    </row>
    <row r="22" spans="1:15">
      <c r="A22" s="34">
        <v>45078</v>
      </c>
      <c r="B22" s="35">
        <v>24290990</v>
      </c>
      <c r="C22" s="35">
        <f t="shared" si="9"/>
        <v>2353190</v>
      </c>
      <c r="D22" s="35">
        <v>80590</v>
      </c>
      <c r="E22" s="35">
        <f t="shared" si="10"/>
        <v>14430</v>
      </c>
      <c r="F22" s="36" t="s">
        <v>20</v>
      </c>
      <c r="G22" s="36">
        <v>2353190</v>
      </c>
      <c r="H22" s="37">
        <f t="shared" si="4"/>
        <v>2338.7600000000002</v>
      </c>
      <c r="I22" s="37">
        <f t="shared" si="5"/>
        <v>2220.3789999999999</v>
      </c>
      <c r="J22" s="38">
        <v>0.67030000000000001</v>
      </c>
      <c r="K22" s="95">
        <f t="shared" si="6"/>
        <v>1488.3200437</v>
      </c>
      <c r="L22" s="95">
        <f t="shared" si="7"/>
        <v>12.18726054</v>
      </c>
      <c r="M22" s="76">
        <f t="shared" si="8"/>
        <v>6.1321015302631746E-3</v>
      </c>
      <c r="N22" s="95">
        <f t="shared" si="1"/>
        <v>1476.1327831600001</v>
      </c>
      <c r="O22" s="1"/>
    </row>
    <row r="23" spans="1:15">
      <c r="A23" s="34">
        <v>45108</v>
      </c>
      <c r="B23" s="35">
        <v>26644180</v>
      </c>
      <c r="C23" s="35">
        <f t="shared" si="9"/>
        <v>2126430</v>
      </c>
      <c r="D23" s="35">
        <v>95020</v>
      </c>
      <c r="E23" s="35">
        <f t="shared" si="10"/>
        <v>16380</v>
      </c>
      <c r="F23" s="36" t="s">
        <v>20</v>
      </c>
      <c r="G23" s="36">
        <v>2126430</v>
      </c>
      <c r="H23" s="37">
        <f t="shared" si="4"/>
        <v>2110.0500000000002</v>
      </c>
      <c r="I23" s="37">
        <f t="shared" si="5"/>
        <v>2002.9095</v>
      </c>
      <c r="J23" s="38">
        <v>0.67030000000000001</v>
      </c>
      <c r="K23" s="95">
        <f t="shared" si="6"/>
        <v>1342.55023785</v>
      </c>
      <c r="L23" s="95">
        <f t="shared" si="7"/>
        <v>13.834187640000001</v>
      </c>
      <c r="M23" s="76">
        <f t="shared" si="8"/>
        <v>7.7030515935158925E-3</v>
      </c>
      <c r="N23" s="95">
        <f t="shared" si="1"/>
        <v>1328.71605021</v>
      </c>
      <c r="O23" s="1"/>
    </row>
    <row r="24" spans="1:15">
      <c r="A24" s="34">
        <v>45139</v>
      </c>
      <c r="B24" s="35">
        <v>28770610</v>
      </c>
      <c r="C24" s="35">
        <f t="shared" si="9"/>
        <v>2516860</v>
      </c>
      <c r="D24" s="35">
        <v>111400</v>
      </c>
      <c r="E24" s="35">
        <f t="shared" si="10"/>
        <v>7910</v>
      </c>
      <c r="F24" s="36" t="s">
        <v>20</v>
      </c>
      <c r="G24" s="36">
        <v>2516860</v>
      </c>
      <c r="H24" s="37">
        <f t="shared" si="4"/>
        <v>2508.9499999999998</v>
      </c>
      <c r="I24" s="37">
        <f t="shared" si="5"/>
        <v>2382.7114999999999</v>
      </c>
      <c r="J24" s="38">
        <v>0.67030000000000001</v>
      </c>
      <c r="K24" s="95">
        <f t="shared" si="6"/>
        <v>1597.1315184499999</v>
      </c>
      <c r="L24" s="95">
        <f t="shared" si="7"/>
        <v>6.6806119800000001</v>
      </c>
      <c r="M24" s="76">
        <f t="shared" si="8"/>
        <v>3.1428049235952735E-3</v>
      </c>
      <c r="N24" s="95">
        <f t="shared" si="1"/>
        <v>1590.4509064699998</v>
      </c>
      <c r="O24" s="1"/>
    </row>
    <row r="25" spans="1:15" ht="14.4" customHeight="1">
      <c r="A25" s="34">
        <v>45170</v>
      </c>
      <c r="B25" s="35">
        <v>31287470</v>
      </c>
      <c r="C25" s="35">
        <f t="shared" si="9"/>
        <v>3164020</v>
      </c>
      <c r="D25" s="35">
        <v>119310</v>
      </c>
      <c r="E25" s="35">
        <f t="shared" si="10"/>
        <v>730</v>
      </c>
      <c r="F25" s="36" t="s">
        <v>20</v>
      </c>
      <c r="G25" s="36">
        <v>3164020</v>
      </c>
      <c r="H25" s="37">
        <f t="shared" si="4"/>
        <v>3163.29</v>
      </c>
      <c r="I25" s="37">
        <f t="shared" si="5"/>
        <v>3005.0524999999998</v>
      </c>
      <c r="J25" s="38">
        <v>0.67030000000000001</v>
      </c>
      <c r="K25" s="95">
        <f t="shared" si="6"/>
        <v>2014.2866907499999</v>
      </c>
      <c r="L25" s="95">
        <f t="shared" si="7"/>
        <v>0.61654193999999996</v>
      </c>
      <c r="M25" s="76">
        <f t="shared" si="8"/>
        <v>2.3071914842510478E-4</v>
      </c>
      <c r="N25" s="95">
        <f t="shared" si="1"/>
        <v>2013.67014881</v>
      </c>
      <c r="O25" s="1"/>
    </row>
    <row r="26" spans="1:15">
      <c r="A26" s="34">
        <v>45200</v>
      </c>
      <c r="B26" s="35">
        <v>34451490</v>
      </c>
      <c r="C26" s="35">
        <f t="shared" si="9"/>
        <v>2740150</v>
      </c>
      <c r="D26" s="35">
        <v>120040</v>
      </c>
      <c r="E26" s="35">
        <f t="shared" si="10"/>
        <v>590</v>
      </c>
      <c r="F26" s="36" t="s">
        <v>20</v>
      </c>
      <c r="G26" s="36">
        <v>2740150</v>
      </c>
      <c r="H26" s="37">
        <f t="shared" si="4"/>
        <v>2739.56</v>
      </c>
      <c r="I26" s="37">
        <f t="shared" si="5"/>
        <v>2602.5230000000001</v>
      </c>
      <c r="J26" s="38">
        <v>0.67030000000000001</v>
      </c>
      <c r="K26" s="95">
        <f t="shared" si="6"/>
        <v>1744.4711669000001</v>
      </c>
      <c r="L26" s="95">
        <f t="shared" si="7"/>
        <v>0.49830102000000004</v>
      </c>
      <c r="M26" s="76">
        <f t="shared" si="8"/>
        <v>2.1531667974380964E-4</v>
      </c>
      <c r="N26" s="95">
        <f t="shared" si="1"/>
        <v>1743.97286588</v>
      </c>
      <c r="O26" s="1"/>
    </row>
    <row r="27" spans="1:15">
      <c r="A27" s="34">
        <v>45231</v>
      </c>
      <c r="B27" s="35">
        <v>37191640</v>
      </c>
      <c r="C27" s="35">
        <f t="shared" si="9"/>
        <v>2505020</v>
      </c>
      <c r="D27" s="35">
        <v>120630</v>
      </c>
      <c r="E27" s="35">
        <f t="shared" si="10"/>
        <v>580</v>
      </c>
      <c r="F27" s="36" t="s">
        <v>20</v>
      </c>
      <c r="G27" s="36">
        <v>2505020</v>
      </c>
      <c r="H27" s="37">
        <f t="shared" si="4"/>
        <v>2504.44</v>
      </c>
      <c r="I27" s="37">
        <f t="shared" si="5"/>
        <v>2379.16</v>
      </c>
      <c r="J27" s="38">
        <v>0.67030000000000001</v>
      </c>
      <c r="K27" s="95">
        <f t="shared" si="6"/>
        <v>1594.7509479999999</v>
      </c>
      <c r="L27" s="95">
        <f t="shared" si="7"/>
        <v>0.48985523999999997</v>
      </c>
      <c r="M27" s="76">
        <f t="shared" si="8"/>
        <v>2.3153507756425097E-4</v>
      </c>
      <c r="N27" s="95">
        <f t="shared" si="1"/>
        <v>1594.2610927599999</v>
      </c>
      <c r="O27" s="1"/>
    </row>
    <row r="28" spans="1:15">
      <c r="A28" s="34">
        <v>45261</v>
      </c>
      <c r="B28" s="35">
        <v>39696660</v>
      </c>
      <c r="C28" s="35">
        <f t="shared" si="9"/>
        <v>2681600</v>
      </c>
      <c r="D28" s="35">
        <v>121210</v>
      </c>
      <c r="E28" s="35">
        <f t="shared" si="10"/>
        <v>460</v>
      </c>
      <c r="F28" s="36" t="s">
        <v>20</v>
      </c>
      <c r="G28" s="36">
        <v>2681600</v>
      </c>
      <c r="H28" s="37">
        <f t="shared" si="4"/>
        <v>2681.14</v>
      </c>
      <c r="I28" s="37">
        <f t="shared" si="5"/>
        <v>2547.0369999999998</v>
      </c>
      <c r="J28" s="38">
        <v>0.67030000000000001</v>
      </c>
      <c r="K28" s="95">
        <f t="shared" si="6"/>
        <v>1707.2789011</v>
      </c>
      <c r="L28" s="95">
        <f t="shared" si="7"/>
        <v>0.38850588000000003</v>
      </c>
      <c r="M28" s="76">
        <f t="shared" si="8"/>
        <v>1.7153937947494033E-4</v>
      </c>
      <c r="N28" s="95">
        <f t="shared" si="1"/>
        <v>1706.8903952200001</v>
      </c>
      <c r="O28" s="1"/>
    </row>
    <row r="29" spans="1:15">
      <c r="A29" s="34">
        <v>45292</v>
      </c>
      <c r="B29" s="35">
        <v>42378260</v>
      </c>
      <c r="D29" s="35">
        <v>121670</v>
      </c>
    </row>
    <row r="32" spans="1:15">
      <c r="A32" t="s">
        <v>32</v>
      </c>
    </row>
  </sheetData>
  <mergeCells count="3">
    <mergeCell ref="B2:E2"/>
    <mergeCell ref="F2:G2"/>
    <mergeCell ref="H2:N2"/>
  </mergeCells>
  <phoneticPr fontId="36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E389-A533-47E3-A64F-463912AF4B69}">
  <dimension ref="B1:E12"/>
  <sheetViews>
    <sheetView workbookViewId="0">
      <selection activeCell="I7" sqref="I7"/>
    </sheetView>
  </sheetViews>
  <sheetFormatPr defaultColWidth="11.5546875" defaultRowHeight="14.4"/>
  <cols>
    <col min="2" max="2" width="18.88671875" customWidth="1"/>
    <col min="3" max="3" width="20.5546875" customWidth="1"/>
    <col min="4" max="4" width="24.109375" customWidth="1"/>
    <col min="5" max="5" width="26.5546875" customWidth="1"/>
  </cols>
  <sheetData>
    <row r="1" spans="2:5" ht="15" thickBot="1"/>
    <row r="2" spans="2:5" ht="30.6" thickBot="1">
      <c r="B2" s="50" t="s">
        <v>34</v>
      </c>
      <c r="C2" s="51" t="s">
        <v>35</v>
      </c>
      <c r="D2" s="51" t="s">
        <v>36</v>
      </c>
      <c r="E2" s="52" t="s">
        <v>37</v>
      </c>
    </row>
    <row r="3" spans="2:5" ht="37.950000000000003" customHeight="1">
      <c r="B3" s="119" t="s">
        <v>38</v>
      </c>
      <c r="C3" s="117" t="s">
        <v>45</v>
      </c>
      <c r="D3" s="120" t="s">
        <v>44</v>
      </c>
      <c r="E3" s="121" t="s">
        <v>67</v>
      </c>
    </row>
    <row r="4" spans="2:5">
      <c r="B4" s="108"/>
      <c r="C4" s="111"/>
      <c r="D4" s="113"/>
      <c r="E4" s="115"/>
    </row>
    <row r="5" spans="2:5">
      <c r="B5" s="108"/>
      <c r="C5" s="111"/>
      <c r="D5" s="113"/>
      <c r="E5" s="115"/>
    </row>
    <row r="6" spans="2:5">
      <c r="B6" s="108"/>
      <c r="C6" s="118"/>
      <c r="D6" s="113"/>
      <c r="E6" s="115"/>
    </row>
    <row r="7" spans="2:5" ht="37.950000000000003" customHeight="1">
      <c r="B7" s="108" t="s">
        <v>39</v>
      </c>
      <c r="C7" s="110" t="s">
        <v>46</v>
      </c>
      <c r="D7" s="113" t="s">
        <v>40</v>
      </c>
      <c r="E7" s="122" t="s">
        <v>49</v>
      </c>
    </row>
    <row r="8" spans="2:5">
      <c r="B8" s="108"/>
      <c r="C8" s="111"/>
      <c r="D8" s="113"/>
      <c r="E8" s="122"/>
    </row>
    <row r="9" spans="2:5">
      <c r="B9" s="108"/>
      <c r="C9" s="118"/>
      <c r="D9" s="113"/>
      <c r="E9" s="122"/>
    </row>
    <row r="10" spans="2:5" ht="14.4" customHeight="1">
      <c r="B10" s="108" t="s">
        <v>41</v>
      </c>
      <c r="C10" s="110" t="s">
        <v>42</v>
      </c>
      <c r="D10" s="113" t="s">
        <v>43</v>
      </c>
      <c r="E10" s="115" t="s">
        <v>78</v>
      </c>
    </row>
    <row r="11" spans="2:5">
      <c r="B11" s="108"/>
      <c r="C11" s="111"/>
      <c r="D11" s="113"/>
      <c r="E11" s="115"/>
    </row>
    <row r="12" spans="2:5" ht="15" thickBot="1">
      <c r="B12" s="109"/>
      <c r="C12" s="112"/>
      <c r="D12" s="114"/>
      <c r="E12" s="116"/>
    </row>
  </sheetData>
  <mergeCells count="12">
    <mergeCell ref="B10:B12"/>
    <mergeCell ref="C10:C12"/>
    <mergeCell ref="D10:D12"/>
    <mergeCell ref="E10:E12"/>
    <mergeCell ref="C3:C6"/>
    <mergeCell ref="C7:C9"/>
    <mergeCell ref="B3:B6"/>
    <mergeCell ref="D3:D6"/>
    <mergeCell ref="E3:E6"/>
    <mergeCell ref="B7:B9"/>
    <mergeCell ref="D7:D9"/>
    <mergeCell ref="E7:E9"/>
  </mergeCells>
  <phoneticPr fontId="3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Ambatolampy ER MP3</vt:lpstr>
      <vt:lpstr>phase ini</vt:lpstr>
      <vt:lpstr>phase ext</vt:lpstr>
      <vt:lpstr>SDG impacts</vt:lpstr>
      <vt:lpstr>'Ambatolampy ER MP3'!_ftn1</vt:lpstr>
      <vt:lpstr>'Ambatolampy ER MP3'!_ftnref1</vt:lpstr>
    </vt:vector>
  </TitlesOfParts>
  <Company>Groupe CASINO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COONJUL,RAMCHAND</dc:creator>
  <cp:lastModifiedBy>Saurabh Sanjay Gaikwad</cp:lastModifiedBy>
  <dcterms:created xsi:type="dcterms:W3CDTF">2020-01-14T10:32:19Z</dcterms:created>
  <dcterms:modified xsi:type="dcterms:W3CDTF">2024-09-20T06:53:55Z</dcterms:modified>
</cp:coreProperties>
</file>