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 filterPrivacy="1" autoCompressPictures="0" defaultThemeVersion="124226"/>
  <xr:revisionPtr revIDLastSave="0" documentId="13_ncr:1_{13C7C873-4A2B-6244-BD22-BEB8946BF465}" xr6:coauthVersionLast="47" xr6:coauthVersionMax="47" xr10:uidLastSave="{00000000-0000-0000-0000-000000000000}"/>
  <bookViews>
    <workbookView xWindow="22080" yWindow="500" windowWidth="25240" windowHeight="22820" activeTab="1" xr2:uid="{00000000-000D-0000-FFFF-FFFF00000000}"/>
  </bookViews>
  <sheets>
    <sheet name="Project " sheetId="5" r:id="rId1"/>
    <sheet name="ER 2022" sheetId="2" r:id="rId2"/>
    <sheet name="ER 2023" sheetId="3" r:id="rId3"/>
    <sheet name="ER 2024" sheetId="4" r:id="rId4"/>
    <sheet name="TOTAL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2" l="1"/>
  <c r="C3" i="3" l="1"/>
  <c r="C12" i="2"/>
  <c r="C12" i="4"/>
  <c r="C12" i="3"/>
  <c r="C17" i="3" l="1"/>
  <c r="E5" i="6"/>
  <c r="E4" i="6"/>
  <c r="E3" i="6"/>
  <c r="C17" i="4"/>
  <c r="C17" i="2"/>
  <c r="E6" i="6" l="1"/>
  <c r="C21" i="4"/>
  <c r="C21" i="2"/>
  <c r="C23" i="2" s="1"/>
  <c r="D3" i="6" s="1"/>
  <c r="C21" i="3"/>
  <c r="C23" i="3" s="1"/>
  <c r="C23" i="4"/>
  <c r="D5" i="6" l="1"/>
  <c r="D4" i="6"/>
  <c r="D6" i="6" l="1"/>
  <c r="C9" i="2"/>
  <c r="C9" i="4"/>
  <c r="C6" i="4"/>
  <c r="C9" i="3"/>
  <c r="C5" i="6" l="1"/>
  <c r="F5" i="6" s="1"/>
  <c r="C25" i="4"/>
  <c r="C6" i="3"/>
  <c r="C4" i="6" l="1"/>
  <c r="F4" i="6" s="1"/>
  <c r="C25" i="3"/>
  <c r="C6" i="2"/>
  <c r="C3" i="6" s="1"/>
  <c r="C6" i="6" l="1"/>
  <c r="F3" i="6"/>
  <c r="F6" i="6" s="1"/>
  <c r="C25" i="2"/>
</calcChain>
</file>

<file path=xl/sharedStrings.xml><?xml version="1.0" encoding="utf-8"?>
<sst xmlns="http://schemas.openxmlformats.org/spreadsheetml/2006/main" count="197" uniqueCount="69">
  <si>
    <t>Calculated</t>
  </si>
  <si>
    <t>Particulars</t>
  </si>
  <si>
    <t>tCO2/MWh</t>
  </si>
  <si>
    <t xml:space="preserve">Diesel consumption per year </t>
  </si>
  <si>
    <t>tCO2/year</t>
  </si>
  <si>
    <t>MWh/year</t>
  </si>
  <si>
    <t>tonnes of Al per year</t>
  </si>
  <si>
    <t>tCO2/tonne of Al</t>
  </si>
  <si>
    <t>MWh/tonne of Al</t>
  </si>
  <si>
    <t>Source</t>
  </si>
  <si>
    <t>Value</t>
  </si>
  <si>
    <t>Unit</t>
  </si>
  <si>
    <t>Natural gas consumption per year</t>
  </si>
  <si>
    <t>Emission Factor for Natural Gas</t>
  </si>
  <si>
    <t>Specific CO2e emission factor for production of metal i (SEi)</t>
  </si>
  <si>
    <t>Baseline emissions for metals recycling in year y (BEy=BEmetal,y)</t>
  </si>
  <si>
    <t>Project emission due to consumption of electricity (PEelectricity,y)</t>
  </si>
  <si>
    <t>Project emission due to consumption of diesel (PEdiesel,y)</t>
  </si>
  <si>
    <t>Project emission due to consumption of natural gas (PEnaturalgas,y)</t>
  </si>
  <si>
    <t>Project emission (PEy)</t>
  </si>
  <si>
    <t>Leakage emissions (LEy)</t>
  </si>
  <si>
    <t>Emission reduction (ERy)</t>
  </si>
  <si>
    <t>Table 2 of AMS.III.AJ v9.0</t>
  </si>
  <si>
    <t>Table 4 of AMS.III.AJ v9.0</t>
  </si>
  <si>
    <t>Baseline correction factor for metals, plastics and glass from virgin materials (Bi)</t>
  </si>
  <si>
    <t>Para 44 of AMS.III.AJ v9.0</t>
  </si>
  <si>
    <t>Quantity of metal type i (Steel or Aluminium) recycled  in year y (Qi,y)</t>
  </si>
  <si>
    <r>
      <t>Electricity consumed by the recycling facility per year (EC</t>
    </r>
    <r>
      <rPr>
        <sz val="8"/>
        <color theme="1"/>
        <rFont val="Calibri (Body)"/>
      </rPr>
      <t>PJ</t>
    </r>
    <r>
      <rPr>
        <sz val="10"/>
        <color theme="1"/>
        <rFont val="Calibri (Body)"/>
      </rPr>
      <t>y</t>
    </r>
    <r>
      <rPr>
        <sz val="12"/>
        <color theme="1"/>
        <rFont val="Calibri"/>
        <family val="2"/>
        <scheme val="minor"/>
      </rPr>
      <t>)</t>
    </r>
  </si>
  <si>
    <r>
      <t>Electricity consumption of the recycling facility apportioned to material type i (EC</t>
    </r>
    <r>
      <rPr>
        <sz val="9"/>
        <color theme="1"/>
        <rFont val="Calibri (Body)"/>
      </rPr>
      <t>PJi,y</t>
    </r>
    <r>
      <rPr>
        <sz val="12"/>
        <color theme="1"/>
        <rFont val="Calibri"/>
        <family val="2"/>
        <scheme val="minor"/>
      </rPr>
      <t>)</t>
    </r>
  </si>
  <si>
    <r>
      <t>Emission factor for grid electricity (𝐸𝐹</t>
    </r>
    <r>
      <rPr>
        <sz val="10"/>
        <color theme="1"/>
        <rFont val="Calibri (Body)"/>
      </rPr>
      <t xml:space="preserve">el,PJ,y </t>
    </r>
    <r>
      <rPr>
        <sz val="12"/>
        <color theme="1"/>
        <rFont val="Calibri"/>
        <family val="2"/>
        <scheme val="minor"/>
      </rPr>
      <t>)</t>
    </r>
  </si>
  <si>
    <t>Net calorific value of the fossil fuel consumed in the recycling facility in year y (NCVf,y)</t>
  </si>
  <si>
    <t xml:space="preserve">Name of the project </t>
  </si>
  <si>
    <t>ID registry</t>
  </si>
  <si>
    <t xml:space="preserve">Number of version </t>
  </si>
  <si>
    <t>ER 2022</t>
  </si>
  <si>
    <t>ER 2023</t>
  </si>
  <si>
    <t>ER 2024</t>
  </si>
  <si>
    <t>01/01/2024 - 13/02/2024</t>
  </si>
  <si>
    <t>Date of document</t>
  </si>
  <si>
    <t>Aluminum Recycling – A Solution for CO2 Emission Reduction by AS METAL, Romania</t>
  </si>
  <si>
    <t>Annual Report from National Energy Regulatory Authority(ANRE) pag 92, year 2022</t>
  </si>
  <si>
    <t>01/01/2023 - 31/12/2023</t>
  </si>
  <si>
    <t>Quantity of metal Aluminium recycled  in year y (Qi,y)</t>
  </si>
  <si>
    <t xml:space="preserve">Greenhouse gases emission factors for local emission inventories, Covenant of Mators databases - Version 2022, pag 5 </t>
  </si>
  <si>
    <t>Monitoring parameter no.9_AS METAL _SDG13_year 2022</t>
  </si>
  <si>
    <t>Energy and Fuels Consumption_monitoring period 14.02.2022-13.02.2024_25.03.2024_Sheet electric energy</t>
  </si>
  <si>
    <t>Energy and Fuels Consumption_monitoring period 14.02.2022-13.02.2024_25.03.2024_Sheet Diesel</t>
  </si>
  <si>
    <t>Energy and Fuels Consumption_monitoring period 14.02.2022-13.02.2024_25.03.2024_Sheet Natural Gas</t>
  </si>
  <si>
    <t>Monitoring parameter no.9_AS METAL _SDG13_year 2023</t>
  </si>
  <si>
    <t>Monitoring parameter no.9_AS METAL _SDG13_year 2024</t>
  </si>
  <si>
    <t>t/year</t>
  </si>
  <si>
    <t>GJ/t</t>
  </si>
  <si>
    <t>kg/GJ</t>
  </si>
  <si>
    <t xml:space="preserve">PROJECT EMISSIONS </t>
  </si>
  <si>
    <t xml:space="preserve">LEAKAGE EMISSIONS </t>
  </si>
  <si>
    <t>BASELINE EMISSIONS</t>
  </si>
  <si>
    <t>EMISSION REDUCTION</t>
  </si>
  <si>
    <t>TOTAL</t>
  </si>
  <si>
    <t>IPCC 2006, Upper Limit</t>
  </si>
  <si>
    <t>TDLj, y - Average technical transmission and distribution losses for providing electricity to source j, k or l in year y</t>
  </si>
  <si>
    <t>Annual average value based on the most recent data available within the host country;  TDL Romania 2023_DEO_Sustenabilitate_2023_Final_MarcaGri_pg 59</t>
  </si>
  <si>
    <t>Calculated (C8*C10*(1+C11)</t>
  </si>
  <si>
    <r>
      <t>CO2 emission factor for fossil fuel (EF</t>
    </r>
    <r>
      <rPr>
        <sz val="10"/>
        <rFont val="Calibri (Body)"/>
      </rPr>
      <t>f,CO2,y</t>
    </r>
    <r>
      <rPr>
        <sz val="12"/>
        <rFont val="Calibri"/>
        <family val="2"/>
        <scheme val="minor"/>
      </rPr>
      <t xml:space="preserve">) </t>
    </r>
  </si>
  <si>
    <r>
      <t xml:space="preserve">Romanian publication "The list of the national values of the emission factors and net calorific values, specific to each type of fuel and type of activity - EU-ETS 2012" </t>
    </r>
    <r>
      <rPr>
        <sz val="12"/>
        <rFont val="Calibri (Body)"/>
      </rPr>
      <t xml:space="preserve">https://www.mmediu.ro/app/webroot/uploads/files/2014-03-18_Lista_valorilor_nationale_FE_PCN-2014.pdf </t>
    </r>
  </si>
  <si>
    <t>Energy and Fuels Consumption_monitoring period 01.05.2022-13.02.2024_23.10.2024_Sheet electric energy</t>
  </si>
  <si>
    <t>Energy and Fuels Consumption_monitoring period 01.05.2022-13.02.2024_23.10.2024_Sheet Diesel</t>
  </si>
  <si>
    <t>Energy and Fuels Consumption_monitoring period 01.05.2022-13.02.2024_23.10.2024_Sheet Natural Gas</t>
  </si>
  <si>
    <t>23/10/2024</t>
  </si>
  <si>
    <t>01/05/2022 - 31/12/2022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</si>
</sst>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)_ ;_ * \(#,##0.00\)_ ;_ * &quot;-&quot;??_)_ ;_ @_ "/>
    <numFmt numFmtId="165" formatCode="0.000"/>
    <numFmt numFmtId="166" formatCode="_ * #,##0.000_)_ ;_ * \(#,##0.000\)_ ;_ * &quot;-&quot;??_)_ ;_ @_ "/>
    <numFmt numFmtId="167" formatCode="_ * #,##0.00_)\ _R_O_N_ ;_ * \(#,##0.00\)\ _R_O_N_ ;_ * &quot;-&quot;??_)\ _R_O_N_ ;_ @_ "/>
    <numFmt numFmtId="168" formatCode="_ * #,##0_)\ _R_O_N_ ;_ * \(#,##0\)\ _R_O_N_ ;_ * &quot;-&quot;??_)\ _R_O_N_ ;_ @_ "/>
  </numFmts>
  <fonts count="2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(Body)"/>
    </font>
    <font>
      <sz val="9"/>
      <color theme="1"/>
      <name val="Calibri (Body)"/>
    </font>
    <font>
      <sz val="8"/>
      <color theme="1"/>
      <name val="Calibri (Body)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 (Body)"/>
    </font>
    <font>
      <sz val="12"/>
      <name val="Calibri (Body)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4" fontId="13" fillId="0" borderId="0" applyFont="0" applyFill="0" applyBorder="0" applyAlignment="0" applyProtection="0"/>
  </cellStyleXfs>
  <cellXfs count="55">
    <xf numFmtId="0" fontId="0" fillId="0" borderId="0" xfId="0"/>
    <xf numFmtId="0" fontId="11" fillId="0" borderId="0" xfId="0" applyFont="1"/>
    <xf numFmtId="0" fontId="12" fillId="0" borderId="1" xfId="0" applyFont="1" applyBorder="1"/>
    <xf numFmtId="165" fontId="11" fillId="0" borderId="1" xfId="0" applyNumberFormat="1" applyFont="1" applyBorder="1"/>
    <xf numFmtId="0" fontId="11" fillId="0" borderId="1" xfId="0" applyFont="1" applyBorder="1"/>
    <xf numFmtId="165" fontId="11" fillId="0" borderId="0" xfId="0" applyNumberFormat="1" applyFont="1"/>
    <xf numFmtId="0" fontId="11" fillId="0" borderId="1" xfId="0" applyFont="1" applyBorder="1" applyAlignment="1">
      <alignment vertical="center"/>
    </xf>
    <xf numFmtId="4" fontId="11" fillId="0" borderId="1" xfId="0" applyNumberFormat="1" applyFont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165" fontId="0" fillId="0" borderId="0" xfId="0" applyNumberFormat="1"/>
    <xf numFmtId="0" fontId="7" fillId="0" borderId="1" xfId="0" applyFont="1" applyBorder="1" applyAlignment="1">
      <alignment wrapText="1"/>
    </xf>
    <xf numFmtId="167" fontId="11" fillId="0" borderId="0" xfId="0" applyNumberFormat="1" applyFont="1"/>
    <xf numFmtId="0" fontId="6" fillId="0" borderId="1" xfId="0" applyFont="1" applyBorder="1"/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165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165" fontId="18" fillId="0" borderId="1" xfId="0" applyNumberFormat="1" applyFont="1" applyBorder="1"/>
    <xf numFmtId="166" fontId="18" fillId="0" borderId="1" xfId="3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19" fillId="0" borderId="1" xfId="0" applyFont="1" applyBorder="1"/>
    <xf numFmtId="164" fontId="12" fillId="0" borderId="1" xfId="3" applyFont="1" applyBorder="1"/>
    <xf numFmtId="164" fontId="18" fillId="0" borderId="1" xfId="3" applyFont="1" applyBorder="1"/>
    <xf numFmtId="164" fontId="11" fillId="0" borderId="1" xfId="3" applyFont="1" applyBorder="1"/>
    <xf numFmtId="0" fontId="20" fillId="0" borderId="1" xfId="0" applyFont="1" applyBorder="1"/>
    <xf numFmtId="0" fontId="3" fillId="0" borderId="1" xfId="0" applyFont="1" applyBorder="1"/>
    <xf numFmtId="0" fontId="0" fillId="0" borderId="1" xfId="0" applyBorder="1"/>
    <xf numFmtId="164" fontId="0" fillId="0" borderId="1" xfId="0" applyNumberFormat="1" applyBorder="1"/>
    <xf numFmtId="168" fontId="0" fillId="0" borderId="1" xfId="0" applyNumberFormat="1" applyBorder="1"/>
    <xf numFmtId="168" fontId="21" fillId="0" borderId="1" xfId="0" applyNumberFormat="1" applyFont="1" applyBorder="1"/>
    <xf numFmtId="0" fontId="21" fillId="0" borderId="1" xfId="0" applyFont="1" applyBorder="1"/>
    <xf numFmtId="165" fontId="2" fillId="0" borderId="1" xfId="0" applyNumberFormat="1" applyFont="1" applyBorder="1"/>
    <xf numFmtId="166" fontId="2" fillId="0" borderId="1" xfId="3" applyNumberFormat="1" applyFont="1" applyFill="1" applyBorder="1"/>
    <xf numFmtId="165" fontId="2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22" fillId="0" borderId="1" xfId="0" applyFont="1" applyBorder="1" applyAlignment="1">
      <alignment wrapText="1"/>
    </xf>
    <xf numFmtId="164" fontId="22" fillId="0" borderId="1" xfId="3" applyFont="1" applyBorder="1"/>
    <xf numFmtId="0" fontId="18" fillId="0" borderId="1" xfId="0" applyFont="1" applyBorder="1"/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left" wrapText="1"/>
    </xf>
    <xf numFmtId="165" fontId="25" fillId="0" borderId="1" xfId="0" applyNumberFormat="1" applyFont="1" applyBorder="1"/>
    <xf numFmtId="164" fontId="25" fillId="0" borderId="1" xfId="3" applyFont="1" applyBorder="1"/>
    <xf numFmtId="166" fontId="25" fillId="0" borderId="1" xfId="3" applyNumberFormat="1" applyFont="1" applyFill="1" applyBorder="1"/>
    <xf numFmtId="0" fontId="18" fillId="0" borderId="1" xfId="0" applyFont="1" applyBorder="1" applyAlignment="1">
      <alignment horizontal="left" vertical="center"/>
    </xf>
    <xf numFmtId="164" fontId="26" fillId="0" borderId="1" xfId="3" applyFont="1" applyBorder="1"/>
    <xf numFmtId="0" fontId="27" fillId="0" borderId="1" xfId="0" applyFont="1" applyBorder="1"/>
    <xf numFmtId="0" fontId="28" fillId="0" borderId="1" xfId="0" applyFont="1" applyBorder="1"/>
    <xf numFmtId="168" fontId="28" fillId="0" borderId="1" xfId="0" applyNumberFormat="1" applyFont="1" applyBorder="1"/>
    <xf numFmtId="164" fontId="28" fillId="0" borderId="1" xfId="0" applyNumberFormat="1" applyFont="1" applyBorder="1"/>
  </cellXfs>
  <cellStyles count="4">
    <cellStyle name="Comma" xfId="3" builtinId="3"/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C5A8B-A876-2743-90CB-F231BBFBB382}">
  <dimension ref="B4:C10"/>
  <sheetViews>
    <sheetView workbookViewId="0">
      <selection activeCell="C7" sqref="C7"/>
    </sheetView>
  </sheetViews>
  <sheetFormatPr baseColWidth="10" defaultRowHeight="15" x14ac:dyDescent="0.2"/>
  <cols>
    <col min="2" max="2" width="26.1640625" customWidth="1"/>
    <col min="3" max="3" width="81" customWidth="1"/>
  </cols>
  <sheetData>
    <row r="4" spans="2:3" ht="19" x14ac:dyDescent="0.25">
      <c r="B4" s="16" t="s">
        <v>31</v>
      </c>
      <c r="C4" s="16" t="s">
        <v>39</v>
      </c>
    </row>
    <row r="5" spans="2:3" ht="19" x14ac:dyDescent="0.25">
      <c r="B5" s="16" t="s">
        <v>32</v>
      </c>
      <c r="C5" s="17">
        <v>10878</v>
      </c>
    </row>
    <row r="6" spans="2:3" ht="19" x14ac:dyDescent="0.25">
      <c r="B6" s="16" t="s">
        <v>33</v>
      </c>
      <c r="C6" s="17">
        <v>3</v>
      </c>
    </row>
    <row r="7" spans="2:3" ht="19" x14ac:dyDescent="0.25">
      <c r="B7" s="16" t="s">
        <v>34</v>
      </c>
      <c r="C7" s="51" t="s">
        <v>68</v>
      </c>
    </row>
    <row r="8" spans="2:3" ht="19" x14ac:dyDescent="0.25">
      <c r="B8" s="16" t="s">
        <v>35</v>
      </c>
      <c r="C8" s="16" t="s">
        <v>41</v>
      </c>
    </row>
    <row r="9" spans="2:3" ht="19" x14ac:dyDescent="0.25">
      <c r="B9" s="16" t="s">
        <v>36</v>
      </c>
      <c r="C9" s="16" t="s">
        <v>37</v>
      </c>
    </row>
    <row r="10" spans="2:3" ht="19" x14ac:dyDescent="0.25">
      <c r="B10" s="16" t="s">
        <v>38</v>
      </c>
      <c r="C10" s="30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8"/>
  <sheetViews>
    <sheetView tabSelected="1" workbookViewId="0">
      <selection activeCell="D20" sqref="D20"/>
    </sheetView>
  </sheetViews>
  <sheetFormatPr baseColWidth="10" defaultColWidth="8.83203125" defaultRowHeight="15" x14ac:dyDescent="0.2"/>
  <cols>
    <col min="2" max="2" width="95.83203125" customWidth="1"/>
    <col min="3" max="3" width="12" bestFit="1" customWidth="1"/>
    <col min="4" max="4" width="23.1640625" bestFit="1" customWidth="1"/>
    <col min="5" max="5" width="49.83203125" customWidth="1"/>
    <col min="6" max="6" width="14.83203125" customWidth="1"/>
  </cols>
  <sheetData>
    <row r="2" spans="1:6" ht="16" x14ac:dyDescent="0.2">
      <c r="A2" s="1"/>
      <c r="B2" s="2" t="s">
        <v>1</v>
      </c>
      <c r="C2" s="2" t="s">
        <v>10</v>
      </c>
      <c r="D2" s="2" t="s">
        <v>11</v>
      </c>
      <c r="E2" s="2" t="s">
        <v>9</v>
      </c>
      <c r="F2" s="1"/>
    </row>
    <row r="3" spans="1:6" ht="16.25" customHeight="1" x14ac:dyDescent="0.2">
      <c r="A3" s="1"/>
      <c r="B3" s="18" t="s">
        <v>42</v>
      </c>
      <c r="C3" s="47">
        <f>7176.62+197.21</f>
        <v>7373.83</v>
      </c>
      <c r="D3" s="4" t="s">
        <v>6</v>
      </c>
      <c r="E3" s="24" t="s">
        <v>44</v>
      </c>
      <c r="F3" s="1"/>
    </row>
    <row r="4" spans="1:6" ht="17" x14ac:dyDescent="0.2">
      <c r="A4" s="1"/>
      <c r="B4" s="9" t="s">
        <v>24</v>
      </c>
      <c r="C4" s="3">
        <v>0.72</v>
      </c>
      <c r="D4" s="4"/>
      <c r="E4" s="4" t="s">
        <v>22</v>
      </c>
      <c r="F4" s="1"/>
    </row>
    <row r="5" spans="1:6" ht="16" x14ac:dyDescent="0.2">
      <c r="A5" s="1"/>
      <c r="B5" s="4" t="s">
        <v>14</v>
      </c>
      <c r="C5" s="3">
        <v>8.4</v>
      </c>
      <c r="D5" s="4" t="s">
        <v>7</v>
      </c>
      <c r="E5" s="8" t="s">
        <v>23</v>
      </c>
      <c r="F5" s="1"/>
    </row>
    <row r="6" spans="1:6" ht="16" x14ac:dyDescent="0.2">
      <c r="A6" s="1"/>
      <c r="B6" s="2" t="s">
        <v>15</v>
      </c>
      <c r="C6" s="27">
        <f>ROUNDDOWN(C3*C4*C5,0)</f>
        <v>44596</v>
      </c>
      <c r="D6" s="2" t="s">
        <v>4</v>
      </c>
      <c r="E6" s="2" t="s">
        <v>0</v>
      </c>
      <c r="F6" s="1"/>
    </row>
    <row r="7" spans="1:6" ht="16" x14ac:dyDescent="0.2">
      <c r="A7" s="1"/>
      <c r="B7" s="4"/>
      <c r="C7" s="3"/>
      <c r="D7" s="4"/>
      <c r="E7" s="4"/>
      <c r="F7" s="1"/>
    </row>
    <row r="8" spans="1:6" ht="34" x14ac:dyDescent="0.2">
      <c r="A8" s="1"/>
      <c r="B8" s="13" t="s">
        <v>27</v>
      </c>
      <c r="C8" s="48">
        <v>481.745</v>
      </c>
      <c r="D8" s="4" t="s">
        <v>5</v>
      </c>
      <c r="E8" s="25" t="s">
        <v>45</v>
      </c>
      <c r="F8" s="1"/>
    </row>
    <row r="9" spans="1:6" ht="16" x14ac:dyDescent="0.2">
      <c r="A9" s="1"/>
      <c r="B9" s="13" t="s">
        <v>28</v>
      </c>
      <c r="C9" s="3">
        <f>C8/C3</f>
        <v>6.5331720422087305E-2</v>
      </c>
      <c r="D9" s="4" t="s">
        <v>8</v>
      </c>
      <c r="E9" s="4" t="s">
        <v>0</v>
      </c>
      <c r="F9" s="1"/>
    </row>
    <row r="10" spans="1:6" ht="72" customHeight="1" x14ac:dyDescent="0.2">
      <c r="A10" s="1"/>
      <c r="B10" s="14" t="s">
        <v>29</v>
      </c>
      <c r="C10" s="19">
        <v>0.22325</v>
      </c>
      <c r="D10" s="6" t="s">
        <v>2</v>
      </c>
      <c r="E10" s="15" t="s">
        <v>40</v>
      </c>
      <c r="F10" s="1"/>
    </row>
    <row r="11" spans="1:6" ht="72" customHeight="1" x14ac:dyDescent="0.2">
      <c r="A11" s="1"/>
      <c r="B11" s="40" t="s">
        <v>59</v>
      </c>
      <c r="C11" s="19">
        <v>6.7030000000000006E-2</v>
      </c>
      <c r="D11" s="20"/>
      <c r="E11" s="21" t="s">
        <v>60</v>
      </c>
      <c r="F11" s="1"/>
    </row>
    <row r="12" spans="1:6" ht="17" x14ac:dyDescent="0.2">
      <c r="A12" s="1"/>
      <c r="B12" s="41" t="s">
        <v>16</v>
      </c>
      <c r="C12" s="42">
        <f>ROUNDUP(C8*C10*(1+C11),0)</f>
        <v>115</v>
      </c>
      <c r="D12" s="43" t="s">
        <v>4</v>
      </c>
      <c r="E12" s="43" t="s">
        <v>61</v>
      </c>
      <c r="F12" s="12"/>
    </row>
    <row r="13" spans="1:6" ht="16" x14ac:dyDescent="0.2">
      <c r="A13" s="1"/>
      <c r="B13" s="44"/>
      <c r="C13" s="22"/>
      <c r="D13" s="43"/>
      <c r="E13" s="43"/>
      <c r="F13" s="1"/>
    </row>
    <row r="14" spans="1:6" ht="34" x14ac:dyDescent="0.2">
      <c r="A14" s="1"/>
      <c r="B14" s="49" t="s">
        <v>3</v>
      </c>
      <c r="C14" s="46">
        <v>31.472000000000001</v>
      </c>
      <c r="D14" s="43" t="s">
        <v>50</v>
      </c>
      <c r="E14" s="44" t="s">
        <v>46</v>
      </c>
      <c r="F14" s="12"/>
    </row>
    <row r="15" spans="1:6" ht="16" x14ac:dyDescent="0.2">
      <c r="A15" s="1"/>
      <c r="B15" s="43" t="s">
        <v>30</v>
      </c>
      <c r="C15" s="22">
        <v>43.3</v>
      </c>
      <c r="D15" s="43" t="s">
        <v>51</v>
      </c>
      <c r="E15" s="43" t="s">
        <v>58</v>
      </c>
      <c r="F15" s="12"/>
    </row>
    <row r="16" spans="1:6" ht="85" x14ac:dyDescent="0.2">
      <c r="A16" s="1"/>
      <c r="B16" s="20" t="s">
        <v>62</v>
      </c>
      <c r="C16" s="19">
        <v>73.56</v>
      </c>
      <c r="D16" s="20" t="s">
        <v>52</v>
      </c>
      <c r="E16" s="45" t="s">
        <v>63</v>
      </c>
      <c r="F16" s="12"/>
    </row>
    <row r="17" spans="1:6" ht="16" x14ac:dyDescent="0.2">
      <c r="A17" s="1"/>
      <c r="B17" s="2" t="s">
        <v>17</v>
      </c>
      <c r="C17" s="27">
        <f>ROUNDUP((C14*C15*C16)/1000,0)</f>
        <v>101</v>
      </c>
      <c r="D17" s="31" t="s">
        <v>4</v>
      </c>
      <c r="E17" s="4" t="s">
        <v>0</v>
      </c>
      <c r="F17" s="12"/>
    </row>
    <row r="18" spans="1:6" ht="16" x14ac:dyDescent="0.2">
      <c r="A18" s="1"/>
      <c r="B18" s="4"/>
      <c r="C18" s="3"/>
      <c r="D18" s="4"/>
      <c r="E18" s="4"/>
      <c r="F18" s="1"/>
    </row>
    <row r="19" spans="1:6" ht="34" x14ac:dyDescent="0.2">
      <c r="A19" s="1"/>
      <c r="B19" s="4" t="s">
        <v>12</v>
      </c>
      <c r="C19" s="46">
        <v>445.97</v>
      </c>
      <c r="D19" s="4" t="s">
        <v>5</v>
      </c>
      <c r="E19" s="25" t="s">
        <v>47</v>
      </c>
      <c r="F19" s="1"/>
    </row>
    <row r="20" spans="1:6" ht="51" x14ac:dyDescent="0.2">
      <c r="A20" s="1"/>
      <c r="B20" s="7" t="s">
        <v>13</v>
      </c>
      <c r="C20" s="19">
        <v>0.20200000000000001</v>
      </c>
      <c r="D20" s="20" t="s">
        <v>2</v>
      </c>
      <c r="E20" s="21" t="s">
        <v>43</v>
      </c>
      <c r="F20" s="1"/>
    </row>
    <row r="21" spans="1:6" ht="16" x14ac:dyDescent="0.2">
      <c r="A21" s="1"/>
      <c r="B21" s="2" t="s">
        <v>18</v>
      </c>
      <c r="C21" s="27">
        <f>ROUNDUP(C19*C20,0)</f>
        <v>91</v>
      </c>
      <c r="D21" s="4" t="s">
        <v>4</v>
      </c>
      <c r="E21" s="4" t="s">
        <v>0</v>
      </c>
      <c r="F21" s="1"/>
    </row>
    <row r="22" spans="1:6" ht="16" x14ac:dyDescent="0.2">
      <c r="A22" s="1"/>
      <c r="B22" s="4"/>
      <c r="C22" s="29"/>
      <c r="D22" s="4"/>
      <c r="E22" s="4"/>
      <c r="F22" s="1"/>
    </row>
    <row r="23" spans="1:6" ht="16" x14ac:dyDescent="0.2">
      <c r="A23" s="1"/>
      <c r="B23" s="2" t="s">
        <v>19</v>
      </c>
      <c r="C23" s="27">
        <f>ROUNDUP(C12+C17+C21,0)</f>
        <v>307</v>
      </c>
      <c r="D23" s="2" t="s">
        <v>4</v>
      </c>
      <c r="E23" s="2" t="s">
        <v>0</v>
      </c>
      <c r="F23" s="1"/>
    </row>
    <row r="24" spans="1:6" ht="16" x14ac:dyDescent="0.2">
      <c r="A24" s="1"/>
      <c r="B24" s="4" t="s">
        <v>20</v>
      </c>
      <c r="C24" s="3">
        <v>0</v>
      </c>
      <c r="D24" s="4" t="s">
        <v>4</v>
      </c>
      <c r="E24" s="8" t="s">
        <v>25</v>
      </c>
      <c r="F24" s="1"/>
    </row>
    <row r="25" spans="1:6" ht="16" x14ac:dyDescent="0.2">
      <c r="A25" s="1"/>
      <c r="B25" s="2" t="s">
        <v>21</v>
      </c>
      <c r="C25" s="50">
        <f>C6-C23-C24</f>
        <v>44289</v>
      </c>
      <c r="D25" s="2" t="s">
        <v>4</v>
      </c>
      <c r="E25" s="2" t="s">
        <v>0</v>
      </c>
      <c r="F25" s="1"/>
    </row>
    <row r="26" spans="1:6" ht="16" x14ac:dyDescent="0.2">
      <c r="A26" s="1"/>
      <c r="B26" s="1"/>
      <c r="C26" s="5"/>
      <c r="D26" s="1"/>
      <c r="E26" s="1"/>
      <c r="F26" s="1"/>
    </row>
    <row r="27" spans="1:6" ht="16" x14ac:dyDescent="0.2">
      <c r="A27" s="1"/>
      <c r="B27" s="1"/>
      <c r="C27" s="5"/>
      <c r="D27" s="1"/>
      <c r="E27" s="1"/>
      <c r="F27" s="1"/>
    </row>
    <row r="28" spans="1:6" x14ac:dyDescent="0.2">
      <c r="C28" s="10"/>
    </row>
  </sheetData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35F7-7AD5-B14D-AAD7-77A93A2FE3A8}">
  <dimension ref="A2:F28"/>
  <sheetViews>
    <sheetView zoomScale="110" zoomScaleNormal="110" workbookViewId="0">
      <selection activeCell="C27" sqref="C27"/>
    </sheetView>
  </sheetViews>
  <sheetFormatPr baseColWidth="10" defaultColWidth="8.83203125" defaultRowHeight="15" x14ac:dyDescent="0.2"/>
  <cols>
    <col min="2" max="2" width="95.83203125" customWidth="1"/>
    <col min="3" max="3" width="12" bestFit="1" customWidth="1"/>
    <col min="4" max="4" width="23.1640625" bestFit="1" customWidth="1"/>
    <col min="5" max="5" width="50" customWidth="1"/>
    <col min="6" max="6" width="14.83203125" customWidth="1"/>
  </cols>
  <sheetData>
    <row r="2" spans="1:6" ht="16" x14ac:dyDescent="0.2">
      <c r="A2" s="1"/>
      <c r="B2" s="2" t="s">
        <v>1</v>
      </c>
      <c r="C2" s="2" t="s">
        <v>10</v>
      </c>
      <c r="D2" s="2" t="s">
        <v>11</v>
      </c>
      <c r="E2" s="2" t="s">
        <v>9</v>
      </c>
      <c r="F2" s="1"/>
    </row>
    <row r="3" spans="1:6" ht="16.25" customHeight="1" x14ac:dyDescent="0.2">
      <c r="A3" s="1"/>
      <c r="B3" s="11" t="s">
        <v>26</v>
      </c>
      <c r="C3" s="47">
        <f>8743.04+736.81</f>
        <v>9479.85</v>
      </c>
      <c r="D3" s="4" t="s">
        <v>6</v>
      </c>
      <c r="E3" s="24" t="s">
        <v>48</v>
      </c>
      <c r="F3" s="1"/>
    </row>
    <row r="4" spans="1:6" ht="17" x14ac:dyDescent="0.2">
      <c r="A4" s="1"/>
      <c r="B4" s="9" t="s">
        <v>24</v>
      </c>
      <c r="C4" s="3">
        <v>0.72</v>
      </c>
      <c r="D4" s="4"/>
      <c r="E4" s="4" t="s">
        <v>22</v>
      </c>
      <c r="F4" s="1"/>
    </row>
    <row r="5" spans="1:6" ht="16" x14ac:dyDescent="0.2">
      <c r="A5" s="1"/>
      <c r="B5" s="4" t="s">
        <v>14</v>
      </c>
      <c r="C5" s="3">
        <v>8.4</v>
      </c>
      <c r="D5" s="4" t="s">
        <v>7</v>
      </c>
      <c r="E5" s="8" t="s">
        <v>23</v>
      </c>
      <c r="F5" s="1"/>
    </row>
    <row r="6" spans="1:6" ht="16" x14ac:dyDescent="0.2">
      <c r="A6" s="1"/>
      <c r="B6" s="2" t="s">
        <v>15</v>
      </c>
      <c r="C6" s="27">
        <f>ROUNDDOWN(C3*C4*C5,0)</f>
        <v>57334</v>
      </c>
      <c r="D6" s="2" t="s">
        <v>4</v>
      </c>
      <c r="E6" s="2" t="s">
        <v>0</v>
      </c>
      <c r="F6" s="1"/>
    </row>
    <row r="7" spans="1:6" ht="16" x14ac:dyDescent="0.2">
      <c r="A7" s="1"/>
      <c r="B7" s="4"/>
      <c r="C7" s="3"/>
      <c r="D7" s="4"/>
      <c r="E7" s="4"/>
      <c r="F7" s="1"/>
    </row>
    <row r="8" spans="1:6" ht="34" x14ac:dyDescent="0.2">
      <c r="A8" s="1"/>
      <c r="B8" s="13" t="s">
        <v>27</v>
      </c>
      <c r="C8" s="38">
        <v>316.64299999999997</v>
      </c>
      <c r="D8" s="4" t="s">
        <v>5</v>
      </c>
      <c r="E8" s="25" t="s">
        <v>64</v>
      </c>
      <c r="F8" s="1"/>
    </row>
    <row r="9" spans="1:6" ht="16" x14ac:dyDescent="0.2">
      <c r="A9" s="1"/>
      <c r="B9" s="13" t="s">
        <v>28</v>
      </c>
      <c r="C9" s="37">
        <f>C8/C3</f>
        <v>3.340168884528763E-2</v>
      </c>
      <c r="D9" s="4" t="s">
        <v>8</v>
      </c>
      <c r="E9" s="4" t="s">
        <v>0</v>
      </c>
      <c r="F9" s="1"/>
    </row>
    <row r="10" spans="1:6" ht="72" customHeight="1" x14ac:dyDescent="0.2">
      <c r="A10" s="1"/>
      <c r="B10" s="14" t="s">
        <v>29</v>
      </c>
      <c r="C10" s="39">
        <v>0.22325</v>
      </c>
      <c r="D10" s="6" t="s">
        <v>2</v>
      </c>
      <c r="E10" s="15" t="s">
        <v>40</v>
      </c>
      <c r="F10" s="1"/>
    </row>
    <row r="11" spans="1:6" ht="51" x14ac:dyDescent="0.2">
      <c r="A11" s="1"/>
      <c r="B11" s="40" t="s">
        <v>59</v>
      </c>
      <c r="C11" s="19">
        <v>6.7030000000000006E-2</v>
      </c>
      <c r="D11" s="20"/>
      <c r="E11" s="21" t="s">
        <v>60</v>
      </c>
      <c r="F11" s="1"/>
    </row>
    <row r="12" spans="1:6" ht="17" x14ac:dyDescent="0.2">
      <c r="A12" s="1"/>
      <c r="B12" s="41" t="s">
        <v>16</v>
      </c>
      <c r="C12" s="42">
        <f>ROUNDUP(C8*C10*(1+C11),0)</f>
        <v>76</v>
      </c>
      <c r="D12" s="43" t="s">
        <v>4</v>
      </c>
      <c r="E12" s="43" t="s">
        <v>61</v>
      </c>
      <c r="F12" s="12"/>
    </row>
    <row r="13" spans="1:6" ht="16" x14ac:dyDescent="0.2">
      <c r="A13" s="1"/>
      <c r="B13" s="44"/>
      <c r="C13" s="22"/>
      <c r="D13" s="43"/>
      <c r="E13" s="43"/>
      <c r="F13" s="1"/>
    </row>
    <row r="14" spans="1:6" ht="34" x14ac:dyDescent="0.2">
      <c r="A14" s="1"/>
      <c r="B14" s="43" t="s">
        <v>3</v>
      </c>
      <c r="C14" s="46">
        <v>39.100999999999999</v>
      </c>
      <c r="D14" s="43" t="s">
        <v>50</v>
      </c>
      <c r="E14" s="44" t="s">
        <v>65</v>
      </c>
      <c r="F14" s="12"/>
    </row>
    <row r="15" spans="1:6" ht="16" x14ac:dyDescent="0.2">
      <c r="A15" s="1"/>
      <c r="B15" s="43" t="s">
        <v>30</v>
      </c>
      <c r="C15" s="22">
        <v>43.3</v>
      </c>
      <c r="D15" s="43" t="s">
        <v>51</v>
      </c>
      <c r="E15" s="43" t="s">
        <v>58</v>
      </c>
      <c r="F15" s="12"/>
    </row>
    <row r="16" spans="1:6" ht="85" x14ac:dyDescent="0.2">
      <c r="A16" s="1"/>
      <c r="B16" s="20" t="s">
        <v>62</v>
      </c>
      <c r="C16" s="19">
        <v>73.56</v>
      </c>
      <c r="D16" s="20" t="s">
        <v>52</v>
      </c>
      <c r="E16" s="45" t="s">
        <v>63</v>
      </c>
      <c r="F16" s="12"/>
    </row>
    <row r="17" spans="1:6" ht="16" x14ac:dyDescent="0.2">
      <c r="A17" s="1"/>
      <c r="B17" s="2" t="s">
        <v>17</v>
      </c>
      <c r="C17" s="27">
        <f>ROUNDUP((C14*C15*C16)/1000,0)</f>
        <v>125</v>
      </c>
      <c r="D17" s="31" t="s">
        <v>4</v>
      </c>
      <c r="E17" s="4" t="s">
        <v>0</v>
      </c>
      <c r="F17" s="12"/>
    </row>
    <row r="18" spans="1:6" ht="16" x14ac:dyDescent="0.2">
      <c r="A18" s="1"/>
      <c r="B18" s="4"/>
      <c r="C18" s="3"/>
      <c r="D18" s="4"/>
      <c r="E18" s="4"/>
      <c r="F18" s="1"/>
    </row>
    <row r="19" spans="1:6" ht="34" x14ac:dyDescent="0.2">
      <c r="A19" s="1"/>
      <c r="B19" s="4" t="s">
        <v>12</v>
      </c>
      <c r="C19" s="46">
        <v>392.71800000000002</v>
      </c>
      <c r="D19" s="4" t="s">
        <v>5</v>
      </c>
      <c r="E19" s="25" t="s">
        <v>66</v>
      </c>
      <c r="F19" s="1"/>
    </row>
    <row r="20" spans="1:6" ht="51" x14ac:dyDescent="0.2">
      <c r="A20" s="1"/>
      <c r="B20" s="7" t="s">
        <v>13</v>
      </c>
      <c r="C20" s="19">
        <v>0.20200000000000001</v>
      </c>
      <c r="D20" s="20" t="s">
        <v>2</v>
      </c>
      <c r="E20" s="21" t="s">
        <v>43</v>
      </c>
      <c r="F20" s="1"/>
    </row>
    <row r="21" spans="1:6" ht="16" x14ac:dyDescent="0.2">
      <c r="A21" s="1"/>
      <c r="B21" s="2" t="s">
        <v>18</v>
      </c>
      <c r="C21" s="27">
        <f>ROUNDUP(C19*C20,0)</f>
        <v>80</v>
      </c>
      <c r="D21" s="4" t="s">
        <v>4</v>
      </c>
      <c r="E21" s="4" t="s">
        <v>0</v>
      </c>
      <c r="F21" s="1"/>
    </row>
    <row r="22" spans="1:6" ht="16" x14ac:dyDescent="0.2">
      <c r="A22" s="1"/>
      <c r="B22" s="4"/>
      <c r="C22" s="3"/>
      <c r="D22" s="4"/>
      <c r="E22" s="4"/>
      <c r="F22" s="1"/>
    </row>
    <row r="23" spans="1:6" ht="16" x14ac:dyDescent="0.2">
      <c r="A23" s="1"/>
      <c r="B23" s="2" t="s">
        <v>19</v>
      </c>
      <c r="C23" s="27">
        <f>ROUNDUP(C12+C17+C21,0)</f>
        <v>281</v>
      </c>
      <c r="D23" s="2" t="s">
        <v>4</v>
      </c>
      <c r="E23" s="2" t="s">
        <v>0</v>
      </c>
      <c r="F23" s="1"/>
    </row>
    <row r="24" spans="1:6" ht="16" x14ac:dyDescent="0.2">
      <c r="A24" s="1"/>
      <c r="B24" s="4" t="s">
        <v>20</v>
      </c>
      <c r="C24" s="3">
        <v>0</v>
      </c>
      <c r="D24" s="4" t="s">
        <v>4</v>
      </c>
      <c r="E24" s="8" t="s">
        <v>25</v>
      </c>
      <c r="F24" s="1"/>
    </row>
    <row r="25" spans="1:6" ht="16" x14ac:dyDescent="0.2">
      <c r="A25" s="1"/>
      <c r="B25" s="2" t="s">
        <v>21</v>
      </c>
      <c r="C25" s="50">
        <f>C6-C23-C24</f>
        <v>57053</v>
      </c>
      <c r="D25" s="2" t="s">
        <v>4</v>
      </c>
      <c r="E25" s="2" t="s">
        <v>0</v>
      </c>
      <c r="F25" s="1"/>
    </row>
    <row r="26" spans="1:6" ht="16" x14ac:dyDescent="0.2">
      <c r="A26" s="1"/>
      <c r="B26" s="1"/>
      <c r="C26" s="5"/>
      <c r="D26" s="1"/>
      <c r="E26" s="1"/>
      <c r="F26" s="1"/>
    </row>
    <row r="27" spans="1:6" ht="16" x14ac:dyDescent="0.2">
      <c r="A27" s="1"/>
      <c r="B27" s="1"/>
      <c r="C27" s="5"/>
      <c r="D27" s="1"/>
      <c r="E27" s="1"/>
      <c r="F27" s="1"/>
    </row>
    <row r="28" spans="1:6" x14ac:dyDescent="0.2">
      <c r="C28" s="10"/>
    </row>
  </sheetData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3E9FE-BCCD-6449-9C25-0244AE26AE83}">
  <dimension ref="A2:F28"/>
  <sheetViews>
    <sheetView workbookViewId="0">
      <selection activeCell="C3" sqref="C3"/>
    </sheetView>
  </sheetViews>
  <sheetFormatPr baseColWidth="10" defaultColWidth="8.83203125" defaultRowHeight="15" x14ac:dyDescent="0.2"/>
  <cols>
    <col min="2" max="2" width="95.83203125" customWidth="1"/>
    <col min="3" max="3" width="12" bestFit="1" customWidth="1"/>
    <col min="4" max="4" width="23.1640625" bestFit="1" customWidth="1"/>
    <col min="5" max="5" width="49.5" customWidth="1"/>
    <col min="6" max="6" width="14.83203125" customWidth="1"/>
  </cols>
  <sheetData>
    <row r="2" spans="1:6" ht="16" x14ac:dyDescent="0.2">
      <c r="A2" s="1"/>
      <c r="B2" s="2" t="s">
        <v>1</v>
      </c>
      <c r="C2" s="2" t="s">
        <v>10</v>
      </c>
      <c r="D2" s="2" t="s">
        <v>11</v>
      </c>
      <c r="E2" s="2" t="s">
        <v>9</v>
      </c>
      <c r="F2" s="1"/>
    </row>
    <row r="3" spans="1:6" ht="16.25" customHeight="1" x14ac:dyDescent="0.2">
      <c r="A3" s="1"/>
      <c r="B3" s="11" t="s">
        <v>26</v>
      </c>
      <c r="C3" s="28">
        <v>1235.74</v>
      </c>
      <c r="D3" s="4" t="s">
        <v>6</v>
      </c>
      <c r="E3" s="26" t="s">
        <v>49</v>
      </c>
      <c r="F3" s="1"/>
    </row>
    <row r="4" spans="1:6" ht="17" x14ac:dyDescent="0.2">
      <c r="A4" s="1"/>
      <c r="B4" s="9" t="s">
        <v>24</v>
      </c>
      <c r="C4" s="3">
        <v>0.72</v>
      </c>
      <c r="D4" s="4"/>
      <c r="E4" s="4" t="s">
        <v>22</v>
      </c>
      <c r="F4" s="1"/>
    </row>
    <row r="5" spans="1:6" ht="16" x14ac:dyDescent="0.2">
      <c r="A5" s="1"/>
      <c r="B5" s="4" t="s">
        <v>14</v>
      </c>
      <c r="C5" s="3">
        <v>8.4</v>
      </c>
      <c r="D5" s="4" t="s">
        <v>7</v>
      </c>
      <c r="E5" s="8" t="s">
        <v>23</v>
      </c>
      <c r="F5" s="1"/>
    </row>
    <row r="6" spans="1:6" ht="16" x14ac:dyDescent="0.2">
      <c r="A6" s="1"/>
      <c r="B6" s="2" t="s">
        <v>15</v>
      </c>
      <c r="C6" s="27">
        <f>ROUNDDOWN(C3*C4*C5,0)</f>
        <v>7473</v>
      </c>
      <c r="D6" s="2" t="s">
        <v>4</v>
      </c>
      <c r="E6" s="2" t="s">
        <v>0</v>
      </c>
      <c r="F6" s="1"/>
    </row>
    <row r="7" spans="1:6" ht="16" x14ac:dyDescent="0.2">
      <c r="A7" s="1"/>
      <c r="B7" s="4"/>
      <c r="C7" s="3"/>
      <c r="D7" s="4"/>
      <c r="E7" s="4"/>
      <c r="F7" s="1"/>
    </row>
    <row r="8" spans="1:6" ht="34" x14ac:dyDescent="0.2">
      <c r="A8" s="1"/>
      <c r="B8" s="13" t="s">
        <v>27</v>
      </c>
      <c r="C8" s="23">
        <v>32.167999999999999</v>
      </c>
      <c r="D8" s="4" t="s">
        <v>5</v>
      </c>
      <c r="E8" s="25" t="s">
        <v>45</v>
      </c>
      <c r="F8" s="1"/>
    </row>
    <row r="9" spans="1:6" ht="16" x14ac:dyDescent="0.2">
      <c r="A9" s="1"/>
      <c r="B9" s="13" t="s">
        <v>28</v>
      </c>
      <c r="C9" s="3">
        <f>C8/C3</f>
        <v>2.6031365821289267E-2</v>
      </c>
      <c r="D9" s="4" t="s">
        <v>8</v>
      </c>
      <c r="E9" s="4" t="s">
        <v>0</v>
      </c>
      <c r="F9" s="1"/>
    </row>
    <row r="10" spans="1:6" ht="72" customHeight="1" x14ac:dyDescent="0.2">
      <c r="A10" s="1"/>
      <c r="B10" s="14" t="s">
        <v>29</v>
      </c>
      <c r="C10" s="19">
        <v>0.22325</v>
      </c>
      <c r="D10" s="6" t="s">
        <v>2</v>
      </c>
      <c r="E10" s="15" t="s">
        <v>40</v>
      </c>
      <c r="F10" s="1"/>
    </row>
    <row r="11" spans="1:6" ht="51" x14ac:dyDescent="0.2">
      <c r="A11" s="1"/>
      <c r="B11" s="40" t="s">
        <v>59</v>
      </c>
      <c r="C11" s="19">
        <v>6.7030000000000006E-2</v>
      </c>
      <c r="D11" s="20"/>
      <c r="E11" s="21" t="s">
        <v>60</v>
      </c>
      <c r="F11" s="1"/>
    </row>
    <row r="12" spans="1:6" ht="17" x14ac:dyDescent="0.2">
      <c r="A12" s="1"/>
      <c r="B12" s="41" t="s">
        <v>16</v>
      </c>
      <c r="C12" s="42">
        <f>ROUNDUP(C8*C10*(1+C11),0)</f>
        <v>8</v>
      </c>
      <c r="D12" s="43" t="s">
        <v>4</v>
      </c>
      <c r="E12" s="43" t="s">
        <v>61</v>
      </c>
      <c r="F12" s="12"/>
    </row>
    <row r="13" spans="1:6" ht="16" x14ac:dyDescent="0.2">
      <c r="A13" s="1"/>
      <c r="B13" s="44"/>
      <c r="C13" s="22"/>
      <c r="D13" s="43"/>
      <c r="E13" s="43"/>
      <c r="F13" s="1"/>
    </row>
    <row r="14" spans="1:6" ht="34" x14ac:dyDescent="0.2">
      <c r="A14" s="1"/>
      <c r="B14" s="43" t="s">
        <v>3</v>
      </c>
      <c r="C14" s="22">
        <v>5.0519999999999996</v>
      </c>
      <c r="D14" s="43" t="s">
        <v>50</v>
      </c>
      <c r="E14" s="44" t="s">
        <v>46</v>
      </c>
      <c r="F14" s="12"/>
    </row>
    <row r="15" spans="1:6" ht="16" x14ac:dyDescent="0.2">
      <c r="A15" s="1"/>
      <c r="B15" s="43" t="s">
        <v>30</v>
      </c>
      <c r="C15" s="22">
        <v>43.3</v>
      </c>
      <c r="D15" s="43" t="s">
        <v>51</v>
      </c>
      <c r="E15" s="43" t="s">
        <v>58</v>
      </c>
      <c r="F15" s="12"/>
    </row>
    <row r="16" spans="1:6" ht="85" x14ac:dyDescent="0.2">
      <c r="A16" s="1"/>
      <c r="B16" s="20" t="s">
        <v>62</v>
      </c>
      <c r="C16" s="19">
        <v>73.56</v>
      </c>
      <c r="D16" s="20" t="s">
        <v>52</v>
      </c>
      <c r="E16" s="45" t="s">
        <v>63</v>
      </c>
      <c r="F16" s="12"/>
    </row>
    <row r="17" spans="1:6" ht="16" x14ac:dyDescent="0.2">
      <c r="A17" s="1"/>
      <c r="B17" s="2" t="s">
        <v>17</v>
      </c>
      <c r="C17" s="27">
        <f>ROUNDUP((C14*C15*C16)/1000,0)</f>
        <v>17</v>
      </c>
      <c r="D17" s="31" t="s">
        <v>4</v>
      </c>
      <c r="E17" s="4" t="s">
        <v>0</v>
      </c>
      <c r="F17" s="12"/>
    </row>
    <row r="18" spans="1:6" ht="16" x14ac:dyDescent="0.2">
      <c r="A18" s="1"/>
      <c r="B18" s="4"/>
      <c r="C18" s="3"/>
      <c r="D18" s="4"/>
      <c r="E18" s="4"/>
      <c r="F18" s="1"/>
    </row>
    <row r="19" spans="1:6" ht="34" x14ac:dyDescent="0.2">
      <c r="A19" s="1"/>
      <c r="B19" s="4" t="s">
        <v>12</v>
      </c>
      <c r="C19" s="22">
        <v>62.451999999999998</v>
      </c>
      <c r="D19" s="4" t="s">
        <v>5</v>
      </c>
      <c r="E19" s="25" t="s">
        <v>47</v>
      </c>
      <c r="F19" s="1"/>
    </row>
    <row r="20" spans="1:6" ht="51" x14ac:dyDescent="0.2">
      <c r="A20" s="1"/>
      <c r="B20" s="7" t="s">
        <v>13</v>
      </c>
      <c r="C20" s="19">
        <v>0.20200000000000001</v>
      </c>
      <c r="D20" s="20" t="s">
        <v>2</v>
      </c>
      <c r="E20" s="21" t="s">
        <v>43</v>
      </c>
      <c r="F20" s="1"/>
    </row>
    <row r="21" spans="1:6" ht="16" x14ac:dyDescent="0.2">
      <c r="A21" s="1"/>
      <c r="B21" s="2" t="s">
        <v>18</v>
      </c>
      <c r="C21" s="27">
        <f>ROUNDUP(C19*C20,0)</f>
        <v>13</v>
      </c>
      <c r="D21" s="4" t="s">
        <v>4</v>
      </c>
      <c r="E21" s="4" t="s">
        <v>0</v>
      </c>
      <c r="F21" s="1"/>
    </row>
    <row r="22" spans="1:6" ht="16" x14ac:dyDescent="0.2">
      <c r="A22" s="1"/>
      <c r="B22" s="4"/>
      <c r="C22" s="3"/>
      <c r="D22" s="4"/>
      <c r="E22" s="4"/>
      <c r="F22" s="1"/>
    </row>
    <row r="23" spans="1:6" ht="16" x14ac:dyDescent="0.2">
      <c r="A23" s="1"/>
      <c r="B23" s="2" t="s">
        <v>19</v>
      </c>
      <c r="C23" s="27">
        <f>ROUNDUP(C12+C17+C21,0)</f>
        <v>38</v>
      </c>
      <c r="D23" s="2" t="s">
        <v>4</v>
      </c>
      <c r="E23" s="2" t="s">
        <v>0</v>
      </c>
      <c r="F23" s="1"/>
    </row>
    <row r="24" spans="1:6" ht="16" x14ac:dyDescent="0.2">
      <c r="A24" s="1"/>
      <c r="B24" s="4" t="s">
        <v>20</v>
      </c>
      <c r="C24" s="3">
        <v>0</v>
      </c>
      <c r="D24" s="4" t="s">
        <v>4</v>
      </c>
      <c r="E24" s="8" t="s">
        <v>25</v>
      </c>
      <c r="F24" s="1"/>
    </row>
    <row r="25" spans="1:6" ht="16" x14ac:dyDescent="0.2">
      <c r="A25" s="1"/>
      <c r="B25" s="2" t="s">
        <v>21</v>
      </c>
      <c r="C25" s="27">
        <f>C6-C23-C24</f>
        <v>7435</v>
      </c>
      <c r="D25" s="2" t="s">
        <v>4</v>
      </c>
      <c r="E25" s="2" t="s">
        <v>0</v>
      </c>
      <c r="F25" s="1"/>
    </row>
    <row r="26" spans="1:6" ht="16" x14ac:dyDescent="0.2">
      <c r="A26" s="1"/>
      <c r="B26" s="1"/>
      <c r="C26" s="5"/>
      <c r="D26" s="1"/>
      <c r="E26" s="1"/>
      <c r="F26" s="1"/>
    </row>
    <row r="27" spans="1:6" ht="16" x14ac:dyDescent="0.2">
      <c r="A27" s="1"/>
      <c r="B27" s="1"/>
      <c r="C27" s="5"/>
      <c r="D27" s="1"/>
      <c r="E27" s="1"/>
      <c r="F27" s="1"/>
    </row>
    <row r="28" spans="1:6" x14ac:dyDescent="0.2">
      <c r="C28" s="10"/>
    </row>
  </sheetData>
  <pageMargins left="0.7" right="0.7" top="0.75" bottom="0.75" header="0.3" footer="0.3"/>
  <pageSetup paperSize="9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651B-5BE2-DB44-A070-6C7C9A1D0613}">
  <dimension ref="B2:F6"/>
  <sheetViews>
    <sheetView workbookViewId="0">
      <selection activeCell="D21" sqref="D21"/>
    </sheetView>
  </sheetViews>
  <sheetFormatPr baseColWidth="10" defaultRowHeight="15" x14ac:dyDescent="0.2"/>
  <cols>
    <col min="2" max="2" width="25.1640625" bestFit="1" customWidth="1"/>
    <col min="3" max="3" width="16.83203125" bestFit="1" customWidth="1"/>
    <col min="4" max="4" width="16.6640625" bestFit="1" customWidth="1"/>
    <col min="5" max="5" width="16.83203125" bestFit="1" customWidth="1"/>
    <col min="6" max="6" width="17.83203125" bestFit="1" customWidth="1"/>
  </cols>
  <sheetData>
    <row r="2" spans="2:6" x14ac:dyDescent="0.2">
      <c r="B2" s="32"/>
      <c r="C2" s="36" t="s">
        <v>55</v>
      </c>
      <c r="D2" s="36" t="s">
        <v>53</v>
      </c>
      <c r="E2" s="36" t="s">
        <v>54</v>
      </c>
      <c r="F2" s="36" t="s">
        <v>56</v>
      </c>
    </row>
    <row r="3" spans="2:6" x14ac:dyDescent="0.2">
      <c r="B3" s="52" t="s">
        <v>68</v>
      </c>
      <c r="C3" s="54">
        <f>'ER 2022'!C6</f>
        <v>44596</v>
      </c>
      <c r="D3" s="54">
        <f>'ER 2022'!C23</f>
        <v>307</v>
      </c>
      <c r="E3" s="32">
        <f>'ER 2022'!C24</f>
        <v>0</v>
      </c>
      <c r="F3" s="53">
        <f>C3-D3</f>
        <v>44289</v>
      </c>
    </row>
    <row r="4" spans="2:6" x14ac:dyDescent="0.2">
      <c r="B4" s="32" t="s">
        <v>41</v>
      </c>
      <c r="C4" s="54">
        <f>'ER 2023'!C6</f>
        <v>57334</v>
      </c>
      <c r="D4" s="54">
        <f>'ER 2023'!C23</f>
        <v>281</v>
      </c>
      <c r="E4" s="32">
        <f>'ER 2023'!C24</f>
        <v>0</v>
      </c>
      <c r="F4" s="53">
        <f t="shared" ref="F4:F5" si="0">C4-D4</f>
        <v>57053</v>
      </c>
    </row>
    <row r="5" spans="2:6" x14ac:dyDescent="0.2">
      <c r="B5" s="32" t="s">
        <v>37</v>
      </c>
      <c r="C5" s="33">
        <f>'ER 2024'!C6</f>
        <v>7473</v>
      </c>
      <c r="D5" s="33">
        <f>'ER 2024'!C23</f>
        <v>38</v>
      </c>
      <c r="E5" s="32">
        <f>'ER 2024'!C24</f>
        <v>0</v>
      </c>
      <c r="F5" s="34">
        <f t="shared" si="0"/>
        <v>7435</v>
      </c>
    </row>
    <row r="6" spans="2:6" x14ac:dyDescent="0.2">
      <c r="B6" s="36" t="s">
        <v>57</v>
      </c>
      <c r="C6" s="35">
        <f t="shared" ref="C6:E6" si="1">SUM(C3:C5)</f>
        <v>109403</v>
      </c>
      <c r="D6" s="35">
        <f t="shared" si="1"/>
        <v>626</v>
      </c>
      <c r="E6" s="35">
        <f t="shared" si="1"/>
        <v>0</v>
      </c>
      <c r="F6" s="35">
        <f>SUM(F3:F5)</f>
        <v>108777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Project </vt:lpstr>
      <vt:lpstr>ER 2022</vt:lpstr>
      <vt:lpstr>ER 2023</vt:lpstr>
      <vt:lpstr>ER 2024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2024-11-04T09:35:22Z</dcterms:modified>
</cp:coreProperties>
</file>