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ncih\OneDrive\Desktop\"/>
    </mc:Choice>
  </mc:AlternateContent>
  <xr:revisionPtr revIDLastSave="0" documentId="8_{2CD3F175-53DE-4710-BF1B-EE06900F70C1}" xr6:coauthVersionLast="47" xr6:coauthVersionMax="47" xr10:uidLastSave="{00000000-0000-0000-0000-000000000000}"/>
  <bookViews>
    <workbookView xWindow="-108" yWindow="-108" windowWidth="23256" windowHeight="12456" firstSheet="2" activeTab="2" xr2:uid="{6F753D3F-592F-41D1-9A32-666194D723B6}"/>
  </bookViews>
  <sheets>
    <sheet name="Electricity Generation" sheetId="1" r:id="rId1"/>
    <sheet name="Emission Reduction" sheetId="4" r:id="rId2"/>
    <sheet name="Power Density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  <c r="C8" i="4"/>
  <c r="F6" i="4"/>
  <c r="F7" i="4"/>
  <c r="F5" i="4"/>
  <c r="C7" i="4"/>
  <c r="C6" i="4"/>
  <c r="C5" i="4"/>
  <c r="E16" i="1"/>
  <c r="E29" i="1"/>
  <c r="G85" i="1"/>
  <c r="G84" i="1"/>
  <c r="G83" i="1"/>
  <c r="F34" i="1"/>
  <c r="F29" i="1"/>
  <c r="F16" i="1"/>
  <c r="E51" i="1"/>
  <c r="E39" i="1"/>
  <c r="E68" i="1"/>
  <c r="E67" i="1"/>
  <c r="E66" i="1"/>
  <c r="D69" i="1"/>
  <c r="E65" i="1"/>
  <c r="E69" i="1" s="1"/>
  <c r="E63" i="1"/>
  <c r="E62" i="1"/>
  <c r="E61" i="1"/>
  <c r="E60" i="1"/>
  <c r="E59" i="1"/>
  <c r="E58" i="1"/>
  <c r="E57" i="1"/>
  <c r="E56" i="1"/>
  <c r="E55" i="1"/>
  <c r="E54" i="1"/>
  <c r="E53" i="1"/>
  <c r="E52" i="1"/>
  <c r="D64" i="1"/>
  <c r="C64" i="1"/>
  <c r="E50" i="1"/>
  <c r="E49" i="1"/>
  <c r="E48" i="1"/>
  <c r="E47" i="1"/>
  <c r="E46" i="1"/>
  <c r="E45" i="1"/>
  <c r="E44" i="1"/>
  <c r="E43" i="1"/>
  <c r="E42" i="1"/>
  <c r="E41" i="1"/>
  <c r="E40" i="1"/>
  <c r="D51" i="1"/>
  <c r="F90" i="1"/>
  <c r="H98" i="1"/>
  <c r="G34" i="1"/>
  <c r="H34" i="1"/>
  <c r="D33" i="1"/>
  <c r="D34" i="1" s="1"/>
  <c r="C33" i="1"/>
  <c r="E33" i="1" s="1"/>
  <c r="F101" i="1"/>
  <c r="H101" i="1" s="1"/>
  <c r="H100" i="1"/>
  <c r="E32" i="1"/>
  <c r="I32" i="1" s="1"/>
  <c r="D32" i="1"/>
  <c r="C32" i="1"/>
  <c r="F92" i="1"/>
  <c r="H99" i="1"/>
  <c r="D31" i="1"/>
  <c r="C31" i="1"/>
  <c r="D30" i="1"/>
  <c r="C30" i="1"/>
  <c r="C34" i="1" s="1"/>
  <c r="C28" i="1"/>
  <c r="D28" i="1"/>
  <c r="E28" i="1" s="1"/>
  <c r="F28" i="1" s="1"/>
  <c r="D27" i="1"/>
  <c r="C27" i="1"/>
  <c r="D26" i="1"/>
  <c r="C26" i="1"/>
  <c r="E26" i="1" s="1"/>
  <c r="F26" i="1" s="1"/>
  <c r="D25" i="1"/>
  <c r="C25" i="1"/>
  <c r="D24" i="1"/>
  <c r="C24" i="1"/>
  <c r="D23" i="1"/>
  <c r="C23" i="1"/>
  <c r="D22" i="1"/>
  <c r="C22" i="1"/>
  <c r="D21" i="1"/>
  <c r="C21" i="1"/>
  <c r="D20" i="1"/>
  <c r="C20" i="1"/>
  <c r="E20" i="1" s="1"/>
  <c r="F20" i="1" s="1"/>
  <c r="D19" i="1"/>
  <c r="C19" i="1"/>
  <c r="D18" i="1"/>
  <c r="C18" i="1"/>
  <c r="D17" i="1"/>
  <c r="C17" i="1"/>
  <c r="C15" i="1"/>
  <c r="D15" i="1"/>
  <c r="D14" i="1"/>
  <c r="C14" i="1"/>
  <c r="D13" i="1"/>
  <c r="C13" i="1"/>
  <c r="E13" i="1" s="1"/>
  <c r="D12" i="1"/>
  <c r="C12" i="1"/>
  <c r="D11" i="1"/>
  <c r="C11" i="1"/>
  <c r="D10" i="1"/>
  <c r="C10" i="1"/>
  <c r="D9" i="1"/>
  <c r="C9" i="1"/>
  <c r="D8" i="1"/>
  <c r="C8" i="1"/>
  <c r="D7" i="1"/>
  <c r="C7" i="1"/>
  <c r="E7" i="1" s="1"/>
  <c r="D4" i="1"/>
  <c r="C4" i="1"/>
  <c r="E4" i="1" s="1"/>
  <c r="F4" i="1" s="1"/>
  <c r="I4" i="1" s="1"/>
  <c r="C6" i="1"/>
  <c r="D6" i="1"/>
  <c r="C5" i="1"/>
  <c r="E5" i="1" s="1"/>
  <c r="D5" i="1"/>
  <c r="G29" i="1"/>
  <c r="H29" i="1"/>
  <c r="G16" i="1"/>
  <c r="H16" i="1"/>
  <c r="F85" i="1"/>
  <c r="H85" i="1" s="1"/>
  <c r="F84" i="1"/>
  <c r="H84" i="1" s="1"/>
  <c r="F83" i="1"/>
  <c r="H83" i="1" s="1"/>
  <c r="F35" i="1" l="1"/>
  <c r="E64" i="1"/>
  <c r="D70" i="1"/>
  <c r="E70" i="1"/>
  <c r="C51" i="1"/>
  <c r="C70" i="1" s="1"/>
  <c r="C69" i="1"/>
  <c r="G86" i="1"/>
  <c r="I86" i="1" s="1"/>
  <c r="I33" i="1"/>
  <c r="F33" i="1"/>
  <c r="E30" i="1"/>
  <c r="I30" i="1" s="1"/>
  <c r="E31" i="1"/>
  <c r="E34" i="1" s="1"/>
  <c r="E10" i="1"/>
  <c r="F10" i="1" s="1"/>
  <c r="I10" i="1" s="1"/>
  <c r="H86" i="1"/>
  <c r="E6" i="1"/>
  <c r="I18" i="1" s="1"/>
  <c r="E11" i="1"/>
  <c r="F11" i="1" s="1"/>
  <c r="I11" i="1" s="1"/>
  <c r="E18" i="1"/>
  <c r="F18" i="1" s="1"/>
  <c r="D16" i="1"/>
  <c r="H35" i="1"/>
  <c r="F30" i="1"/>
  <c r="F32" i="1"/>
  <c r="G35" i="1"/>
  <c r="F5" i="1"/>
  <c r="I5" i="1" s="1"/>
  <c r="E8" i="1"/>
  <c r="E25" i="1"/>
  <c r="F25" i="1" s="1"/>
  <c r="I25" i="1" s="1"/>
  <c r="E21" i="1"/>
  <c r="F21" i="1" s="1"/>
  <c r="I21" i="1" s="1"/>
  <c r="E27" i="1"/>
  <c r="F27" i="1" s="1"/>
  <c r="E9" i="1"/>
  <c r="F9" i="1" s="1"/>
  <c r="I9" i="1" s="1"/>
  <c r="E15" i="1"/>
  <c r="E19" i="1"/>
  <c r="F19" i="1" s="1"/>
  <c r="I19" i="1" s="1"/>
  <c r="E17" i="1"/>
  <c r="E24" i="1"/>
  <c r="F24" i="1" s="1"/>
  <c r="C29" i="1"/>
  <c r="E23" i="1"/>
  <c r="F23" i="1" s="1"/>
  <c r="I23" i="1" s="1"/>
  <c r="E22" i="1"/>
  <c r="F22" i="1" s="1"/>
  <c r="I22" i="1" s="1"/>
  <c r="D29" i="1"/>
  <c r="D35" i="1" s="1"/>
  <c r="E14" i="1"/>
  <c r="I26" i="1" s="1"/>
  <c r="E12" i="1"/>
  <c r="I24" i="1" s="1"/>
  <c r="F13" i="1"/>
  <c r="I13" i="1" s="1"/>
  <c r="I20" i="1"/>
  <c r="F8" i="1"/>
  <c r="I8" i="1" s="1"/>
  <c r="F7" i="1"/>
  <c r="I7" i="1" s="1"/>
  <c r="C16" i="1"/>
  <c r="I85" i="1" l="1"/>
  <c r="I15" i="1"/>
  <c r="F15" i="1"/>
  <c r="F31" i="1"/>
  <c r="I31" i="1"/>
  <c r="I34" i="1" s="1"/>
  <c r="F17" i="1"/>
  <c r="E35" i="1"/>
  <c r="F6" i="1"/>
  <c r="I6" i="1" s="1"/>
  <c r="C35" i="1"/>
  <c r="I27" i="1"/>
  <c r="F14" i="1"/>
  <c r="I14" i="1" s="1"/>
  <c r="F12" i="1"/>
  <c r="I12" i="1" s="1"/>
  <c r="I17" i="1" l="1"/>
  <c r="I16" i="1"/>
  <c r="I28" i="1"/>
  <c r="I29" i="1" s="1"/>
  <c r="I83" i="1" l="1"/>
  <c r="I35" i="1"/>
  <c r="I84" i="1" l="1"/>
</calcChain>
</file>

<file path=xl/sharedStrings.xml><?xml version="1.0" encoding="utf-8"?>
<sst xmlns="http://schemas.openxmlformats.org/spreadsheetml/2006/main" count="48" uniqueCount="34">
  <si>
    <t>ASLANCIK HPP AMOUNT OF REDUCED EMISSIONS (01/01/2020-30/04/2022)</t>
  </si>
  <si>
    <t>Months</t>
  </si>
  <si>
    <t>Electricity supplied to the grid (MWh) (1)</t>
  </si>
  <si>
    <t>Electricity consumption from the grid (MWh) (2)</t>
  </si>
  <si>
    <t xml:space="preserve">Net electricity supplied to the grid[MWh] (3) =(1)-(2)  </t>
  </si>
  <si>
    <t>Baseline emissions or baseline net GHG removals by sinks (tCO2e)</t>
  </si>
  <si>
    <t>Project emissions or actual net GHG removals by sinks (tCO2e)</t>
  </si>
  <si>
    <t>Leakage (tCO2e)</t>
  </si>
  <si>
    <t>Emission reductions or net anthropogenic GHG removals by sinks (tCO2e)</t>
  </si>
  <si>
    <t>Sum 2020</t>
  </si>
  <si>
    <t>Sum 2021</t>
  </si>
  <si>
    <t>Sum 2022</t>
  </si>
  <si>
    <t xml:space="preserve">Total Sum </t>
  </si>
  <si>
    <t xml:space="preserve">Monthly Meter Reading Values </t>
  </si>
  <si>
    <t>CM</t>
  </si>
  <si>
    <t>tCO2/MWh</t>
  </si>
  <si>
    <t>Vintage</t>
  </si>
  <si>
    <t>n of days</t>
  </si>
  <si>
    <t>actual ERy (tCO2e)</t>
  </si>
  <si>
    <t>estimated ERy (tCO2e)</t>
  </si>
  <si>
    <t>% by year</t>
  </si>
  <si>
    <t>Total</t>
  </si>
  <si>
    <t>Monitoring Start Date</t>
  </si>
  <si>
    <t xml:space="preserve"> </t>
  </si>
  <si>
    <t>Monitoring End Date</t>
  </si>
  <si>
    <t>Monitoring Duration (days)</t>
  </si>
  <si>
    <t xml:space="preserve">Annual Estimated ER Amount (tCO2e/yr) </t>
  </si>
  <si>
    <t>Estimated ER Amount (during monitoring duration)</t>
  </si>
  <si>
    <t>Year</t>
  </si>
  <si>
    <t>Baseline emissions or removals
(tCO2e)</t>
  </si>
  <si>
    <t>Project emissions or removals (tCO2e)</t>
  </si>
  <si>
    <t>Leakage emissions (tCO2e)</t>
  </si>
  <si>
    <t>Net GHG emission reductions or removals
(tCO2e)</t>
  </si>
  <si>
    <t xml:space="preserve">2022 (01/01/2022 - 30/04/2022)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</si>
</sst>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b/>
      <sz val="10"/>
      <color theme="3" tint="-0.499984740745262"/>
      <name val="Arial"/>
      <family val="2"/>
    </font>
    <font>
      <b/>
      <sz val="10"/>
      <color theme="3" tint="-0.499984740745262"/>
      <name val="Arial"/>
      <family val="2"/>
      <charset val="162"/>
    </font>
    <font>
      <sz val="10"/>
      <color theme="3" tint="-0.499984740745262"/>
      <name val="Arial"/>
      <family val="2"/>
      <charset val="16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i/>
      <sz val="10"/>
      <color theme="3" tint="-0.499984740745262"/>
      <name val="Arial"/>
      <family val="2"/>
      <charset val="162"/>
    </font>
    <font>
      <b/>
      <sz val="11"/>
      <color theme="1"/>
      <name val="Calibri"/>
      <family val="2"/>
      <scheme val="minor"/>
    </font>
    <font>
      <sz val="10"/>
      <color theme="3" tint="-0.499984740745262"/>
      <name val="Calibri"/>
      <family val="2"/>
      <charset val="162"/>
    </font>
    <font>
      <sz val="10"/>
      <color theme="3" tint="-0.499984740745262"/>
      <name val="Calibri"/>
      <family val="2"/>
      <scheme val="minor"/>
    </font>
    <font>
      <sz val="10"/>
      <name val="Arial"/>
      <family val="2"/>
    </font>
    <font>
      <sz val="10.5"/>
      <color theme="1"/>
      <name val="Franklin Gothic Book"/>
      <family val="2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2" fillId="0" borderId="0"/>
  </cellStyleXfs>
  <cellXfs count="83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/>
    </xf>
    <xf numFmtId="4" fontId="7" fillId="0" borderId="1" xfId="2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65" fontId="8" fillId="0" borderId="0" xfId="0" applyNumberFormat="1" applyFont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4" fontId="5" fillId="0" borderId="8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/>
    <xf numFmtId="3" fontId="5" fillId="2" borderId="1" xfId="0" applyNumberFormat="1" applyFont="1" applyFill="1" applyBorder="1"/>
    <xf numFmtId="9" fontId="5" fillId="2" borderId="9" xfId="1" applyFont="1" applyFill="1" applyBorder="1"/>
    <xf numFmtId="14" fontId="5" fillId="0" borderId="7" xfId="0" applyNumberFormat="1" applyFont="1" applyBorder="1"/>
    <xf numFmtId="14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3" fontId="5" fillId="0" borderId="9" xfId="0" applyNumberFormat="1" applyFont="1" applyBorder="1"/>
    <xf numFmtId="3" fontId="5" fillId="0" borderId="14" xfId="0" applyNumberFormat="1" applyFont="1" applyBorder="1"/>
    <xf numFmtId="4" fontId="7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9" fontId="3" fillId="2" borderId="14" xfId="1" applyFont="1" applyFill="1" applyBorder="1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3" fontId="7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0" fillId="0" borderId="0" xfId="3" applyFont="1"/>
    <xf numFmtId="0" fontId="11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12" xfId="0" applyNumberFormat="1" applyFont="1" applyBorder="1"/>
    <xf numFmtId="3" fontId="3" fillId="0" borderId="13" xfId="0" applyNumberFormat="1" applyFont="1" applyBorder="1"/>
    <xf numFmtId="3" fontId="3" fillId="2" borderId="13" xfId="0" applyNumberFormat="1" applyFont="1" applyFill="1" applyBorder="1"/>
    <xf numFmtId="14" fontId="4" fillId="0" borderId="0" xfId="0" applyNumberFormat="1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 wrapText="1"/>
    </xf>
    <xf numFmtId="4" fontId="3" fillId="3" borderId="14" xfId="0" applyNumberFormat="1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justify" vertical="center"/>
    </xf>
    <xf numFmtId="0" fontId="0" fillId="2" borderId="0" xfId="0" applyFill="1"/>
    <xf numFmtId="0" fontId="13" fillId="2" borderId="0" xfId="0" applyFont="1" applyFill="1" applyAlignment="1">
      <alignment horizontal="justify" vertical="center"/>
    </xf>
    <xf numFmtId="0" fontId="5" fillId="0" borderId="1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5">
    <cellStyle name="Normal" xfId="0" builtinId="0"/>
    <cellStyle name="Normal 11" xfId="3" xr:uid="{5F7540D4-E796-4651-989A-260CAF94773C}"/>
    <cellStyle name="Normal 2" xfId="2" xr:uid="{EF630920-8FCF-47A5-81C5-4F3FBA2859E7}"/>
    <cellStyle name="Normal 3" xfId="4" xr:uid="{F10C4FBD-8D13-4BBD-9F85-4BB920A94D92}"/>
    <cellStyle name="Percent" xfId="1" builtinId="5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411480</xdr:colOff>
      <xdr:row>3</xdr:row>
      <xdr:rowOff>99060</xdr:rowOff>
    </xdr:from>
    <xdr:to>
      <xdr:col>7</xdr:col>
      <xdr:colOff>243840</xdr:colOff>
      <xdr:row>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9B65BD-FE29-F978-01DE-E8B93225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647700"/>
          <a:ext cx="227076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434340</xdr:colOff>
      <xdr:row>7</xdr:row>
      <xdr:rowOff>0</xdr:rowOff>
    </xdr:from>
    <xdr:to>
      <xdr:col>7</xdr:col>
      <xdr:colOff>411480</xdr:colOff>
      <xdr:row>8</xdr:row>
      <xdr:rowOff>182880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F3FA83-0DCE-500C-DDC8-336343B7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1280160"/>
          <a:ext cx="241554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82AD-40C7-41E3-A283-636ECBE41234}">
  <sheetPr codeName="Sheet1"/>
  <dimension ref="A2:S131"/>
  <sheetViews>
    <sheetView topLeftCell="A28" workbookViewId="0">
      <selection activeCell="F39" sqref="F39"/>
    </sheetView>
  </sheetViews>
  <sheetFormatPr defaultColWidth="25.7109375" defaultRowHeight="13.15"/>
  <cols>
    <col min="1" max="1" width="5.5703125" style="2" customWidth="1"/>
    <col min="2" max="2" width="22.140625" style="1" bestFit="1" customWidth="1"/>
    <col min="3" max="3" width="24.140625" style="2" customWidth="1"/>
    <col min="4" max="4" width="24.7109375" style="2" bestFit="1" customWidth="1"/>
    <col min="5" max="5" width="30.42578125" style="2" customWidth="1"/>
    <col min="6" max="6" width="25.7109375" style="2" customWidth="1"/>
    <col min="7" max="7" width="25.28515625" style="2" bestFit="1" customWidth="1"/>
    <col min="8" max="8" width="24.28515625" style="2" bestFit="1" customWidth="1"/>
    <col min="9" max="9" width="18.7109375" style="2" customWidth="1"/>
    <col min="10" max="10" width="13" style="2" bestFit="1" customWidth="1"/>
    <col min="11" max="11" width="11.140625" style="2" bestFit="1" customWidth="1"/>
    <col min="12" max="12" width="50.5703125" style="2" customWidth="1"/>
    <col min="13" max="13" width="24.7109375" style="2" bestFit="1" customWidth="1"/>
    <col min="14" max="14" width="24.85546875" style="2" bestFit="1" customWidth="1"/>
    <col min="15" max="15" width="25.5703125" style="2" bestFit="1" customWidth="1"/>
    <col min="16" max="16" width="25.28515625" style="2" bestFit="1" customWidth="1"/>
    <col min="17" max="17" width="14.7109375" style="2" bestFit="1" customWidth="1"/>
    <col min="18" max="18" width="25" style="2" bestFit="1" customWidth="1"/>
    <col min="19" max="256" width="25.7109375" style="2"/>
    <col min="257" max="257" width="5.5703125" style="2" customWidth="1"/>
    <col min="258" max="258" width="22.140625" style="2" bestFit="1" customWidth="1"/>
    <col min="259" max="259" width="21.140625" style="2" customWidth="1"/>
    <col min="260" max="260" width="24.7109375" style="2" bestFit="1" customWidth="1"/>
    <col min="261" max="261" width="30.42578125" style="2" customWidth="1"/>
    <col min="262" max="262" width="25.7109375" style="2"/>
    <col min="263" max="263" width="25.28515625" style="2" bestFit="1" customWidth="1"/>
    <col min="264" max="264" width="24.28515625" style="2" bestFit="1" customWidth="1"/>
    <col min="265" max="265" width="16.42578125" style="2" bestFit="1" customWidth="1"/>
    <col min="266" max="266" width="13" style="2" bestFit="1" customWidth="1"/>
    <col min="267" max="267" width="11.140625" style="2" bestFit="1" customWidth="1"/>
    <col min="268" max="268" width="50.5703125" style="2" customWidth="1"/>
    <col min="269" max="269" width="24.7109375" style="2" bestFit="1" customWidth="1"/>
    <col min="270" max="270" width="24.85546875" style="2" bestFit="1" customWidth="1"/>
    <col min="271" max="271" width="25.5703125" style="2" bestFit="1" customWidth="1"/>
    <col min="272" max="272" width="25.28515625" style="2" bestFit="1" customWidth="1"/>
    <col min="273" max="273" width="14.7109375" style="2" bestFit="1" customWidth="1"/>
    <col min="274" max="274" width="25" style="2" bestFit="1" customWidth="1"/>
    <col min="275" max="512" width="25.7109375" style="2"/>
    <col min="513" max="513" width="5.5703125" style="2" customWidth="1"/>
    <col min="514" max="514" width="22.140625" style="2" bestFit="1" customWidth="1"/>
    <col min="515" max="515" width="21.140625" style="2" customWidth="1"/>
    <col min="516" max="516" width="24.7109375" style="2" bestFit="1" customWidth="1"/>
    <col min="517" max="517" width="30.42578125" style="2" customWidth="1"/>
    <col min="518" max="518" width="25.7109375" style="2"/>
    <col min="519" max="519" width="25.28515625" style="2" bestFit="1" customWidth="1"/>
    <col min="520" max="520" width="24.28515625" style="2" bestFit="1" customWidth="1"/>
    <col min="521" max="521" width="16.42578125" style="2" bestFit="1" customWidth="1"/>
    <col min="522" max="522" width="13" style="2" bestFit="1" customWidth="1"/>
    <col min="523" max="523" width="11.140625" style="2" bestFit="1" customWidth="1"/>
    <col min="524" max="524" width="50.5703125" style="2" customWidth="1"/>
    <col min="525" max="525" width="24.7109375" style="2" bestFit="1" customWidth="1"/>
    <col min="526" max="526" width="24.85546875" style="2" bestFit="1" customWidth="1"/>
    <col min="527" max="527" width="25.5703125" style="2" bestFit="1" customWidth="1"/>
    <col min="528" max="528" width="25.28515625" style="2" bestFit="1" customWidth="1"/>
    <col min="529" max="529" width="14.7109375" style="2" bestFit="1" customWidth="1"/>
    <col min="530" max="530" width="25" style="2" bestFit="1" customWidth="1"/>
    <col min="531" max="768" width="25.7109375" style="2"/>
    <col min="769" max="769" width="5.5703125" style="2" customWidth="1"/>
    <col min="770" max="770" width="22.140625" style="2" bestFit="1" customWidth="1"/>
    <col min="771" max="771" width="21.140625" style="2" customWidth="1"/>
    <col min="772" max="772" width="24.7109375" style="2" bestFit="1" customWidth="1"/>
    <col min="773" max="773" width="30.42578125" style="2" customWidth="1"/>
    <col min="774" max="774" width="25.7109375" style="2"/>
    <col min="775" max="775" width="25.28515625" style="2" bestFit="1" customWidth="1"/>
    <col min="776" max="776" width="24.28515625" style="2" bestFit="1" customWidth="1"/>
    <col min="777" max="777" width="16.42578125" style="2" bestFit="1" customWidth="1"/>
    <col min="778" max="778" width="13" style="2" bestFit="1" customWidth="1"/>
    <col min="779" max="779" width="11.140625" style="2" bestFit="1" customWidth="1"/>
    <col min="780" max="780" width="50.5703125" style="2" customWidth="1"/>
    <col min="781" max="781" width="24.7109375" style="2" bestFit="1" customWidth="1"/>
    <col min="782" max="782" width="24.85546875" style="2" bestFit="1" customWidth="1"/>
    <col min="783" max="783" width="25.5703125" style="2" bestFit="1" customWidth="1"/>
    <col min="784" max="784" width="25.28515625" style="2" bestFit="1" customWidth="1"/>
    <col min="785" max="785" width="14.7109375" style="2" bestFit="1" customWidth="1"/>
    <col min="786" max="786" width="25" style="2" bestFit="1" customWidth="1"/>
    <col min="787" max="1024" width="25.7109375" style="2"/>
    <col min="1025" max="1025" width="5.5703125" style="2" customWidth="1"/>
    <col min="1026" max="1026" width="22.140625" style="2" bestFit="1" customWidth="1"/>
    <col min="1027" max="1027" width="21.140625" style="2" customWidth="1"/>
    <col min="1028" max="1028" width="24.7109375" style="2" bestFit="1" customWidth="1"/>
    <col min="1029" max="1029" width="30.42578125" style="2" customWidth="1"/>
    <col min="1030" max="1030" width="25.7109375" style="2"/>
    <col min="1031" max="1031" width="25.28515625" style="2" bestFit="1" customWidth="1"/>
    <col min="1032" max="1032" width="24.28515625" style="2" bestFit="1" customWidth="1"/>
    <col min="1033" max="1033" width="16.42578125" style="2" bestFit="1" customWidth="1"/>
    <col min="1034" max="1034" width="13" style="2" bestFit="1" customWidth="1"/>
    <col min="1035" max="1035" width="11.140625" style="2" bestFit="1" customWidth="1"/>
    <col min="1036" max="1036" width="50.5703125" style="2" customWidth="1"/>
    <col min="1037" max="1037" width="24.7109375" style="2" bestFit="1" customWidth="1"/>
    <col min="1038" max="1038" width="24.85546875" style="2" bestFit="1" customWidth="1"/>
    <col min="1039" max="1039" width="25.5703125" style="2" bestFit="1" customWidth="1"/>
    <col min="1040" max="1040" width="25.28515625" style="2" bestFit="1" customWidth="1"/>
    <col min="1041" max="1041" width="14.7109375" style="2" bestFit="1" customWidth="1"/>
    <col min="1042" max="1042" width="25" style="2" bestFit="1" customWidth="1"/>
    <col min="1043" max="1280" width="25.7109375" style="2"/>
    <col min="1281" max="1281" width="5.5703125" style="2" customWidth="1"/>
    <col min="1282" max="1282" width="22.140625" style="2" bestFit="1" customWidth="1"/>
    <col min="1283" max="1283" width="21.140625" style="2" customWidth="1"/>
    <col min="1284" max="1284" width="24.7109375" style="2" bestFit="1" customWidth="1"/>
    <col min="1285" max="1285" width="30.42578125" style="2" customWidth="1"/>
    <col min="1286" max="1286" width="25.7109375" style="2"/>
    <col min="1287" max="1287" width="25.28515625" style="2" bestFit="1" customWidth="1"/>
    <col min="1288" max="1288" width="24.28515625" style="2" bestFit="1" customWidth="1"/>
    <col min="1289" max="1289" width="16.42578125" style="2" bestFit="1" customWidth="1"/>
    <col min="1290" max="1290" width="13" style="2" bestFit="1" customWidth="1"/>
    <col min="1291" max="1291" width="11.140625" style="2" bestFit="1" customWidth="1"/>
    <col min="1292" max="1292" width="50.5703125" style="2" customWidth="1"/>
    <col min="1293" max="1293" width="24.7109375" style="2" bestFit="1" customWidth="1"/>
    <col min="1294" max="1294" width="24.85546875" style="2" bestFit="1" customWidth="1"/>
    <col min="1295" max="1295" width="25.5703125" style="2" bestFit="1" customWidth="1"/>
    <col min="1296" max="1296" width="25.28515625" style="2" bestFit="1" customWidth="1"/>
    <col min="1297" max="1297" width="14.7109375" style="2" bestFit="1" customWidth="1"/>
    <col min="1298" max="1298" width="25" style="2" bestFit="1" customWidth="1"/>
    <col min="1299" max="1536" width="25.7109375" style="2"/>
    <col min="1537" max="1537" width="5.5703125" style="2" customWidth="1"/>
    <col min="1538" max="1538" width="22.140625" style="2" bestFit="1" customWidth="1"/>
    <col min="1539" max="1539" width="21.140625" style="2" customWidth="1"/>
    <col min="1540" max="1540" width="24.7109375" style="2" bestFit="1" customWidth="1"/>
    <col min="1541" max="1541" width="30.42578125" style="2" customWidth="1"/>
    <col min="1542" max="1542" width="25.7109375" style="2"/>
    <col min="1543" max="1543" width="25.28515625" style="2" bestFit="1" customWidth="1"/>
    <col min="1544" max="1544" width="24.28515625" style="2" bestFit="1" customWidth="1"/>
    <col min="1545" max="1545" width="16.42578125" style="2" bestFit="1" customWidth="1"/>
    <col min="1546" max="1546" width="13" style="2" bestFit="1" customWidth="1"/>
    <col min="1547" max="1547" width="11.140625" style="2" bestFit="1" customWidth="1"/>
    <col min="1548" max="1548" width="50.5703125" style="2" customWidth="1"/>
    <col min="1549" max="1549" width="24.7109375" style="2" bestFit="1" customWidth="1"/>
    <col min="1550" max="1550" width="24.85546875" style="2" bestFit="1" customWidth="1"/>
    <col min="1551" max="1551" width="25.5703125" style="2" bestFit="1" customWidth="1"/>
    <col min="1552" max="1552" width="25.28515625" style="2" bestFit="1" customWidth="1"/>
    <col min="1553" max="1553" width="14.7109375" style="2" bestFit="1" customWidth="1"/>
    <col min="1554" max="1554" width="25" style="2" bestFit="1" customWidth="1"/>
    <col min="1555" max="1792" width="25.7109375" style="2"/>
    <col min="1793" max="1793" width="5.5703125" style="2" customWidth="1"/>
    <col min="1794" max="1794" width="22.140625" style="2" bestFit="1" customWidth="1"/>
    <col min="1795" max="1795" width="21.140625" style="2" customWidth="1"/>
    <col min="1796" max="1796" width="24.7109375" style="2" bestFit="1" customWidth="1"/>
    <col min="1797" max="1797" width="30.42578125" style="2" customWidth="1"/>
    <col min="1798" max="1798" width="25.7109375" style="2"/>
    <col min="1799" max="1799" width="25.28515625" style="2" bestFit="1" customWidth="1"/>
    <col min="1800" max="1800" width="24.28515625" style="2" bestFit="1" customWidth="1"/>
    <col min="1801" max="1801" width="16.42578125" style="2" bestFit="1" customWidth="1"/>
    <col min="1802" max="1802" width="13" style="2" bestFit="1" customWidth="1"/>
    <col min="1803" max="1803" width="11.140625" style="2" bestFit="1" customWidth="1"/>
    <col min="1804" max="1804" width="50.5703125" style="2" customWidth="1"/>
    <col min="1805" max="1805" width="24.7109375" style="2" bestFit="1" customWidth="1"/>
    <col min="1806" max="1806" width="24.85546875" style="2" bestFit="1" customWidth="1"/>
    <col min="1807" max="1807" width="25.5703125" style="2" bestFit="1" customWidth="1"/>
    <col min="1808" max="1808" width="25.28515625" style="2" bestFit="1" customWidth="1"/>
    <col min="1809" max="1809" width="14.7109375" style="2" bestFit="1" customWidth="1"/>
    <col min="1810" max="1810" width="25" style="2" bestFit="1" customWidth="1"/>
    <col min="1811" max="2048" width="25.7109375" style="2"/>
    <col min="2049" max="2049" width="5.5703125" style="2" customWidth="1"/>
    <col min="2050" max="2050" width="22.140625" style="2" bestFit="1" customWidth="1"/>
    <col min="2051" max="2051" width="21.140625" style="2" customWidth="1"/>
    <col min="2052" max="2052" width="24.7109375" style="2" bestFit="1" customWidth="1"/>
    <col min="2053" max="2053" width="30.42578125" style="2" customWidth="1"/>
    <col min="2054" max="2054" width="25.7109375" style="2"/>
    <col min="2055" max="2055" width="25.28515625" style="2" bestFit="1" customWidth="1"/>
    <col min="2056" max="2056" width="24.28515625" style="2" bestFit="1" customWidth="1"/>
    <col min="2057" max="2057" width="16.42578125" style="2" bestFit="1" customWidth="1"/>
    <col min="2058" max="2058" width="13" style="2" bestFit="1" customWidth="1"/>
    <col min="2059" max="2059" width="11.140625" style="2" bestFit="1" customWidth="1"/>
    <col min="2060" max="2060" width="50.5703125" style="2" customWidth="1"/>
    <col min="2061" max="2061" width="24.7109375" style="2" bestFit="1" customWidth="1"/>
    <col min="2062" max="2062" width="24.85546875" style="2" bestFit="1" customWidth="1"/>
    <col min="2063" max="2063" width="25.5703125" style="2" bestFit="1" customWidth="1"/>
    <col min="2064" max="2064" width="25.28515625" style="2" bestFit="1" customWidth="1"/>
    <col min="2065" max="2065" width="14.7109375" style="2" bestFit="1" customWidth="1"/>
    <col min="2066" max="2066" width="25" style="2" bestFit="1" customWidth="1"/>
    <col min="2067" max="2304" width="25.7109375" style="2"/>
    <col min="2305" max="2305" width="5.5703125" style="2" customWidth="1"/>
    <col min="2306" max="2306" width="22.140625" style="2" bestFit="1" customWidth="1"/>
    <col min="2307" max="2307" width="21.140625" style="2" customWidth="1"/>
    <col min="2308" max="2308" width="24.7109375" style="2" bestFit="1" customWidth="1"/>
    <col min="2309" max="2309" width="30.42578125" style="2" customWidth="1"/>
    <col min="2310" max="2310" width="25.7109375" style="2"/>
    <col min="2311" max="2311" width="25.28515625" style="2" bestFit="1" customWidth="1"/>
    <col min="2312" max="2312" width="24.28515625" style="2" bestFit="1" customWidth="1"/>
    <col min="2313" max="2313" width="16.42578125" style="2" bestFit="1" customWidth="1"/>
    <col min="2314" max="2314" width="13" style="2" bestFit="1" customWidth="1"/>
    <col min="2315" max="2315" width="11.140625" style="2" bestFit="1" customWidth="1"/>
    <col min="2316" max="2316" width="50.5703125" style="2" customWidth="1"/>
    <col min="2317" max="2317" width="24.7109375" style="2" bestFit="1" customWidth="1"/>
    <col min="2318" max="2318" width="24.85546875" style="2" bestFit="1" customWidth="1"/>
    <col min="2319" max="2319" width="25.5703125" style="2" bestFit="1" customWidth="1"/>
    <col min="2320" max="2320" width="25.28515625" style="2" bestFit="1" customWidth="1"/>
    <col min="2321" max="2321" width="14.7109375" style="2" bestFit="1" customWidth="1"/>
    <col min="2322" max="2322" width="25" style="2" bestFit="1" customWidth="1"/>
    <col min="2323" max="2560" width="25.7109375" style="2"/>
    <col min="2561" max="2561" width="5.5703125" style="2" customWidth="1"/>
    <col min="2562" max="2562" width="22.140625" style="2" bestFit="1" customWidth="1"/>
    <col min="2563" max="2563" width="21.140625" style="2" customWidth="1"/>
    <col min="2564" max="2564" width="24.7109375" style="2" bestFit="1" customWidth="1"/>
    <col min="2565" max="2565" width="30.42578125" style="2" customWidth="1"/>
    <col min="2566" max="2566" width="25.7109375" style="2"/>
    <col min="2567" max="2567" width="25.28515625" style="2" bestFit="1" customWidth="1"/>
    <col min="2568" max="2568" width="24.28515625" style="2" bestFit="1" customWidth="1"/>
    <col min="2569" max="2569" width="16.42578125" style="2" bestFit="1" customWidth="1"/>
    <col min="2570" max="2570" width="13" style="2" bestFit="1" customWidth="1"/>
    <col min="2571" max="2571" width="11.140625" style="2" bestFit="1" customWidth="1"/>
    <col min="2572" max="2572" width="50.5703125" style="2" customWidth="1"/>
    <col min="2573" max="2573" width="24.7109375" style="2" bestFit="1" customWidth="1"/>
    <col min="2574" max="2574" width="24.85546875" style="2" bestFit="1" customWidth="1"/>
    <col min="2575" max="2575" width="25.5703125" style="2" bestFit="1" customWidth="1"/>
    <col min="2576" max="2576" width="25.28515625" style="2" bestFit="1" customWidth="1"/>
    <col min="2577" max="2577" width="14.7109375" style="2" bestFit="1" customWidth="1"/>
    <col min="2578" max="2578" width="25" style="2" bestFit="1" customWidth="1"/>
    <col min="2579" max="2816" width="25.7109375" style="2"/>
    <col min="2817" max="2817" width="5.5703125" style="2" customWidth="1"/>
    <col min="2818" max="2818" width="22.140625" style="2" bestFit="1" customWidth="1"/>
    <col min="2819" max="2819" width="21.140625" style="2" customWidth="1"/>
    <col min="2820" max="2820" width="24.7109375" style="2" bestFit="1" customWidth="1"/>
    <col min="2821" max="2821" width="30.42578125" style="2" customWidth="1"/>
    <col min="2822" max="2822" width="25.7109375" style="2"/>
    <col min="2823" max="2823" width="25.28515625" style="2" bestFit="1" customWidth="1"/>
    <col min="2824" max="2824" width="24.28515625" style="2" bestFit="1" customWidth="1"/>
    <col min="2825" max="2825" width="16.42578125" style="2" bestFit="1" customWidth="1"/>
    <col min="2826" max="2826" width="13" style="2" bestFit="1" customWidth="1"/>
    <col min="2827" max="2827" width="11.140625" style="2" bestFit="1" customWidth="1"/>
    <col min="2828" max="2828" width="50.5703125" style="2" customWidth="1"/>
    <col min="2829" max="2829" width="24.7109375" style="2" bestFit="1" customWidth="1"/>
    <col min="2830" max="2830" width="24.85546875" style="2" bestFit="1" customWidth="1"/>
    <col min="2831" max="2831" width="25.5703125" style="2" bestFit="1" customWidth="1"/>
    <col min="2832" max="2832" width="25.28515625" style="2" bestFit="1" customWidth="1"/>
    <col min="2833" max="2833" width="14.7109375" style="2" bestFit="1" customWidth="1"/>
    <col min="2834" max="2834" width="25" style="2" bestFit="1" customWidth="1"/>
    <col min="2835" max="3072" width="25.7109375" style="2"/>
    <col min="3073" max="3073" width="5.5703125" style="2" customWidth="1"/>
    <col min="3074" max="3074" width="22.140625" style="2" bestFit="1" customWidth="1"/>
    <col min="3075" max="3075" width="21.140625" style="2" customWidth="1"/>
    <col min="3076" max="3076" width="24.7109375" style="2" bestFit="1" customWidth="1"/>
    <col min="3077" max="3077" width="30.42578125" style="2" customWidth="1"/>
    <col min="3078" max="3078" width="25.7109375" style="2"/>
    <col min="3079" max="3079" width="25.28515625" style="2" bestFit="1" customWidth="1"/>
    <col min="3080" max="3080" width="24.28515625" style="2" bestFit="1" customWidth="1"/>
    <col min="3081" max="3081" width="16.42578125" style="2" bestFit="1" customWidth="1"/>
    <col min="3082" max="3082" width="13" style="2" bestFit="1" customWidth="1"/>
    <col min="3083" max="3083" width="11.140625" style="2" bestFit="1" customWidth="1"/>
    <col min="3084" max="3084" width="50.5703125" style="2" customWidth="1"/>
    <col min="3085" max="3085" width="24.7109375" style="2" bestFit="1" customWidth="1"/>
    <col min="3086" max="3086" width="24.85546875" style="2" bestFit="1" customWidth="1"/>
    <col min="3087" max="3087" width="25.5703125" style="2" bestFit="1" customWidth="1"/>
    <col min="3088" max="3088" width="25.28515625" style="2" bestFit="1" customWidth="1"/>
    <col min="3089" max="3089" width="14.7109375" style="2" bestFit="1" customWidth="1"/>
    <col min="3090" max="3090" width="25" style="2" bestFit="1" customWidth="1"/>
    <col min="3091" max="3328" width="25.7109375" style="2"/>
    <col min="3329" max="3329" width="5.5703125" style="2" customWidth="1"/>
    <col min="3330" max="3330" width="22.140625" style="2" bestFit="1" customWidth="1"/>
    <col min="3331" max="3331" width="21.140625" style="2" customWidth="1"/>
    <col min="3332" max="3332" width="24.7109375" style="2" bestFit="1" customWidth="1"/>
    <col min="3333" max="3333" width="30.42578125" style="2" customWidth="1"/>
    <col min="3334" max="3334" width="25.7109375" style="2"/>
    <col min="3335" max="3335" width="25.28515625" style="2" bestFit="1" customWidth="1"/>
    <col min="3336" max="3336" width="24.28515625" style="2" bestFit="1" customWidth="1"/>
    <col min="3337" max="3337" width="16.42578125" style="2" bestFit="1" customWidth="1"/>
    <col min="3338" max="3338" width="13" style="2" bestFit="1" customWidth="1"/>
    <col min="3339" max="3339" width="11.140625" style="2" bestFit="1" customWidth="1"/>
    <col min="3340" max="3340" width="50.5703125" style="2" customWidth="1"/>
    <col min="3341" max="3341" width="24.7109375" style="2" bestFit="1" customWidth="1"/>
    <col min="3342" max="3342" width="24.85546875" style="2" bestFit="1" customWidth="1"/>
    <col min="3343" max="3343" width="25.5703125" style="2" bestFit="1" customWidth="1"/>
    <col min="3344" max="3344" width="25.28515625" style="2" bestFit="1" customWidth="1"/>
    <col min="3345" max="3345" width="14.7109375" style="2" bestFit="1" customWidth="1"/>
    <col min="3346" max="3346" width="25" style="2" bestFit="1" customWidth="1"/>
    <col min="3347" max="3584" width="25.7109375" style="2"/>
    <col min="3585" max="3585" width="5.5703125" style="2" customWidth="1"/>
    <col min="3586" max="3586" width="22.140625" style="2" bestFit="1" customWidth="1"/>
    <col min="3587" max="3587" width="21.140625" style="2" customWidth="1"/>
    <col min="3588" max="3588" width="24.7109375" style="2" bestFit="1" customWidth="1"/>
    <col min="3589" max="3589" width="30.42578125" style="2" customWidth="1"/>
    <col min="3590" max="3590" width="25.7109375" style="2"/>
    <col min="3591" max="3591" width="25.28515625" style="2" bestFit="1" customWidth="1"/>
    <col min="3592" max="3592" width="24.28515625" style="2" bestFit="1" customWidth="1"/>
    <col min="3593" max="3593" width="16.42578125" style="2" bestFit="1" customWidth="1"/>
    <col min="3594" max="3594" width="13" style="2" bestFit="1" customWidth="1"/>
    <col min="3595" max="3595" width="11.140625" style="2" bestFit="1" customWidth="1"/>
    <col min="3596" max="3596" width="50.5703125" style="2" customWidth="1"/>
    <col min="3597" max="3597" width="24.7109375" style="2" bestFit="1" customWidth="1"/>
    <col min="3598" max="3598" width="24.85546875" style="2" bestFit="1" customWidth="1"/>
    <col min="3599" max="3599" width="25.5703125" style="2" bestFit="1" customWidth="1"/>
    <col min="3600" max="3600" width="25.28515625" style="2" bestFit="1" customWidth="1"/>
    <col min="3601" max="3601" width="14.7109375" style="2" bestFit="1" customWidth="1"/>
    <col min="3602" max="3602" width="25" style="2" bestFit="1" customWidth="1"/>
    <col min="3603" max="3840" width="25.7109375" style="2"/>
    <col min="3841" max="3841" width="5.5703125" style="2" customWidth="1"/>
    <col min="3842" max="3842" width="22.140625" style="2" bestFit="1" customWidth="1"/>
    <col min="3843" max="3843" width="21.140625" style="2" customWidth="1"/>
    <col min="3844" max="3844" width="24.7109375" style="2" bestFit="1" customWidth="1"/>
    <col min="3845" max="3845" width="30.42578125" style="2" customWidth="1"/>
    <col min="3846" max="3846" width="25.7109375" style="2"/>
    <col min="3847" max="3847" width="25.28515625" style="2" bestFit="1" customWidth="1"/>
    <col min="3848" max="3848" width="24.28515625" style="2" bestFit="1" customWidth="1"/>
    <col min="3849" max="3849" width="16.42578125" style="2" bestFit="1" customWidth="1"/>
    <col min="3850" max="3850" width="13" style="2" bestFit="1" customWidth="1"/>
    <col min="3851" max="3851" width="11.140625" style="2" bestFit="1" customWidth="1"/>
    <col min="3852" max="3852" width="50.5703125" style="2" customWidth="1"/>
    <col min="3853" max="3853" width="24.7109375" style="2" bestFit="1" customWidth="1"/>
    <col min="3854" max="3854" width="24.85546875" style="2" bestFit="1" customWidth="1"/>
    <col min="3855" max="3855" width="25.5703125" style="2" bestFit="1" customWidth="1"/>
    <col min="3856" max="3856" width="25.28515625" style="2" bestFit="1" customWidth="1"/>
    <col min="3857" max="3857" width="14.7109375" style="2" bestFit="1" customWidth="1"/>
    <col min="3858" max="3858" width="25" style="2" bestFit="1" customWidth="1"/>
    <col min="3859" max="4096" width="25.7109375" style="2"/>
    <col min="4097" max="4097" width="5.5703125" style="2" customWidth="1"/>
    <col min="4098" max="4098" width="22.140625" style="2" bestFit="1" customWidth="1"/>
    <col min="4099" max="4099" width="21.140625" style="2" customWidth="1"/>
    <col min="4100" max="4100" width="24.7109375" style="2" bestFit="1" customWidth="1"/>
    <col min="4101" max="4101" width="30.42578125" style="2" customWidth="1"/>
    <col min="4102" max="4102" width="25.7109375" style="2"/>
    <col min="4103" max="4103" width="25.28515625" style="2" bestFit="1" customWidth="1"/>
    <col min="4104" max="4104" width="24.28515625" style="2" bestFit="1" customWidth="1"/>
    <col min="4105" max="4105" width="16.42578125" style="2" bestFit="1" customWidth="1"/>
    <col min="4106" max="4106" width="13" style="2" bestFit="1" customWidth="1"/>
    <col min="4107" max="4107" width="11.140625" style="2" bestFit="1" customWidth="1"/>
    <col min="4108" max="4108" width="50.5703125" style="2" customWidth="1"/>
    <col min="4109" max="4109" width="24.7109375" style="2" bestFit="1" customWidth="1"/>
    <col min="4110" max="4110" width="24.85546875" style="2" bestFit="1" customWidth="1"/>
    <col min="4111" max="4111" width="25.5703125" style="2" bestFit="1" customWidth="1"/>
    <col min="4112" max="4112" width="25.28515625" style="2" bestFit="1" customWidth="1"/>
    <col min="4113" max="4113" width="14.7109375" style="2" bestFit="1" customWidth="1"/>
    <col min="4114" max="4114" width="25" style="2" bestFit="1" customWidth="1"/>
    <col min="4115" max="4352" width="25.7109375" style="2"/>
    <col min="4353" max="4353" width="5.5703125" style="2" customWidth="1"/>
    <col min="4354" max="4354" width="22.140625" style="2" bestFit="1" customWidth="1"/>
    <col min="4355" max="4355" width="21.140625" style="2" customWidth="1"/>
    <col min="4356" max="4356" width="24.7109375" style="2" bestFit="1" customWidth="1"/>
    <col min="4357" max="4357" width="30.42578125" style="2" customWidth="1"/>
    <col min="4358" max="4358" width="25.7109375" style="2"/>
    <col min="4359" max="4359" width="25.28515625" style="2" bestFit="1" customWidth="1"/>
    <col min="4360" max="4360" width="24.28515625" style="2" bestFit="1" customWidth="1"/>
    <col min="4361" max="4361" width="16.42578125" style="2" bestFit="1" customWidth="1"/>
    <col min="4362" max="4362" width="13" style="2" bestFit="1" customWidth="1"/>
    <col min="4363" max="4363" width="11.140625" style="2" bestFit="1" customWidth="1"/>
    <col min="4364" max="4364" width="50.5703125" style="2" customWidth="1"/>
    <col min="4365" max="4365" width="24.7109375" style="2" bestFit="1" customWidth="1"/>
    <col min="4366" max="4366" width="24.85546875" style="2" bestFit="1" customWidth="1"/>
    <col min="4367" max="4367" width="25.5703125" style="2" bestFit="1" customWidth="1"/>
    <col min="4368" max="4368" width="25.28515625" style="2" bestFit="1" customWidth="1"/>
    <col min="4369" max="4369" width="14.7109375" style="2" bestFit="1" customWidth="1"/>
    <col min="4370" max="4370" width="25" style="2" bestFit="1" customWidth="1"/>
    <col min="4371" max="4608" width="25.7109375" style="2"/>
    <col min="4609" max="4609" width="5.5703125" style="2" customWidth="1"/>
    <col min="4610" max="4610" width="22.140625" style="2" bestFit="1" customWidth="1"/>
    <col min="4611" max="4611" width="21.140625" style="2" customWidth="1"/>
    <col min="4612" max="4612" width="24.7109375" style="2" bestFit="1" customWidth="1"/>
    <col min="4613" max="4613" width="30.42578125" style="2" customWidth="1"/>
    <col min="4614" max="4614" width="25.7109375" style="2"/>
    <col min="4615" max="4615" width="25.28515625" style="2" bestFit="1" customWidth="1"/>
    <col min="4616" max="4616" width="24.28515625" style="2" bestFit="1" customWidth="1"/>
    <col min="4617" max="4617" width="16.42578125" style="2" bestFit="1" customWidth="1"/>
    <col min="4618" max="4618" width="13" style="2" bestFit="1" customWidth="1"/>
    <col min="4619" max="4619" width="11.140625" style="2" bestFit="1" customWidth="1"/>
    <col min="4620" max="4620" width="50.5703125" style="2" customWidth="1"/>
    <col min="4621" max="4621" width="24.7109375" style="2" bestFit="1" customWidth="1"/>
    <col min="4622" max="4622" width="24.85546875" style="2" bestFit="1" customWidth="1"/>
    <col min="4623" max="4623" width="25.5703125" style="2" bestFit="1" customWidth="1"/>
    <col min="4624" max="4624" width="25.28515625" style="2" bestFit="1" customWidth="1"/>
    <col min="4625" max="4625" width="14.7109375" style="2" bestFit="1" customWidth="1"/>
    <col min="4626" max="4626" width="25" style="2" bestFit="1" customWidth="1"/>
    <col min="4627" max="4864" width="25.7109375" style="2"/>
    <col min="4865" max="4865" width="5.5703125" style="2" customWidth="1"/>
    <col min="4866" max="4866" width="22.140625" style="2" bestFit="1" customWidth="1"/>
    <col min="4867" max="4867" width="21.140625" style="2" customWidth="1"/>
    <col min="4868" max="4868" width="24.7109375" style="2" bestFit="1" customWidth="1"/>
    <col min="4869" max="4869" width="30.42578125" style="2" customWidth="1"/>
    <col min="4870" max="4870" width="25.7109375" style="2"/>
    <col min="4871" max="4871" width="25.28515625" style="2" bestFit="1" customWidth="1"/>
    <col min="4872" max="4872" width="24.28515625" style="2" bestFit="1" customWidth="1"/>
    <col min="4873" max="4873" width="16.42578125" style="2" bestFit="1" customWidth="1"/>
    <col min="4874" max="4874" width="13" style="2" bestFit="1" customWidth="1"/>
    <col min="4875" max="4875" width="11.140625" style="2" bestFit="1" customWidth="1"/>
    <col min="4876" max="4876" width="50.5703125" style="2" customWidth="1"/>
    <col min="4877" max="4877" width="24.7109375" style="2" bestFit="1" customWidth="1"/>
    <col min="4878" max="4878" width="24.85546875" style="2" bestFit="1" customWidth="1"/>
    <col min="4879" max="4879" width="25.5703125" style="2" bestFit="1" customWidth="1"/>
    <col min="4880" max="4880" width="25.28515625" style="2" bestFit="1" customWidth="1"/>
    <col min="4881" max="4881" width="14.7109375" style="2" bestFit="1" customWidth="1"/>
    <col min="4882" max="4882" width="25" style="2" bestFit="1" customWidth="1"/>
    <col min="4883" max="5120" width="25.7109375" style="2"/>
    <col min="5121" max="5121" width="5.5703125" style="2" customWidth="1"/>
    <col min="5122" max="5122" width="22.140625" style="2" bestFit="1" customWidth="1"/>
    <col min="5123" max="5123" width="21.140625" style="2" customWidth="1"/>
    <col min="5124" max="5124" width="24.7109375" style="2" bestFit="1" customWidth="1"/>
    <col min="5125" max="5125" width="30.42578125" style="2" customWidth="1"/>
    <col min="5126" max="5126" width="25.7109375" style="2"/>
    <col min="5127" max="5127" width="25.28515625" style="2" bestFit="1" customWidth="1"/>
    <col min="5128" max="5128" width="24.28515625" style="2" bestFit="1" customWidth="1"/>
    <col min="5129" max="5129" width="16.42578125" style="2" bestFit="1" customWidth="1"/>
    <col min="5130" max="5130" width="13" style="2" bestFit="1" customWidth="1"/>
    <col min="5131" max="5131" width="11.140625" style="2" bestFit="1" customWidth="1"/>
    <col min="5132" max="5132" width="50.5703125" style="2" customWidth="1"/>
    <col min="5133" max="5133" width="24.7109375" style="2" bestFit="1" customWidth="1"/>
    <col min="5134" max="5134" width="24.85546875" style="2" bestFit="1" customWidth="1"/>
    <col min="5135" max="5135" width="25.5703125" style="2" bestFit="1" customWidth="1"/>
    <col min="5136" max="5136" width="25.28515625" style="2" bestFit="1" customWidth="1"/>
    <col min="5137" max="5137" width="14.7109375" style="2" bestFit="1" customWidth="1"/>
    <col min="5138" max="5138" width="25" style="2" bestFit="1" customWidth="1"/>
    <col min="5139" max="5376" width="25.7109375" style="2"/>
    <col min="5377" max="5377" width="5.5703125" style="2" customWidth="1"/>
    <col min="5378" max="5378" width="22.140625" style="2" bestFit="1" customWidth="1"/>
    <col min="5379" max="5379" width="21.140625" style="2" customWidth="1"/>
    <col min="5380" max="5380" width="24.7109375" style="2" bestFit="1" customWidth="1"/>
    <col min="5381" max="5381" width="30.42578125" style="2" customWidth="1"/>
    <col min="5382" max="5382" width="25.7109375" style="2"/>
    <col min="5383" max="5383" width="25.28515625" style="2" bestFit="1" customWidth="1"/>
    <col min="5384" max="5384" width="24.28515625" style="2" bestFit="1" customWidth="1"/>
    <col min="5385" max="5385" width="16.42578125" style="2" bestFit="1" customWidth="1"/>
    <col min="5386" max="5386" width="13" style="2" bestFit="1" customWidth="1"/>
    <col min="5387" max="5387" width="11.140625" style="2" bestFit="1" customWidth="1"/>
    <col min="5388" max="5388" width="50.5703125" style="2" customWidth="1"/>
    <col min="5389" max="5389" width="24.7109375" style="2" bestFit="1" customWidth="1"/>
    <col min="5390" max="5390" width="24.85546875" style="2" bestFit="1" customWidth="1"/>
    <col min="5391" max="5391" width="25.5703125" style="2" bestFit="1" customWidth="1"/>
    <col min="5392" max="5392" width="25.28515625" style="2" bestFit="1" customWidth="1"/>
    <col min="5393" max="5393" width="14.7109375" style="2" bestFit="1" customWidth="1"/>
    <col min="5394" max="5394" width="25" style="2" bestFit="1" customWidth="1"/>
    <col min="5395" max="5632" width="25.7109375" style="2"/>
    <col min="5633" max="5633" width="5.5703125" style="2" customWidth="1"/>
    <col min="5634" max="5634" width="22.140625" style="2" bestFit="1" customWidth="1"/>
    <col min="5635" max="5635" width="21.140625" style="2" customWidth="1"/>
    <col min="5636" max="5636" width="24.7109375" style="2" bestFit="1" customWidth="1"/>
    <col min="5637" max="5637" width="30.42578125" style="2" customWidth="1"/>
    <col min="5638" max="5638" width="25.7109375" style="2"/>
    <col min="5639" max="5639" width="25.28515625" style="2" bestFit="1" customWidth="1"/>
    <col min="5640" max="5640" width="24.28515625" style="2" bestFit="1" customWidth="1"/>
    <col min="5641" max="5641" width="16.42578125" style="2" bestFit="1" customWidth="1"/>
    <col min="5642" max="5642" width="13" style="2" bestFit="1" customWidth="1"/>
    <col min="5643" max="5643" width="11.140625" style="2" bestFit="1" customWidth="1"/>
    <col min="5644" max="5644" width="50.5703125" style="2" customWidth="1"/>
    <col min="5645" max="5645" width="24.7109375" style="2" bestFit="1" customWidth="1"/>
    <col min="5646" max="5646" width="24.85546875" style="2" bestFit="1" customWidth="1"/>
    <col min="5647" max="5647" width="25.5703125" style="2" bestFit="1" customWidth="1"/>
    <col min="5648" max="5648" width="25.28515625" style="2" bestFit="1" customWidth="1"/>
    <col min="5649" max="5649" width="14.7109375" style="2" bestFit="1" customWidth="1"/>
    <col min="5650" max="5650" width="25" style="2" bestFit="1" customWidth="1"/>
    <col min="5651" max="5888" width="25.7109375" style="2"/>
    <col min="5889" max="5889" width="5.5703125" style="2" customWidth="1"/>
    <col min="5890" max="5890" width="22.140625" style="2" bestFit="1" customWidth="1"/>
    <col min="5891" max="5891" width="21.140625" style="2" customWidth="1"/>
    <col min="5892" max="5892" width="24.7109375" style="2" bestFit="1" customWidth="1"/>
    <col min="5893" max="5893" width="30.42578125" style="2" customWidth="1"/>
    <col min="5894" max="5894" width="25.7109375" style="2"/>
    <col min="5895" max="5895" width="25.28515625" style="2" bestFit="1" customWidth="1"/>
    <col min="5896" max="5896" width="24.28515625" style="2" bestFit="1" customWidth="1"/>
    <col min="5897" max="5897" width="16.42578125" style="2" bestFit="1" customWidth="1"/>
    <col min="5898" max="5898" width="13" style="2" bestFit="1" customWidth="1"/>
    <col min="5899" max="5899" width="11.140625" style="2" bestFit="1" customWidth="1"/>
    <col min="5900" max="5900" width="50.5703125" style="2" customWidth="1"/>
    <col min="5901" max="5901" width="24.7109375" style="2" bestFit="1" customWidth="1"/>
    <col min="5902" max="5902" width="24.85546875" style="2" bestFit="1" customWidth="1"/>
    <col min="5903" max="5903" width="25.5703125" style="2" bestFit="1" customWidth="1"/>
    <col min="5904" max="5904" width="25.28515625" style="2" bestFit="1" customWidth="1"/>
    <col min="5905" max="5905" width="14.7109375" style="2" bestFit="1" customWidth="1"/>
    <col min="5906" max="5906" width="25" style="2" bestFit="1" customWidth="1"/>
    <col min="5907" max="6144" width="25.7109375" style="2"/>
    <col min="6145" max="6145" width="5.5703125" style="2" customWidth="1"/>
    <col min="6146" max="6146" width="22.140625" style="2" bestFit="1" customWidth="1"/>
    <col min="6147" max="6147" width="21.140625" style="2" customWidth="1"/>
    <col min="6148" max="6148" width="24.7109375" style="2" bestFit="1" customWidth="1"/>
    <col min="6149" max="6149" width="30.42578125" style="2" customWidth="1"/>
    <col min="6150" max="6150" width="25.7109375" style="2"/>
    <col min="6151" max="6151" width="25.28515625" style="2" bestFit="1" customWidth="1"/>
    <col min="6152" max="6152" width="24.28515625" style="2" bestFit="1" customWidth="1"/>
    <col min="6153" max="6153" width="16.42578125" style="2" bestFit="1" customWidth="1"/>
    <col min="6154" max="6154" width="13" style="2" bestFit="1" customWidth="1"/>
    <col min="6155" max="6155" width="11.140625" style="2" bestFit="1" customWidth="1"/>
    <col min="6156" max="6156" width="50.5703125" style="2" customWidth="1"/>
    <col min="6157" max="6157" width="24.7109375" style="2" bestFit="1" customWidth="1"/>
    <col min="6158" max="6158" width="24.85546875" style="2" bestFit="1" customWidth="1"/>
    <col min="6159" max="6159" width="25.5703125" style="2" bestFit="1" customWidth="1"/>
    <col min="6160" max="6160" width="25.28515625" style="2" bestFit="1" customWidth="1"/>
    <col min="6161" max="6161" width="14.7109375" style="2" bestFit="1" customWidth="1"/>
    <col min="6162" max="6162" width="25" style="2" bestFit="1" customWidth="1"/>
    <col min="6163" max="6400" width="25.7109375" style="2"/>
    <col min="6401" max="6401" width="5.5703125" style="2" customWidth="1"/>
    <col min="6402" max="6402" width="22.140625" style="2" bestFit="1" customWidth="1"/>
    <col min="6403" max="6403" width="21.140625" style="2" customWidth="1"/>
    <col min="6404" max="6404" width="24.7109375" style="2" bestFit="1" customWidth="1"/>
    <col min="6405" max="6405" width="30.42578125" style="2" customWidth="1"/>
    <col min="6406" max="6406" width="25.7109375" style="2"/>
    <col min="6407" max="6407" width="25.28515625" style="2" bestFit="1" customWidth="1"/>
    <col min="6408" max="6408" width="24.28515625" style="2" bestFit="1" customWidth="1"/>
    <col min="6409" max="6409" width="16.42578125" style="2" bestFit="1" customWidth="1"/>
    <col min="6410" max="6410" width="13" style="2" bestFit="1" customWidth="1"/>
    <col min="6411" max="6411" width="11.140625" style="2" bestFit="1" customWidth="1"/>
    <col min="6412" max="6412" width="50.5703125" style="2" customWidth="1"/>
    <col min="6413" max="6413" width="24.7109375" style="2" bestFit="1" customWidth="1"/>
    <col min="6414" max="6414" width="24.85546875" style="2" bestFit="1" customWidth="1"/>
    <col min="6415" max="6415" width="25.5703125" style="2" bestFit="1" customWidth="1"/>
    <col min="6416" max="6416" width="25.28515625" style="2" bestFit="1" customWidth="1"/>
    <col min="6417" max="6417" width="14.7109375" style="2" bestFit="1" customWidth="1"/>
    <col min="6418" max="6418" width="25" style="2" bestFit="1" customWidth="1"/>
    <col min="6419" max="6656" width="25.7109375" style="2"/>
    <col min="6657" max="6657" width="5.5703125" style="2" customWidth="1"/>
    <col min="6658" max="6658" width="22.140625" style="2" bestFit="1" customWidth="1"/>
    <col min="6659" max="6659" width="21.140625" style="2" customWidth="1"/>
    <col min="6660" max="6660" width="24.7109375" style="2" bestFit="1" customWidth="1"/>
    <col min="6661" max="6661" width="30.42578125" style="2" customWidth="1"/>
    <col min="6662" max="6662" width="25.7109375" style="2"/>
    <col min="6663" max="6663" width="25.28515625" style="2" bestFit="1" customWidth="1"/>
    <col min="6664" max="6664" width="24.28515625" style="2" bestFit="1" customWidth="1"/>
    <col min="6665" max="6665" width="16.42578125" style="2" bestFit="1" customWidth="1"/>
    <col min="6666" max="6666" width="13" style="2" bestFit="1" customWidth="1"/>
    <col min="6667" max="6667" width="11.140625" style="2" bestFit="1" customWidth="1"/>
    <col min="6668" max="6668" width="50.5703125" style="2" customWidth="1"/>
    <col min="6669" max="6669" width="24.7109375" style="2" bestFit="1" customWidth="1"/>
    <col min="6670" max="6670" width="24.85546875" style="2" bestFit="1" customWidth="1"/>
    <col min="6671" max="6671" width="25.5703125" style="2" bestFit="1" customWidth="1"/>
    <col min="6672" max="6672" width="25.28515625" style="2" bestFit="1" customWidth="1"/>
    <col min="6673" max="6673" width="14.7109375" style="2" bestFit="1" customWidth="1"/>
    <col min="6674" max="6674" width="25" style="2" bestFit="1" customWidth="1"/>
    <col min="6675" max="6912" width="25.7109375" style="2"/>
    <col min="6913" max="6913" width="5.5703125" style="2" customWidth="1"/>
    <col min="6914" max="6914" width="22.140625" style="2" bestFit="1" customWidth="1"/>
    <col min="6915" max="6915" width="21.140625" style="2" customWidth="1"/>
    <col min="6916" max="6916" width="24.7109375" style="2" bestFit="1" customWidth="1"/>
    <col min="6917" max="6917" width="30.42578125" style="2" customWidth="1"/>
    <col min="6918" max="6918" width="25.7109375" style="2"/>
    <col min="6919" max="6919" width="25.28515625" style="2" bestFit="1" customWidth="1"/>
    <col min="6920" max="6920" width="24.28515625" style="2" bestFit="1" customWidth="1"/>
    <col min="6921" max="6921" width="16.42578125" style="2" bestFit="1" customWidth="1"/>
    <col min="6922" max="6922" width="13" style="2" bestFit="1" customWidth="1"/>
    <col min="6923" max="6923" width="11.140625" style="2" bestFit="1" customWidth="1"/>
    <col min="6924" max="6924" width="50.5703125" style="2" customWidth="1"/>
    <col min="6925" max="6925" width="24.7109375" style="2" bestFit="1" customWidth="1"/>
    <col min="6926" max="6926" width="24.85546875" style="2" bestFit="1" customWidth="1"/>
    <col min="6927" max="6927" width="25.5703125" style="2" bestFit="1" customWidth="1"/>
    <col min="6928" max="6928" width="25.28515625" style="2" bestFit="1" customWidth="1"/>
    <col min="6929" max="6929" width="14.7109375" style="2" bestFit="1" customWidth="1"/>
    <col min="6930" max="6930" width="25" style="2" bestFit="1" customWidth="1"/>
    <col min="6931" max="7168" width="25.7109375" style="2"/>
    <col min="7169" max="7169" width="5.5703125" style="2" customWidth="1"/>
    <col min="7170" max="7170" width="22.140625" style="2" bestFit="1" customWidth="1"/>
    <col min="7171" max="7171" width="21.140625" style="2" customWidth="1"/>
    <col min="7172" max="7172" width="24.7109375" style="2" bestFit="1" customWidth="1"/>
    <col min="7173" max="7173" width="30.42578125" style="2" customWidth="1"/>
    <col min="7174" max="7174" width="25.7109375" style="2"/>
    <col min="7175" max="7175" width="25.28515625" style="2" bestFit="1" customWidth="1"/>
    <col min="7176" max="7176" width="24.28515625" style="2" bestFit="1" customWidth="1"/>
    <col min="7177" max="7177" width="16.42578125" style="2" bestFit="1" customWidth="1"/>
    <col min="7178" max="7178" width="13" style="2" bestFit="1" customWidth="1"/>
    <col min="7179" max="7179" width="11.140625" style="2" bestFit="1" customWidth="1"/>
    <col min="7180" max="7180" width="50.5703125" style="2" customWidth="1"/>
    <col min="7181" max="7181" width="24.7109375" style="2" bestFit="1" customWidth="1"/>
    <col min="7182" max="7182" width="24.85546875" style="2" bestFit="1" customWidth="1"/>
    <col min="7183" max="7183" width="25.5703125" style="2" bestFit="1" customWidth="1"/>
    <col min="7184" max="7184" width="25.28515625" style="2" bestFit="1" customWidth="1"/>
    <col min="7185" max="7185" width="14.7109375" style="2" bestFit="1" customWidth="1"/>
    <col min="7186" max="7186" width="25" style="2" bestFit="1" customWidth="1"/>
    <col min="7187" max="7424" width="25.7109375" style="2"/>
    <col min="7425" max="7425" width="5.5703125" style="2" customWidth="1"/>
    <col min="7426" max="7426" width="22.140625" style="2" bestFit="1" customWidth="1"/>
    <col min="7427" max="7427" width="21.140625" style="2" customWidth="1"/>
    <col min="7428" max="7428" width="24.7109375" style="2" bestFit="1" customWidth="1"/>
    <col min="7429" max="7429" width="30.42578125" style="2" customWidth="1"/>
    <col min="7430" max="7430" width="25.7109375" style="2"/>
    <col min="7431" max="7431" width="25.28515625" style="2" bestFit="1" customWidth="1"/>
    <col min="7432" max="7432" width="24.28515625" style="2" bestFit="1" customWidth="1"/>
    <col min="7433" max="7433" width="16.42578125" style="2" bestFit="1" customWidth="1"/>
    <col min="7434" max="7434" width="13" style="2" bestFit="1" customWidth="1"/>
    <col min="7435" max="7435" width="11.140625" style="2" bestFit="1" customWidth="1"/>
    <col min="7436" max="7436" width="50.5703125" style="2" customWidth="1"/>
    <col min="7437" max="7437" width="24.7109375" style="2" bestFit="1" customWidth="1"/>
    <col min="7438" max="7438" width="24.85546875" style="2" bestFit="1" customWidth="1"/>
    <col min="7439" max="7439" width="25.5703125" style="2" bestFit="1" customWidth="1"/>
    <col min="7440" max="7440" width="25.28515625" style="2" bestFit="1" customWidth="1"/>
    <col min="7441" max="7441" width="14.7109375" style="2" bestFit="1" customWidth="1"/>
    <col min="7442" max="7442" width="25" style="2" bestFit="1" customWidth="1"/>
    <col min="7443" max="7680" width="25.7109375" style="2"/>
    <col min="7681" max="7681" width="5.5703125" style="2" customWidth="1"/>
    <col min="7682" max="7682" width="22.140625" style="2" bestFit="1" customWidth="1"/>
    <col min="7683" max="7683" width="21.140625" style="2" customWidth="1"/>
    <col min="7684" max="7684" width="24.7109375" style="2" bestFit="1" customWidth="1"/>
    <col min="7685" max="7685" width="30.42578125" style="2" customWidth="1"/>
    <col min="7686" max="7686" width="25.7109375" style="2"/>
    <col min="7687" max="7687" width="25.28515625" style="2" bestFit="1" customWidth="1"/>
    <col min="7688" max="7688" width="24.28515625" style="2" bestFit="1" customWidth="1"/>
    <col min="7689" max="7689" width="16.42578125" style="2" bestFit="1" customWidth="1"/>
    <col min="7690" max="7690" width="13" style="2" bestFit="1" customWidth="1"/>
    <col min="7691" max="7691" width="11.140625" style="2" bestFit="1" customWidth="1"/>
    <col min="7692" max="7692" width="50.5703125" style="2" customWidth="1"/>
    <col min="7693" max="7693" width="24.7109375" style="2" bestFit="1" customWidth="1"/>
    <col min="7694" max="7694" width="24.85546875" style="2" bestFit="1" customWidth="1"/>
    <col min="7695" max="7695" width="25.5703125" style="2" bestFit="1" customWidth="1"/>
    <col min="7696" max="7696" width="25.28515625" style="2" bestFit="1" customWidth="1"/>
    <col min="7697" max="7697" width="14.7109375" style="2" bestFit="1" customWidth="1"/>
    <col min="7698" max="7698" width="25" style="2" bestFit="1" customWidth="1"/>
    <col min="7699" max="7936" width="25.7109375" style="2"/>
    <col min="7937" max="7937" width="5.5703125" style="2" customWidth="1"/>
    <col min="7938" max="7938" width="22.140625" style="2" bestFit="1" customWidth="1"/>
    <col min="7939" max="7939" width="21.140625" style="2" customWidth="1"/>
    <col min="7940" max="7940" width="24.7109375" style="2" bestFit="1" customWidth="1"/>
    <col min="7941" max="7941" width="30.42578125" style="2" customWidth="1"/>
    <col min="7942" max="7942" width="25.7109375" style="2"/>
    <col min="7943" max="7943" width="25.28515625" style="2" bestFit="1" customWidth="1"/>
    <col min="7944" max="7944" width="24.28515625" style="2" bestFit="1" customWidth="1"/>
    <col min="7945" max="7945" width="16.42578125" style="2" bestFit="1" customWidth="1"/>
    <col min="7946" max="7946" width="13" style="2" bestFit="1" customWidth="1"/>
    <col min="7947" max="7947" width="11.140625" style="2" bestFit="1" customWidth="1"/>
    <col min="7948" max="7948" width="50.5703125" style="2" customWidth="1"/>
    <col min="7949" max="7949" width="24.7109375" style="2" bestFit="1" customWidth="1"/>
    <col min="7950" max="7950" width="24.85546875" style="2" bestFit="1" customWidth="1"/>
    <col min="7951" max="7951" width="25.5703125" style="2" bestFit="1" customWidth="1"/>
    <col min="7952" max="7952" width="25.28515625" style="2" bestFit="1" customWidth="1"/>
    <col min="7953" max="7953" width="14.7109375" style="2" bestFit="1" customWidth="1"/>
    <col min="7954" max="7954" width="25" style="2" bestFit="1" customWidth="1"/>
    <col min="7955" max="8192" width="25.7109375" style="2"/>
    <col min="8193" max="8193" width="5.5703125" style="2" customWidth="1"/>
    <col min="8194" max="8194" width="22.140625" style="2" bestFit="1" customWidth="1"/>
    <col min="8195" max="8195" width="21.140625" style="2" customWidth="1"/>
    <col min="8196" max="8196" width="24.7109375" style="2" bestFit="1" customWidth="1"/>
    <col min="8197" max="8197" width="30.42578125" style="2" customWidth="1"/>
    <col min="8198" max="8198" width="25.7109375" style="2"/>
    <col min="8199" max="8199" width="25.28515625" style="2" bestFit="1" customWidth="1"/>
    <col min="8200" max="8200" width="24.28515625" style="2" bestFit="1" customWidth="1"/>
    <col min="8201" max="8201" width="16.42578125" style="2" bestFit="1" customWidth="1"/>
    <col min="8202" max="8202" width="13" style="2" bestFit="1" customWidth="1"/>
    <col min="8203" max="8203" width="11.140625" style="2" bestFit="1" customWidth="1"/>
    <col min="8204" max="8204" width="50.5703125" style="2" customWidth="1"/>
    <col min="8205" max="8205" width="24.7109375" style="2" bestFit="1" customWidth="1"/>
    <col min="8206" max="8206" width="24.85546875" style="2" bestFit="1" customWidth="1"/>
    <col min="8207" max="8207" width="25.5703125" style="2" bestFit="1" customWidth="1"/>
    <col min="8208" max="8208" width="25.28515625" style="2" bestFit="1" customWidth="1"/>
    <col min="8209" max="8209" width="14.7109375" style="2" bestFit="1" customWidth="1"/>
    <col min="8210" max="8210" width="25" style="2" bestFit="1" customWidth="1"/>
    <col min="8211" max="8448" width="25.7109375" style="2"/>
    <col min="8449" max="8449" width="5.5703125" style="2" customWidth="1"/>
    <col min="8450" max="8450" width="22.140625" style="2" bestFit="1" customWidth="1"/>
    <col min="8451" max="8451" width="21.140625" style="2" customWidth="1"/>
    <col min="8452" max="8452" width="24.7109375" style="2" bestFit="1" customWidth="1"/>
    <col min="8453" max="8453" width="30.42578125" style="2" customWidth="1"/>
    <col min="8454" max="8454" width="25.7109375" style="2"/>
    <col min="8455" max="8455" width="25.28515625" style="2" bestFit="1" customWidth="1"/>
    <col min="8456" max="8456" width="24.28515625" style="2" bestFit="1" customWidth="1"/>
    <col min="8457" max="8457" width="16.42578125" style="2" bestFit="1" customWidth="1"/>
    <col min="8458" max="8458" width="13" style="2" bestFit="1" customWidth="1"/>
    <col min="8459" max="8459" width="11.140625" style="2" bestFit="1" customWidth="1"/>
    <col min="8460" max="8460" width="50.5703125" style="2" customWidth="1"/>
    <col min="8461" max="8461" width="24.7109375" style="2" bestFit="1" customWidth="1"/>
    <col min="8462" max="8462" width="24.85546875" style="2" bestFit="1" customWidth="1"/>
    <col min="8463" max="8463" width="25.5703125" style="2" bestFit="1" customWidth="1"/>
    <col min="8464" max="8464" width="25.28515625" style="2" bestFit="1" customWidth="1"/>
    <col min="8465" max="8465" width="14.7109375" style="2" bestFit="1" customWidth="1"/>
    <col min="8466" max="8466" width="25" style="2" bestFit="1" customWidth="1"/>
    <col min="8467" max="8704" width="25.7109375" style="2"/>
    <col min="8705" max="8705" width="5.5703125" style="2" customWidth="1"/>
    <col min="8706" max="8706" width="22.140625" style="2" bestFit="1" customWidth="1"/>
    <col min="8707" max="8707" width="21.140625" style="2" customWidth="1"/>
    <col min="8708" max="8708" width="24.7109375" style="2" bestFit="1" customWidth="1"/>
    <col min="8709" max="8709" width="30.42578125" style="2" customWidth="1"/>
    <col min="8710" max="8710" width="25.7109375" style="2"/>
    <col min="8711" max="8711" width="25.28515625" style="2" bestFit="1" customWidth="1"/>
    <col min="8712" max="8712" width="24.28515625" style="2" bestFit="1" customWidth="1"/>
    <col min="8713" max="8713" width="16.42578125" style="2" bestFit="1" customWidth="1"/>
    <col min="8714" max="8714" width="13" style="2" bestFit="1" customWidth="1"/>
    <col min="8715" max="8715" width="11.140625" style="2" bestFit="1" customWidth="1"/>
    <col min="8716" max="8716" width="50.5703125" style="2" customWidth="1"/>
    <col min="8717" max="8717" width="24.7109375" style="2" bestFit="1" customWidth="1"/>
    <col min="8718" max="8718" width="24.85546875" style="2" bestFit="1" customWidth="1"/>
    <col min="8719" max="8719" width="25.5703125" style="2" bestFit="1" customWidth="1"/>
    <col min="8720" max="8720" width="25.28515625" style="2" bestFit="1" customWidth="1"/>
    <col min="8721" max="8721" width="14.7109375" style="2" bestFit="1" customWidth="1"/>
    <col min="8722" max="8722" width="25" style="2" bestFit="1" customWidth="1"/>
    <col min="8723" max="8960" width="25.7109375" style="2"/>
    <col min="8961" max="8961" width="5.5703125" style="2" customWidth="1"/>
    <col min="8962" max="8962" width="22.140625" style="2" bestFit="1" customWidth="1"/>
    <col min="8963" max="8963" width="21.140625" style="2" customWidth="1"/>
    <col min="8964" max="8964" width="24.7109375" style="2" bestFit="1" customWidth="1"/>
    <col min="8965" max="8965" width="30.42578125" style="2" customWidth="1"/>
    <col min="8966" max="8966" width="25.7109375" style="2"/>
    <col min="8967" max="8967" width="25.28515625" style="2" bestFit="1" customWidth="1"/>
    <col min="8968" max="8968" width="24.28515625" style="2" bestFit="1" customWidth="1"/>
    <col min="8969" max="8969" width="16.42578125" style="2" bestFit="1" customWidth="1"/>
    <col min="8970" max="8970" width="13" style="2" bestFit="1" customWidth="1"/>
    <col min="8971" max="8971" width="11.140625" style="2" bestFit="1" customWidth="1"/>
    <col min="8972" max="8972" width="50.5703125" style="2" customWidth="1"/>
    <col min="8973" max="8973" width="24.7109375" style="2" bestFit="1" customWidth="1"/>
    <col min="8974" max="8974" width="24.85546875" style="2" bestFit="1" customWidth="1"/>
    <col min="8975" max="8975" width="25.5703125" style="2" bestFit="1" customWidth="1"/>
    <col min="8976" max="8976" width="25.28515625" style="2" bestFit="1" customWidth="1"/>
    <col min="8977" max="8977" width="14.7109375" style="2" bestFit="1" customWidth="1"/>
    <col min="8978" max="8978" width="25" style="2" bestFit="1" customWidth="1"/>
    <col min="8979" max="9216" width="25.7109375" style="2"/>
    <col min="9217" max="9217" width="5.5703125" style="2" customWidth="1"/>
    <col min="9218" max="9218" width="22.140625" style="2" bestFit="1" customWidth="1"/>
    <col min="9219" max="9219" width="21.140625" style="2" customWidth="1"/>
    <col min="9220" max="9220" width="24.7109375" style="2" bestFit="1" customWidth="1"/>
    <col min="9221" max="9221" width="30.42578125" style="2" customWidth="1"/>
    <col min="9222" max="9222" width="25.7109375" style="2"/>
    <col min="9223" max="9223" width="25.28515625" style="2" bestFit="1" customWidth="1"/>
    <col min="9224" max="9224" width="24.28515625" style="2" bestFit="1" customWidth="1"/>
    <col min="9225" max="9225" width="16.42578125" style="2" bestFit="1" customWidth="1"/>
    <col min="9226" max="9226" width="13" style="2" bestFit="1" customWidth="1"/>
    <col min="9227" max="9227" width="11.140625" style="2" bestFit="1" customWidth="1"/>
    <col min="9228" max="9228" width="50.5703125" style="2" customWidth="1"/>
    <col min="9229" max="9229" width="24.7109375" style="2" bestFit="1" customWidth="1"/>
    <col min="9230" max="9230" width="24.85546875" style="2" bestFit="1" customWidth="1"/>
    <col min="9231" max="9231" width="25.5703125" style="2" bestFit="1" customWidth="1"/>
    <col min="9232" max="9232" width="25.28515625" style="2" bestFit="1" customWidth="1"/>
    <col min="9233" max="9233" width="14.7109375" style="2" bestFit="1" customWidth="1"/>
    <col min="9234" max="9234" width="25" style="2" bestFit="1" customWidth="1"/>
    <col min="9235" max="9472" width="25.7109375" style="2"/>
    <col min="9473" max="9473" width="5.5703125" style="2" customWidth="1"/>
    <col min="9474" max="9474" width="22.140625" style="2" bestFit="1" customWidth="1"/>
    <col min="9475" max="9475" width="21.140625" style="2" customWidth="1"/>
    <col min="9476" max="9476" width="24.7109375" style="2" bestFit="1" customWidth="1"/>
    <col min="9477" max="9477" width="30.42578125" style="2" customWidth="1"/>
    <col min="9478" max="9478" width="25.7109375" style="2"/>
    <col min="9479" max="9479" width="25.28515625" style="2" bestFit="1" customWidth="1"/>
    <col min="9480" max="9480" width="24.28515625" style="2" bestFit="1" customWidth="1"/>
    <col min="9481" max="9481" width="16.42578125" style="2" bestFit="1" customWidth="1"/>
    <col min="9482" max="9482" width="13" style="2" bestFit="1" customWidth="1"/>
    <col min="9483" max="9483" width="11.140625" style="2" bestFit="1" customWidth="1"/>
    <col min="9484" max="9484" width="50.5703125" style="2" customWidth="1"/>
    <col min="9485" max="9485" width="24.7109375" style="2" bestFit="1" customWidth="1"/>
    <col min="9486" max="9486" width="24.85546875" style="2" bestFit="1" customWidth="1"/>
    <col min="9487" max="9487" width="25.5703125" style="2" bestFit="1" customWidth="1"/>
    <col min="9488" max="9488" width="25.28515625" style="2" bestFit="1" customWidth="1"/>
    <col min="9489" max="9489" width="14.7109375" style="2" bestFit="1" customWidth="1"/>
    <col min="9490" max="9490" width="25" style="2" bestFit="1" customWidth="1"/>
    <col min="9491" max="9728" width="25.7109375" style="2"/>
    <col min="9729" max="9729" width="5.5703125" style="2" customWidth="1"/>
    <col min="9730" max="9730" width="22.140625" style="2" bestFit="1" customWidth="1"/>
    <col min="9731" max="9731" width="21.140625" style="2" customWidth="1"/>
    <col min="9732" max="9732" width="24.7109375" style="2" bestFit="1" customWidth="1"/>
    <col min="9733" max="9733" width="30.42578125" style="2" customWidth="1"/>
    <col min="9734" max="9734" width="25.7109375" style="2"/>
    <col min="9735" max="9735" width="25.28515625" style="2" bestFit="1" customWidth="1"/>
    <col min="9736" max="9736" width="24.28515625" style="2" bestFit="1" customWidth="1"/>
    <col min="9737" max="9737" width="16.42578125" style="2" bestFit="1" customWidth="1"/>
    <col min="9738" max="9738" width="13" style="2" bestFit="1" customWidth="1"/>
    <col min="9739" max="9739" width="11.140625" style="2" bestFit="1" customWidth="1"/>
    <col min="9740" max="9740" width="50.5703125" style="2" customWidth="1"/>
    <col min="9741" max="9741" width="24.7109375" style="2" bestFit="1" customWidth="1"/>
    <col min="9742" max="9742" width="24.85546875" style="2" bestFit="1" customWidth="1"/>
    <col min="9743" max="9743" width="25.5703125" style="2" bestFit="1" customWidth="1"/>
    <col min="9744" max="9744" width="25.28515625" style="2" bestFit="1" customWidth="1"/>
    <col min="9745" max="9745" width="14.7109375" style="2" bestFit="1" customWidth="1"/>
    <col min="9746" max="9746" width="25" style="2" bestFit="1" customWidth="1"/>
    <col min="9747" max="9984" width="25.7109375" style="2"/>
    <col min="9985" max="9985" width="5.5703125" style="2" customWidth="1"/>
    <col min="9986" max="9986" width="22.140625" style="2" bestFit="1" customWidth="1"/>
    <col min="9987" max="9987" width="21.140625" style="2" customWidth="1"/>
    <col min="9988" max="9988" width="24.7109375" style="2" bestFit="1" customWidth="1"/>
    <col min="9989" max="9989" width="30.42578125" style="2" customWidth="1"/>
    <col min="9990" max="9990" width="25.7109375" style="2"/>
    <col min="9991" max="9991" width="25.28515625" style="2" bestFit="1" customWidth="1"/>
    <col min="9992" max="9992" width="24.28515625" style="2" bestFit="1" customWidth="1"/>
    <col min="9993" max="9993" width="16.42578125" style="2" bestFit="1" customWidth="1"/>
    <col min="9994" max="9994" width="13" style="2" bestFit="1" customWidth="1"/>
    <col min="9995" max="9995" width="11.140625" style="2" bestFit="1" customWidth="1"/>
    <col min="9996" max="9996" width="50.5703125" style="2" customWidth="1"/>
    <col min="9997" max="9997" width="24.7109375" style="2" bestFit="1" customWidth="1"/>
    <col min="9998" max="9998" width="24.85546875" style="2" bestFit="1" customWidth="1"/>
    <col min="9999" max="9999" width="25.5703125" style="2" bestFit="1" customWidth="1"/>
    <col min="10000" max="10000" width="25.28515625" style="2" bestFit="1" customWidth="1"/>
    <col min="10001" max="10001" width="14.7109375" style="2" bestFit="1" customWidth="1"/>
    <col min="10002" max="10002" width="25" style="2" bestFit="1" customWidth="1"/>
    <col min="10003" max="10240" width="25.7109375" style="2"/>
    <col min="10241" max="10241" width="5.5703125" style="2" customWidth="1"/>
    <col min="10242" max="10242" width="22.140625" style="2" bestFit="1" customWidth="1"/>
    <col min="10243" max="10243" width="21.140625" style="2" customWidth="1"/>
    <col min="10244" max="10244" width="24.7109375" style="2" bestFit="1" customWidth="1"/>
    <col min="10245" max="10245" width="30.42578125" style="2" customWidth="1"/>
    <col min="10246" max="10246" width="25.7109375" style="2"/>
    <col min="10247" max="10247" width="25.28515625" style="2" bestFit="1" customWidth="1"/>
    <col min="10248" max="10248" width="24.28515625" style="2" bestFit="1" customWidth="1"/>
    <col min="10249" max="10249" width="16.42578125" style="2" bestFit="1" customWidth="1"/>
    <col min="10250" max="10250" width="13" style="2" bestFit="1" customWidth="1"/>
    <col min="10251" max="10251" width="11.140625" style="2" bestFit="1" customWidth="1"/>
    <col min="10252" max="10252" width="50.5703125" style="2" customWidth="1"/>
    <col min="10253" max="10253" width="24.7109375" style="2" bestFit="1" customWidth="1"/>
    <col min="10254" max="10254" width="24.85546875" style="2" bestFit="1" customWidth="1"/>
    <col min="10255" max="10255" width="25.5703125" style="2" bestFit="1" customWidth="1"/>
    <col min="10256" max="10256" width="25.28515625" style="2" bestFit="1" customWidth="1"/>
    <col min="10257" max="10257" width="14.7109375" style="2" bestFit="1" customWidth="1"/>
    <col min="10258" max="10258" width="25" style="2" bestFit="1" customWidth="1"/>
    <col min="10259" max="10496" width="25.7109375" style="2"/>
    <col min="10497" max="10497" width="5.5703125" style="2" customWidth="1"/>
    <col min="10498" max="10498" width="22.140625" style="2" bestFit="1" customWidth="1"/>
    <col min="10499" max="10499" width="21.140625" style="2" customWidth="1"/>
    <col min="10500" max="10500" width="24.7109375" style="2" bestFit="1" customWidth="1"/>
    <col min="10501" max="10501" width="30.42578125" style="2" customWidth="1"/>
    <col min="10502" max="10502" width="25.7109375" style="2"/>
    <col min="10503" max="10503" width="25.28515625" style="2" bestFit="1" customWidth="1"/>
    <col min="10504" max="10504" width="24.28515625" style="2" bestFit="1" customWidth="1"/>
    <col min="10505" max="10505" width="16.42578125" style="2" bestFit="1" customWidth="1"/>
    <col min="10506" max="10506" width="13" style="2" bestFit="1" customWidth="1"/>
    <col min="10507" max="10507" width="11.140625" style="2" bestFit="1" customWidth="1"/>
    <col min="10508" max="10508" width="50.5703125" style="2" customWidth="1"/>
    <col min="10509" max="10509" width="24.7109375" style="2" bestFit="1" customWidth="1"/>
    <col min="10510" max="10510" width="24.85546875" style="2" bestFit="1" customWidth="1"/>
    <col min="10511" max="10511" width="25.5703125" style="2" bestFit="1" customWidth="1"/>
    <col min="10512" max="10512" width="25.28515625" style="2" bestFit="1" customWidth="1"/>
    <col min="10513" max="10513" width="14.7109375" style="2" bestFit="1" customWidth="1"/>
    <col min="10514" max="10514" width="25" style="2" bestFit="1" customWidth="1"/>
    <col min="10515" max="10752" width="25.7109375" style="2"/>
    <col min="10753" max="10753" width="5.5703125" style="2" customWidth="1"/>
    <col min="10754" max="10754" width="22.140625" style="2" bestFit="1" customWidth="1"/>
    <col min="10755" max="10755" width="21.140625" style="2" customWidth="1"/>
    <col min="10756" max="10756" width="24.7109375" style="2" bestFit="1" customWidth="1"/>
    <col min="10757" max="10757" width="30.42578125" style="2" customWidth="1"/>
    <col min="10758" max="10758" width="25.7109375" style="2"/>
    <col min="10759" max="10759" width="25.28515625" style="2" bestFit="1" customWidth="1"/>
    <col min="10760" max="10760" width="24.28515625" style="2" bestFit="1" customWidth="1"/>
    <col min="10761" max="10761" width="16.42578125" style="2" bestFit="1" customWidth="1"/>
    <col min="10762" max="10762" width="13" style="2" bestFit="1" customWidth="1"/>
    <col min="10763" max="10763" width="11.140625" style="2" bestFit="1" customWidth="1"/>
    <col min="10764" max="10764" width="50.5703125" style="2" customWidth="1"/>
    <col min="10765" max="10765" width="24.7109375" style="2" bestFit="1" customWidth="1"/>
    <col min="10766" max="10766" width="24.85546875" style="2" bestFit="1" customWidth="1"/>
    <col min="10767" max="10767" width="25.5703125" style="2" bestFit="1" customWidth="1"/>
    <col min="10768" max="10768" width="25.28515625" style="2" bestFit="1" customWidth="1"/>
    <col min="10769" max="10769" width="14.7109375" style="2" bestFit="1" customWidth="1"/>
    <col min="10770" max="10770" width="25" style="2" bestFit="1" customWidth="1"/>
    <col min="10771" max="11008" width="25.7109375" style="2"/>
    <col min="11009" max="11009" width="5.5703125" style="2" customWidth="1"/>
    <col min="11010" max="11010" width="22.140625" style="2" bestFit="1" customWidth="1"/>
    <col min="11011" max="11011" width="21.140625" style="2" customWidth="1"/>
    <col min="11012" max="11012" width="24.7109375" style="2" bestFit="1" customWidth="1"/>
    <col min="11013" max="11013" width="30.42578125" style="2" customWidth="1"/>
    <col min="11014" max="11014" width="25.7109375" style="2"/>
    <col min="11015" max="11015" width="25.28515625" style="2" bestFit="1" customWidth="1"/>
    <col min="11016" max="11016" width="24.28515625" style="2" bestFit="1" customWidth="1"/>
    <col min="11017" max="11017" width="16.42578125" style="2" bestFit="1" customWidth="1"/>
    <col min="11018" max="11018" width="13" style="2" bestFit="1" customWidth="1"/>
    <col min="11019" max="11019" width="11.140625" style="2" bestFit="1" customWidth="1"/>
    <col min="11020" max="11020" width="50.5703125" style="2" customWidth="1"/>
    <col min="11021" max="11021" width="24.7109375" style="2" bestFit="1" customWidth="1"/>
    <col min="11022" max="11022" width="24.85546875" style="2" bestFit="1" customWidth="1"/>
    <col min="11023" max="11023" width="25.5703125" style="2" bestFit="1" customWidth="1"/>
    <col min="11024" max="11024" width="25.28515625" style="2" bestFit="1" customWidth="1"/>
    <col min="11025" max="11025" width="14.7109375" style="2" bestFit="1" customWidth="1"/>
    <col min="11026" max="11026" width="25" style="2" bestFit="1" customWidth="1"/>
    <col min="11027" max="11264" width="25.7109375" style="2"/>
    <col min="11265" max="11265" width="5.5703125" style="2" customWidth="1"/>
    <col min="11266" max="11266" width="22.140625" style="2" bestFit="1" customWidth="1"/>
    <col min="11267" max="11267" width="21.140625" style="2" customWidth="1"/>
    <col min="11268" max="11268" width="24.7109375" style="2" bestFit="1" customWidth="1"/>
    <col min="11269" max="11269" width="30.42578125" style="2" customWidth="1"/>
    <col min="11270" max="11270" width="25.7109375" style="2"/>
    <col min="11271" max="11271" width="25.28515625" style="2" bestFit="1" customWidth="1"/>
    <col min="11272" max="11272" width="24.28515625" style="2" bestFit="1" customWidth="1"/>
    <col min="11273" max="11273" width="16.42578125" style="2" bestFit="1" customWidth="1"/>
    <col min="11274" max="11274" width="13" style="2" bestFit="1" customWidth="1"/>
    <col min="11275" max="11275" width="11.140625" style="2" bestFit="1" customWidth="1"/>
    <col min="11276" max="11276" width="50.5703125" style="2" customWidth="1"/>
    <col min="11277" max="11277" width="24.7109375" style="2" bestFit="1" customWidth="1"/>
    <col min="11278" max="11278" width="24.85546875" style="2" bestFit="1" customWidth="1"/>
    <col min="11279" max="11279" width="25.5703125" style="2" bestFit="1" customWidth="1"/>
    <col min="11280" max="11280" width="25.28515625" style="2" bestFit="1" customWidth="1"/>
    <col min="11281" max="11281" width="14.7109375" style="2" bestFit="1" customWidth="1"/>
    <col min="11282" max="11282" width="25" style="2" bestFit="1" customWidth="1"/>
    <col min="11283" max="11520" width="25.7109375" style="2"/>
    <col min="11521" max="11521" width="5.5703125" style="2" customWidth="1"/>
    <col min="11522" max="11522" width="22.140625" style="2" bestFit="1" customWidth="1"/>
    <col min="11523" max="11523" width="21.140625" style="2" customWidth="1"/>
    <col min="11524" max="11524" width="24.7109375" style="2" bestFit="1" customWidth="1"/>
    <col min="11525" max="11525" width="30.42578125" style="2" customWidth="1"/>
    <col min="11526" max="11526" width="25.7109375" style="2"/>
    <col min="11527" max="11527" width="25.28515625" style="2" bestFit="1" customWidth="1"/>
    <col min="11528" max="11528" width="24.28515625" style="2" bestFit="1" customWidth="1"/>
    <col min="11529" max="11529" width="16.42578125" style="2" bestFit="1" customWidth="1"/>
    <col min="11530" max="11530" width="13" style="2" bestFit="1" customWidth="1"/>
    <col min="11531" max="11531" width="11.140625" style="2" bestFit="1" customWidth="1"/>
    <col min="11532" max="11532" width="50.5703125" style="2" customWidth="1"/>
    <col min="11533" max="11533" width="24.7109375" style="2" bestFit="1" customWidth="1"/>
    <col min="11534" max="11534" width="24.85546875" style="2" bestFit="1" customWidth="1"/>
    <col min="11535" max="11535" width="25.5703125" style="2" bestFit="1" customWidth="1"/>
    <col min="11536" max="11536" width="25.28515625" style="2" bestFit="1" customWidth="1"/>
    <col min="11537" max="11537" width="14.7109375" style="2" bestFit="1" customWidth="1"/>
    <col min="11538" max="11538" width="25" style="2" bestFit="1" customWidth="1"/>
    <col min="11539" max="11776" width="25.7109375" style="2"/>
    <col min="11777" max="11777" width="5.5703125" style="2" customWidth="1"/>
    <col min="11778" max="11778" width="22.140625" style="2" bestFit="1" customWidth="1"/>
    <col min="11779" max="11779" width="21.140625" style="2" customWidth="1"/>
    <col min="11780" max="11780" width="24.7109375" style="2" bestFit="1" customWidth="1"/>
    <col min="11781" max="11781" width="30.42578125" style="2" customWidth="1"/>
    <col min="11782" max="11782" width="25.7109375" style="2"/>
    <col min="11783" max="11783" width="25.28515625" style="2" bestFit="1" customWidth="1"/>
    <col min="11784" max="11784" width="24.28515625" style="2" bestFit="1" customWidth="1"/>
    <col min="11785" max="11785" width="16.42578125" style="2" bestFit="1" customWidth="1"/>
    <col min="11786" max="11786" width="13" style="2" bestFit="1" customWidth="1"/>
    <col min="11787" max="11787" width="11.140625" style="2" bestFit="1" customWidth="1"/>
    <col min="11788" max="11788" width="50.5703125" style="2" customWidth="1"/>
    <col min="11789" max="11789" width="24.7109375" style="2" bestFit="1" customWidth="1"/>
    <col min="11790" max="11790" width="24.85546875" style="2" bestFit="1" customWidth="1"/>
    <col min="11791" max="11791" width="25.5703125" style="2" bestFit="1" customWidth="1"/>
    <col min="11792" max="11792" width="25.28515625" style="2" bestFit="1" customWidth="1"/>
    <col min="11793" max="11793" width="14.7109375" style="2" bestFit="1" customWidth="1"/>
    <col min="11794" max="11794" width="25" style="2" bestFit="1" customWidth="1"/>
    <col min="11795" max="12032" width="25.7109375" style="2"/>
    <col min="12033" max="12033" width="5.5703125" style="2" customWidth="1"/>
    <col min="12034" max="12034" width="22.140625" style="2" bestFit="1" customWidth="1"/>
    <col min="12035" max="12035" width="21.140625" style="2" customWidth="1"/>
    <col min="12036" max="12036" width="24.7109375" style="2" bestFit="1" customWidth="1"/>
    <col min="12037" max="12037" width="30.42578125" style="2" customWidth="1"/>
    <col min="12038" max="12038" width="25.7109375" style="2"/>
    <col min="12039" max="12039" width="25.28515625" style="2" bestFit="1" customWidth="1"/>
    <col min="12040" max="12040" width="24.28515625" style="2" bestFit="1" customWidth="1"/>
    <col min="12041" max="12041" width="16.42578125" style="2" bestFit="1" customWidth="1"/>
    <col min="12042" max="12042" width="13" style="2" bestFit="1" customWidth="1"/>
    <col min="12043" max="12043" width="11.140625" style="2" bestFit="1" customWidth="1"/>
    <col min="12044" max="12044" width="50.5703125" style="2" customWidth="1"/>
    <col min="12045" max="12045" width="24.7109375" style="2" bestFit="1" customWidth="1"/>
    <col min="12046" max="12046" width="24.85546875" style="2" bestFit="1" customWidth="1"/>
    <col min="12047" max="12047" width="25.5703125" style="2" bestFit="1" customWidth="1"/>
    <col min="12048" max="12048" width="25.28515625" style="2" bestFit="1" customWidth="1"/>
    <col min="12049" max="12049" width="14.7109375" style="2" bestFit="1" customWidth="1"/>
    <col min="12050" max="12050" width="25" style="2" bestFit="1" customWidth="1"/>
    <col min="12051" max="12288" width="25.7109375" style="2"/>
    <col min="12289" max="12289" width="5.5703125" style="2" customWidth="1"/>
    <col min="12290" max="12290" width="22.140625" style="2" bestFit="1" customWidth="1"/>
    <col min="12291" max="12291" width="21.140625" style="2" customWidth="1"/>
    <col min="12292" max="12292" width="24.7109375" style="2" bestFit="1" customWidth="1"/>
    <col min="12293" max="12293" width="30.42578125" style="2" customWidth="1"/>
    <col min="12294" max="12294" width="25.7109375" style="2"/>
    <col min="12295" max="12295" width="25.28515625" style="2" bestFit="1" customWidth="1"/>
    <col min="12296" max="12296" width="24.28515625" style="2" bestFit="1" customWidth="1"/>
    <col min="12297" max="12297" width="16.42578125" style="2" bestFit="1" customWidth="1"/>
    <col min="12298" max="12298" width="13" style="2" bestFit="1" customWidth="1"/>
    <col min="12299" max="12299" width="11.140625" style="2" bestFit="1" customWidth="1"/>
    <col min="12300" max="12300" width="50.5703125" style="2" customWidth="1"/>
    <col min="12301" max="12301" width="24.7109375" style="2" bestFit="1" customWidth="1"/>
    <col min="12302" max="12302" width="24.85546875" style="2" bestFit="1" customWidth="1"/>
    <col min="12303" max="12303" width="25.5703125" style="2" bestFit="1" customWidth="1"/>
    <col min="12304" max="12304" width="25.28515625" style="2" bestFit="1" customWidth="1"/>
    <col min="12305" max="12305" width="14.7109375" style="2" bestFit="1" customWidth="1"/>
    <col min="12306" max="12306" width="25" style="2" bestFit="1" customWidth="1"/>
    <col min="12307" max="12544" width="25.7109375" style="2"/>
    <col min="12545" max="12545" width="5.5703125" style="2" customWidth="1"/>
    <col min="12546" max="12546" width="22.140625" style="2" bestFit="1" customWidth="1"/>
    <col min="12547" max="12547" width="21.140625" style="2" customWidth="1"/>
    <col min="12548" max="12548" width="24.7109375" style="2" bestFit="1" customWidth="1"/>
    <col min="12549" max="12549" width="30.42578125" style="2" customWidth="1"/>
    <col min="12550" max="12550" width="25.7109375" style="2"/>
    <col min="12551" max="12551" width="25.28515625" style="2" bestFit="1" customWidth="1"/>
    <col min="12552" max="12552" width="24.28515625" style="2" bestFit="1" customWidth="1"/>
    <col min="12553" max="12553" width="16.42578125" style="2" bestFit="1" customWidth="1"/>
    <col min="12554" max="12554" width="13" style="2" bestFit="1" customWidth="1"/>
    <col min="12555" max="12555" width="11.140625" style="2" bestFit="1" customWidth="1"/>
    <col min="12556" max="12556" width="50.5703125" style="2" customWidth="1"/>
    <col min="12557" max="12557" width="24.7109375" style="2" bestFit="1" customWidth="1"/>
    <col min="12558" max="12558" width="24.85546875" style="2" bestFit="1" customWidth="1"/>
    <col min="12559" max="12559" width="25.5703125" style="2" bestFit="1" customWidth="1"/>
    <col min="12560" max="12560" width="25.28515625" style="2" bestFit="1" customWidth="1"/>
    <col min="12561" max="12561" width="14.7109375" style="2" bestFit="1" customWidth="1"/>
    <col min="12562" max="12562" width="25" style="2" bestFit="1" customWidth="1"/>
    <col min="12563" max="12800" width="25.7109375" style="2"/>
    <col min="12801" max="12801" width="5.5703125" style="2" customWidth="1"/>
    <col min="12802" max="12802" width="22.140625" style="2" bestFit="1" customWidth="1"/>
    <col min="12803" max="12803" width="21.140625" style="2" customWidth="1"/>
    <col min="12804" max="12804" width="24.7109375" style="2" bestFit="1" customWidth="1"/>
    <col min="12805" max="12805" width="30.42578125" style="2" customWidth="1"/>
    <col min="12806" max="12806" width="25.7109375" style="2"/>
    <col min="12807" max="12807" width="25.28515625" style="2" bestFit="1" customWidth="1"/>
    <col min="12808" max="12808" width="24.28515625" style="2" bestFit="1" customWidth="1"/>
    <col min="12809" max="12809" width="16.42578125" style="2" bestFit="1" customWidth="1"/>
    <col min="12810" max="12810" width="13" style="2" bestFit="1" customWidth="1"/>
    <col min="12811" max="12811" width="11.140625" style="2" bestFit="1" customWidth="1"/>
    <col min="12812" max="12812" width="50.5703125" style="2" customWidth="1"/>
    <col min="12813" max="12813" width="24.7109375" style="2" bestFit="1" customWidth="1"/>
    <col min="12814" max="12814" width="24.85546875" style="2" bestFit="1" customWidth="1"/>
    <col min="12815" max="12815" width="25.5703125" style="2" bestFit="1" customWidth="1"/>
    <col min="12816" max="12816" width="25.28515625" style="2" bestFit="1" customWidth="1"/>
    <col min="12817" max="12817" width="14.7109375" style="2" bestFit="1" customWidth="1"/>
    <col min="12818" max="12818" width="25" style="2" bestFit="1" customWidth="1"/>
    <col min="12819" max="13056" width="25.7109375" style="2"/>
    <col min="13057" max="13057" width="5.5703125" style="2" customWidth="1"/>
    <col min="13058" max="13058" width="22.140625" style="2" bestFit="1" customWidth="1"/>
    <col min="13059" max="13059" width="21.140625" style="2" customWidth="1"/>
    <col min="13060" max="13060" width="24.7109375" style="2" bestFit="1" customWidth="1"/>
    <col min="13061" max="13061" width="30.42578125" style="2" customWidth="1"/>
    <col min="13062" max="13062" width="25.7109375" style="2"/>
    <col min="13063" max="13063" width="25.28515625" style="2" bestFit="1" customWidth="1"/>
    <col min="13064" max="13064" width="24.28515625" style="2" bestFit="1" customWidth="1"/>
    <col min="13065" max="13065" width="16.42578125" style="2" bestFit="1" customWidth="1"/>
    <col min="13066" max="13066" width="13" style="2" bestFit="1" customWidth="1"/>
    <col min="13067" max="13067" width="11.140625" style="2" bestFit="1" customWidth="1"/>
    <col min="13068" max="13068" width="50.5703125" style="2" customWidth="1"/>
    <col min="13069" max="13069" width="24.7109375" style="2" bestFit="1" customWidth="1"/>
    <col min="13070" max="13070" width="24.85546875" style="2" bestFit="1" customWidth="1"/>
    <col min="13071" max="13071" width="25.5703125" style="2" bestFit="1" customWidth="1"/>
    <col min="13072" max="13072" width="25.28515625" style="2" bestFit="1" customWidth="1"/>
    <col min="13073" max="13073" width="14.7109375" style="2" bestFit="1" customWidth="1"/>
    <col min="13074" max="13074" width="25" style="2" bestFit="1" customWidth="1"/>
    <col min="13075" max="13312" width="25.7109375" style="2"/>
    <col min="13313" max="13313" width="5.5703125" style="2" customWidth="1"/>
    <col min="13314" max="13314" width="22.140625" style="2" bestFit="1" customWidth="1"/>
    <col min="13315" max="13315" width="21.140625" style="2" customWidth="1"/>
    <col min="13316" max="13316" width="24.7109375" style="2" bestFit="1" customWidth="1"/>
    <col min="13317" max="13317" width="30.42578125" style="2" customWidth="1"/>
    <col min="13318" max="13318" width="25.7109375" style="2"/>
    <col min="13319" max="13319" width="25.28515625" style="2" bestFit="1" customWidth="1"/>
    <col min="13320" max="13320" width="24.28515625" style="2" bestFit="1" customWidth="1"/>
    <col min="13321" max="13321" width="16.42578125" style="2" bestFit="1" customWidth="1"/>
    <col min="13322" max="13322" width="13" style="2" bestFit="1" customWidth="1"/>
    <col min="13323" max="13323" width="11.140625" style="2" bestFit="1" customWidth="1"/>
    <col min="13324" max="13324" width="50.5703125" style="2" customWidth="1"/>
    <col min="13325" max="13325" width="24.7109375" style="2" bestFit="1" customWidth="1"/>
    <col min="13326" max="13326" width="24.85546875" style="2" bestFit="1" customWidth="1"/>
    <col min="13327" max="13327" width="25.5703125" style="2" bestFit="1" customWidth="1"/>
    <col min="13328" max="13328" width="25.28515625" style="2" bestFit="1" customWidth="1"/>
    <col min="13329" max="13329" width="14.7109375" style="2" bestFit="1" customWidth="1"/>
    <col min="13330" max="13330" width="25" style="2" bestFit="1" customWidth="1"/>
    <col min="13331" max="13568" width="25.7109375" style="2"/>
    <col min="13569" max="13569" width="5.5703125" style="2" customWidth="1"/>
    <col min="13570" max="13570" width="22.140625" style="2" bestFit="1" customWidth="1"/>
    <col min="13571" max="13571" width="21.140625" style="2" customWidth="1"/>
    <col min="13572" max="13572" width="24.7109375" style="2" bestFit="1" customWidth="1"/>
    <col min="13573" max="13573" width="30.42578125" style="2" customWidth="1"/>
    <col min="13574" max="13574" width="25.7109375" style="2"/>
    <col min="13575" max="13575" width="25.28515625" style="2" bestFit="1" customWidth="1"/>
    <col min="13576" max="13576" width="24.28515625" style="2" bestFit="1" customWidth="1"/>
    <col min="13577" max="13577" width="16.42578125" style="2" bestFit="1" customWidth="1"/>
    <col min="13578" max="13578" width="13" style="2" bestFit="1" customWidth="1"/>
    <col min="13579" max="13579" width="11.140625" style="2" bestFit="1" customWidth="1"/>
    <col min="13580" max="13580" width="50.5703125" style="2" customWidth="1"/>
    <col min="13581" max="13581" width="24.7109375" style="2" bestFit="1" customWidth="1"/>
    <col min="13582" max="13582" width="24.85546875" style="2" bestFit="1" customWidth="1"/>
    <col min="13583" max="13583" width="25.5703125" style="2" bestFit="1" customWidth="1"/>
    <col min="13584" max="13584" width="25.28515625" style="2" bestFit="1" customWidth="1"/>
    <col min="13585" max="13585" width="14.7109375" style="2" bestFit="1" customWidth="1"/>
    <col min="13586" max="13586" width="25" style="2" bestFit="1" customWidth="1"/>
    <col min="13587" max="13824" width="25.7109375" style="2"/>
    <col min="13825" max="13825" width="5.5703125" style="2" customWidth="1"/>
    <col min="13826" max="13826" width="22.140625" style="2" bestFit="1" customWidth="1"/>
    <col min="13827" max="13827" width="21.140625" style="2" customWidth="1"/>
    <col min="13828" max="13828" width="24.7109375" style="2" bestFit="1" customWidth="1"/>
    <col min="13829" max="13829" width="30.42578125" style="2" customWidth="1"/>
    <col min="13830" max="13830" width="25.7109375" style="2"/>
    <col min="13831" max="13831" width="25.28515625" style="2" bestFit="1" customWidth="1"/>
    <col min="13832" max="13832" width="24.28515625" style="2" bestFit="1" customWidth="1"/>
    <col min="13833" max="13833" width="16.42578125" style="2" bestFit="1" customWidth="1"/>
    <col min="13834" max="13834" width="13" style="2" bestFit="1" customWidth="1"/>
    <col min="13835" max="13835" width="11.140625" style="2" bestFit="1" customWidth="1"/>
    <col min="13836" max="13836" width="50.5703125" style="2" customWidth="1"/>
    <col min="13837" max="13837" width="24.7109375" style="2" bestFit="1" customWidth="1"/>
    <col min="13838" max="13838" width="24.85546875" style="2" bestFit="1" customWidth="1"/>
    <col min="13839" max="13839" width="25.5703125" style="2" bestFit="1" customWidth="1"/>
    <col min="13840" max="13840" width="25.28515625" style="2" bestFit="1" customWidth="1"/>
    <col min="13841" max="13841" width="14.7109375" style="2" bestFit="1" customWidth="1"/>
    <col min="13842" max="13842" width="25" style="2" bestFit="1" customWidth="1"/>
    <col min="13843" max="14080" width="25.7109375" style="2"/>
    <col min="14081" max="14081" width="5.5703125" style="2" customWidth="1"/>
    <col min="14082" max="14082" width="22.140625" style="2" bestFit="1" customWidth="1"/>
    <col min="14083" max="14083" width="21.140625" style="2" customWidth="1"/>
    <col min="14084" max="14084" width="24.7109375" style="2" bestFit="1" customWidth="1"/>
    <col min="14085" max="14085" width="30.42578125" style="2" customWidth="1"/>
    <col min="14086" max="14086" width="25.7109375" style="2"/>
    <col min="14087" max="14087" width="25.28515625" style="2" bestFit="1" customWidth="1"/>
    <col min="14088" max="14088" width="24.28515625" style="2" bestFit="1" customWidth="1"/>
    <col min="14089" max="14089" width="16.42578125" style="2" bestFit="1" customWidth="1"/>
    <col min="14090" max="14090" width="13" style="2" bestFit="1" customWidth="1"/>
    <col min="14091" max="14091" width="11.140625" style="2" bestFit="1" customWidth="1"/>
    <col min="14092" max="14092" width="50.5703125" style="2" customWidth="1"/>
    <col min="14093" max="14093" width="24.7109375" style="2" bestFit="1" customWidth="1"/>
    <col min="14094" max="14094" width="24.85546875" style="2" bestFit="1" customWidth="1"/>
    <col min="14095" max="14095" width="25.5703125" style="2" bestFit="1" customWidth="1"/>
    <col min="14096" max="14096" width="25.28515625" style="2" bestFit="1" customWidth="1"/>
    <col min="14097" max="14097" width="14.7109375" style="2" bestFit="1" customWidth="1"/>
    <col min="14098" max="14098" width="25" style="2" bestFit="1" customWidth="1"/>
    <col min="14099" max="14336" width="25.7109375" style="2"/>
    <col min="14337" max="14337" width="5.5703125" style="2" customWidth="1"/>
    <col min="14338" max="14338" width="22.140625" style="2" bestFit="1" customWidth="1"/>
    <col min="14339" max="14339" width="21.140625" style="2" customWidth="1"/>
    <col min="14340" max="14340" width="24.7109375" style="2" bestFit="1" customWidth="1"/>
    <col min="14341" max="14341" width="30.42578125" style="2" customWidth="1"/>
    <col min="14342" max="14342" width="25.7109375" style="2"/>
    <col min="14343" max="14343" width="25.28515625" style="2" bestFit="1" customWidth="1"/>
    <col min="14344" max="14344" width="24.28515625" style="2" bestFit="1" customWidth="1"/>
    <col min="14345" max="14345" width="16.42578125" style="2" bestFit="1" customWidth="1"/>
    <col min="14346" max="14346" width="13" style="2" bestFit="1" customWidth="1"/>
    <col min="14347" max="14347" width="11.140625" style="2" bestFit="1" customWidth="1"/>
    <col min="14348" max="14348" width="50.5703125" style="2" customWidth="1"/>
    <col min="14349" max="14349" width="24.7109375" style="2" bestFit="1" customWidth="1"/>
    <col min="14350" max="14350" width="24.85546875" style="2" bestFit="1" customWidth="1"/>
    <col min="14351" max="14351" width="25.5703125" style="2" bestFit="1" customWidth="1"/>
    <col min="14352" max="14352" width="25.28515625" style="2" bestFit="1" customWidth="1"/>
    <col min="14353" max="14353" width="14.7109375" style="2" bestFit="1" customWidth="1"/>
    <col min="14354" max="14354" width="25" style="2" bestFit="1" customWidth="1"/>
    <col min="14355" max="14592" width="25.7109375" style="2"/>
    <col min="14593" max="14593" width="5.5703125" style="2" customWidth="1"/>
    <col min="14594" max="14594" width="22.140625" style="2" bestFit="1" customWidth="1"/>
    <col min="14595" max="14595" width="21.140625" style="2" customWidth="1"/>
    <col min="14596" max="14596" width="24.7109375" style="2" bestFit="1" customWidth="1"/>
    <col min="14597" max="14597" width="30.42578125" style="2" customWidth="1"/>
    <col min="14598" max="14598" width="25.7109375" style="2"/>
    <col min="14599" max="14599" width="25.28515625" style="2" bestFit="1" customWidth="1"/>
    <col min="14600" max="14600" width="24.28515625" style="2" bestFit="1" customWidth="1"/>
    <col min="14601" max="14601" width="16.42578125" style="2" bestFit="1" customWidth="1"/>
    <col min="14602" max="14602" width="13" style="2" bestFit="1" customWidth="1"/>
    <col min="14603" max="14603" width="11.140625" style="2" bestFit="1" customWidth="1"/>
    <col min="14604" max="14604" width="50.5703125" style="2" customWidth="1"/>
    <col min="14605" max="14605" width="24.7109375" style="2" bestFit="1" customWidth="1"/>
    <col min="14606" max="14606" width="24.85546875" style="2" bestFit="1" customWidth="1"/>
    <col min="14607" max="14607" width="25.5703125" style="2" bestFit="1" customWidth="1"/>
    <col min="14608" max="14608" width="25.28515625" style="2" bestFit="1" customWidth="1"/>
    <col min="14609" max="14609" width="14.7109375" style="2" bestFit="1" customWidth="1"/>
    <col min="14610" max="14610" width="25" style="2" bestFit="1" customWidth="1"/>
    <col min="14611" max="14848" width="25.7109375" style="2"/>
    <col min="14849" max="14849" width="5.5703125" style="2" customWidth="1"/>
    <col min="14850" max="14850" width="22.140625" style="2" bestFit="1" customWidth="1"/>
    <col min="14851" max="14851" width="21.140625" style="2" customWidth="1"/>
    <col min="14852" max="14852" width="24.7109375" style="2" bestFit="1" customWidth="1"/>
    <col min="14853" max="14853" width="30.42578125" style="2" customWidth="1"/>
    <col min="14854" max="14854" width="25.7109375" style="2"/>
    <col min="14855" max="14855" width="25.28515625" style="2" bestFit="1" customWidth="1"/>
    <col min="14856" max="14856" width="24.28515625" style="2" bestFit="1" customWidth="1"/>
    <col min="14857" max="14857" width="16.42578125" style="2" bestFit="1" customWidth="1"/>
    <col min="14858" max="14858" width="13" style="2" bestFit="1" customWidth="1"/>
    <col min="14859" max="14859" width="11.140625" style="2" bestFit="1" customWidth="1"/>
    <col min="14860" max="14860" width="50.5703125" style="2" customWidth="1"/>
    <col min="14861" max="14861" width="24.7109375" style="2" bestFit="1" customWidth="1"/>
    <col min="14862" max="14862" width="24.85546875" style="2" bestFit="1" customWidth="1"/>
    <col min="14863" max="14863" width="25.5703125" style="2" bestFit="1" customWidth="1"/>
    <col min="14864" max="14864" width="25.28515625" style="2" bestFit="1" customWidth="1"/>
    <col min="14865" max="14865" width="14.7109375" style="2" bestFit="1" customWidth="1"/>
    <col min="14866" max="14866" width="25" style="2" bestFit="1" customWidth="1"/>
    <col min="14867" max="15104" width="25.7109375" style="2"/>
    <col min="15105" max="15105" width="5.5703125" style="2" customWidth="1"/>
    <col min="15106" max="15106" width="22.140625" style="2" bestFit="1" customWidth="1"/>
    <col min="15107" max="15107" width="21.140625" style="2" customWidth="1"/>
    <col min="15108" max="15108" width="24.7109375" style="2" bestFit="1" customWidth="1"/>
    <col min="15109" max="15109" width="30.42578125" style="2" customWidth="1"/>
    <col min="15110" max="15110" width="25.7109375" style="2"/>
    <col min="15111" max="15111" width="25.28515625" style="2" bestFit="1" customWidth="1"/>
    <col min="15112" max="15112" width="24.28515625" style="2" bestFit="1" customWidth="1"/>
    <col min="15113" max="15113" width="16.42578125" style="2" bestFit="1" customWidth="1"/>
    <col min="15114" max="15114" width="13" style="2" bestFit="1" customWidth="1"/>
    <col min="15115" max="15115" width="11.140625" style="2" bestFit="1" customWidth="1"/>
    <col min="15116" max="15116" width="50.5703125" style="2" customWidth="1"/>
    <col min="15117" max="15117" width="24.7109375" style="2" bestFit="1" customWidth="1"/>
    <col min="15118" max="15118" width="24.85546875" style="2" bestFit="1" customWidth="1"/>
    <col min="15119" max="15119" width="25.5703125" style="2" bestFit="1" customWidth="1"/>
    <col min="15120" max="15120" width="25.28515625" style="2" bestFit="1" customWidth="1"/>
    <col min="15121" max="15121" width="14.7109375" style="2" bestFit="1" customWidth="1"/>
    <col min="15122" max="15122" width="25" style="2" bestFit="1" customWidth="1"/>
    <col min="15123" max="15360" width="25.7109375" style="2"/>
    <col min="15361" max="15361" width="5.5703125" style="2" customWidth="1"/>
    <col min="15362" max="15362" width="22.140625" style="2" bestFit="1" customWidth="1"/>
    <col min="15363" max="15363" width="21.140625" style="2" customWidth="1"/>
    <col min="15364" max="15364" width="24.7109375" style="2" bestFit="1" customWidth="1"/>
    <col min="15365" max="15365" width="30.42578125" style="2" customWidth="1"/>
    <col min="15366" max="15366" width="25.7109375" style="2"/>
    <col min="15367" max="15367" width="25.28515625" style="2" bestFit="1" customWidth="1"/>
    <col min="15368" max="15368" width="24.28515625" style="2" bestFit="1" customWidth="1"/>
    <col min="15369" max="15369" width="16.42578125" style="2" bestFit="1" customWidth="1"/>
    <col min="15370" max="15370" width="13" style="2" bestFit="1" customWidth="1"/>
    <col min="15371" max="15371" width="11.140625" style="2" bestFit="1" customWidth="1"/>
    <col min="15372" max="15372" width="50.5703125" style="2" customWidth="1"/>
    <col min="15373" max="15373" width="24.7109375" style="2" bestFit="1" customWidth="1"/>
    <col min="15374" max="15374" width="24.85546875" style="2" bestFit="1" customWidth="1"/>
    <col min="15375" max="15375" width="25.5703125" style="2" bestFit="1" customWidth="1"/>
    <col min="15376" max="15376" width="25.28515625" style="2" bestFit="1" customWidth="1"/>
    <col min="15377" max="15377" width="14.7109375" style="2" bestFit="1" customWidth="1"/>
    <col min="15378" max="15378" width="25" style="2" bestFit="1" customWidth="1"/>
    <col min="15379" max="15616" width="25.7109375" style="2"/>
    <col min="15617" max="15617" width="5.5703125" style="2" customWidth="1"/>
    <col min="15618" max="15618" width="22.140625" style="2" bestFit="1" customWidth="1"/>
    <col min="15619" max="15619" width="21.140625" style="2" customWidth="1"/>
    <col min="15620" max="15620" width="24.7109375" style="2" bestFit="1" customWidth="1"/>
    <col min="15621" max="15621" width="30.42578125" style="2" customWidth="1"/>
    <col min="15622" max="15622" width="25.7109375" style="2"/>
    <col min="15623" max="15623" width="25.28515625" style="2" bestFit="1" customWidth="1"/>
    <col min="15624" max="15624" width="24.28515625" style="2" bestFit="1" customWidth="1"/>
    <col min="15625" max="15625" width="16.42578125" style="2" bestFit="1" customWidth="1"/>
    <col min="15626" max="15626" width="13" style="2" bestFit="1" customWidth="1"/>
    <col min="15627" max="15627" width="11.140625" style="2" bestFit="1" customWidth="1"/>
    <col min="15628" max="15628" width="50.5703125" style="2" customWidth="1"/>
    <col min="15629" max="15629" width="24.7109375" style="2" bestFit="1" customWidth="1"/>
    <col min="15630" max="15630" width="24.85546875" style="2" bestFit="1" customWidth="1"/>
    <col min="15631" max="15631" width="25.5703125" style="2" bestFit="1" customWidth="1"/>
    <col min="15632" max="15632" width="25.28515625" style="2" bestFit="1" customWidth="1"/>
    <col min="15633" max="15633" width="14.7109375" style="2" bestFit="1" customWidth="1"/>
    <col min="15634" max="15634" width="25" style="2" bestFit="1" customWidth="1"/>
    <col min="15635" max="15872" width="25.7109375" style="2"/>
    <col min="15873" max="15873" width="5.5703125" style="2" customWidth="1"/>
    <col min="15874" max="15874" width="22.140625" style="2" bestFit="1" customWidth="1"/>
    <col min="15875" max="15875" width="21.140625" style="2" customWidth="1"/>
    <col min="15876" max="15876" width="24.7109375" style="2" bestFit="1" customWidth="1"/>
    <col min="15877" max="15877" width="30.42578125" style="2" customWidth="1"/>
    <col min="15878" max="15878" width="25.7109375" style="2"/>
    <col min="15879" max="15879" width="25.28515625" style="2" bestFit="1" customWidth="1"/>
    <col min="15880" max="15880" width="24.28515625" style="2" bestFit="1" customWidth="1"/>
    <col min="15881" max="15881" width="16.42578125" style="2" bestFit="1" customWidth="1"/>
    <col min="15882" max="15882" width="13" style="2" bestFit="1" customWidth="1"/>
    <col min="15883" max="15883" width="11.140625" style="2" bestFit="1" customWidth="1"/>
    <col min="15884" max="15884" width="50.5703125" style="2" customWidth="1"/>
    <col min="15885" max="15885" width="24.7109375" style="2" bestFit="1" customWidth="1"/>
    <col min="15886" max="15886" width="24.85546875" style="2" bestFit="1" customWidth="1"/>
    <col min="15887" max="15887" width="25.5703125" style="2" bestFit="1" customWidth="1"/>
    <col min="15888" max="15888" width="25.28515625" style="2" bestFit="1" customWidth="1"/>
    <col min="15889" max="15889" width="14.7109375" style="2" bestFit="1" customWidth="1"/>
    <col min="15890" max="15890" width="25" style="2" bestFit="1" customWidth="1"/>
    <col min="15891" max="16128" width="25.7109375" style="2"/>
    <col min="16129" max="16129" width="5.5703125" style="2" customWidth="1"/>
    <col min="16130" max="16130" width="22.140625" style="2" bestFit="1" customWidth="1"/>
    <col min="16131" max="16131" width="21.140625" style="2" customWidth="1"/>
    <col min="16132" max="16132" width="24.7109375" style="2" bestFit="1" customWidth="1"/>
    <col min="16133" max="16133" width="30.42578125" style="2" customWidth="1"/>
    <col min="16134" max="16134" width="25.7109375" style="2"/>
    <col min="16135" max="16135" width="25.28515625" style="2" bestFit="1" customWidth="1"/>
    <col min="16136" max="16136" width="24.28515625" style="2" bestFit="1" customWidth="1"/>
    <col min="16137" max="16137" width="16.42578125" style="2" bestFit="1" customWidth="1"/>
    <col min="16138" max="16138" width="13" style="2" bestFit="1" customWidth="1"/>
    <col min="16139" max="16139" width="11.140625" style="2" bestFit="1" customWidth="1"/>
    <col min="16140" max="16140" width="50.5703125" style="2" customWidth="1"/>
    <col min="16141" max="16141" width="24.7109375" style="2" bestFit="1" customWidth="1"/>
    <col min="16142" max="16142" width="24.85546875" style="2" bestFit="1" customWidth="1"/>
    <col min="16143" max="16143" width="25.5703125" style="2" bestFit="1" customWidth="1"/>
    <col min="16144" max="16144" width="25.28515625" style="2" bestFit="1" customWidth="1"/>
    <col min="16145" max="16145" width="14.7109375" style="2" bestFit="1" customWidth="1"/>
    <col min="16146" max="16146" width="25" style="2" bestFit="1" customWidth="1"/>
    <col min="16147" max="16384" width="25.7109375" style="2"/>
  </cols>
  <sheetData>
    <row r="2" spans="2:19" s="1" customFormat="1" ht="27.2" customHeight="1">
      <c r="B2" s="77" t="s">
        <v>0</v>
      </c>
      <c r="C2" s="77"/>
      <c r="D2" s="77"/>
      <c r="E2" s="77"/>
      <c r="F2" s="77"/>
      <c r="G2" s="77"/>
      <c r="H2" s="77"/>
      <c r="I2" s="77"/>
      <c r="S2" s="2"/>
    </row>
    <row r="3" spans="2:19" s="1" customFormat="1" ht="82.15" customHeight="1"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</row>
    <row r="4" spans="2:19" ht="13.9">
      <c r="B4" s="4">
        <v>43831</v>
      </c>
      <c r="C4" s="5">
        <f>4653.359+6315.203</f>
        <v>10968.562000000002</v>
      </c>
      <c r="D4" s="5">
        <f>78.871+21.462</f>
        <v>100.333</v>
      </c>
      <c r="E4" s="6">
        <f>C4-D4</f>
        <v>10868.229000000001</v>
      </c>
      <c r="F4" s="6">
        <f t="shared" ref="F4:F15" si="0">E4*$E$74</f>
        <v>5792.7660570000007</v>
      </c>
      <c r="G4" s="60">
        <v>0</v>
      </c>
      <c r="H4" s="60">
        <v>0</v>
      </c>
      <c r="I4" s="6">
        <f>F4</f>
        <v>5792.7660570000007</v>
      </c>
      <c r="L4" s="40"/>
      <c r="M4" s="40"/>
      <c r="N4" s="40"/>
      <c r="O4" s="40"/>
      <c r="P4" s="40"/>
    </row>
    <row r="5" spans="2:19" ht="13.9">
      <c r="B5" s="4">
        <v>43862</v>
      </c>
      <c r="C5" s="5">
        <f>9451.629+12155.404</f>
        <v>21607.033000000003</v>
      </c>
      <c r="D5" s="5">
        <f>13.802+63.334</f>
        <v>77.135999999999996</v>
      </c>
      <c r="E5" s="6">
        <f>C5-D5</f>
        <v>21529.897000000004</v>
      </c>
      <c r="F5" s="6">
        <f t="shared" si="0"/>
        <v>11475.435101000003</v>
      </c>
      <c r="G5" s="60">
        <v>0</v>
      </c>
      <c r="H5" s="60">
        <v>0</v>
      </c>
      <c r="I5" s="6">
        <f t="shared" ref="I5:I15" si="1">F5</f>
        <v>11475.435101000003</v>
      </c>
      <c r="L5" s="40"/>
      <c r="M5" s="40"/>
      <c r="N5" s="40"/>
      <c r="O5" s="40"/>
      <c r="P5" s="40"/>
    </row>
    <row r="6" spans="2:19" ht="13.9">
      <c r="B6" s="4">
        <v>43891</v>
      </c>
      <c r="C6" s="5">
        <f>21482.569+22111.362</f>
        <v>43593.930999999997</v>
      </c>
      <c r="D6" s="5">
        <f>15.276+31.948</f>
        <v>47.224000000000004</v>
      </c>
      <c r="E6" s="6">
        <f>C6-D6</f>
        <v>43546.706999999995</v>
      </c>
      <c r="F6" s="6">
        <f t="shared" si="0"/>
        <v>23210.394830999998</v>
      </c>
      <c r="G6" s="60">
        <v>0</v>
      </c>
      <c r="H6" s="60">
        <v>0</v>
      </c>
      <c r="I6" s="6">
        <f t="shared" si="1"/>
        <v>23210.394830999998</v>
      </c>
      <c r="L6" s="40"/>
      <c r="M6" s="40"/>
      <c r="N6" s="40"/>
      <c r="O6" s="40"/>
      <c r="P6" s="40"/>
    </row>
    <row r="7" spans="2:19" ht="13.9">
      <c r="B7" s="4">
        <v>43922</v>
      </c>
      <c r="C7" s="5">
        <f>22494.761+22997.999</f>
        <v>45492.759999999995</v>
      </c>
      <c r="D7" s="5">
        <f>6.566+33.606</f>
        <v>40.172000000000004</v>
      </c>
      <c r="E7" s="6">
        <f t="shared" ref="E7:E15" si="2">C7-D7</f>
        <v>45452.587999999996</v>
      </c>
      <c r="F7" s="6">
        <f t="shared" si="0"/>
        <v>24226.229403999998</v>
      </c>
      <c r="G7" s="60">
        <v>0</v>
      </c>
      <c r="H7" s="60">
        <v>0</v>
      </c>
      <c r="I7" s="6">
        <f t="shared" si="1"/>
        <v>24226.229403999998</v>
      </c>
      <c r="L7" s="40"/>
      <c r="M7" s="40"/>
      <c r="N7" s="40"/>
      <c r="O7" s="40"/>
      <c r="P7" s="40"/>
    </row>
    <row r="8" spans="2:19" ht="13.9">
      <c r="B8" s="4">
        <v>43952</v>
      </c>
      <c r="C8" s="5">
        <f>24864.005+24530.169</f>
        <v>49394.173999999999</v>
      </c>
      <c r="D8" s="5">
        <f>6.506+19.74</f>
        <v>26.245999999999999</v>
      </c>
      <c r="E8" s="6">
        <f t="shared" si="2"/>
        <v>49367.928</v>
      </c>
      <c r="F8" s="6">
        <f t="shared" si="0"/>
        <v>26313.105624</v>
      </c>
      <c r="G8" s="60">
        <v>0</v>
      </c>
      <c r="H8" s="60">
        <v>0</v>
      </c>
      <c r="I8" s="6">
        <f t="shared" si="1"/>
        <v>26313.105624</v>
      </c>
      <c r="L8" s="40"/>
      <c r="M8" s="40"/>
      <c r="N8" s="40"/>
      <c r="O8" s="40"/>
      <c r="P8" s="40"/>
    </row>
    <row r="9" spans="2:19" ht="13.9">
      <c r="B9" s="4">
        <v>43983</v>
      </c>
      <c r="C9" s="5">
        <f>12122.189+13282.579</f>
        <v>25404.768</v>
      </c>
      <c r="D9" s="5">
        <f>14.235+33.293</f>
        <v>47.527999999999999</v>
      </c>
      <c r="E9" s="6">
        <f t="shared" si="2"/>
        <v>25357.24</v>
      </c>
      <c r="F9" s="6">
        <f t="shared" si="0"/>
        <v>13515.408920000002</v>
      </c>
      <c r="G9" s="60">
        <v>0</v>
      </c>
      <c r="H9" s="60">
        <v>0</v>
      </c>
      <c r="I9" s="6">
        <f t="shared" si="1"/>
        <v>13515.408920000002</v>
      </c>
      <c r="L9" s="40"/>
      <c r="M9" s="40"/>
      <c r="N9" s="40"/>
      <c r="O9" s="40"/>
      <c r="P9" s="40"/>
    </row>
    <row r="10" spans="2:19" ht="13.9">
      <c r="B10" s="4">
        <v>44013</v>
      </c>
      <c r="C10" s="5">
        <f>11775.556+19058.02</f>
        <v>30833.576000000001</v>
      </c>
      <c r="D10" s="5">
        <f>15.302+29.05</f>
        <v>44.352000000000004</v>
      </c>
      <c r="E10" s="6">
        <f t="shared" si="2"/>
        <v>30789.224000000002</v>
      </c>
      <c r="F10" s="6">
        <f t="shared" si="0"/>
        <v>16410.656392000001</v>
      </c>
      <c r="G10" s="60">
        <v>0</v>
      </c>
      <c r="H10" s="60">
        <v>0</v>
      </c>
      <c r="I10" s="6">
        <f t="shared" si="1"/>
        <v>16410.656392000001</v>
      </c>
      <c r="L10" s="40"/>
      <c r="M10" s="40"/>
      <c r="N10" s="40"/>
      <c r="O10" s="40"/>
      <c r="P10" s="40"/>
    </row>
    <row r="11" spans="2:19" ht="13.9">
      <c r="B11" s="4">
        <v>44044</v>
      </c>
      <c r="C11" s="5">
        <f>10517.846+8657.31</f>
        <v>19175.155999999999</v>
      </c>
      <c r="D11" s="5">
        <f>16.537+40.749</f>
        <v>57.286000000000001</v>
      </c>
      <c r="E11" s="6">
        <f t="shared" si="2"/>
        <v>19117.87</v>
      </c>
      <c r="F11" s="6">
        <f t="shared" si="0"/>
        <v>10189.824710000001</v>
      </c>
      <c r="G11" s="60">
        <v>0</v>
      </c>
      <c r="H11" s="60">
        <v>0</v>
      </c>
      <c r="I11" s="6">
        <f t="shared" si="1"/>
        <v>10189.824710000001</v>
      </c>
      <c r="L11" s="40"/>
      <c r="M11" s="40"/>
      <c r="N11" s="40"/>
      <c r="O11" s="40"/>
      <c r="P11" s="40"/>
    </row>
    <row r="12" spans="2:19" ht="13.9">
      <c r="B12" s="4">
        <v>44075</v>
      </c>
      <c r="C12" s="5">
        <f>2301.042+983.759</f>
        <v>3284.8009999999999</v>
      </c>
      <c r="D12" s="5">
        <f>21.842+44.215</f>
        <v>66.057000000000002</v>
      </c>
      <c r="E12" s="6">
        <f t="shared" si="2"/>
        <v>3218.7440000000001</v>
      </c>
      <c r="F12" s="6">
        <f t="shared" si="0"/>
        <v>1715.5905520000001</v>
      </c>
      <c r="G12" s="60">
        <v>0</v>
      </c>
      <c r="H12" s="60">
        <v>0</v>
      </c>
      <c r="I12" s="6">
        <f t="shared" si="1"/>
        <v>1715.5905520000001</v>
      </c>
      <c r="L12" s="40"/>
      <c r="M12" s="40"/>
      <c r="N12" s="40"/>
      <c r="O12" s="40"/>
      <c r="P12" s="40"/>
    </row>
    <row r="13" spans="2:19" ht="13.9">
      <c r="B13" s="4">
        <v>44105</v>
      </c>
      <c r="C13" s="5">
        <f>2850.697+3857.143</f>
        <v>6707.84</v>
      </c>
      <c r="D13" s="5">
        <f>20.849+48.603</f>
        <v>69.451999999999998</v>
      </c>
      <c r="E13" s="6">
        <f t="shared" si="2"/>
        <v>6638.3879999999999</v>
      </c>
      <c r="F13" s="6">
        <f t="shared" si="0"/>
        <v>3538.260804</v>
      </c>
      <c r="G13" s="60">
        <v>0</v>
      </c>
      <c r="H13" s="60">
        <v>0</v>
      </c>
      <c r="I13" s="6">
        <f t="shared" si="1"/>
        <v>3538.260804</v>
      </c>
      <c r="L13" s="40"/>
      <c r="M13" s="40"/>
      <c r="N13" s="40"/>
      <c r="O13" s="40"/>
      <c r="P13" s="40"/>
    </row>
    <row r="14" spans="2:19" ht="13.9">
      <c r="B14" s="4">
        <v>44136</v>
      </c>
      <c r="C14" s="5">
        <f>8929.026+8918.16</f>
        <v>17847.186000000002</v>
      </c>
      <c r="D14" s="5">
        <f>17.46+45.634</f>
        <v>63.094000000000001</v>
      </c>
      <c r="E14" s="6">
        <f t="shared" si="2"/>
        <v>17784.092000000001</v>
      </c>
      <c r="F14" s="6">
        <f t="shared" si="0"/>
        <v>9478.9210360000015</v>
      </c>
      <c r="G14" s="60">
        <v>0</v>
      </c>
      <c r="H14" s="60">
        <v>0</v>
      </c>
      <c r="I14" s="6">
        <f t="shared" si="1"/>
        <v>9478.9210360000015</v>
      </c>
      <c r="L14" s="40"/>
      <c r="M14" s="40"/>
      <c r="N14" s="40"/>
      <c r="O14" s="40"/>
      <c r="P14" s="40"/>
    </row>
    <row r="15" spans="2:19" ht="13.9">
      <c r="B15" s="4">
        <v>44166</v>
      </c>
      <c r="C15" s="5">
        <f>6750.841+6708.789</f>
        <v>13459.630000000001</v>
      </c>
      <c r="D15" s="5">
        <f>19.475+67.083</f>
        <v>86.557999999999993</v>
      </c>
      <c r="E15" s="6">
        <f t="shared" si="2"/>
        <v>13373.072</v>
      </c>
      <c r="F15" s="6">
        <f t="shared" si="0"/>
        <v>7127.8473760000006</v>
      </c>
      <c r="G15" s="60">
        <v>0</v>
      </c>
      <c r="H15" s="60">
        <v>0</v>
      </c>
      <c r="I15" s="6">
        <f t="shared" si="1"/>
        <v>7127.8473760000006</v>
      </c>
      <c r="L15" s="40"/>
      <c r="M15" s="40"/>
      <c r="N15" s="40"/>
      <c r="O15" s="40"/>
      <c r="P15" s="40"/>
    </row>
    <row r="16" spans="2:19" ht="13.9">
      <c r="B16" s="8" t="s">
        <v>9</v>
      </c>
      <c r="C16" s="30">
        <f>SUM(C4:C15)</f>
        <v>287769.41700000002</v>
      </c>
      <c r="D16" s="30">
        <f t="shared" ref="D16:H16" si="3">SUM(D4:D15)</f>
        <v>725.4380000000001</v>
      </c>
      <c r="E16" s="30">
        <f t="shared" si="3"/>
        <v>287043.97899999993</v>
      </c>
      <c r="F16" s="30">
        <f>ROUNDDOWN(SUM(F4:F15),0)</f>
        <v>152994</v>
      </c>
      <c r="G16" s="61">
        <f t="shared" si="3"/>
        <v>0</v>
      </c>
      <c r="H16" s="61">
        <f t="shared" si="3"/>
        <v>0</v>
      </c>
      <c r="I16" s="30">
        <f>SUM(I4:I15)</f>
        <v>152994.44080700001</v>
      </c>
      <c r="L16" s="40"/>
      <c r="M16" s="40"/>
      <c r="N16" s="40"/>
      <c r="O16" s="40"/>
      <c r="P16" s="40"/>
    </row>
    <row r="17" spans="2:16" ht="13.9">
      <c r="B17" s="4">
        <v>44197</v>
      </c>
      <c r="C17" s="5">
        <f>5797.09+4606.861</f>
        <v>10403.951000000001</v>
      </c>
      <c r="D17" s="5">
        <f>19.958+63.536</f>
        <v>83.494</v>
      </c>
      <c r="E17" s="6">
        <f>C17-D17</f>
        <v>10320.457</v>
      </c>
      <c r="F17" s="6">
        <f t="shared" ref="F17:F28" si="4">E17*$E$74</f>
        <v>5500.8035810000001</v>
      </c>
      <c r="G17" s="60">
        <v>0</v>
      </c>
      <c r="H17" s="60">
        <v>0</v>
      </c>
      <c r="I17" s="6">
        <f>F17</f>
        <v>5500.8035810000001</v>
      </c>
      <c r="L17" s="40"/>
      <c r="M17" s="40"/>
      <c r="N17" s="40"/>
      <c r="O17" s="40"/>
      <c r="P17" s="40"/>
    </row>
    <row r="18" spans="2:16" ht="13.9">
      <c r="B18" s="4">
        <v>44228</v>
      </c>
      <c r="C18" s="5">
        <f>4668.027+5818.848</f>
        <v>10486.875</v>
      </c>
      <c r="D18" s="5">
        <f>17.954+50.513</f>
        <v>68.466999999999999</v>
      </c>
      <c r="E18" s="6">
        <f t="shared" ref="E18:E28" si="5">C18-D18</f>
        <v>10418.407999999999</v>
      </c>
      <c r="F18" s="6">
        <f t="shared" si="4"/>
        <v>5553.0114640000002</v>
      </c>
      <c r="G18" s="60">
        <v>0</v>
      </c>
      <c r="H18" s="60">
        <v>0</v>
      </c>
      <c r="I18" s="6">
        <f t="shared" ref="I18:I28" si="6">F18</f>
        <v>5553.0114640000002</v>
      </c>
      <c r="L18" s="40"/>
      <c r="M18" s="40"/>
      <c r="N18" s="40"/>
      <c r="O18" s="40"/>
      <c r="P18" s="40"/>
    </row>
    <row r="19" spans="2:16" ht="13.9">
      <c r="B19" s="4">
        <v>44256</v>
      </c>
      <c r="C19" s="5">
        <f>10290.421+10183.879</f>
        <v>20474.300000000003</v>
      </c>
      <c r="D19" s="5">
        <f>16.606+70.829</f>
        <v>87.435000000000002</v>
      </c>
      <c r="E19" s="6">
        <f t="shared" si="5"/>
        <v>20386.865000000002</v>
      </c>
      <c r="F19" s="6">
        <f t="shared" si="4"/>
        <v>10866.199045000001</v>
      </c>
      <c r="G19" s="60">
        <v>0</v>
      </c>
      <c r="H19" s="60">
        <v>0</v>
      </c>
      <c r="I19" s="6">
        <f t="shared" si="6"/>
        <v>10866.199045000001</v>
      </c>
      <c r="L19" s="40"/>
      <c r="M19" s="40"/>
      <c r="N19" s="40"/>
      <c r="O19" s="40"/>
      <c r="P19" s="40"/>
    </row>
    <row r="20" spans="2:16" ht="13.9">
      <c r="B20" s="4">
        <v>44287</v>
      </c>
      <c r="C20" s="5">
        <f>14892.997+13163.785</f>
        <v>28056.781999999999</v>
      </c>
      <c r="D20" s="5">
        <f>12.326+51.445</f>
        <v>63.771000000000001</v>
      </c>
      <c r="E20" s="6">
        <f t="shared" si="5"/>
        <v>27993.010999999999</v>
      </c>
      <c r="F20" s="6">
        <f t="shared" si="4"/>
        <v>14920.274863000001</v>
      </c>
      <c r="G20" s="60">
        <v>0</v>
      </c>
      <c r="H20" s="60">
        <v>0</v>
      </c>
      <c r="I20" s="6">
        <f t="shared" si="6"/>
        <v>14920.274863000001</v>
      </c>
      <c r="L20" s="40"/>
      <c r="M20" s="40"/>
      <c r="N20" s="40"/>
      <c r="O20" s="40"/>
      <c r="P20" s="40"/>
    </row>
    <row r="21" spans="2:16" ht="13.9">
      <c r="B21" s="4">
        <v>44317</v>
      </c>
      <c r="C21" s="5">
        <f>11127.223+9023.641</f>
        <v>20150.864000000001</v>
      </c>
      <c r="D21" s="5">
        <f>15.872+40.794</f>
        <v>56.665999999999997</v>
      </c>
      <c r="E21" s="6">
        <f t="shared" si="5"/>
        <v>20094.198</v>
      </c>
      <c r="F21" s="6">
        <f t="shared" si="4"/>
        <v>10710.207534000001</v>
      </c>
      <c r="G21" s="60">
        <v>0</v>
      </c>
      <c r="H21" s="60">
        <v>0</v>
      </c>
      <c r="I21" s="6">
        <f t="shared" si="6"/>
        <v>10710.207534000001</v>
      </c>
      <c r="L21" s="40"/>
      <c r="M21" s="40"/>
      <c r="N21" s="40"/>
      <c r="O21" s="40"/>
      <c r="P21" s="40"/>
    </row>
    <row r="22" spans="2:16" ht="13.9">
      <c r="B22" s="4">
        <v>44348</v>
      </c>
      <c r="C22" s="5">
        <f>6465.261+7594.51</f>
        <v>14059.771000000001</v>
      </c>
      <c r="D22" s="5">
        <f>19.936+36.644</f>
        <v>56.58</v>
      </c>
      <c r="E22" s="6">
        <f t="shared" si="5"/>
        <v>14003.191000000001</v>
      </c>
      <c r="F22" s="6">
        <f t="shared" si="4"/>
        <v>7463.7008030000006</v>
      </c>
      <c r="G22" s="60">
        <v>0</v>
      </c>
      <c r="H22" s="60">
        <v>0</v>
      </c>
      <c r="I22" s="6">
        <f t="shared" si="6"/>
        <v>7463.7008030000006</v>
      </c>
      <c r="L22" s="40"/>
      <c r="M22" s="40"/>
      <c r="N22" s="40"/>
      <c r="O22" s="40"/>
      <c r="P22" s="40"/>
    </row>
    <row r="23" spans="2:16" ht="13.9">
      <c r="B23" s="4">
        <v>44378</v>
      </c>
      <c r="C23" s="5">
        <f>13775.499+13504.579</f>
        <v>27280.078000000001</v>
      </c>
      <c r="D23" s="5">
        <f>36.079+14.877</f>
        <v>50.956000000000003</v>
      </c>
      <c r="E23" s="6">
        <f t="shared" si="5"/>
        <v>27229.122000000003</v>
      </c>
      <c r="F23" s="6">
        <f t="shared" si="4"/>
        <v>14513.122026000003</v>
      </c>
      <c r="G23" s="60">
        <v>0</v>
      </c>
      <c r="H23" s="60">
        <v>0</v>
      </c>
      <c r="I23" s="6">
        <f t="shared" si="6"/>
        <v>14513.122026000003</v>
      </c>
      <c r="L23" s="40"/>
      <c r="M23" s="40"/>
      <c r="N23" s="40"/>
      <c r="O23" s="40"/>
      <c r="P23" s="40"/>
    </row>
    <row r="24" spans="2:16" ht="13.9">
      <c r="B24" s="4">
        <v>44409</v>
      </c>
      <c r="C24" s="5">
        <f>8914.108+11009.088</f>
        <v>19923.196</v>
      </c>
      <c r="D24" s="5">
        <f>28.012+27.209</f>
        <v>55.221000000000004</v>
      </c>
      <c r="E24" s="6">
        <f t="shared" si="5"/>
        <v>19867.974999999999</v>
      </c>
      <c r="F24" s="6">
        <f t="shared" si="4"/>
        <v>10589.630675</v>
      </c>
      <c r="G24" s="60">
        <v>0</v>
      </c>
      <c r="H24" s="60">
        <v>0</v>
      </c>
      <c r="I24" s="6">
        <f t="shared" si="6"/>
        <v>10589.630675</v>
      </c>
      <c r="L24" s="40"/>
      <c r="M24" s="40"/>
      <c r="N24" s="40"/>
      <c r="O24" s="40"/>
      <c r="P24" s="40"/>
    </row>
    <row r="25" spans="2:16" ht="13.9">
      <c r="B25" s="4">
        <v>44440</v>
      </c>
      <c r="C25" s="5">
        <f>9383.559+2060.881</f>
        <v>11444.439999999999</v>
      </c>
      <c r="D25" s="5">
        <f>16.614+49.86</f>
        <v>66.474000000000004</v>
      </c>
      <c r="E25" s="6">
        <f t="shared" si="5"/>
        <v>11377.965999999999</v>
      </c>
      <c r="F25" s="6">
        <f t="shared" si="4"/>
        <v>6064.4558779999998</v>
      </c>
      <c r="G25" s="60">
        <v>0</v>
      </c>
      <c r="H25" s="60">
        <v>0</v>
      </c>
      <c r="I25" s="6">
        <f t="shared" si="6"/>
        <v>6064.4558779999998</v>
      </c>
      <c r="L25" s="40"/>
      <c r="M25" s="40"/>
      <c r="N25" s="40"/>
      <c r="O25" s="40"/>
      <c r="P25" s="40"/>
    </row>
    <row r="26" spans="2:16" ht="13.9">
      <c r="B26" s="4">
        <v>44470</v>
      </c>
      <c r="C26" s="5">
        <f>2866.561+7909.458</f>
        <v>10776.019</v>
      </c>
      <c r="D26" s="5">
        <f>21.811+41.301</f>
        <v>63.112000000000002</v>
      </c>
      <c r="E26" s="6">
        <f t="shared" si="5"/>
        <v>10712.907000000001</v>
      </c>
      <c r="F26" s="6">
        <f t="shared" si="4"/>
        <v>5709.9794310000007</v>
      </c>
      <c r="G26" s="60">
        <v>0</v>
      </c>
      <c r="H26" s="60">
        <v>0</v>
      </c>
      <c r="I26" s="6">
        <f t="shared" si="6"/>
        <v>5709.9794310000007</v>
      </c>
      <c r="L26" s="40"/>
      <c r="M26" s="40"/>
      <c r="N26" s="40"/>
      <c r="O26" s="40"/>
      <c r="P26" s="40"/>
    </row>
    <row r="27" spans="2:16" ht="13.9">
      <c r="B27" s="4">
        <v>44501</v>
      </c>
      <c r="C27" s="5">
        <f>5182.066+6131.952</f>
        <v>11314.018</v>
      </c>
      <c r="D27" s="5">
        <f>19.939+54.747</f>
        <v>74.686000000000007</v>
      </c>
      <c r="E27" s="6">
        <f t="shared" si="5"/>
        <v>11239.332</v>
      </c>
      <c r="F27" s="6">
        <f t="shared" si="4"/>
        <v>5990.5639560000009</v>
      </c>
      <c r="G27" s="60">
        <v>0</v>
      </c>
      <c r="H27" s="60">
        <v>0</v>
      </c>
      <c r="I27" s="6">
        <f t="shared" si="6"/>
        <v>5990.5639560000009</v>
      </c>
      <c r="L27" s="40"/>
      <c r="M27" s="40"/>
      <c r="N27" s="40"/>
      <c r="O27" s="40"/>
      <c r="P27" s="40"/>
    </row>
    <row r="28" spans="2:16" ht="13.9">
      <c r="B28" s="4">
        <v>44531</v>
      </c>
      <c r="C28" s="5">
        <f>8883.314+7946.475</f>
        <v>16829.789000000001</v>
      </c>
      <c r="D28" s="5">
        <f>49.947+34.098</f>
        <v>84.045000000000002</v>
      </c>
      <c r="E28" s="6">
        <f t="shared" si="5"/>
        <v>16745.744000000002</v>
      </c>
      <c r="F28" s="6">
        <f t="shared" si="4"/>
        <v>8925.4815520000011</v>
      </c>
      <c r="G28" s="60">
        <v>0</v>
      </c>
      <c r="H28" s="60">
        <v>0</v>
      </c>
      <c r="I28" s="6">
        <f t="shared" si="6"/>
        <v>8925.4815520000011</v>
      </c>
      <c r="L28" s="40"/>
      <c r="M28" s="40"/>
      <c r="N28" s="40"/>
      <c r="O28" s="40"/>
      <c r="P28" s="40"/>
    </row>
    <row r="29" spans="2:16" ht="13.9">
      <c r="B29" s="8" t="s">
        <v>10</v>
      </c>
      <c r="C29" s="30">
        <f>SUM(C17:C28)</f>
        <v>201200.08300000001</v>
      </c>
      <c r="D29" s="30">
        <f t="shared" ref="D29:I29" si="7">SUM(D17:D28)</f>
        <v>810.90700000000004</v>
      </c>
      <c r="E29" s="30">
        <f>SUM(E17:E28)</f>
        <v>200389.17600000001</v>
      </c>
      <c r="F29" s="30">
        <f>ROUNDDOWN(SUM(F17:F28),0)</f>
        <v>106807</v>
      </c>
      <c r="G29" s="61">
        <f t="shared" si="7"/>
        <v>0</v>
      </c>
      <c r="H29" s="61">
        <f t="shared" si="7"/>
        <v>0</v>
      </c>
      <c r="I29" s="30">
        <f t="shared" si="7"/>
        <v>106807.43080799999</v>
      </c>
      <c r="L29" s="40"/>
      <c r="M29" s="40"/>
      <c r="N29" s="40"/>
      <c r="O29" s="40"/>
      <c r="P29" s="40"/>
    </row>
    <row r="30" spans="2:16" ht="13.9">
      <c r="B30" s="4">
        <v>44562</v>
      </c>
      <c r="C30" s="5">
        <f>9466.028+9159.237</f>
        <v>18625.264999999999</v>
      </c>
      <c r="D30" s="5">
        <f>65.905+17.531</f>
        <v>83.436000000000007</v>
      </c>
      <c r="E30" s="6">
        <f>C30-D30</f>
        <v>18541.828999999998</v>
      </c>
      <c r="F30" s="6">
        <f>E30*$E$74</f>
        <v>9882.794856999999</v>
      </c>
      <c r="G30" s="60">
        <v>0</v>
      </c>
      <c r="H30" s="60">
        <v>0</v>
      </c>
      <c r="I30" s="6">
        <f>E30*$E$74</f>
        <v>9882.794856999999</v>
      </c>
      <c r="L30" s="40"/>
      <c r="M30" s="40"/>
      <c r="N30" s="40"/>
      <c r="O30" s="40"/>
      <c r="P30" s="40"/>
    </row>
    <row r="31" spans="2:16" ht="13.9">
      <c r="B31" s="4">
        <v>44593</v>
      </c>
      <c r="C31" s="5">
        <f>9392.79+12440.096</f>
        <v>21832.885999999999</v>
      </c>
      <c r="D31" s="5">
        <f>50.202+23.068</f>
        <v>73.27</v>
      </c>
      <c r="E31" s="6">
        <f t="shared" ref="E31" si="8">C31-D31</f>
        <v>21759.615999999998</v>
      </c>
      <c r="F31" s="6">
        <f t="shared" ref="F31" si="9">E31*$E$74</f>
        <v>11597.875328</v>
      </c>
      <c r="G31" s="60">
        <v>0</v>
      </c>
      <c r="H31" s="60">
        <v>0</v>
      </c>
      <c r="I31" s="6">
        <f>E31*$E$74</f>
        <v>11597.875328</v>
      </c>
      <c r="L31" s="40"/>
      <c r="M31" s="40"/>
      <c r="N31" s="40"/>
      <c r="O31" s="40"/>
      <c r="P31" s="40"/>
    </row>
    <row r="32" spans="2:16" ht="13.15" customHeight="1">
      <c r="B32" s="4">
        <v>44651</v>
      </c>
      <c r="C32" s="5">
        <f>14606.188+16245.818</f>
        <v>30852.006000000001</v>
      </c>
      <c r="D32" s="5">
        <f>25.934+48.341</f>
        <v>74.275000000000006</v>
      </c>
      <c r="E32" s="6">
        <f>C32-D32</f>
        <v>30777.731</v>
      </c>
      <c r="F32" s="6">
        <f>E32*$E$74</f>
        <v>16404.530623000002</v>
      </c>
      <c r="G32" s="60">
        <v>0</v>
      </c>
      <c r="H32" s="60">
        <v>0</v>
      </c>
      <c r="I32" s="6">
        <f>E32*$E$74</f>
        <v>16404.530623000002</v>
      </c>
      <c r="L32" s="40"/>
      <c r="M32" s="40"/>
      <c r="N32" s="40"/>
      <c r="O32" s="40"/>
      <c r="P32" s="40"/>
    </row>
    <row r="33" spans="1:17" ht="13.15" customHeight="1">
      <c r="B33" s="4">
        <v>44681</v>
      </c>
      <c r="C33" s="5">
        <f>30042.597+30330.28</f>
        <v>60372.877</v>
      </c>
      <c r="D33" s="5">
        <f>7.547+3.192</f>
        <v>10.739000000000001</v>
      </c>
      <c r="E33" s="6">
        <f>C33-D33</f>
        <v>60362.137999999999</v>
      </c>
      <c r="F33" s="6">
        <f>E33*$E$74</f>
        <v>32173.019554000002</v>
      </c>
      <c r="G33" s="60">
        <v>0</v>
      </c>
      <c r="H33" s="60">
        <v>0</v>
      </c>
      <c r="I33" s="6">
        <f>E33*$E$74</f>
        <v>32173.019554000002</v>
      </c>
      <c r="L33" s="40"/>
      <c r="M33" s="40"/>
      <c r="N33" s="40"/>
      <c r="O33" s="40"/>
      <c r="P33" s="40"/>
    </row>
    <row r="34" spans="1:17" ht="13.9">
      <c r="B34" s="8" t="s">
        <v>11</v>
      </c>
      <c r="C34" s="30">
        <f>SUM(C30:C33)</f>
        <v>131683.03400000001</v>
      </c>
      <c r="D34" s="30">
        <f>SUM(D30:D33)</f>
        <v>241.72000000000003</v>
      </c>
      <c r="E34" s="30">
        <f>SUM(E30:E33)</f>
        <v>131441.31399999998</v>
      </c>
      <c r="F34" s="30">
        <f>ROUNDDOWN(SUM(F30:F33),0)</f>
        <v>70058</v>
      </c>
      <c r="G34" s="61">
        <f t="shared" ref="G34:I34" si="10">SUM(G30:G33)</f>
        <v>0</v>
      </c>
      <c r="H34" s="61">
        <f t="shared" si="10"/>
        <v>0</v>
      </c>
      <c r="I34" s="30">
        <f t="shared" si="10"/>
        <v>70058.220362000007</v>
      </c>
      <c r="L34" s="40"/>
      <c r="M34" s="40"/>
      <c r="N34" s="40"/>
      <c r="O34" s="40"/>
      <c r="P34" s="40"/>
    </row>
    <row r="35" spans="1:17" ht="13.9">
      <c r="B35" s="9" t="s">
        <v>12</v>
      </c>
      <c r="C35" s="31">
        <f>SUM(C16,C29,C34)</f>
        <v>620652.53399999999</v>
      </c>
      <c r="D35" s="31">
        <f t="shared" ref="D35:I35" si="11">SUM(D16,D29,D34)</f>
        <v>1778.0650000000003</v>
      </c>
      <c r="E35" s="31">
        <f>SUM(E16,E29,E34)</f>
        <v>618874.46899999992</v>
      </c>
      <c r="F35" s="31">
        <f>SUM(F16,F29,F34)</f>
        <v>329859</v>
      </c>
      <c r="G35" s="62">
        <f t="shared" si="11"/>
        <v>0</v>
      </c>
      <c r="H35" s="62">
        <f t="shared" si="11"/>
        <v>0</v>
      </c>
      <c r="I35" s="31">
        <f t="shared" si="11"/>
        <v>329860.091977</v>
      </c>
      <c r="L35" s="40"/>
      <c r="M35" s="40"/>
      <c r="N35" s="40"/>
      <c r="O35" s="40"/>
      <c r="P35" s="40"/>
    </row>
    <row r="36" spans="1:17" ht="14.45" customHeight="1" thickBot="1">
      <c r="A36" s="1"/>
      <c r="B36" s="2"/>
      <c r="D36" s="48"/>
      <c r="E36" s="49"/>
      <c r="I36" s="10"/>
      <c r="J36" s="11"/>
      <c r="L36" s="40"/>
      <c r="M36" s="40"/>
      <c r="N36" s="40"/>
      <c r="O36" s="40"/>
      <c r="P36" s="40"/>
    </row>
    <row r="37" spans="1:17" ht="18.75" customHeight="1" thickBot="1">
      <c r="A37" s="1"/>
      <c r="B37" s="80" t="s">
        <v>13</v>
      </c>
      <c r="C37" s="81"/>
      <c r="D37" s="81"/>
      <c r="E37" s="82"/>
      <c r="L37" s="40"/>
      <c r="M37" s="40"/>
      <c r="N37" s="40"/>
      <c r="O37" s="40"/>
      <c r="P37" s="40"/>
      <c r="Q37" s="1"/>
    </row>
    <row r="38" spans="1:17" ht="26.45">
      <c r="A38" s="1"/>
      <c r="B38" s="50" t="s">
        <v>1</v>
      </c>
      <c r="C38" s="58" t="s">
        <v>2</v>
      </c>
      <c r="D38" s="58" t="s">
        <v>3</v>
      </c>
      <c r="E38" s="59" t="s">
        <v>4</v>
      </c>
      <c r="K38" s="1"/>
      <c r="L38" s="40"/>
      <c r="M38" s="40"/>
      <c r="N38" s="40"/>
      <c r="O38" s="40"/>
      <c r="P38" s="40"/>
      <c r="Q38" s="1"/>
    </row>
    <row r="39" spans="1:17">
      <c r="A39" s="1"/>
      <c r="B39" s="51">
        <v>43831</v>
      </c>
      <c r="C39" s="5">
        <v>10968.435000000001</v>
      </c>
      <c r="D39" s="5">
        <v>99.679000000000002</v>
      </c>
      <c r="E39" s="55">
        <f>C39-D39</f>
        <v>10868.756000000001</v>
      </c>
      <c r="G39" s="12"/>
      <c r="H39" s="12"/>
      <c r="I39" s="13"/>
      <c r="J39" s="10"/>
    </row>
    <row r="40" spans="1:17">
      <c r="A40" s="1"/>
      <c r="B40" s="51">
        <v>43862</v>
      </c>
      <c r="C40" s="5">
        <v>21686.303999999996</v>
      </c>
      <c r="D40" s="5">
        <v>77.716999999999999</v>
      </c>
      <c r="E40" s="55">
        <f>C40-D40</f>
        <v>21608.586999999996</v>
      </c>
      <c r="G40" s="12"/>
      <c r="H40" s="12"/>
      <c r="I40" s="13"/>
      <c r="J40" s="10"/>
    </row>
    <row r="41" spans="1:17">
      <c r="A41" s="1"/>
      <c r="B41" s="51">
        <v>43891</v>
      </c>
      <c r="C41" s="5">
        <v>43811.983999999982</v>
      </c>
      <c r="D41" s="5">
        <v>46.762999999999998</v>
      </c>
      <c r="E41" s="55">
        <f>C41-D41</f>
        <v>43765.220999999983</v>
      </c>
    </row>
    <row r="42" spans="1:17">
      <c r="A42" s="1"/>
      <c r="B42" s="51">
        <v>43922</v>
      </c>
      <c r="C42" s="5">
        <v>45482.740999999958</v>
      </c>
      <c r="D42" s="5">
        <v>40.134</v>
      </c>
      <c r="E42" s="55">
        <f t="shared" ref="E42:E50" si="12">C42-D42</f>
        <v>45442.60699999996</v>
      </c>
    </row>
    <row r="43" spans="1:17">
      <c r="A43" s="1"/>
      <c r="B43" s="51">
        <v>43952</v>
      </c>
      <c r="C43" s="5">
        <v>49363.183000000012</v>
      </c>
      <c r="D43" s="5">
        <v>26.201999999999998</v>
      </c>
      <c r="E43" s="55">
        <f t="shared" si="12"/>
        <v>49336.981000000014</v>
      </c>
    </row>
    <row r="44" spans="1:17">
      <c r="A44" s="1"/>
      <c r="B44" s="51">
        <v>43983</v>
      </c>
      <c r="C44" s="5">
        <v>25393.094000000005</v>
      </c>
      <c r="D44" s="5">
        <v>47.245000000000005</v>
      </c>
      <c r="E44" s="55">
        <f t="shared" si="12"/>
        <v>25345.849000000006</v>
      </c>
    </row>
    <row r="45" spans="1:17">
      <c r="A45" s="1"/>
      <c r="B45" s="51">
        <v>44013</v>
      </c>
      <c r="C45" s="5">
        <v>30833.597999999998</v>
      </c>
      <c r="D45" s="5">
        <v>44.261000000000003</v>
      </c>
      <c r="E45" s="55">
        <f t="shared" si="12"/>
        <v>30789.337</v>
      </c>
    </row>
    <row r="46" spans="1:17">
      <c r="A46" s="1"/>
      <c r="B46" s="51">
        <v>44044</v>
      </c>
      <c r="C46" s="5">
        <v>19175.188000000002</v>
      </c>
      <c r="D46" s="5">
        <v>57.010000000000005</v>
      </c>
      <c r="E46" s="55">
        <f t="shared" si="12"/>
        <v>19118.178000000004</v>
      </c>
    </row>
    <row r="47" spans="1:17">
      <c r="A47" s="1"/>
      <c r="B47" s="51">
        <v>44075</v>
      </c>
      <c r="C47" s="5">
        <v>3285.7150000000001</v>
      </c>
      <c r="D47" s="5">
        <v>65.2</v>
      </c>
      <c r="E47" s="55">
        <f t="shared" si="12"/>
        <v>3220.5150000000003</v>
      </c>
    </row>
    <row r="48" spans="1:17">
      <c r="A48" s="1"/>
      <c r="B48" s="51">
        <v>44105</v>
      </c>
      <c r="C48" s="5">
        <v>6707.7560000000021</v>
      </c>
      <c r="D48" s="5">
        <v>69.25</v>
      </c>
      <c r="E48" s="55">
        <f t="shared" si="12"/>
        <v>6638.5060000000021</v>
      </c>
    </row>
    <row r="49" spans="1:5">
      <c r="A49" s="1"/>
      <c r="B49" s="51">
        <v>44136</v>
      </c>
      <c r="C49" s="5">
        <v>17847.437000000009</v>
      </c>
      <c r="D49" s="5">
        <v>63.5</v>
      </c>
      <c r="E49" s="55">
        <f t="shared" si="12"/>
        <v>17783.937000000009</v>
      </c>
    </row>
    <row r="50" spans="1:5">
      <c r="A50" s="1"/>
      <c r="B50" s="51">
        <v>44166</v>
      </c>
      <c r="C50" s="5">
        <v>13459.630000000006</v>
      </c>
      <c r="D50" s="5">
        <v>85.6</v>
      </c>
      <c r="E50" s="55">
        <f t="shared" si="12"/>
        <v>13374.030000000006</v>
      </c>
    </row>
    <row r="51" spans="1:5">
      <c r="A51" s="1"/>
      <c r="B51" s="52" t="s">
        <v>9</v>
      </c>
      <c r="C51" s="30">
        <f>SUM(C39:C50)</f>
        <v>288015.065</v>
      </c>
      <c r="D51" s="30">
        <f t="shared" ref="D51" si="13">SUM(D39:D50)</f>
        <v>722.56100000000004</v>
      </c>
      <c r="E51" s="56">
        <f>SUM(E39:E50)</f>
        <v>287292.50400000002</v>
      </c>
    </row>
    <row r="52" spans="1:5">
      <c r="A52" s="1"/>
      <c r="B52" s="51">
        <v>44197</v>
      </c>
      <c r="C52" s="5">
        <v>10403.950999999994</v>
      </c>
      <c r="D52" s="5">
        <v>83.384</v>
      </c>
      <c r="E52" s="55">
        <f>C52-D52</f>
        <v>10320.566999999994</v>
      </c>
    </row>
    <row r="53" spans="1:5">
      <c r="A53" s="1"/>
      <c r="B53" s="51">
        <v>44228</v>
      </c>
      <c r="C53" s="5">
        <v>10486.845000000001</v>
      </c>
      <c r="D53" s="5">
        <v>68.159000000000006</v>
      </c>
      <c r="E53" s="55">
        <f t="shared" ref="E53:E63" si="14">C53-D53</f>
        <v>10418.686000000002</v>
      </c>
    </row>
    <row r="54" spans="1:5">
      <c r="A54" s="1"/>
      <c r="B54" s="51">
        <v>44256</v>
      </c>
      <c r="C54" s="5">
        <v>20481.955999999998</v>
      </c>
      <c r="D54" s="5">
        <v>87.251999999999995</v>
      </c>
      <c r="E54" s="55">
        <f t="shared" si="14"/>
        <v>20394.703999999998</v>
      </c>
    </row>
    <row r="55" spans="1:5">
      <c r="A55" s="1"/>
      <c r="B55" s="51">
        <v>44287</v>
      </c>
      <c r="C55" s="5">
        <v>28056.781999999996</v>
      </c>
      <c r="D55" s="5">
        <v>63.731999999999999</v>
      </c>
      <c r="E55" s="55">
        <f t="shared" si="14"/>
        <v>27993.049999999996</v>
      </c>
    </row>
    <row r="56" spans="1:5">
      <c r="A56" s="1"/>
      <c r="B56" s="51">
        <v>44317</v>
      </c>
      <c r="C56" s="5">
        <v>20148.568000000003</v>
      </c>
      <c r="D56" s="5">
        <v>56.405000000000001</v>
      </c>
      <c r="E56" s="55">
        <f t="shared" si="14"/>
        <v>20092.163000000004</v>
      </c>
    </row>
    <row r="57" spans="1:5">
      <c r="A57" s="1"/>
      <c r="B57" s="51">
        <v>44348</v>
      </c>
      <c r="C57" s="5">
        <v>14049.88</v>
      </c>
      <c r="D57" s="5">
        <v>56.471000000000004</v>
      </c>
      <c r="E57" s="55">
        <f t="shared" si="14"/>
        <v>13993.409</v>
      </c>
    </row>
    <row r="58" spans="1:5">
      <c r="A58" s="1"/>
      <c r="B58" s="51">
        <v>44378</v>
      </c>
      <c r="C58" s="5">
        <v>27267.567999999992</v>
      </c>
      <c r="D58" s="5">
        <v>50.341999999999999</v>
      </c>
      <c r="E58" s="55">
        <f t="shared" si="14"/>
        <v>27217.225999999991</v>
      </c>
    </row>
    <row r="59" spans="1:5">
      <c r="A59" s="1"/>
      <c r="B59" s="51">
        <v>44409</v>
      </c>
      <c r="C59" s="5">
        <v>19933.045000000009</v>
      </c>
      <c r="D59" s="5">
        <v>54.923000000000002</v>
      </c>
      <c r="E59" s="55">
        <f t="shared" si="14"/>
        <v>19878.12200000001</v>
      </c>
    </row>
    <row r="60" spans="1:5">
      <c r="A60" s="1"/>
      <c r="B60" s="51">
        <v>44440</v>
      </c>
      <c r="C60" s="5">
        <v>11446.44</v>
      </c>
      <c r="D60" s="5">
        <v>65.915999999999997</v>
      </c>
      <c r="E60" s="55">
        <f t="shared" si="14"/>
        <v>11380.524000000001</v>
      </c>
    </row>
    <row r="61" spans="1:5">
      <c r="A61" s="1"/>
      <c r="B61" s="51">
        <v>44470</v>
      </c>
      <c r="C61" s="5">
        <v>10761.566000000001</v>
      </c>
      <c r="D61" s="5">
        <v>62.625999999999998</v>
      </c>
      <c r="E61" s="55">
        <f t="shared" si="14"/>
        <v>10698.94</v>
      </c>
    </row>
    <row r="62" spans="1:5">
      <c r="A62" s="1"/>
      <c r="B62" s="51">
        <v>44501</v>
      </c>
      <c r="C62" s="5">
        <v>11313.973999999998</v>
      </c>
      <c r="D62" s="5">
        <v>74.117000000000004</v>
      </c>
      <c r="E62" s="55">
        <f t="shared" si="14"/>
        <v>11239.856999999998</v>
      </c>
    </row>
    <row r="63" spans="1:5">
      <c r="A63" s="1"/>
      <c r="B63" s="51">
        <v>44531</v>
      </c>
      <c r="C63" s="5">
        <v>16829.769</v>
      </c>
      <c r="D63" s="5">
        <v>84.6</v>
      </c>
      <c r="E63" s="55">
        <f t="shared" si="14"/>
        <v>16745.169000000002</v>
      </c>
    </row>
    <row r="64" spans="1:5">
      <c r="A64" s="1"/>
      <c r="B64" s="52" t="s">
        <v>10</v>
      </c>
      <c r="C64" s="30">
        <f>SUM(C52:C63)</f>
        <v>201180.34399999998</v>
      </c>
      <c r="D64" s="30">
        <f t="shared" ref="D64" si="15">SUM(D52:D63)</f>
        <v>807.92700000000002</v>
      </c>
      <c r="E64" s="56">
        <f>SUM(E52:E63)</f>
        <v>200372.41699999999</v>
      </c>
    </row>
    <row r="65" spans="1:15">
      <c r="A65" s="1"/>
      <c r="B65" s="51">
        <v>44562</v>
      </c>
      <c r="C65" s="5">
        <v>18624.025000000001</v>
      </c>
      <c r="D65" s="5">
        <v>82.9</v>
      </c>
      <c r="E65" s="55">
        <f>C65-D65</f>
        <v>18541.125</v>
      </c>
    </row>
    <row r="66" spans="1:15">
      <c r="A66" s="1"/>
      <c r="B66" s="51">
        <v>44593</v>
      </c>
      <c r="C66" s="5">
        <v>21832.875</v>
      </c>
      <c r="D66" s="5">
        <v>73.513000000000005</v>
      </c>
      <c r="E66" s="55">
        <f t="shared" ref="E66" si="16">C66-D66</f>
        <v>21759.362000000001</v>
      </c>
    </row>
    <row r="67" spans="1:15">
      <c r="A67" s="1"/>
      <c r="B67" s="51">
        <v>44651</v>
      </c>
      <c r="C67" s="5">
        <v>30852.218999999895</v>
      </c>
      <c r="D67" s="5">
        <v>74.591025999999999</v>
      </c>
      <c r="E67" s="55">
        <f>C67-D67</f>
        <v>30777.627973999897</v>
      </c>
    </row>
    <row r="68" spans="1:15">
      <c r="A68" s="47"/>
      <c r="B68" s="51">
        <v>44681</v>
      </c>
      <c r="C68" s="5">
        <v>60372.876999999986</v>
      </c>
      <c r="D68" s="5">
        <v>10.739000000000001</v>
      </c>
      <c r="E68" s="55">
        <f>C68-D68</f>
        <v>60362.137999999984</v>
      </c>
    </row>
    <row r="69" spans="1:15">
      <c r="A69" s="1"/>
      <c r="B69" s="52" t="s">
        <v>11</v>
      </c>
      <c r="C69" s="30">
        <f>SUM(C65:C68)</f>
        <v>131681.99599999987</v>
      </c>
      <c r="D69" s="30">
        <f>SUM(D65:D68)</f>
        <v>241.74302600000001</v>
      </c>
      <c r="E69" s="56">
        <f>SUM(E65:E68)</f>
        <v>131440.25297399989</v>
      </c>
    </row>
    <row r="70" spans="1:15" ht="13.9" thickBot="1">
      <c r="A70" s="1"/>
      <c r="B70" s="53" t="s">
        <v>12</v>
      </c>
      <c r="C70" s="57">
        <f>SUM(C51,C64,C69)</f>
        <v>620877.4049999998</v>
      </c>
      <c r="D70" s="57">
        <f t="shared" ref="D70" si="17">SUM(D51,D64,D69)</f>
        <v>1772.2310260000002</v>
      </c>
      <c r="E70" s="54">
        <f>SUM(E51,E64,E69)</f>
        <v>619105.17397399992</v>
      </c>
    </row>
    <row r="71" spans="1:15">
      <c r="A71" s="1"/>
    </row>
    <row r="72" spans="1:15">
      <c r="A72" s="1"/>
      <c r="B72" s="2"/>
    </row>
    <row r="73" spans="1:15">
      <c r="A73" s="1"/>
      <c r="C73" s="14"/>
      <c r="D73" s="15"/>
      <c r="E73" s="15"/>
    </row>
    <row r="74" spans="1:15">
      <c r="A74" s="1"/>
      <c r="D74" s="16" t="s">
        <v>14</v>
      </c>
      <c r="E74" s="17">
        <v>0.53300000000000003</v>
      </c>
      <c r="F74" s="18" t="s">
        <v>15</v>
      </c>
    </row>
    <row r="75" spans="1:15">
      <c r="A75" s="1"/>
    </row>
    <row r="76" spans="1:15" ht="13.9">
      <c r="A76" s="1"/>
      <c r="K76" s="41"/>
      <c r="L76" s="41"/>
      <c r="M76" s="41"/>
      <c r="N76" s="41"/>
      <c r="O76" s="41"/>
    </row>
    <row r="77" spans="1:15">
      <c r="A77" s="1"/>
      <c r="B77" s="19"/>
    </row>
    <row r="78" spans="1:15">
      <c r="F78" s="14"/>
    </row>
    <row r="81" spans="4:15" ht="13.9" thickBot="1"/>
    <row r="82" spans="4:15" ht="13.9">
      <c r="D82" s="70" t="s">
        <v>16</v>
      </c>
      <c r="E82" s="71"/>
      <c r="F82" s="42" t="s">
        <v>17</v>
      </c>
      <c r="G82" s="42" t="s">
        <v>18</v>
      </c>
      <c r="H82" s="42" t="s">
        <v>19</v>
      </c>
      <c r="I82" s="43" t="s">
        <v>20</v>
      </c>
      <c r="K82" s="40"/>
      <c r="L82" s="40"/>
      <c r="M82" s="40"/>
      <c r="N82" s="40"/>
      <c r="O82" s="40"/>
    </row>
    <row r="83" spans="4:15" ht="13.9">
      <c r="D83" s="20">
        <v>43831</v>
      </c>
      <c r="E83" s="21">
        <v>44196</v>
      </c>
      <c r="F83" s="18">
        <f t="shared" ref="F83:F85" si="18">E83-D83+1</f>
        <v>366</v>
      </c>
      <c r="G83" s="22">
        <f>F16</f>
        <v>152994</v>
      </c>
      <c r="H83" s="23">
        <f>$F$91*(F83/365)</f>
        <v>223494.64109589043</v>
      </c>
      <c r="I83" s="24">
        <f>(G83-H83)/H83</f>
        <v>-0.31544667357658079</v>
      </c>
      <c r="K83" s="40"/>
      <c r="L83" s="40"/>
      <c r="M83" s="40"/>
      <c r="N83" s="40"/>
      <c r="O83" s="40"/>
    </row>
    <row r="84" spans="4:15" ht="13.9">
      <c r="D84" s="20">
        <v>44197</v>
      </c>
      <c r="E84" s="21">
        <v>44561</v>
      </c>
      <c r="F84" s="18">
        <f t="shared" si="18"/>
        <v>365</v>
      </c>
      <c r="G84" s="22">
        <f>F29</f>
        <v>106807</v>
      </c>
      <c r="H84" s="23">
        <f t="shared" ref="H84" si="19">$F$91*(F84/365)</f>
        <v>222884</v>
      </c>
      <c r="I84" s="24">
        <f t="shared" ref="I84:I85" si="20">(G84-H84)/H84</f>
        <v>-0.52079557079018679</v>
      </c>
      <c r="K84" s="40"/>
      <c r="L84" s="40"/>
      <c r="M84" s="40"/>
      <c r="N84" s="40"/>
      <c r="O84" s="40"/>
    </row>
    <row r="85" spans="4:15" ht="13.9">
      <c r="D85" s="20">
        <v>44562</v>
      </c>
      <c r="E85" s="21">
        <v>44681</v>
      </c>
      <c r="F85" s="18">
        <f t="shared" si="18"/>
        <v>120</v>
      </c>
      <c r="G85" s="22">
        <f>F34</f>
        <v>70058</v>
      </c>
      <c r="H85" s="23">
        <f>$F$91*(F85/365)</f>
        <v>73276.931506849316</v>
      </c>
      <c r="I85" s="24">
        <f t="shared" si="20"/>
        <v>-4.3928306503233386E-2</v>
      </c>
      <c r="K85" s="40"/>
      <c r="L85" s="40"/>
      <c r="M85" s="40"/>
      <c r="N85" s="40"/>
      <c r="O85" s="40"/>
    </row>
    <row r="86" spans="4:15" ht="14.45" thickBot="1">
      <c r="D86" s="72" t="s">
        <v>21</v>
      </c>
      <c r="E86" s="73"/>
      <c r="F86" s="74"/>
      <c r="G86" s="44">
        <f>SUM(G83:G85)</f>
        <v>329859</v>
      </c>
      <c r="H86" s="44">
        <f>SUM(H83:H85)</f>
        <v>519655.57260273973</v>
      </c>
      <c r="I86" s="32">
        <f>(G86-H86)/H86</f>
        <v>-0.3652353262606754</v>
      </c>
      <c r="K86" s="40"/>
      <c r="L86" s="40"/>
      <c r="M86" s="40"/>
      <c r="N86" s="40"/>
      <c r="O86" s="40"/>
    </row>
    <row r="87" spans="4:15" ht="14.45" thickBot="1">
      <c r="K87" s="40"/>
      <c r="L87" s="40"/>
      <c r="M87" s="40"/>
      <c r="N87" s="40"/>
      <c r="O87" s="40"/>
    </row>
    <row r="88" spans="4:15" ht="13.9">
      <c r="D88" s="78" t="s">
        <v>22</v>
      </c>
      <c r="E88" s="79"/>
      <c r="F88" s="25">
        <v>43831</v>
      </c>
      <c r="G88" s="2" t="s">
        <v>23</v>
      </c>
      <c r="K88" s="40"/>
      <c r="L88" s="40"/>
      <c r="M88" s="40"/>
      <c r="N88" s="40"/>
      <c r="O88" s="40"/>
    </row>
    <row r="89" spans="4:15">
      <c r="D89" s="66" t="s">
        <v>24</v>
      </c>
      <c r="E89" s="67"/>
      <c r="F89" s="26">
        <v>44681</v>
      </c>
    </row>
    <row r="90" spans="4:15">
      <c r="D90" s="66" t="s">
        <v>25</v>
      </c>
      <c r="E90" s="67"/>
      <c r="F90" s="27">
        <f>F89-F88+1</f>
        <v>851</v>
      </c>
    </row>
    <row r="91" spans="4:15">
      <c r="D91" s="66" t="s">
        <v>26</v>
      </c>
      <c r="E91" s="67"/>
      <c r="F91" s="28">
        <v>222884</v>
      </c>
    </row>
    <row r="92" spans="4:15" ht="13.9" thickBot="1">
      <c r="D92" s="68" t="s">
        <v>27</v>
      </c>
      <c r="E92" s="69"/>
      <c r="F92" s="29">
        <f>F91/365*F90</f>
        <v>519655.57260273973</v>
      </c>
    </row>
    <row r="96" spans="4:15" ht="13.9" thickBot="1"/>
    <row r="97" spans="4:8">
      <c r="D97" s="70" t="s">
        <v>16</v>
      </c>
      <c r="E97" s="71"/>
      <c r="F97" s="42" t="s">
        <v>18</v>
      </c>
      <c r="G97" s="42" t="s">
        <v>19</v>
      </c>
      <c r="H97" s="43" t="s">
        <v>20</v>
      </c>
    </row>
    <row r="98" spans="4:8">
      <c r="D98" s="20">
        <v>43831</v>
      </c>
      <c r="E98" s="21">
        <v>44196</v>
      </c>
      <c r="F98" s="22">
        <v>152994</v>
      </c>
      <c r="G98" s="23">
        <v>223494.64109588999</v>
      </c>
      <c r="H98" s="24">
        <f>(F98-G98)/G98</f>
        <v>-0.31544667357657946</v>
      </c>
    </row>
    <row r="99" spans="4:8">
      <c r="D99" s="20">
        <v>44197</v>
      </c>
      <c r="E99" s="21">
        <v>44561</v>
      </c>
      <c r="F99" s="22">
        <v>106807</v>
      </c>
      <c r="G99" s="23">
        <v>222884</v>
      </c>
      <c r="H99" s="24">
        <f>(F99-G99)/G99</f>
        <v>-0.52079557079018679</v>
      </c>
    </row>
    <row r="100" spans="4:8">
      <c r="D100" s="20">
        <v>44562</v>
      </c>
      <c r="E100" s="21">
        <v>44681</v>
      </c>
      <c r="F100" s="22">
        <v>70058</v>
      </c>
      <c r="G100" s="23">
        <v>73276.931506849316</v>
      </c>
      <c r="H100" s="24">
        <f>(F100-G100)/G100</f>
        <v>-4.3928306503233386E-2</v>
      </c>
    </row>
    <row r="101" spans="4:8" ht="13.9" thickBot="1">
      <c r="D101" s="75" t="s">
        <v>21</v>
      </c>
      <c r="E101" s="76"/>
      <c r="F101" s="45">
        <f>SUM(F98:F100)</f>
        <v>329859</v>
      </c>
      <c r="G101" s="46">
        <v>519655.57260273973</v>
      </c>
      <c r="H101" s="32">
        <f>(F101-G101)/G101</f>
        <v>-0.3652353262606754</v>
      </c>
    </row>
    <row r="131" ht="18.75" customHeight="1"/>
  </sheetData>
  <mergeCells count="11">
    <mergeCell ref="B2:I2"/>
    <mergeCell ref="D82:E82"/>
    <mergeCell ref="D88:E88"/>
    <mergeCell ref="D89:E89"/>
    <mergeCell ref="B37:E37"/>
    <mergeCell ref="D91:E91"/>
    <mergeCell ref="D92:E92"/>
    <mergeCell ref="D97:E97"/>
    <mergeCell ref="D86:F86"/>
    <mergeCell ref="D101:E101"/>
    <mergeCell ref="D90:E90"/>
  </mergeCells>
  <pageMargins left="0.7" right="0.7" top="0.75" bottom="0.75" header="0.3" footer="0.3"/>
  <pageSetup paperSize="9" orientation="portrait" horizontalDpi="300" verticalDpi="300" r:id="rId1"/>
  <ignoredErrors>
    <ignoredError sqref="I16 E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4904-8967-4E4D-B7AC-04C88AF3A189}">
  <dimension ref="B4:F8"/>
  <sheetViews>
    <sheetView workbookViewId="0">
      <selection activeCell="C15" sqref="C15"/>
    </sheetView>
  </sheetViews>
  <sheetFormatPr defaultRowHeight="14.45"/>
  <cols>
    <col min="2" max="6" width="20.7109375" customWidth="1"/>
  </cols>
  <sheetData>
    <row r="4" spans="2:6" ht="36"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</row>
    <row r="5" spans="2:6">
      <c r="B5" s="17">
        <v>2020</v>
      </c>
      <c r="C5" s="5">
        <f>'Electricity Generation'!F16</f>
        <v>152994</v>
      </c>
      <c r="D5" s="35">
        <v>0</v>
      </c>
      <c r="E5" s="7">
        <v>0</v>
      </c>
      <c r="F5" s="5">
        <f>C5</f>
        <v>152994</v>
      </c>
    </row>
    <row r="6" spans="2:6">
      <c r="B6" s="17">
        <v>2021</v>
      </c>
      <c r="C6" s="5">
        <f>'Electricity Generation'!F29</f>
        <v>106807</v>
      </c>
      <c r="D6" s="35">
        <v>0</v>
      </c>
      <c r="E6" s="7">
        <v>0</v>
      </c>
      <c r="F6" s="5">
        <f t="shared" ref="F6:F7" si="0">C6</f>
        <v>106807</v>
      </c>
    </row>
    <row r="7" spans="2:6" ht="29.45" customHeight="1">
      <c r="B7" s="34" t="s">
        <v>33</v>
      </c>
      <c r="C7" s="5">
        <f>'Electricity Generation'!F34</f>
        <v>70058</v>
      </c>
      <c r="D7" s="35">
        <v>0</v>
      </c>
      <c r="E7" s="7">
        <v>0</v>
      </c>
      <c r="F7" s="5">
        <f t="shared" si="0"/>
        <v>70058</v>
      </c>
    </row>
    <row r="8" spans="2:6">
      <c r="B8" s="33" t="s">
        <v>21</v>
      </c>
      <c r="C8" s="38">
        <f>SUM(C5:C7)</f>
        <v>329859</v>
      </c>
      <c r="D8" s="36">
        <v>0</v>
      </c>
      <c r="E8" s="37">
        <v>0</v>
      </c>
      <c r="F8" s="38">
        <f>SUM(F5:F7)</f>
        <v>329859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D486-8CB1-43AF-8BBE-D5C16DA39290}">
  <dimension ref="F8:F9"/>
  <sheetViews>
    <sheetView tabSelected="1" workbookViewId="0">
      <selection activeCell="I19" sqref="I19"/>
    </sheetView>
  </sheetViews>
  <sheetFormatPr defaultColWidth="8.85546875" defaultRowHeight="14.45"/>
  <cols>
    <col min="1" max="16384" width="8.85546875" style="64"/>
  </cols>
  <sheetData>
    <row r="8" spans="6:6">
      <c r="F8" s="63"/>
    </row>
    <row r="9" spans="6:6" ht="15">
      <c r="F9" s="6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a820af-9c36-47fb-8383-9944acc4573c" xsi:nil="true"/>
    <lcf76f155ced4ddcb4097134ff3c332f xmlns="5944c9fc-9421-4c39-b608-61ce317886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C1F0F2D97C04690DF7AC407C65BA5" ma:contentTypeVersion="18" ma:contentTypeDescription="Create a new document." ma:contentTypeScope="" ma:versionID="ce81e4aee0f712faefd9820deb27ee0e">
  <xsd:schema xmlns:xsd="http://www.w3.org/2001/XMLSchema" xmlns:xs="http://www.w3.org/2001/XMLSchema" xmlns:p="http://schemas.microsoft.com/office/2006/metadata/properties" xmlns:ns2="5944c9fc-9421-4c39-b608-61ce31788618" xmlns:ns3="3ba820af-9c36-47fb-8383-9944acc4573c" targetNamespace="http://schemas.microsoft.com/office/2006/metadata/properties" ma:root="true" ma:fieldsID="7bdc4b4a08b007d792ed38a33076b8da" ns2:_="" ns3:_="">
    <xsd:import namespace="5944c9fc-9421-4c39-b608-61ce31788618"/>
    <xsd:import namespace="3ba820af-9c36-47fb-8383-9944acc45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4c9fc-9421-4c39-b608-61ce31788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97863a-9c53-4d79-aa62-b4edf9878b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820af-9c36-47fb-8383-9944acc45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4e236bb-6ba1-491a-998c-53c379aa7070}" ma:internalName="TaxCatchAll" ma:showField="CatchAllData" ma:web="3ba820af-9c36-47fb-8383-9944acc457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5D4E6F-B2AC-4AC9-8B7D-81D4E629F45C}"/>
</file>

<file path=customXml/itemProps2.xml><?xml version="1.0" encoding="utf-8"?>
<ds:datastoreItem xmlns:ds="http://schemas.openxmlformats.org/officeDocument/2006/customXml" ds:itemID="{612162AA-3B68-4F9C-8863-3DEDA681778C}"/>
</file>

<file path=customXml/itemProps3.xml><?xml version="1.0" encoding="utf-8"?>
<ds:datastoreItem xmlns:ds="http://schemas.openxmlformats.org/officeDocument/2006/customXml" ds:itemID="{E837B749-1FA0-4B1C-9A04-A2059BD7E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hazal</dc:creator>
  <cp:keywords/>
  <dc:description/>
  <cp:lastModifiedBy>Rachel Barrales</cp:lastModifiedBy>
  <cp:revision/>
  <dcterms:created xsi:type="dcterms:W3CDTF">2022-04-14T12:17:41Z</dcterms:created>
  <dcterms:modified xsi:type="dcterms:W3CDTF">2022-12-17T23:35:59Z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0x010100CDDC1F0F2D97C04690DF7AC407C65BA5</vt:lpwstr>
  </property>
  <property fmtid="{D5CDD505-2E9C-101B-9397-08002B2CF9AE}" pid="3" name="MediaServiceImageTags">
    <vt:lpwstr/>
  </property>
</Properties>
</file>