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ant.vashisht\Sync\99.Common Folder\CDM team\Sushant Vashisht\GS.VER.22.27_Ay-Yildiz\1.Evidences\2022_11_14\"/>
    </mc:Choice>
  </mc:AlternateContent>
  <xr:revisionPtr revIDLastSave="0" documentId="13_ncr:1_{A6067D91-7F40-402B-A82C-47A5DA7E7A55}" xr6:coauthVersionLast="47" xr6:coauthVersionMax="47" xr10:uidLastSave="{00000000-0000-0000-0000-000000000000}"/>
  <bookViews>
    <workbookView xWindow="11676" yWindow="12" windowWidth="9936" windowHeight="12252" xr2:uid="{00000000-000D-0000-FFFF-FFFF00000000}"/>
  </bookViews>
  <sheets>
    <sheet name="ER Calc and Gener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K14" i="1"/>
  <c r="M51" i="1"/>
  <c r="G50" i="1"/>
  <c r="I50" i="1"/>
  <c r="I49" i="1"/>
  <c r="P49" i="1" s="1"/>
  <c r="I48" i="1"/>
  <c r="I47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6" i="1"/>
  <c r="I23" i="1"/>
  <c r="I21" i="1"/>
  <c r="I20" i="1"/>
  <c r="I19" i="1"/>
  <c r="I18" i="1"/>
  <c r="I17" i="1"/>
  <c r="I16" i="1"/>
  <c r="I15" i="1"/>
  <c r="I14" i="1"/>
  <c r="I46" i="1"/>
  <c r="F50" i="1"/>
  <c r="H50" i="1" s="1"/>
  <c r="K50" i="1" s="1"/>
  <c r="L50" i="1" s="1"/>
  <c r="N50" i="1" s="1"/>
  <c r="G51" i="1"/>
  <c r="F14" i="1"/>
  <c r="I27" i="1"/>
  <c r="I25" i="1"/>
  <c r="I24" i="1"/>
  <c r="I22" i="1"/>
  <c r="H49" i="1"/>
  <c r="K49" i="1" s="1"/>
  <c r="L49" i="1" s="1"/>
  <c r="N49" i="1" s="1"/>
  <c r="F51" i="1" l="1"/>
  <c r="I51" i="1"/>
  <c r="P14" i="1"/>
  <c r="P50" i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K44" i="1" l="1"/>
  <c r="L44" i="1" s="1"/>
  <c r="N44" i="1" s="1"/>
  <c r="P44" i="1"/>
  <c r="K32" i="1"/>
  <c r="L32" i="1" s="1"/>
  <c r="N32" i="1" s="1"/>
  <c r="P32" i="1"/>
  <c r="K20" i="1"/>
  <c r="L20" i="1" s="1"/>
  <c r="N20" i="1" s="1"/>
  <c r="P20" i="1"/>
  <c r="K43" i="1"/>
  <c r="L43" i="1" s="1"/>
  <c r="N43" i="1" s="1"/>
  <c r="P43" i="1"/>
  <c r="K35" i="1"/>
  <c r="P35" i="1"/>
  <c r="K27" i="1"/>
  <c r="L27" i="1" s="1"/>
  <c r="N27" i="1" s="1"/>
  <c r="P27" i="1"/>
  <c r="K23" i="1"/>
  <c r="L23" i="1" s="1"/>
  <c r="N23" i="1" s="1"/>
  <c r="P23" i="1"/>
  <c r="K15" i="1"/>
  <c r="L15" i="1" s="1"/>
  <c r="N15" i="1" s="1"/>
  <c r="P15" i="1"/>
  <c r="K42" i="1"/>
  <c r="L42" i="1" s="1"/>
  <c r="N42" i="1" s="1"/>
  <c r="P42" i="1"/>
  <c r="K38" i="1"/>
  <c r="L38" i="1" s="1"/>
  <c r="N38" i="1" s="1"/>
  <c r="P38" i="1"/>
  <c r="K34" i="1"/>
  <c r="L34" i="1" s="1"/>
  <c r="N34" i="1" s="1"/>
  <c r="P34" i="1"/>
  <c r="K30" i="1"/>
  <c r="L30" i="1" s="1"/>
  <c r="N30" i="1" s="1"/>
  <c r="P30" i="1"/>
  <c r="K26" i="1"/>
  <c r="P26" i="1"/>
  <c r="K22" i="1"/>
  <c r="P22" i="1"/>
  <c r="K18" i="1"/>
  <c r="P18" i="1"/>
  <c r="K36" i="1"/>
  <c r="L36" i="1" s="1"/>
  <c r="N36" i="1" s="1"/>
  <c r="P36" i="1"/>
  <c r="K24" i="1"/>
  <c r="L24" i="1" s="1"/>
  <c r="N24" i="1" s="1"/>
  <c r="P24" i="1"/>
  <c r="K47" i="1"/>
  <c r="P47" i="1"/>
  <c r="K39" i="1"/>
  <c r="L39" i="1" s="1"/>
  <c r="N39" i="1" s="1"/>
  <c r="P39" i="1"/>
  <c r="K31" i="1"/>
  <c r="L31" i="1" s="1"/>
  <c r="N31" i="1" s="1"/>
  <c r="P31" i="1"/>
  <c r="H51" i="1"/>
  <c r="P51" i="1" s="1"/>
  <c r="K45" i="1"/>
  <c r="L45" i="1" s="1"/>
  <c r="N45" i="1" s="1"/>
  <c r="P45" i="1"/>
  <c r="K41" i="1"/>
  <c r="L41" i="1" s="1"/>
  <c r="N41" i="1" s="1"/>
  <c r="P41" i="1"/>
  <c r="K37" i="1"/>
  <c r="L37" i="1" s="1"/>
  <c r="N37" i="1" s="1"/>
  <c r="P37" i="1"/>
  <c r="K33" i="1"/>
  <c r="L33" i="1" s="1"/>
  <c r="N33" i="1" s="1"/>
  <c r="P33" i="1"/>
  <c r="K29" i="1"/>
  <c r="L29" i="1" s="1"/>
  <c r="N29" i="1" s="1"/>
  <c r="P29" i="1"/>
  <c r="K25" i="1"/>
  <c r="L25" i="1" s="1"/>
  <c r="N25" i="1" s="1"/>
  <c r="P25" i="1"/>
  <c r="K21" i="1"/>
  <c r="L21" i="1" s="1"/>
  <c r="N21" i="1" s="1"/>
  <c r="P21" i="1"/>
  <c r="K17" i="1"/>
  <c r="L17" i="1" s="1"/>
  <c r="N17" i="1" s="1"/>
  <c r="P17" i="1"/>
  <c r="K40" i="1"/>
  <c r="L40" i="1" s="1"/>
  <c r="N40" i="1" s="1"/>
  <c r="P40" i="1"/>
  <c r="K28" i="1"/>
  <c r="P28" i="1"/>
  <c r="K16" i="1"/>
  <c r="L16" i="1" s="1"/>
  <c r="N16" i="1" s="1"/>
  <c r="P16" i="1"/>
  <c r="K48" i="1"/>
  <c r="L48" i="1" s="1"/>
  <c r="N48" i="1" s="1"/>
  <c r="P48" i="1"/>
  <c r="P19" i="1"/>
  <c r="K19" i="1"/>
  <c r="L19" i="1" s="1"/>
  <c r="N19" i="1" s="1"/>
  <c r="P46" i="1"/>
  <c r="K46" i="1"/>
  <c r="L18" i="1"/>
  <c r="N18" i="1" s="1"/>
  <c r="L22" i="1"/>
  <c r="N22" i="1" s="1"/>
  <c r="L26" i="1"/>
  <c r="N26" i="1" s="1"/>
  <c r="L47" i="1" l="1"/>
  <c r="N47" i="1" s="1"/>
  <c r="O47" i="1" s="1"/>
  <c r="G61" i="1"/>
  <c r="L35" i="1"/>
  <c r="N35" i="1" s="1"/>
  <c r="F61" i="1"/>
  <c r="E61" i="1"/>
  <c r="L28" i="1"/>
  <c r="L14" i="1"/>
  <c r="N14" i="1" s="1"/>
  <c r="D61" i="1"/>
  <c r="L46" i="1"/>
  <c r="N46" i="1" s="1"/>
  <c r="K51" i="1"/>
  <c r="I6" i="1" s="1"/>
  <c r="I4" i="1"/>
  <c r="I8" i="1" s="1"/>
  <c r="N28" i="1" l="1"/>
  <c r="O23" i="1" s="1"/>
  <c r="E62" i="1" s="1"/>
  <c r="O35" i="1"/>
  <c r="F62" i="1" s="1"/>
  <c r="O14" i="1"/>
  <c r="N51" i="1"/>
  <c r="D62" i="1"/>
  <c r="G62" i="1"/>
  <c r="H61" i="1"/>
  <c r="L51" i="1"/>
  <c r="H62" i="1" l="1"/>
  <c r="O51" i="1"/>
  <c r="I9" i="1" s="1"/>
  <c r="I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tc={85648EFF-946D-4330-8514-C38E4F65E0CF}</author>
    <author>tc={7E0DCDB8-8B5E-4366-8C29-EA40452AB22C}</author>
    <author>tc={2DD1D42F-18B3-4FB8-A606-3190F1F029AB}</author>
  </authors>
  <commentList>
    <comment ref="I13" authorId="0" shapeId="0" xr:uid="{85648EFF-946D-4330-8514-C38E4F65E0CF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values provided found to be incosistent with the invoices provided. The invoices for april 2022 is not provided
Reply:
    Invoice for 2022 was added and values were corrected.</t>
      </text>
    </comment>
    <comment ref="F14" authorId="1" shapeId="0" xr:uid="{7E0DCDB8-8B5E-4366-8C29-EA40452AB22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export and import value has been apportioned as per the number of days due to mismatch in billing cycle and monitoring period</t>
      </text>
    </comment>
    <comment ref="F50" authorId="2" shapeId="0" xr:uid="{2DD1D42F-18B3-4FB8-A606-3190F1F029A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export and import value has been apportioned as per the number of days due to mismatch in billing cycle and monitoring period.</t>
      </text>
    </comment>
  </commentList>
</comments>
</file>

<file path=xl/sharedStrings.xml><?xml version="1.0" encoding="utf-8"?>
<sst xmlns="http://schemas.openxmlformats.org/spreadsheetml/2006/main" count="39" uniqueCount="38">
  <si>
    <t>Month</t>
  </si>
  <si>
    <t>Baseline Emissions (tCO2e)</t>
  </si>
  <si>
    <t>Vintage Breakup</t>
  </si>
  <si>
    <t>Start Date of Monitoring Period</t>
  </si>
  <si>
    <t>End Date of Monitoring Period</t>
  </si>
  <si>
    <t>Number of Days for Current Monitoring Period</t>
  </si>
  <si>
    <t>Annual (365 Days) estimation as per Registered PDD</t>
  </si>
  <si>
    <t>Net Electricity Supplied to Grid during Monitoring Period (MWh)</t>
  </si>
  <si>
    <t>ER Estimation for Current Monitoirng Period based on operational days</t>
  </si>
  <si>
    <t>Total</t>
  </si>
  <si>
    <r>
      <t>Grid Emission Factor (tCO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e/MWh)</t>
    </r>
  </si>
  <si>
    <t>Change in Emission Reductions (%)</t>
  </si>
  <si>
    <t>Actual ER for Current Monitoring Period (tCO2e)</t>
  </si>
  <si>
    <t>JMR V/S PMUM RECORD</t>
  </si>
  <si>
    <t xml:space="preserve">From </t>
  </si>
  <si>
    <t>To</t>
  </si>
  <si>
    <t>Vintage Wise SDG Contribution</t>
  </si>
  <si>
    <t>Period</t>
  </si>
  <si>
    <t>12/04/2019 to 31/12/2019</t>
  </si>
  <si>
    <t>SDG 7 (MWh)</t>
  </si>
  <si>
    <t>SDG 8 (number)</t>
  </si>
  <si>
    <t>01/01/2020 to 31/12/2020</t>
  </si>
  <si>
    <t>01/01/2021 to 31/12/2021</t>
  </si>
  <si>
    <t>01/01/2022 to 11/04/2022</t>
  </si>
  <si>
    <t>SDG 13 (tCO2e)</t>
  </si>
  <si>
    <t>32 Training &amp; 15 employments generated</t>
  </si>
  <si>
    <t>0 Trainings &amp; 15 employments</t>
  </si>
  <si>
    <t>3 Trainings &amp; 15 employments</t>
  </si>
  <si>
    <t>6 Trainings &amp; 15 employments</t>
  </si>
  <si>
    <t>23 Trainings &amp; 15 employments</t>
  </si>
  <si>
    <t>Emission factor (tCO2e/MWh)</t>
  </si>
  <si>
    <t>Export(MWh) (Supply) (As per PMUM records)</t>
  </si>
  <si>
    <t>Import MWh (As per PMUM records)</t>
  </si>
  <si>
    <t>Net Electricity( MWh) (As per PMUM records)</t>
  </si>
  <si>
    <t>Net electricity delivered to the as per TEIAS Records</t>
  </si>
  <si>
    <t>Minimum of Net electricity supplied by the project activity to grid as per PMUM (MWh) and TEIAS Records(no of units exported as per Monthly Energy Account in MWh) -Conservative Approach</t>
  </si>
  <si>
    <t>Project Emissions (tCO2e)</t>
  </si>
  <si>
    <t>Emission Reductions (tCO2e)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</si>
</sst>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mmm/yyyy"/>
    <numFmt numFmtId="166" formatCode="0.0000"/>
    <numFmt numFmtId="167" formatCode="_(* #,##0_);_(* \(#,##0\);_(* &quot;-&quot;??_);_(@_)"/>
    <numFmt numFmtId="168" formatCode="#,##0.000"/>
    <numFmt numFmtId="169" formatCode="0.000"/>
  </numFmts>
  <fonts count="9" x14ac:knownFonts="1">
    <font>
      <sz val="11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vertAlign val="subscript"/>
      <sz val="10"/>
      <name val="Arial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3" fillId="0" borderId="0">
      <protection locked="0"/>
    </xf>
    <xf numFmtId="9" fontId="3" fillId="0" borderId="0">
      <alignment vertical="top"/>
      <protection locked="0"/>
    </xf>
    <xf numFmtId="164" fontId="4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1" fillId="0" borderId="0" xfId="0" applyFont="1" applyBorder="1" applyAlignment="1"/>
    <xf numFmtId="14" fontId="2" fillId="0" borderId="0" xfId="0" applyNumberFormat="1" applyFont="1" applyBorder="1" applyAlignment="1"/>
    <xf numFmtId="0" fontId="3" fillId="0" borderId="0" xfId="1" applyBorder="1" applyAlignment="1" applyProtection="1"/>
    <xf numFmtId="0" fontId="3" fillId="0" borderId="0" xfId="1" applyFont="1" applyBorder="1" applyAlignment="1" applyProtection="1"/>
    <xf numFmtId="0" fontId="1" fillId="4" borderId="0" xfId="0" applyFont="1" applyFill="1" applyBorder="1" applyAlignment="1">
      <alignment horizontal="center"/>
    </xf>
    <xf numFmtId="0" fontId="3" fillId="0" borderId="5" xfId="1" applyBorder="1" applyAlignment="1" applyProtection="1"/>
    <xf numFmtId="0" fontId="3" fillId="0" borderId="6" xfId="1" applyBorder="1" applyAlignment="1" applyProtection="1"/>
    <xf numFmtId="14" fontId="3" fillId="3" borderId="7" xfId="1" applyNumberFormat="1" applyFill="1" applyBorder="1" applyAlignment="1" applyProtection="1">
      <alignment horizontal="right"/>
    </xf>
    <xf numFmtId="0" fontId="3" fillId="0" borderId="8" xfId="1" applyBorder="1" applyAlignment="1" applyProtection="1"/>
    <xf numFmtId="14" fontId="3" fillId="3" borderId="9" xfId="1" applyNumberFormat="1" applyFill="1" applyBorder="1" applyAlignment="1" applyProtection="1">
      <alignment horizontal="right"/>
    </xf>
    <xf numFmtId="0" fontId="3" fillId="3" borderId="9" xfId="1" applyFill="1" applyBorder="1" applyAlignment="1" applyProtection="1">
      <alignment horizontal="right"/>
    </xf>
    <xf numFmtId="0" fontId="3" fillId="0" borderId="8" xfId="1" applyFont="1" applyBorder="1" applyAlignment="1" applyProtection="1"/>
    <xf numFmtId="0" fontId="3" fillId="0" borderId="10" xfId="1" applyBorder="1" applyAlignment="1" applyProtection="1"/>
    <xf numFmtId="0" fontId="3" fillId="0" borderId="11" xfId="1" applyBorder="1" applyAlignment="1" applyProtection="1"/>
    <xf numFmtId="10" fontId="2" fillId="3" borderId="12" xfId="2" applyNumberFormat="1" applyFont="1" applyFill="1" applyBorder="1" applyAlignment="1" applyProtection="1">
      <alignment horizontal="right"/>
    </xf>
    <xf numFmtId="166" fontId="3" fillId="3" borderId="9" xfId="1" applyNumberFormat="1" applyFill="1" applyBorder="1" applyAlignment="1" applyProtection="1">
      <alignment horizontal="right"/>
    </xf>
    <xf numFmtId="164" fontId="3" fillId="3" borderId="9" xfId="3" applyNumberFormat="1" applyFont="1" applyFill="1" applyBorder="1" applyAlignment="1" applyProtection="1">
      <alignment horizontal="right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7" fontId="3" fillId="3" borderId="9" xfId="3" applyNumberFormat="1" applyFont="1" applyFill="1" applyBorder="1" applyAlignment="1" applyProtection="1">
      <alignment horizontal="right"/>
    </xf>
    <xf numFmtId="166" fontId="0" fillId="0" borderId="0" xfId="0" applyNumberFormat="1">
      <alignment vertical="center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/>
    <xf numFmtId="166" fontId="2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/>
    <xf numFmtId="2" fontId="2" fillId="6" borderId="1" xfId="0" applyNumberFormat="1" applyFont="1" applyFill="1" applyBorder="1" applyAlignment="1">
      <alignment horizontal="right"/>
    </xf>
    <xf numFmtId="166" fontId="2" fillId="6" borderId="1" xfId="0" applyNumberFormat="1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0" fontId="0" fillId="6" borderId="1" xfId="0" applyFill="1" applyBorder="1">
      <alignment vertical="center"/>
    </xf>
    <xf numFmtId="0" fontId="0" fillId="5" borderId="1" xfId="0" applyFill="1" applyBorder="1">
      <alignment vertical="center"/>
    </xf>
    <xf numFmtId="0" fontId="6" fillId="7" borderId="1" xfId="0" applyFont="1" applyFill="1" applyBorder="1" applyAlignment="1">
      <alignment horizontal="center" vertical="center"/>
    </xf>
    <xf numFmtId="14" fontId="6" fillId="7" borderId="1" xfId="0" applyNumberFormat="1" applyFont="1" applyFill="1" applyBorder="1" applyAlignment="1">
      <alignment horizontal="center" vertical="center"/>
    </xf>
    <xf numFmtId="168" fontId="0" fillId="7" borderId="1" xfId="0" applyNumberFormat="1" applyFill="1" applyBorder="1">
      <alignment vertical="center"/>
    </xf>
    <xf numFmtId="2" fontId="0" fillId="7" borderId="1" xfId="0" applyNumberFormat="1" applyFill="1" applyBorder="1">
      <alignment vertical="center"/>
    </xf>
    <xf numFmtId="166" fontId="2" fillId="7" borderId="1" xfId="0" applyNumberFormat="1" applyFont="1" applyFill="1" applyBorder="1" applyAlignment="1">
      <alignment horizontal="center"/>
    </xf>
    <xf numFmtId="2" fontId="0" fillId="7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/>
    </xf>
    <xf numFmtId="169" fontId="0" fillId="5" borderId="0" xfId="0" applyNumberFormat="1" applyFill="1">
      <alignment vertical="center"/>
    </xf>
    <xf numFmtId="169" fontId="2" fillId="5" borderId="1" xfId="0" applyNumberFormat="1" applyFont="1" applyFill="1" applyBorder="1" applyAlignment="1">
      <alignment horizontal="right"/>
    </xf>
    <xf numFmtId="169" fontId="2" fillId="5" borderId="1" xfId="0" applyNumberFormat="1" applyFont="1" applyFill="1" applyBorder="1" applyAlignment="1"/>
    <xf numFmtId="169" fontId="0" fillId="5" borderId="1" xfId="0" applyNumberFormat="1" applyFill="1" applyBorder="1">
      <alignment vertical="center"/>
    </xf>
    <xf numFmtId="169" fontId="0" fillId="6" borderId="1" xfId="0" applyNumberFormat="1" applyFill="1" applyBorder="1">
      <alignment vertical="center"/>
    </xf>
    <xf numFmtId="169" fontId="2" fillId="6" borderId="1" xfId="0" applyNumberFormat="1" applyFont="1" applyFill="1" applyBorder="1" applyAlignment="1"/>
    <xf numFmtId="169" fontId="8" fillId="0" borderId="1" xfId="0" applyNumberFormat="1" applyFont="1" applyBorder="1" applyAlignment="1">
      <alignment horizontal="center" vertical="center" wrapText="1"/>
    </xf>
    <xf numFmtId="1" fontId="0" fillId="6" borderId="2" xfId="0" applyNumberFormat="1" applyFill="1" applyBorder="1" applyAlignment="1">
      <alignment horizontal="center" vertical="center"/>
    </xf>
    <xf numFmtId="1" fontId="0" fillId="6" borderId="3" xfId="0" applyNumberFormat="1" applyFill="1" applyBorder="1" applyAlignment="1">
      <alignment horizontal="center" vertical="center"/>
    </xf>
    <xf numFmtId="1" fontId="0" fillId="6" borderId="4" xfId="0" applyNumberForma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1" fontId="0" fillId="5" borderId="4" xfId="0" applyNumberForma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Normal 2 2" xfId="1" xr:uid="{00000000-0005-0000-0000-000002000000}"/>
    <cellStyle name="Percent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p" id="{C5271859-64B3-406C-9D99-248FE5EBE09B}" userId="hp" providerId="None"/>
  <person displayName="Admin" id="{BF876521-EC75-4F7F-879B-E938C3576B3E}" userId="Admin" providerId="None"/>
  <person displayName="ışıl doğan" id="{218A4DEF-447E-4311-8159-354D68F038A1}" userId="a30b76088c01ca5f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3" personId="{C5271859-64B3-406C-9D99-248FE5EBE09B}" id="{85648EFF-946D-4330-8514-C38E4F65E0CF}">
    <text>The values provided found to be incosistent with the invoices provided. The invoices for april 2022 is not provided</text>
  </threadedComment>
  <threadedComment ref="I13" dT="2022-06-23T15:56:02.19" personId="{218A4DEF-447E-4311-8159-354D68F038A1}" id="{FBD6D7FB-7455-4729-A812-CDA5BF1229CD}" parentId="{85648EFF-946D-4330-8514-C38E4F65E0CF}">
    <text>Invoice for 2022 was added and values were corrected.</text>
  </threadedComment>
  <threadedComment ref="F14" personId="{BF876521-EC75-4F7F-879B-E938C3576B3E}" id="{7E0DCDB8-8B5E-4366-8C29-EA40452AB22C}">
    <text>The export and import value has been apportioned as per the number of days due to mismatch in billing cycle and monitoring period</text>
  </threadedComment>
  <threadedComment ref="F50" personId="{BF876521-EC75-4F7F-879B-E938C3576B3E}" id="{2DD1D42F-18B3-4FB8-A606-3190F1F029AB}">
    <text>The export and import value has been apportioned as per the number of days due to mismatch in billing cycle and monitoring period.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showGridLines="0" tabSelected="1" topLeftCell="B4" zoomScale="55" zoomScaleNormal="55" workbookViewId="0">
      <selection activeCell="J21" sqref="J21"/>
    </sheetView>
  </sheetViews>
  <sheetFormatPr defaultColWidth="10" defaultRowHeight="14.4" x14ac:dyDescent="0.3"/>
  <cols>
    <col min="2" max="2" width="12.109375" customWidth="1"/>
    <col min="3" max="3" width="10.88671875" customWidth="1"/>
    <col min="4" max="4" width="13.33203125" bestFit="1" customWidth="1"/>
    <col min="5" max="6" width="14.44140625" bestFit="1" customWidth="1"/>
    <col min="7" max="7" width="14.44140625" customWidth="1"/>
    <col min="8" max="9" width="15.109375" customWidth="1"/>
    <col min="10" max="10" width="15.6640625" bestFit="1" customWidth="1"/>
    <col min="11" max="11" width="21.109375" customWidth="1"/>
    <col min="12" max="15" width="15.6640625" customWidth="1"/>
    <col min="23" max="23" width="10.109375" customWidth="1"/>
  </cols>
  <sheetData>
    <row r="1" spans="2:17" ht="15" thickBot="1" x14ac:dyDescent="0.35"/>
    <row r="2" spans="2:17" x14ac:dyDescent="0.3">
      <c r="B2" s="1"/>
      <c r="C2" s="6" t="s">
        <v>3</v>
      </c>
      <c r="D2" s="7"/>
      <c r="E2" s="7"/>
      <c r="F2" s="7"/>
      <c r="G2" s="7"/>
      <c r="H2" s="7"/>
      <c r="I2" s="8">
        <v>43567</v>
      </c>
    </row>
    <row r="3" spans="2:17" x14ac:dyDescent="0.3">
      <c r="B3" s="1"/>
      <c r="C3" s="9" t="s">
        <v>4</v>
      </c>
      <c r="D3" s="3"/>
      <c r="E3" s="3"/>
      <c r="F3" s="3"/>
      <c r="G3" s="3"/>
      <c r="H3" s="3"/>
      <c r="I3" s="10">
        <v>44662</v>
      </c>
    </row>
    <row r="4" spans="2:17" x14ac:dyDescent="0.3">
      <c r="B4" s="1"/>
      <c r="C4" s="9" t="s">
        <v>5</v>
      </c>
      <c r="D4" s="3"/>
      <c r="E4" s="3"/>
      <c r="F4" s="3"/>
      <c r="G4" s="3"/>
      <c r="H4" s="3"/>
      <c r="I4" s="11">
        <f>I3-I2+1</f>
        <v>1096</v>
      </c>
    </row>
    <row r="5" spans="2:17" x14ac:dyDescent="0.3">
      <c r="B5" s="1"/>
      <c r="C5" s="9" t="s">
        <v>6</v>
      </c>
      <c r="D5" s="3"/>
      <c r="E5" s="3"/>
      <c r="F5" s="3"/>
      <c r="G5" s="3"/>
      <c r="H5" s="3"/>
      <c r="I5" s="21">
        <v>56176</v>
      </c>
    </row>
    <row r="6" spans="2:17" x14ac:dyDescent="0.3">
      <c r="B6" s="1"/>
      <c r="C6" s="9" t="s">
        <v>7</v>
      </c>
      <c r="D6" s="3"/>
      <c r="E6" s="3"/>
      <c r="F6" s="3"/>
      <c r="G6" s="3"/>
      <c r="H6" s="3"/>
      <c r="I6" s="17">
        <f>K51</f>
        <v>250817.00689999992</v>
      </c>
    </row>
    <row r="7" spans="2:17" ht="15.6" x14ac:dyDescent="0.35">
      <c r="B7" s="1"/>
      <c r="C7" s="9" t="s">
        <v>10</v>
      </c>
      <c r="D7" s="3"/>
      <c r="E7" s="3"/>
      <c r="F7" s="3"/>
      <c r="G7" s="3"/>
      <c r="H7" s="3"/>
      <c r="I7" s="16">
        <v>0.56899999999999995</v>
      </c>
    </row>
    <row r="8" spans="2:17" x14ac:dyDescent="0.3">
      <c r="B8" s="1"/>
      <c r="C8" s="12" t="s">
        <v>8</v>
      </c>
      <c r="D8" s="4"/>
      <c r="E8" s="4"/>
      <c r="F8" s="3"/>
      <c r="G8" s="3"/>
      <c r="H8" s="3"/>
      <c r="I8" s="21">
        <f>I5/365*I4</f>
        <v>168681.90684931507</v>
      </c>
    </row>
    <row r="9" spans="2:17" x14ac:dyDescent="0.3">
      <c r="B9" s="1"/>
      <c r="C9" s="9" t="s">
        <v>12</v>
      </c>
      <c r="D9" s="3"/>
      <c r="E9" s="3"/>
      <c r="F9" s="3"/>
      <c r="G9" s="3"/>
      <c r="H9" s="3"/>
      <c r="I9" s="21">
        <f>O51</f>
        <v>142695</v>
      </c>
    </row>
    <row r="10" spans="2:17" ht="15" thickBot="1" x14ac:dyDescent="0.35">
      <c r="B10" s="1"/>
      <c r="C10" s="13" t="s">
        <v>11</v>
      </c>
      <c r="D10" s="14"/>
      <c r="E10" s="14"/>
      <c r="F10" s="14"/>
      <c r="G10" s="14"/>
      <c r="H10" s="14"/>
      <c r="I10" s="15">
        <f>(I9-I8)/I8</f>
        <v>-0.154058650004054</v>
      </c>
    </row>
    <row r="11" spans="2:17" x14ac:dyDescent="0.3">
      <c r="B11" s="1"/>
      <c r="C11" s="3"/>
      <c r="D11" s="3"/>
      <c r="E11" s="3"/>
      <c r="F11" s="3"/>
      <c r="G11" s="3"/>
      <c r="H11" s="3"/>
      <c r="I11" s="3"/>
    </row>
    <row r="12" spans="2:17" x14ac:dyDescent="0.3"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7" ht="159" customHeight="1" x14ac:dyDescent="0.3">
      <c r="B13" s="2"/>
      <c r="C13" s="18" t="s">
        <v>0</v>
      </c>
      <c r="D13" s="18" t="s">
        <v>14</v>
      </c>
      <c r="E13" s="18" t="s">
        <v>15</v>
      </c>
      <c r="F13" s="20" t="s">
        <v>31</v>
      </c>
      <c r="G13" s="20" t="s">
        <v>32</v>
      </c>
      <c r="H13" s="20" t="s">
        <v>33</v>
      </c>
      <c r="I13" s="20" t="s">
        <v>34</v>
      </c>
      <c r="J13" s="20" t="s">
        <v>30</v>
      </c>
      <c r="K13" s="20" t="s">
        <v>35</v>
      </c>
      <c r="L13" s="20" t="s">
        <v>1</v>
      </c>
      <c r="M13" s="20" t="s">
        <v>36</v>
      </c>
      <c r="N13" s="20" t="s">
        <v>37</v>
      </c>
      <c r="O13" s="19" t="s">
        <v>2</v>
      </c>
      <c r="P13" s="20" t="s">
        <v>13</v>
      </c>
      <c r="Q13" s="5"/>
    </row>
    <row r="14" spans="2:17" x14ac:dyDescent="0.3">
      <c r="C14" s="29">
        <v>43556</v>
      </c>
      <c r="D14" s="30">
        <v>43567</v>
      </c>
      <c r="E14" s="30">
        <v>43585</v>
      </c>
      <c r="F14" s="52">
        <f>4721.898*(19/30)</f>
        <v>2990.5353999999998</v>
      </c>
      <c r="G14" s="32">
        <f>21.93*(19/30)</f>
        <v>13.888999999999999</v>
      </c>
      <c r="H14" s="31">
        <f>F14-G14</f>
        <v>2976.6463999999996</v>
      </c>
      <c r="I14" s="51">
        <f>(4739.39-21.93)*(19/30)</f>
        <v>2987.7246666666665</v>
      </c>
      <c r="J14" s="33">
        <v>0.56899999999999995</v>
      </c>
      <c r="K14" s="33">
        <f>MIN(H14,I14)</f>
        <v>2976.6463999999996</v>
      </c>
      <c r="L14" s="34">
        <f>ROUNDDOWN((K14*J14),0)</f>
        <v>1693</v>
      </c>
      <c r="M14" s="34">
        <v>0</v>
      </c>
      <c r="N14" s="34">
        <f>L14-M14</f>
        <v>1693</v>
      </c>
      <c r="O14" s="64">
        <f>ROUNDDOWN(SUM(N14:N22),0)</f>
        <v>31565</v>
      </c>
      <c r="P14" s="34">
        <f>I14-H14</f>
        <v>11.078266666666877</v>
      </c>
    </row>
    <row r="15" spans="2:17" x14ac:dyDescent="0.3">
      <c r="C15" s="29">
        <v>43586</v>
      </c>
      <c r="D15" s="30">
        <v>43586</v>
      </c>
      <c r="E15" s="30">
        <v>43616</v>
      </c>
      <c r="F15" s="53">
        <v>3448.47</v>
      </c>
      <c r="G15" s="53">
        <v>39.19</v>
      </c>
      <c r="H15" s="31">
        <f t="shared" ref="H15:H50" si="0">F15-G15</f>
        <v>3409.2799999999997</v>
      </c>
      <c r="I15" s="31">
        <f>3460.92-39.19</f>
        <v>3421.73</v>
      </c>
      <c r="J15" s="33">
        <v>0.56899999999999995</v>
      </c>
      <c r="K15" s="33">
        <f t="shared" ref="K15:K50" si="1">MIN(H15,I15)</f>
        <v>3409.2799999999997</v>
      </c>
      <c r="L15" s="34">
        <f t="shared" ref="L15:L50" si="2">ROUNDDOWN((K15*J15),0)</f>
        <v>1939</v>
      </c>
      <c r="M15" s="34">
        <v>0</v>
      </c>
      <c r="N15" s="34">
        <f t="shared" ref="N15:N50" si="3">L15-M15</f>
        <v>1939</v>
      </c>
      <c r="O15" s="65"/>
      <c r="P15" s="34">
        <f t="shared" ref="P15:P51" si="4">I15-H15</f>
        <v>12.450000000000273</v>
      </c>
    </row>
    <row r="16" spans="2:17" x14ac:dyDescent="0.3">
      <c r="C16" s="29">
        <v>43617</v>
      </c>
      <c r="D16" s="30">
        <v>43617</v>
      </c>
      <c r="E16" s="30">
        <v>43646</v>
      </c>
      <c r="F16" s="53">
        <v>5062.1000000000004</v>
      </c>
      <c r="G16" s="53">
        <v>20.3</v>
      </c>
      <c r="H16" s="31">
        <f t="shared" si="0"/>
        <v>5041.8</v>
      </c>
      <c r="I16" s="31">
        <f>5085.16-20.3</f>
        <v>5064.8599999999997</v>
      </c>
      <c r="J16" s="33">
        <v>0.56899999999999995</v>
      </c>
      <c r="K16" s="33">
        <f t="shared" si="1"/>
        <v>5041.8</v>
      </c>
      <c r="L16" s="34">
        <f t="shared" si="2"/>
        <v>2868</v>
      </c>
      <c r="M16" s="34">
        <v>0</v>
      </c>
      <c r="N16" s="34">
        <f t="shared" si="3"/>
        <v>2868</v>
      </c>
      <c r="O16" s="65"/>
      <c r="P16" s="34">
        <f t="shared" si="4"/>
        <v>23.059999999999491</v>
      </c>
    </row>
    <row r="17" spans="3:16" x14ac:dyDescent="0.3">
      <c r="C17" s="29">
        <v>43647</v>
      </c>
      <c r="D17" s="30">
        <v>43647</v>
      </c>
      <c r="E17" s="30">
        <v>43677</v>
      </c>
      <c r="F17" s="53">
        <v>6874.89</v>
      </c>
      <c r="G17" s="53">
        <v>12.47</v>
      </c>
      <c r="H17" s="31">
        <f t="shared" si="0"/>
        <v>6862.42</v>
      </c>
      <c r="I17" s="31">
        <f>6906.25-12.47</f>
        <v>6893.78</v>
      </c>
      <c r="J17" s="33">
        <v>0.56899999999999995</v>
      </c>
      <c r="K17" s="33">
        <f t="shared" si="1"/>
        <v>6862.42</v>
      </c>
      <c r="L17" s="34">
        <f t="shared" si="2"/>
        <v>3904</v>
      </c>
      <c r="M17" s="34">
        <v>0</v>
      </c>
      <c r="N17" s="34">
        <f t="shared" si="3"/>
        <v>3904</v>
      </c>
      <c r="O17" s="65"/>
      <c r="P17" s="34">
        <f t="shared" si="4"/>
        <v>31.359999999999673</v>
      </c>
    </row>
    <row r="18" spans="3:16" x14ac:dyDescent="0.3">
      <c r="C18" s="29">
        <v>43678</v>
      </c>
      <c r="D18" s="30">
        <v>43678</v>
      </c>
      <c r="E18" s="30">
        <v>43708</v>
      </c>
      <c r="F18" s="32">
        <v>10529.611999999999</v>
      </c>
      <c r="G18" s="53">
        <v>4.42</v>
      </c>
      <c r="H18" s="31">
        <f t="shared" si="0"/>
        <v>10525.191999999999</v>
      </c>
      <c r="I18" s="31">
        <f>10585.69-4.42</f>
        <v>10581.27</v>
      </c>
      <c r="J18" s="33">
        <v>0.56899999999999995</v>
      </c>
      <c r="K18" s="33">
        <f t="shared" si="1"/>
        <v>10525.191999999999</v>
      </c>
      <c r="L18" s="34">
        <f t="shared" si="2"/>
        <v>5988</v>
      </c>
      <c r="M18" s="34">
        <v>0</v>
      </c>
      <c r="N18" s="34">
        <f t="shared" si="3"/>
        <v>5988</v>
      </c>
      <c r="O18" s="65"/>
      <c r="P18" s="34">
        <f t="shared" si="4"/>
        <v>56.078000000001339</v>
      </c>
    </row>
    <row r="19" spans="3:16" x14ac:dyDescent="0.3">
      <c r="C19" s="29">
        <v>43709</v>
      </c>
      <c r="D19" s="30">
        <v>43709</v>
      </c>
      <c r="E19" s="30">
        <v>43738</v>
      </c>
      <c r="F19" s="32">
        <v>8817.9529999999995</v>
      </c>
      <c r="G19" s="32">
        <v>16.529</v>
      </c>
      <c r="H19" s="31">
        <f t="shared" si="0"/>
        <v>8801.4239999999991</v>
      </c>
      <c r="I19" s="31">
        <f>8869.25-16.53</f>
        <v>8852.7199999999993</v>
      </c>
      <c r="J19" s="33">
        <v>0.56899999999999995</v>
      </c>
      <c r="K19" s="33">
        <f t="shared" si="1"/>
        <v>8801.4239999999991</v>
      </c>
      <c r="L19" s="34">
        <f t="shared" si="2"/>
        <v>5008</v>
      </c>
      <c r="M19" s="34">
        <v>0</v>
      </c>
      <c r="N19" s="34">
        <f t="shared" si="3"/>
        <v>5008</v>
      </c>
      <c r="O19" s="65"/>
      <c r="P19" s="34">
        <f t="shared" si="4"/>
        <v>51.296000000000276</v>
      </c>
    </row>
    <row r="20" spans="3:16" x14ac:dyDescent="0.3">
      <c r="C20" s="29">
        <v>43739</v>
      </c>
      <c r="D20" s="30">
        <v>43739</v>
      </c>
      <c r="E20" s="30">
        <v>43769</v>
      </c>
      <c r="F20" s="32">
        <v>5301.8860000000004</v>
      </c>
      <c r="G20" s="53">
        <v>24.86</v>
      </c>
      <c r="H20" s="31">
        <f t="shared" si="0"/>
        <v>5277.0260000000007</v>
      </c>
      <c r="I20" s="31">
        <f>5324.47-24.86</f>
        <v>5299.6100000000006</v>
      </c>
      <c r="J20" s="33">
        <v>0.56899999999999995</v>
      </c>
      <c r="K20" s="33">
        <f t="shared" si="1"/>
        <v>5277.0260000000007</v>
      </c>
      <c r="L20" s="34">
        <f t="shared" si="2"/>
        <v>3002</v>
      </c>
      <c r="M20" s="34">
        <v>0</v>
      </c>
      <c r="N20" s="34">
        <f t="shared" si="3"/>
        <v>3002</v>
      </c>
      <c r="O20" s="65"/>
      <c r="P20" s="34">
        <f t="shared" si="4"/>
        <v>22.583999999999833</v>
      </c>
    </row>
    <row r="21" spans="3:16" x14ac:dyDescent="0.3">
      <c r="C21" s="29">
        <v>43770</v>
      </c>
      <c r="D21" s="30">
        <v>43770</v>
      </c>
      <c r="E21" s="30">
        <v>43799</v>
      </c>
      <c r="F21" s="32">
        <v>5866.7939999999999</v>
      </c>
      <c r="G21" s="53">
        <v>14.15</v>
      </c>
      <c r="H21" s="31">
        <f t="shared" si="0"/>
        <v>5852.6440000000002</v>
      </c>
      <c r="I21" s="31">
        <f>5894.35-14.15</f>
        <v>5880.2000000000007</v>
      </c>
      <c r="J21" s="33">
        <v>0.56899999999999995</v>
      </c>
      <c r="K21" s="33">
        <f t="shared" si="1"/>
        <v>5852.6440000000002</v>
      </c>
      <c r="L21" s="34">
        <f t="shared" si="2"/>
        <v>3330</v>
      </c>
      <c r="M21" s="34">
        <v>0</v>
      </c>
      <c r="N21" s="34">
        <f t="shared" si="3"/>
        <v>3330</v>
      </c>
      <c r="O21" s="65"/>
      <c r="P21" s="34">
        <f t="shared" si="4"/>
        <v>27.556000000000495</v>
      </c>
    </row>
    <row r="22" spans="3:16" x14ac:dyDescent="0.3">
      <c r="C22" s="29">
        <v>43800</v>
      </c>
      <c r="D22" s="30">
        <v>43800</v>
      </c>
      <c r="E22" s="30">
        <v>43830</v>
      </c>
      <c r="F22" s="32">
        <v>6760.2860000000001</v>
      </c>
      <c r="G22" s="53">
        <v>23.72</v>
      </c>
      <c r="H22" s="31">
        <f t="shared" si="0"/>
        <v>6736.5659999999998</v>
      </c>
      <c r="I22" s="31">
        <f>6798.96-23.72</f>
        <v>6775.24</v>
      </c>
      <c r="J22" s="33">
        <v>0.56899999999999995</v>
      </c>
      <c r="K22" s="33">
        <f t="shared" si="1"/>
        <v>6736.5659999999998</v>
      </c>
      <c r="L22" s="34">
        <f t="shared" si="2"/>
        <v>3833</v>
      </c>
      <c r="M22" s="34">
        <v>0</v>
      </c>
      <c r="N22" s="34">
        <f t="shared" si="3"/>
        <v>3833</v>
      </c>
      <c r="O22" s="66"/>
      <c r="P22" s="34">
        <f t="shared" si="4"/>
        <v>38.673999999999978</v>
      </c>
    </row>
    <row r="23" spans="3:16" x14ac:dyDescent="0.3">
      <c r="C23" s="35">
        <v>43831</v>
      </c>
      <c r="D23" s="36">
        <v>43831</v>
      </c>
      <c r="E23" s="36">
        <v>43861</v>
      </c>
      <c r="F23" s="37">
        <v>8272.7450000000008</v>
      </c>
      <c r="G23" s="56">
        <v>21.87</v>
      </c>
      <c r="H23" s="38">
        <f t="shared" si="0"/>
        <v>8250.875</v>
      </c>
      <c r="I23" s="38">
        <f>8319.32-21.87</f>
        <v>8297.4499999999989</v>
      </c>
      <c r="J23" s="39">
        <v>0.56899999999999995</v>
      </c>
      <c r="K23" s="39">
        <f t="shared" si="1"/>
        <v>8250.875</v>
      </c>
      <c r="L23" s="40">
        <f t="shared" si="2"/>
        <v>4694</v>
      </c>
      <c r="M23" s="34">
        <v>0</v>
      </c>
      <c r="N23" s="34">
        <f t="shared" si="3"/>
        <v>4694</v>
      </c>
      <c r="O23" s="61">
        <f>ROUNDDOWN(SUM(N23:N34),0)</f>
        <v>50624</v>
      </c>
      <c r="P23" s="40">
        <f t="shared" si="4"/>
        <v>46.574999999998909</v>
      </c>
    </row>
    <row r="24" spans="3:16" x14ac:dyDescent="0.3">
      <c r="C24" s="35">
        <v>43862</v>
      </c>
      <c r="D24" s="36">
        <v>43862</v>
      </c>
      <c r="E24" s="36">
        <v>43890</v>
      </c>
      <c r="F24" s="37">
        <v>7107.4369999999999</v>
      </c>
      <c r="G24" s="56">
        <v>20.88</v>
      </c>
      <c r="H24" s="38">
        <f t="shared" si="0"/>
        <v>7086.5569999999998</v>
      </c>
      <c r="I24" s="38">
        <f>7145.16-20.75</f>
        <v>7124.41</v>
      </c>
      <c r="J24" s="39">
        <v>0.56899999999999995</v>
      </c>
      <c r="K24" s="39">
        <f t="shared" si="1"/>
        <v>7086.5569999999998</v>
      </c>
      <c r="L24" s="40">
        <f t="shared" si="2"/>
        <v>4032</v>
      </c>
      <c r="M24" s="34">
        <v>0</v>
      </c>
      <c r="N24" s="34">
        <f t="shared" si="3"/>
        <v>4032</v>
      </c>
      <c r="O24" s="62"/>
      <c r="P24" s="40">
        <f t="shared" si="4"/>
        <v>37.853000000000065</v>
      </c>
    </row>
    <row r="25" spans="3:16" x14ac:dyDescent="0.3">
      <c r="C25" s="35">
        <v>43891</v>
      </c>
      <c r="D25" s="36">
        <v>43891</v>
      </c>
      <c r="E25" s="36">
        <v>43921</v>
      </c>
      <c r="F25" s="37">
        <v>8362.8169999999991</v>
      </c>
      <c r="G25" s="56">
        <v>19.809999999999999</v>
      </c>
      <c r="H25" s="38">
        <f t="shared" si="0"/>
        <v>8343.0069999999996</v>
      </c>
      <c r="I25" s="38">
        <f>8411.39-19.94</f>
        <v>8391.4499999999989</v>
      </c>
      <c r="J25" s="39">
        <v>0.56899999999999995</v>
      </c>
      <c r="K25" s="39">
        <f t="shared" si="1"/>
        <v>8343.0069999999996</v>
      </c>
      <c r="L25" s="40">
        <f t="shared" si="2"/>
        <v>4747</v>
      </c>
      <c r="M25" s="34">
        <v>0</v>
      </c>
      <c r="N25" s="34">
        <f t="shared" si="3"/>
        <v>4747</v>
      </c>
      <c r="O25" s="62"/>
      <c r="P25" s="40">
        <f t="shared" si="4"/>
        <v>48.442999999999302</v>
      </c>
    </row>
    <row r="26" spans="3:16" x14ac:dyDescent="0.3">
      <c r="C26" s="35">
        <v>43922</v>
      </c>
      <c r="D26" s="36">
        <v>43922</v>
      </c>
      <c r="E26" s="36">
        <v>43951</v>
      </c>
      <c r="F26" s="37">
        <v>8278.3119999999999</v>
      </c>
      <c r="G26" s="56">
        <v>31.04</v>
      </c>
      <c r="H26" s="38">
        <f t="shared" si="0"/>
        <v>8247.271999999999</v>
      </c>
      <c r="I26" s="38">
        <f>8330.54-31.04</f>
        <v>8299.5</v>
      </c>
      <c r="J26" s="39">
        <v>0.56899999999999995</v>
      </c>
      <c r="K26" s="39">
        <f t="shared" si="1"/>
        <v>8247.271999999999</v>
      </c>
      <c r="L26" s="40">
        <f t="shared" si="2"/>
        <v>4692</v>
      </c>
      <c r="M26" s="34">
        <v>0</v>
      </c>
      <c r="N26" s="34">
        <f t="shared" si="3"/>
        <v>4692</v>
      </c>
      <c r="O26" s="62"/>
      <c r="P26" s="40">
        <f t="shared" si="4"/>
        <v>52.228000000000975</v>
      </c>
    </row>
    <row r="27" spans="3:16" x14ac:dyDescent="0.3">
      <c r="C27" s="35">
        <v>43952</v>
      </c>
      <c r="D27" s="36">
        <v>43952</v>
      </c>
      <c r="E27" s="36">
        <v>43982</v>
      </c>
      <c r="F27" s="37">
        <v>3989.2710000000002</v>
      </c>
      <c r="G27" s="56">
        <v>46.71</v>
      </c>
      <c r="H27" s="38">
        <f t="shared" si="0"/>
        <v>3942.5610000000001</v>
      </c>
      <c r="I27" s="38">
        <f>4008.4-46.71</f>
        <v>3961.69</v>
      </c>
      <c r="J27" s="39">
        <v>0.56899999999999995</v>
      </c>
      <c r="K27" s="39">
        <f t="shared" si="1"/>
        <v>3942.5610000000001</v>
      </c>
      <c r="L27" s="40">
        <f t="shared" si="2"/>
        <v>2243</v>
      </c>
      <c r="M27" s="34">
        <v>0</v>
      </c>
      <c r="N27" s="34">
        <f t="shared" si="3"/>
        <v>2243</v>
      </c>
      <c r="O27" s="62"/>
      <c r="P27" s="40">
        <f t="shared" si="4"/>
        <v>19.128999999999905</v>
      </c>
    </row>
    <row r="28" spans="3:16" x14ac:dyDescent="0.3">
      <c r="C28" s="35">
        <v>43983</v>
      </c>
      <c r="D28" s="36">
        <v>43983</v>
      </c>
      <c r="E28" s="36">
        <v>44012</v>
      </c>
      <c r="F28" s="37">
        <v>2590.837</v>
      </c>
      <c r="G28" s="56">
        <v>39.17</v>
      </c>
      <c r="H28" s="38">
        <f t="shared" si="0"/>
        <v>2551.6669999999999</v>
      </c>
      <c r="I28" s="38">
        <f>2600.64-39.17</f>
        <v>2561.4699999999998</v>
      </c>
      <c r="J28" s="39">
        <v>0.56899999999999995</v>
      </c>
      <c r="K28" s="39">
        <f t="shared" si="1"/>
        <v>2551.6669999999999</v>
      </c>
      <c r="L28" s="40">
        <f t="shared" si="2"/>
        <v>1451</v>
      </c>
      <c r="M28" s="34">
        <v>0</v>
      </c>
      <c r="N28" s="34">
        <f t="shared" si="3"/>
        <v>1451</v>
      </c>
      <c r="O28" s="62"/>
      <c r="P28" s="40">
        <f t="shared" si="4"/>
        <v>9.8029999999998836</v>
      </c>
    </row>
    <row r="29" spans="3:16" x14ac:dyDescent="0.3">
      <c r="C29" s="35">
        <v>44013</v>
      </c>
      <c r="D29" s="36">
        <v>44013</v>
      </c>
      <c r="E29" s="36">
        <v>44043</v>
      </c>
      <c r="F29" s="37">
        <v>10502.016</v>
      </c>
      <c r="G29" s="56">
        <v>1.62</v>
      </c>
      <c r="H29" s="38">
        <f t="shared" si="0"/>
        <v>10500.395999999999</v>
      </c>
      <c r="I29" s="38">
        <f>10560.33-1.62</f>
        <v>10558.71</v>
      </c>
      <c r="J29" s="39">
        <v>0.56899999999999995</v>
      </c>
      <c r="K29" s="39">
        <f t="shared" si="1"/>
        <v>10500.395999999999</v>
      </c>
      <c r="L29" s="40">
        <f t="shared" si="2"/>
        <v>5974</v>
      </c>
      <c r="M29" s="34">
        <v>0</v>
      </c>
      <c r="N29" s="34">
        <f t="shared" si="3"/>
        <v>5974</v>
      </c>
      <c r="O29" s="62"/>
      <c r="P29" s="40">
        <f t="shared" si="4"/>
        <v>58.314000000000306</v>
      </c>
    </row>
    <row r="30" spans="3:16" x14ac:dyDescent="0.3">
      <c r="C30" s="35">
        <v>44044</v>
      </c>
      <c r="D30" s="36">
        <v>44044</v>
      </c>
      <c r="E30" s="36">
        <v>44074</v>
      </c>
      <c r="F30" s="37">
        <v>8543.2690000000002</v>
      </c>
      <c r="G30" s="56">
        <v>4.2</v>
      </c>
      <c r="H30" s="38">
        <f t="shared" si="0"/>
        <v>8539.0689999999995</v>
      </c>
      <c r="I30" s="38">
        <f>8582.02-4.2</f>
        <v>8577.82</v>
      </c>
      <c r="J30" s="39">
        <v>0.56899999999999995</v>
      </c>
      <c r="K30" s="39">
        <f t="shared" si="1"/>
        <v>8539.0689999999995</v>
      </c>
      <c r="L30" s="40">
        <f t="shared" si="2"/>
        <v>4858</v>
      </c>
      <c r="M30" s="34">
        <v>0</v>
      </c>
      <c r="N30" s="34">
        <f t="shared" si="3"/>
        <v>4858</v>
      </c>
      <c r="O30" s="62"/>
      <c r="P30" s="40">
        <f t="shared" si="4"/>
        <v>38.751000000000204</v>
      </c>
    </row>
    <row r="31" spans="3:16" x14ac:dyDescent="0.3">
      <c r="C31" s="35">
        <v>44075</v>
      </c>
      <c r="D31" s="36">
        <v>44075</v>
      </c>
      <c r="E31" s="36">
        <v>44104</v>
      </c>
      <c r="F31" s="37">
        <v>9453.8770000000004</v>
      </c>
      <c r="G31" s="56">
        <v>12.97</v>
      </c>
      <c r="H31" s="38">
        <f t="shared" si="0"/>
        <v>9440.9070000000011</v>
      </c>
      <c r="I31" s="38">
        <f>9507.67-12.97</f>
        <v>9494.7000000000007</v>
      </c>
      <c r="J31" s="39">
        <v>0.56899999999999995</v>
      </c>
      <c r="K31" s="39">
        <f t="shared" si="1"/>
        <v>9440.9070000000011</v>
      </c>
      <c r="L31" s="40">
        <f t="shared" si="2"/>
        <v>5371</v>
      </c>
      <c r="M31" s="34">
        <v>0</v>
      </c>
      <c r="N31" s="34">
        <f t="shared" si="3"/>
        <v>5371</v>
      </c>
      <c r="O31" s="62"/>
      <c r="P31" s="40">
        <f t="shared" si="4"/>
        <v>53.792999999999665</v>
      </c>
    </row>
    <row r="32" spans="3:16" x14ac:dyDescent="0.3">
      <c r="C32" s="35">
        <v>44105</v>
      </c>
      <c r="D32" s="36">
        <v>44105</v>
      </c>
      <c r="E32" s="36">
        <v>44135</v>
      </c>
      <c r="F32" s="37">
        <v>3988.0590000000002</v>
      </c>
      <c r="G32" s="56">
        <v>43.49</v>
      </c>
      <c r="H32" s="38">
        <f t="shared" si="0"/>
        <v>3944.5690000000004</v>
      </c>
      <c r="I32" s="38">
        <f>4007.94-43.49</f>
        <v>3964.4500000000003</v>
      </c>
      <c r="J32" s="39">
        <v>0.56899999999999995</v>
      </c>
      <c r="K32" s="39">
        <f t="shared" si="1"/>
        <v>3944.5690000000004</v>
      </c>
      <c r="L32" s="40">
        <f t="shared" si="2"/>
        <v>2244</v>
      </c>
      <c r="M32" s="34">
        <v>0</v>
      </c>
      <c r="N32" s="34">
        <f t="shared" si="3"/>
        <v>2244</v>
      </c>
      <c r="O32" s="62"/>
      <c r="P32" s="40">
        <f t="shared" si="4"/>
        <v>19.880999999999858</v>
      </c>
    </row>
    <row r="33" spans="3:16" x14ac:dyDescent="0.3">
      <c r="C33" s="35">
        <v>44136</v>
      </c>
      <c r="D33" s="36">
        <v>44136</v>
      </c>
      <c r="E33" s="36">
        <v>44165</v>
      </c>
      <c r="F33" s="41">
        <v>9744.1039999999994</v>
      </c>
      <c r="G33" s="55">
        <v>17.11</v>
      </c>
      <c r="H33" s="38">
        <f t="shared" si="0"/>
        <v>9726.9939999999988</v>
      </c>
      <c r="I33" s="38">
        <f>9803.07-17.11</f>
        <v>9785.9599999999991</v>
      </c>
      <c r="J33" s="39">
        <v>0.56899999999999995</v>
      </c>
      <c r="K33" s="39">
        <f t="shared" si="1"/>
        <v>9726.9939999999988</v>
      </c>
      <c r="L33" s="40">
        <f t="shared" si="2"/>
        <v>5534</v>
      </c>
      <c r="M33" s="34">
        <v>0</v>
      </c>
      <c r="N33" s="34">
        <f t="shared" si="3"/>
        <v>5534</v>
      </c>
      <c r="O33" s="62"/>
      <c r="P33" s="40">
        <f t="shared" si="4"/>
        <v>58.966000000000349</v>
      </c>
    </row>
    <row r="34" spans="3:16" x14ac:dyDescent="0.3">
      <c r="C34" s="35">
        <v>44166</v>
      </c>
      <c r="D34" s="36">
        <v>44166</v>
      </c>
      <c r="E34" s="36">
        <v>44196</v>
      </c>
      <c r="F34" s="41">
        <v>8415.2160000000003</v>
      </c>
      <c r="G34" s="55">
        <v>6.99</v>
      </c>
      <c r="H34" s="38">
        <f t="shared" si="0"/>
        <v>8408.2260000000006</v>
      </c>
      <c r="I34" s="38">
        <f>8458.48-6.99</f>
        <v>8451.49</v>
      </c>
      <c r="J34" s="39">
        <v>0.56899999999999995</v>
      </c>
      <c r="K34" s="39">
        <f t="shared" si="1"/>
        <v>8408.2260000000006</v>
      </c>
      <c r="L34" s="40">
        <f t="shared" si="2"/>
        <v>4784</v>
      </c>
      <c r="M34" s="34">
        <v>0</v>
      </c>
      <c r="N34" s="34">
        <f t="shared" si="3"/>
        <v>4784</v>
      </c>
      <c r="O34" s="63"/>
      <c r="P34" s="40">
        <f t="shared" si="4"/>
        <v>43.263999999999214</v>
      </c>
    </row>
    <row r="35" spans="3:16" x14ac:dyDescent="0.3">
      <c r="C35" s="29">
        <v>44197</v>
      </c>
      <c r="D35" s="30">
        <v>44197</v>
      </c>
      <c r="E35" s="30">
        <v>44227</v>
      </c>
      <c r="F35" s="42">
        <v>9333.348</v>
      </c>
      <c r="G35" s="54">
        <v>15.13</v>
      </c>
      <c r="H35" s="31">
        <f t="shared" si="0"/>
        <v>9318.2180000000008</v>
      </c>
      <c r="I35" s="31">
        <f>9386.1-15.13</f>
        <v>9370.9700000000012</v>
      </c>
      <c r="J35" s="33">
        <v>0.56899999999999995</v>
      </c>
      <c r="K35" s="33">
        <f t="shared" si="1"/>
        <v>9318.2180000000008</v>
      </c>
      <c r="L35" s="34">
        <f t="shared" si="2"/>
        <v>5302</v>
      </c>
      <c r="M35" s="34">
        <v>0</v>
      </c>
      <c r="N35" s="34">
        <f t="shared" si="3"/>
        <v>5302</v>
      </c>
      <c r="O35" s="67">
        <f>ROUNDDOWN(SUM(N35:N46),0)</f>
        <v>48061</v>
      </c>
      <c r="P35" s="34">
        <f t="shared" si="4"/>
        <v>52.752000000000407</v>
      </c>
    </row>
    <row r="36" spans="3:16" x14ac:dyDescent="0.3">
      <c r="C36" s="29">
        <v>44228</v>
      </c>
      <c r="D36" s="30">
        <v>44228</v>
      </c>
      <c r="E36" s="30">
        <v>44255</v>
      </c>
      <c r="F36" s="42">
        <v>8133.393</v>
      </c>
      <c r="G36" s="54">
        <v>18.98</v>
      </c>
      <c r="H36" s="31">
        <f t="shared" si="0"/>
        <v>8114.4130000000005</v>
      </c>
      <c r="I36" s="31">
        <f>8180.12-18.98</f>
        <v>8161.14</v>
      </c>
      <c r="J36" s="33">
        <v>0.56899999999999995</v>
      </c>
      <c r="K36" s="33">
        <f t="shared" si="1"/>
        <v>8114.4130000000005</v>
      </c>
      <c r="L36" s="34">
        <f t="shared" si="2"/>
        <v>4617</v>
      </c>
      <c r="M36" s="34">
        <v>0</v>
      </c>
      <c r="N36" s="34">
        <f t="shared" si="3"/>
        <v>4617</v>
      </c>
      <c r="O36" s="68"/>
      <c r="P36" s="34">
        <f t="shared" si="4"/>
        <v>46.726999999999862</v>
      </c>
    </row>
    <row r="37" spans="3:16" x14ac:dyDescent="0.3">
      <c r="C37" s="29">
        <v>44256</v>
      </c>
      <c r="D37" s="30">
        <v>44256</v>
      </c>
      <c r="E37" s="30">
        <v>44286</v>
      </c>
      <c r="F37" s="42">
        <v>6554.9880000000003</v>
      </c>
      <c r="G37" s="54">
        <v>26.46</v>
      </c>
      <c r="H37" s="31">
        <f t="shared" si="0"/>
        <v>6528.5280000000002</v>
      </c>
      <c r="I37" s="31">
        <f>6589.04-26.46</f>
        <v>6562.58</v>
      </c>
      <c r="J37" s="33">
        <v>0.56899999999999995</v>
      </c>
      <c r="K37" s="33">
        <f t="shared" si="1"/>
        <v>6528.5280000000002</v>
      </c>
      <c r="L37" s="34">
        <f t="shared" si="2"/>
        <v>3714</v>
      </c>
      <c r="M37" s="34">
        <v>0</v>
      </c>
      <c r="N37" s="34">
        <f t="shared" si="3"/>
        <v>3714</v>
      </c>
      <c r="O37" s="68"/>
      <c r="P37" s="34">
        <f t="shared" si="4"/>
        <v>34.05199999999968</v>
      </c>
    </row>
    <row r="38" spans="3:16" x14ac:dyDescent="0.3">
      <c r="C38" s="29">
        <v>44287</v>
      </c>
      <c r="D38" s="30">
        <v>44287</v>
      </c>
      <c r="E38" s="30">
        <v>44316</v>
      </c>
      <c r="F38" s="42">
        <v>5264.9210000000003</v>
      </c>
      <c r="G38" s="54">
        <v>24.57</v>
      </c>
      <c r="H38" s="31">
        <f t="shared" si="0"/>
        <v>5240.3510000000006</v>
      </c>
      <c r="I38" s="31">
        <f>5289.96-24.57</f>
        <v>5265.39</v>
      </c>
      <c r="J38" s="33">
        <v>0.56899999999999995</v>
      </c>
      <c r="K38" s="33">
        <f t="shared" si="1"/>
        <v>5240.3510000000006</v>
      </c>
      <c r="L38" s="34">
        <f t="shared" si="2"/>
        <v>2981</v>
      </c>
      <c r="M38" s="34">
        <v>0</v>
      </c>
      <c r="N38" s="34">
        <f t="shared" si="3"/>
        <v>2981</v>
      </c>
      <c r="O38" s="68"/>
      <c r="P38" s="34">
        <f t="shared" si="4"/>
        <v>25.03899999999976</v>
      </c>
    </row>
    <row r="39" spans="3:16" x14ac:dyDescent="0.3">
      <c r="C39" s="29">
        <v>44317</v>
      </c>
      <c r="D39" s="30">
        <v>44317</v>
      </c>
      <c r="E39" s="30">
        <v>44347</v>
      </c>
      <c r="F39" s="42">
        <v>5568.3879999999999</v>
      </c>
      <c r="G39" s="54">
        <v>31.3</v>
      </c>
      <c r="H39" s="31">
        <f t="shared" si="0"/>
        <v>5537.0879999999997</v>
      </c>
      <c r="I39" s="31">
        <f>5596.75-31.3</f>
        <v>5565.45</v>
      </c>
      <c r="J39" s="33">
        <v>0.56899999999999995</v>
      </c>
      <c r="K39" s="33">
        <f t="shared" si="1"/>
        <v>5537.0879999999997</v>
      </c>
      <c r="L39" s="34">
        <f t="shared" si="2"/>
        <v>3150</v>
      </c>
      <c r="M39" s="34">
        <v>0</v>
      </c>
      <c r="N39" s="34">
        <f t="shared" si="3"/>
        <v>3150</v>
      </c>
      <c r="O39" s="68"/>
      <c r="P39" s="34">
        <f t="shared" si="4"/>
        <v>28.36200000000008</v>
      </c>
    </row>
    <row r="40" spans="3:16" x14ac:dyDescent="0.3">
      <c r="C40" s="29">
        <v>44348</v>
      </c>
      <c r="D40" s="30">
        <v>44348</v>
      </c>
      <c r="E40" s="30">
        <v>44377</v>
      </c>
      <c r="F40" s="42">
        <v>1942.5820000000001</v>
      </c>
      <c r="G40" s="54">
        <v>42.93</v>
      </c>
      <c r="H40" s="31">
        <f t="shared" si="0"/>
        <v>1899.652</v>
      </c>
      <c r="I40" s="31">
        <f>1946.53-42.93</f>
        <v>1903.6</v>
      </c>
      <c r="J40" s="33">
        <v>0.56899999999999995</v>
      </c>
      <c r="K40" s="33">
        <f t="shared" si="1"/>
        <v>1899.652</v>
      </c>
      <c r="L40" s="34">
        <f t="shared" si="2"/>
        <v>1080</v>
      </c>
      <c r="M40" s="34">
        <v>0</v>
      </c>
      <c r="N40" s="34">
        <f t="shared" si="3"/>
        <v>1080</v>
      </c>
      <c r="O40" s="68"/>
      <c r="P40" s="34">
        <f t="shared" si="4"/>
        <v>3.9479999999998654</v>
      </c>
    </row>
    <row r="41" spans="3:16" x14ac:dyDescent="0.3">
      <c r="C41" s="29">
        <v>44378</v>
      </c>
      <c r="D41" s="30">
        <v>44378</v>
      </c>
      <c r="E41" s="30">
        <v>44408</v>
      </c>
      <c r="F41" s="42">
        <v>6739.8429999999998</v>
      </c>
      <c r="G41" s="54">
        <v>9.75</v>
      </c>
      <c r="H41" s="31">
        <f t="shared" si="0"/>
        <v>6730.0929999999998</v>
      </c>
      <c r="I41" s="31">
        <f>6768.02-9.75</f>
        <v>6758.27</v>
      </c>
      <c r="J41" s="33">
        <v>0.56899999999999995</v>
      </c>
      <c r="K41" s="33">
        <f t="shared" si="1"/>
        <v>6730.0929999999998</v>
      </c>
      <c r="L41" s="34">
        <f t="shared" si="2"/>
        <v>3829</v>
      </c>
      <c r="M41" s="34">
        <v>0</v>
      </c>
      <c r="N41" s="34">
        <f t="shared" si="3"/>
        <v>3829</v>
      </c>
      <c r="O41" s="68"/>
      <c r="P41" s="34">
        <f t="shared" si="4"/>
        <v>28.177000000000589</v>
      </c>
    </row>
    <row r="42" spans="3:16" x14ac:dyDescent="0.3">
      <c r="C42" s="29">
        <v>44409</v>
      </c>
      <c r="D42" s="30">
        <v>44409</v>
      </c>
      <c r="E42" s="30">
        <v>44439</v>
      </c>
      <c r="F42" s="42">
        <v>6878.1289999999999</v>
      </c>
      <c r="G42" s="54">
        <v>19.149999999999999</v>
      </c>
      <c r="H42" s="31">
        <f t="shared" si="0"/>
        <v>6858.9790000000003</v>
      </c>
      <c r="I42" s="31">
        <f>6908.82-19.15</f>
        <v>6889.67</v>
      </c>
      <c r="J42" s="33">
        <v>0.56899999999999995</v>
      </c>
      <c r="K42" s="33">
        <f t="shared" si="1"/>
        <v>6858.9790000000003</v>
      </c>
      <c r="L42" s="34">
        <f t="shared" si="2"/>
        <v>3902</v>
      </c>
      <c r="M42" s="34">
        <v>0</v>
      </c>
      <c r="N42" s="34">
        <f t="shared" si="3"/>
        <v>3902</v>
      </c>
      <c r="O42" s="68"/>
      <c r="P42" s="34">
        <f t="shared" si="4"/>
        <v>30.690999999999804</v>
      </c>
    </row>
    <row r="43" spans="3:16" x14ac:dyDescent="0.3">
      <c r="C43" s="29">
        <v>44440</v>
      </c>
      <c r="D43" s="30">
        <v>44440</v>
      </c>
      <c r="E43" s="30">
        <v>44469</v>
      </c>
      <c r="F43" s="54">
        <v>7919.64</v>
      </c>
      <c r="G43" s="54">
        <v>13.28</v>
      </c>
      <c r="H43" s="31">
        <f t="shared" si="0"/>
        <v>7906.3600000000006</v>
      </c>
      <c r="I43" s="31">
        <f>7961.46-13.28</f>
        <v>7948.18</v>
      </c>
      <c r="J43" s="33">
        <v>0.56899999999999995</v>
      </c>
      <c r="K43" s="33">
        <f t="shared" si="1"/>
        <v>7906.3600000000006</v>
      </c>
      <c r="L43" s="34">
        <f t="shared" si="2"/>
        <v>4498</v>
      </c>
      <c r="M43" s="34">
        <v>0</v>
      </c>
      <c r="N43" s="34">
        <f t="shared" si="3"/>
        <v>4498</v>
      </c>
      <c r="O43" s="68"/>
      <c r="P43" s="34">
        <f t="shared" si="4"/>
        <v>41.819999999999709</v>
      </c>
    </row>
    <row r="44" spans="3:16" x14ac:dyDescent="0.3">
      <c r="C44" s="29">
        <v>44470</v>
      </c>
      <c r="D44" s="30">
        <v>44470</v>
      </c>
      <c r="E44" s="30">
        <v>44500</v>
      </c>
      <c r="F44" s="42">
        <v>9809.5820000000003</v>
      </c>
      <c r="G44" s="54">
        <v>5.73</v>
      </c>
      <c r="H44" s="31">
        <f t="shared" si="0"/>
        <v>9803.8520000000008</v>
      </c>
      <c r="I44" s="31">
        <f>9861.69-5.73</f>
        <v>9855.9600000000009</v>
      </c>
      <c r="J44" s="33">
        <v>0.56899999999999995</v>
      </c>
      <c r="K44" s="33">
        <f t="shared" si="1"/>
        <v>9803.8520000000008</v>
      </c>
      <c r="L44" s="34">
        <f t="shared" si="2"/>
        <v>5578</v>
      </c>
      <c r="M44" s="34">
        <v>0</v>
      </c>
      <c r="N44" s="34">
        <f t="shared" si="3"/>
        <v>5578</v>
      </c>
      <c r="O44" s="68"/>
      <c r="P44" s="34">
        <f t="shared" si="4"/>
        <v>52.108000000000175</v>
      </c>
    </row>
    <row r="45" spans="3:16" x14ac:dyDescent="0.3">
      <c r="C45" s="29">
        <v>44501</v>
      </c>
      <c r="D45" s="30">
        <v>44501</v>
      </c>
      <c r="E45" s="30">
        <v>44530</v>
      </c>
      <c r="F45" s="42">
        <v>7421.701</v>
      </c>
      <c r="G45" s="54">
        <v>17.34</v>
      </c>
      <c r="H45" s="31">
        <f t="shared" si="0"/>
        <v>7404.3609999999999</v>
      </c>
      <c r="I45" s="31">
        <f>7461.63-17.34</f>
        <v>7444.29</v>
      </c>
      <c r="J45" s="33">
        <v>0.56899999999999995</v>
      </c>
      <c r="K45" s="33">
        <f t="shared" si="1"/>
        <v>7404.3609999999999</v>
      </c>
      <c r="L45" s="34">
        <f t="shared" si="2"/>
        <v>4213</v>
      </c>
      <c r="M45" s="34">
        <v>0</v>
      </c>
      <c r="N45" s="34">
        <f t="shared" si="3"/>
        <v>4213</v>
      </c>
      <c r="O45" s="68"/>
      <c r="P45" s="34">
        <f t="shared" si="4"/>
        <v>39.929000000000087</v>
      </c>
    </row>
    <row r="46" spans="3:16" x14ac:dyDescent="0.3">
      <c r="C46" s="29">
        <v>44531</v>
      </c>
      <c r="D46" s="30">
        <v>44531</v>
      </c>
      <c r="E46" s="30">
        <v>44561</v>
      </c>
      <c r="F46" s="54">
        <v>9145.1299999999992</v>
      </c>
      <c r="G46" s="54">
        <v>9.83</v>
      </c>
      <c r="H46" s="31">
        <f t="shared" si="0"/>
        <v>9135.2999999999993</v>
      </c>
      <c r="I46" s="31">
        <f>9194.1-9.83</f>
        <v>9184.27</v>
      </c>
      <c r="J46" s="33">
        <v>0.56899999999999995</v>
      </c>
      <c r="K46" s="33">
        <f t="shared" si="1"/>
        <v>9135.2999999999993</v>
      </c>
      <c r="L46" s="34">
        <f t="shared" si="2"/>
        <v>5197</v>
      </c>
      <c r="M46" s="34">
        <v>0</v>
      </c>
      <c r="N46" s="34">
        <f t="shared" si="3"/>
        <v>5197</v>
      </c>
      <c r="O46" s="69"/>
      <c r="P46" s="34">
        <f t="shared" si="4"/>
        <v>48.970000000001164</v>
      </c>
    </row>
    <row r="47" spans="3:16" x14ac:dyDescent="0.3">
      <c r="C47" s="35">
        <v>44562</v>
      </c>
      <c r="D47" s="36">
        <v>44562</v>
      </c>
      <c r="E47" s="36">
        <v>44592</v>
      </c>
      <c r="F47" s="41">
        <v>6593.6540000000005</v>
      </c>
      <c r="G47" s="55">
        <v>20.52</v>
      </c>
      <c r="H47" s="38">
        <f t="shared" si="0"/>
        <v>6573.134</v>
      </c>
      <c r="I47" s="38">
        <f>6625.43-20.52</f>
        <v>6604.91</v>
      </c>
      <c r="J47" s="39">
        <v>0.56899999999999995</v>
      </c>
      <c r="K47" s="39">
        <f t="shared" si="1"/>
        <v>6573.134</v>
      </c>
      <c r="L47" s="40">
        <f t="shared" si="2"/>
        <v>3740</v>
      </c>
      <c r="M47" s="34">
        <v>0</v>
      </c>
      <c r="N47" s="34">
        <f t="shared" si="3"/>
        <v>3740</v>
      </c>
      <c r="O47" s="58">
        <f>ROUND(SUM(N47:N50),0)</f>
        <v>12445</v>
      </c>
      <c r="P47" s="40">
        <f t="shared" si="4"/>
        <v>31.77599999999984</v>
      </c>
    </row>
    <row r="48" spans="3:16" x14ac:dyDescent="0.3">
      <c r="C48" s="35">
        <v>44593</v>
      </c>
      <c r="D48" s="36">
        <v>44593</v>
      </c>
      <c r="E48" s="36">
        <v>44620</v>
      </c>
      <c r="F48" s="41">
        <v>6023.8270000000002</v>
      </c>
      <c r="G48" s="55">
        <v>20.41</v>
      </c>
      <c r="H48" s="38">
        <f t="shared" si="0"/>
        <v>6003.4170000000004</v>
      </c>
      <c r="I48" s="38">
        <f>6053.63-20.41</f>
        <v>6033.22</v>
      </c>
      <c r="J48" s="39">
        <v>0.56899999999999995</v>
      </c>
      <c r="K48" s="39">
        <f t="shared" si="1"/>
        <v>6003.4170000000004</v>
      </c>
      <c r="L48" s="40">
        <f t="shared" si="2"/>
        <v>3415</v>
      </c>
      <c r="M48" s="34">
        <v>0</v>
      </c>
      <c r="N48" s="34">
        <f t="shared" si="3"/>
        <v>3415</v>
      </c>
      <c r="O48" s="59"/>
      <c r="P48" s="40">
        <f t="shared" si="4"/>
        <v>29.802999999999884</v>
      </c>
    </row>
    <row r="49" spans="3:16" x14ac:dyDescent="0.3">
      <c r="C49" s="35">
        <v>44621</v>
      </c>
      <c r="D49" s="36">
        <v>44621</v>
      </c>
      <c r="E49" s="36">
        <v>44651</v>
      </c>
      <c r="F49" s="41">
        <v>6991.299</v>
      </c>
      <c r="G49" s="55">
        <v>13.13</v>
      </c>
      <c r="H49" s="38">
        <f t="shared" si="0"/>
        <v>6978.1689999999999</v>
      </c>
      <c r="I49" s="38">
        <f>7024.99-13.13</f>
        <v>7011.86</v>
      </c>
      <c r="J49" s="39">
        <v>0.56899999999999995</v>
      </c>
      <c r="K49" s="39">
        <f t="shared" si="1"/>
        <v>6978.1689999999999</v>
      </c>
      <c r="L49" s="40">
        <f t="shared" si="2"/>
        <v>3970</v>
      </c>
      <c r="M49" s="34">
        <v>0</v>
      </c>
      <c r="N49" s="34">
        <f t="shared" si="3"/>
        <v>3970</v>
      </c>
      <c r="O49" s="59"/>
      <c r="P49" s="40">
        <f t="shared" si="4"/>
        <v>33.690999999999804</v>
      </c>
    </row>
    <row r="50" spans="3:16" x14ac:dyDescent="0.3">
      <c r="C50" s="35">
        <v>44652</v>
      </c>
      <c r="D50" s="36">
        <v>44652</v>
      </c>
      <c r="E50" s="36">
        <v>44662</v>
      </c>
      <c r="F50" s="55">
        <f>6347.305*(11/30)</f>
        <v>2327.3451666666665</v>
      </c>
      <c r="G50" s="55">
        <f>20.05*(11/30)</f>
        <v>7.3516666666666666</v>
      </c>
      <c r="H50" s="38">
        <f t="shared" si="0"/>
        <v>2319.9935</v>
      </c>
      <c r="I50" s="38">
        <f>(6378.24-20.05)*(11/30)</f>
        <v>2331.3363333333332</v>
      </c>
      <c r="J50" s="39">
        <v>0.56899999999999995</v>
      </c>
      <c r="K50" s="39">
        <f t="shared" si="1"/>
        <v>2319.9935</v>
      </c>
      <c r="L50" s="40">
        <f t="shared" si="2"/>
        <v>1320</v>
      </c>
      <c r="M50" s="34">
        <v>0</v>
      </c>
      <c r="N50" s="34">
        <f t="shared" si="3"/>
        <v>1320</v>
      </c>
      <c r="O50" s="60"/>
      <c r="P50" s="40">
        <f t="shared" si="4"/>
        <v>11.342833333333147</v>
      </c>
    </row>
    <row r="51" spans="3:16" x14ac:dyDescent="0.3">
      <c r="C51" s="43" t="s">
        <v>9</v>
      </c>
      <c r="D51" s="44"/>
      <c r="E51" s="44"/>
      <c r="F51" s="45">
        <f>SUM(F14:F50)</f>
        <v>251548.25656666668</v>
      </c>
      <c r="G51" s="45">
        <f>SUM(G14:G50)</f>
        <v>731.2496666666666</v>
      </c>
      <c r="H51" s="46">
        <f>SUM(H14:H50)</f>
        <v>250817.00689999992</v>
      </c>
      <c r="I51" s="46">
        <f>SUM(I14:I50)</f>
        <v>252117.33099999998</v>
      </c>
      <c r="J51" s="47">
        <v>0.56899999999999995</v>
      </c>
      <c r="K51" s="48">
        <f>SUM(K14:K50)</f>
        <v>250817.00689999992</v>
      </c>
      <c r="L51" s="49">
        <f>SUM(L14:L50)</f>
        <v>142695</v>
      </c>
      <c r="M51" s="49">
        <f>SUM(M14:M50)</f>
        <v>0</v>
      </c>
      <c r="N51" s="49">
        <f>SUM(N14:N50)</f>
        <v>142695</v>
      </c>
      <c r="O51" s="49">
        <f>SUM(O14:O50)</f>
        <v>142695</v>
      </c>
      <c r="P51" s="50">
        <f t="shared" si="4"/>
        <v>1300.3241000000562</v>
      </c>
    </row>
    <row r="53" spans="3:16" x14ac:dyDescent="0.3">
      <c r="K53" s="22"/>
    </row>
    <row r="58" spans="3:16" ht="15.75" customHeight="1" x14ac:dyDescent="0.3">
      <c r="C58" s="70" t="s">
        <v>16</v>
      </c>
      <c r="D58" s="71"/>
      <c r="E58" s="71"/>
      <c r="F58" s="71"/>
      <c r="G58" s="71"/>
      <c r="H58" s="71"/>
      <c r="I58" s="23"/>
    </row>
    <row r="59" spans="3:16" x14ac:dyDescent="0.3">
      <c r="C59" s="70"/>
      <c r="D59" s="71"/>
      <c r="E59" s="71"/>
      <c r="F59" s="71"/>
      <c r="G59" s="71"/>
      <c r="H59" s="71"/>
      <c r="I59" s="24"/>
    </row>
    <row r="60" spans="3:16" ht="26.4" x14ac:dyDescent="0.3">
      <c r="C60" s="25" t="s">
        <v>17</v>
      </c>
      <c r="D60" s="25" t="s">
        <v>18</v>
      </c>
      <c r="E60" s="25" t="s">
        <v>21</v>
      </c>
      <c r="F60" s="25" t="s">
        <v>22</v>
      </c>
      <c r="G60" s="25" t="s">
        <v>23</v>
      </c>
      <c r="H60" s="25" t="s">
        <v>9</v>
      </c>
      <c r="I60" s="23"/>
    </row>
    <row r="61" spans="3:16" ht="26.4" x14ac:dyDescent="0.3">
      <c r="C61" s="25" t="s">
        <v>19</v>
      </c>
      <c r="D61" s="27">
        <f>SUM(K14:K22)</f>
        <v>55482.998399999989</v>
      </c>
      <c r="E61" s="27">
        <f>SUM(K23:K34)</f>
        <v>88982.1</v>
      </c>
      <c r="F61" s="57">
        <f>SUM(K35:K46)</f>
        <v>84477.195000000007</v>
      </c>
      <c r="G61" s="27">
        <f>SUM(K47:K50)</f>
        <v>21874.713500000002</v>
      </c>
      <c r="H61" s="27">
        <f>SUM(D61:G61)</f>
        <v>250817.00690000001</v>
      </c>
      <c r="I61" s="23"/>
    </row>
    <row r="62" spans="3:16" ht="26.4" x14ac:dyDescent="0.3">
      <c r="C62" s="25" t="s">
        <v>24</v>
      </c>
      <c r="D62" s="28">
        <f>O14</f>
        <v>31565</v>
      </c>
      <c r="E62" s="28">
        <f>O23</f>
        <v>50624</v>
      </c>
      <c r="F62" s="28">
        <f>O35</f>
        <v>48061</v>
      </c>
      <c r="G62" s="28">
        <f>O47</f>
        <v>12445</v>
      </c>
      <c r="H62" s="28">
        <f>SUM(D62:G62)</f>
        <v>142695</v>
      </c>
      <c r="I62" s="23"/>
    </row>
    <row r="63" spans="3:16" ht="39.6" x14ac:dyDescent="0.3">
      <c r="C63" s="25" t="s">
        <v>20</v>
      </c>
      <c r="D63" s="26" t="s">
        <v>29</v>
      </c>
      <c r="E63" s="26" t="s">
        <v>28</v>
      </c>
      <c r="F63" s="26" t="s">
        <v>27</v>
      </c>
      <c r="G63" s="26" t="s">
        <v>26</v>
      </c>
      <c r="H63" s="26" t="s">
        <v>25</v>
      </c>
      <c r="I63" s="23"/>
    </row>
  </sheetData>
  <mergeCells count="5">
    <mergeCell ref="O47:O50"/>
    <mergeCell ref="O23:O34"/>
    <mergeCell ref="O14:O22"/>
    <mergeCell ref="O35:O46"/>
    <mergeCell ref="C58:H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 Calc and Generation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RMX1911</dc:creator>
  <cp:lastModifiedBy>sushant.vashisht</cp:lastModifiedBy>
  <dcterms:created xsi:type="dcterms:W3CDTF">2006-09-15T18:30:00Z</dcterms:created>
  <dcterms:modified xsi:type="dcterms:W3CDTF">2022-11-17T05:20:00Z</dcterms:modified>
</cp:coreProperties>
</file>