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ll projects\3570\Working\1-PRR\New folder\"/>
    </mc:Choice>
  </mc:AlternateContent>
  <xr:revisionPtr revIDLastSave="0" documentId="13_ncr:1_{E0695C9E-ABF2-4AE1-8C9E-851674B775D0}" xr6:coauthVersionLast="47" xr6:coauthVersionMax="47" xr10:uidLastSave="{00000000-0000-0000-0000-000000000000}"/>
  <bookViews>
    <workbookView xWindow="-120" yWindow="-120" windowWidth="20730" windowHeight="11040" xr2:uid="{28BB5A71-D82A-4669-9071-32C36E9BD0EC}"/>
  </bookViews>
  <sheets>
    <sheet name="key data" sheetId="3" r:id="rId1"/>
    <sheet name="PSP Information" sheetId="22" r:id="rId2"/>
    <sheet name="2019 B.tulda" sheetId="5" r:id="rId3"/>
    <sheet name="2020 B.tulda" sheetId="6" r:id="rId4"/>
    <sheet name="2021 B.tulda" sheetId="7" r:id="rId5"/>
    <sheet name="2022 B.tulda" sheetId="8" r:id="rId6"/>
    <sheet name="Database" sheetId="14" r:id="rId7"/>
    <sheet name="Baseline" sheetId="17" r:id="rId8"/>
    <sheet name="SOC " sheetId="9" r:id="rId9"/>
    <sheet name="GHG emission" sheetId="18" r:id="rId10"/>
    <sheet name="Leakage" sheetId="20" r:id="rId11"/>
    <sheet name="Final Calculation" sheetId="16" r:id="rId12"/>
    <sheet name="Vinatge Period" sheetId="19" r:id="rId13"/>
    <sheet name="LTA" sheetId="21" r:id="rId14"/>
  </sheets>
  <externalReferences>
    <externalReference r:id="rId15"/>
    <externalReference r:id="rId16"/>
  </externalReferences>
  <definedNames>
    <definedName name="FI_Cropland">'[1]IPCC Tables'!$B$15:$F$15</definedName>
    <definedName name="FI_Grassland">'[1]IPCC Tables'!$J$15:$M$15</definedName>
    <definedName name="FLU">'[1]IPCC Tables'!$J$2:$M$2</definedName>
    <definedName name="FMG_Cropland">'[2]IPCC Tables'!$P$2:$S$2</definedName>
    <definedName name="FMG_Grassland">'[2]IPCC Tables'!$V$2:$Z$2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21" l="1"/>
  <c r="I23" i="21" s="1"/>
  <c r="D11" i="16"/>
  <c r="F11" i="9"/>
  <c r="F8" i="9" l="1"/>
  <c r="C13" i="19" l="1"/>
  <c r="C14" i="19"/>
  <c r="C15" i="19"/>
  <c r="C16" i="19"/>
  <c r="C17" i="19"/>
  <c r="C12" i="19"/>
  <c r="J16" i="17"/>
  <c r="M19" i="17"/>
  <c r="C18" i="19" l="1"/>
  <c r="W18" i="17"/>
  <c r="W17" i="17"/>
  <c r="W16" i="17"/>
  <c r="S20" i="17"/>
  <c r="S19" i="17"/>
  <c r="W19" i="17" s="1"/>
  <c r="R19" i="17"/>
  <c r="R20" i="17"/>
  <c r="R18" i="17"/>
  <c r="Q18" i="17"/>
  <c r="Q19" i="17"/>
  <c r="Q20" i="17"/>
  <c r="Q17" i="17"/>
  <c r="P16" i="17"/>
  <c r="T16" i="17" s="1"/>
  <c r="P17" i="17"/>
  <c r="P18" i="17"/>
  <c r="P19" i="17"/>
  <c r="P20" i="17"/>
  <c r="M20" i="17"/>
  <c r="L18" i="17"/>
  <c r="V18" i="17" s="1"/>
  <c r="K17" i="17"/>
  <c r="G20" i="17"/>
  <c r="F19" i="17"/>
  <c r="F20" i="17" s="1"/>
  <c r="E18" i="17"/>
  <c r="E19" i="17" s="1"/>
  <c r="E20" i="17" s="1"/>
  <c r="D17" i="17"/>
  <c r="J17" i="17" s="1"/>
  <c r="W20" i="17" l="1"/>
  <c r="L19" i="17"/>
  <c r="D18" i="17"/>
  <c r="D19" i="17" s="1"/>
  <c r="D20" i="17" s="1"/>
  <c r="L20" i="17"/>
  <c r="K20" i="17"/>
  <c r="J20" i="17"/>
  <c r="K19" i="17"/>
  <c r="J19" i="17"/>
  <c r="T19" i="17" s="1"/>
  <c r="K18" i="17"/>
  <c r="V17" i="17"/>
  <c r="V16" i="17"/>
  <c r="U16" i="17"/>
  <c r="X16" i="17" s="1"/>
  <c r="J18" i="17" l="1"/>
  <c r="V19" i="17"/>
  <c r="T20" i="17"/>
  <c r="Y16" i="17"/>
  <c r="T17" i="17"/>
  <c r="U17" i="17"/>
  <c r="U20" i="17"/>
  <c r="U19" i="17"/>
  <c r="T18" i="17"/>
  <c r="V20" i="17"/>
  <c r="U18" i="17"/>
  <c r="X19" i="17" l="1"/>
  <c r="Y19" i="17" s="1"/>
  <c r="X17" i="17"/>
  <c r="Y17" i="17" s="1"/>
  <c r="X20" i="17"/>
  <c r="X18" i="17"/>
  <c r="Y18" i="17" s="1"/>
  <c r="Y20" i="17"/>
  <c r="AB11" i="16" l="1"/>
  <c r="C30" i="6"/>
  <c r="C27" i="6"/>
  <c r="H3" i="5" l="1"/>
  <c r="D18" i="19" l="1"/>
  <c r="H32" i="6" l="1"/>
  <c r="I32" i="6" s="1"/>
  <c r="H31" i="6"/>
  <c r="I31" i="6" s="1"/>
  <c r="H30" i="6"/>
  <c r="I30" i="6" s="1"/>
  <c r="H29" i="6"/>
  <c r="I29" i="6" s="1"/>
  <c r="H28" i="6"/>
  <c r="I28" i="6" s="1"/>
  <c r="H27" i="6"/>
  <c r="I27" i="6" s="1"/>
  <c r="H26" i="6"/>
  <c r="I26" i="6" s="1"/>
  <c r="H25" i="6"/>
  <c r="I25" i="6" s="1"/>
  <c r="H24" i="6"/>
  <c r="I24" i="6" s="1"/>
  <c r="H23" i="6"/>
  <c r="I23" i="6" s="1"/>
  <c r="H22" i="6"/>
  <c r="I22" i="6" s="1"/>
  <c r="H21" i="6"/>
  <c r="I21" i="6" s="1"/>
  <c r="H20" i="6"/>
  <c r="I20" i="6" s="1"/>
  <c r="H19" i="6"/>
  <c r="I19" i="6" s="1"/>
  <c r="H18" i="6"/>
  <c r="I18" i="6" s="1"/>
  <c r="H17" i="6"/>
  <c r="I17" i="6" s="1"/>
  <c r="H16" i="6"/>
  <c r="I16" i="6" s="1"/>
  <c r="H15" i="6"/>
  <c r="I15" i="6" s="1"/>
  <c r="H14" i="6"/>
  <c r="I14" i="6" s="1"/>
  <c r="H13" i="6"/>
  <c r="I13" i="6" s="1"/>
  <c r="H12" i="6"/>
  <c r="I12" i="6" s="1"/>
  <c r="H11" i="6"/>
  <c r="I11" i="6" s="1"/>
  <c r="H10" i="6"/>
  <c r="I10" i="6" s="1"/>
  <c r="H9" i="6"/>
  <c r="I9" i="6" s="1"/>
  <c r="J15" i="6" l="1"/>
  <c r="K15" i="6" s="1"/>
  <c r="E37" i="14" s="1"/>
  <c r="J21" i="6"/>
  <c r="K21" i="6" s="1"/>
  <c r="E39" i="14" s="1"/>
  <c r="J30" i="6"/>
  <c r="K30" i="6" s="1"/>
  <c r="E42" i="14" s="1"/>
  <c r="J27" i="6"/>
  <c r="K27" i="6" s="1"/>
  <c r="E41" i="14" s="1"/>
  <c r="J12" i="6"/>
  <c r="K12" i="6" s="1"/>
  <c r="E36" i="14" s="1"/>
  <c r="J9" i="6"/>
  <c r="K9" i="6" s="1"/>
  <c r="E35" i="14" s="1"/>
  <c r="J24" i="6"/>
  <c r="K24" i="6" s="1"/>
  <c r="E40" i="14" s="1"/>
  <c r="J18" i="6"/>
  <c r="K18" i="6" s="1"/>
  <c r="E38" i="14" s="1"/>
  <c r="H92" i="5" l="1"/>
  <c r="I92" i="5" s="1"/>
  <c r="H91" i="5"/>
  <c r="I91" i="5" s="1"/>
  <c r="H90" i="5"/>
  <c r="I90" i="5" s="1"/>
  <c r="H89" i="5"/>
  <c r="I89" i="5" s="1"/>
  <c r="H88" i="5"/>
  <c r="I88" i="5" s="1"/>
  <c r="H87" i="5"/>
  <c r="I87" i="5" s="1"/>
  <c r="H86" i="5"/>
  <c r="I86" i="5" s="1"/>
  <c r="H85" i="5"/>
  <c r="I85" i="5" s="1"/>
  <c r="H84" i="5"/>
  <c r="I84" i="5" s="1"/>
  <c r="H83" i="5"/>
  <c r="I83" i="5" s="1"/>
  <c r="H82" i="5"/>
  <c r="I82" i="5" s="1"/>
  <c r="H81" i="5"/>
  <c r="I81" i="5" s="1"/>
  <c r="H80" i="5"/>
  <c r="I80" i="5" s="1"/>
  <c r="H79" i="5"/>
  <c r="I79" i="5" s="1"/>
  <c r="H78" i="5"/>
  <c r="I78" i="5" s="1"/>
  <c r="H77" i="5"/>
  <c r="I77" i="5" s="1"/>
  <c r="H76" i="5"/>
  <c r="I76" i="5" s="1"/>
  <c r="H75" i="5"/>
  <c r="I75" i="5" s="1"/>
  <c r="H74" i="5"/>
  <c r="I74" i="5" s="1"/>
  <c r="H73" i="5"/>
  <c r="I73" i="5" s="1"/>
  <c r="H72" i="5"/>
  <c r="I72" i="5" s="1"/>
  <c r="H71" i="5"/>
  <c r="I71" i="5" s="1"/>
  <c r="H70" i="5"/>
  <c r="I70" i="5" s="1"/>
  <c r="H69" i="5"/>
  <c r="I69" i="5" s="1"/>
  <c r="H68" i="5"/>
  <c r="I68" i="5" s="1"/>
  <c r="H67" i="5"/>
  <c r="I67" i="5" s="1"/>
  <c r="H66" i="5"/>
  <c r="I66" i="5" s="1"/>
  <c r="H65" i="5"/>
  <c r="I65" i="5" s="1"/>
  <c r="H64" i="5"/>
  <c r="I64" i="5" s="1"/>
  <c r="H63" i="5"/>
  <c r="I63" i="5" s="1"/>
  <c r="H62" i="5"/>
  <c r="I62" i="5" s="1"/>
  <c r="H61" i="5"/>
  <c r="I61" i="5" s="1"/>
  <c r="H60" i="5"/>
  <c r="I60" i="5" s="1"/>
  <c r="H59" i="5"/>
  <c r="I59" i="5" s="1"/>
  <c r="H58" i="5"/>
  <c r="I58" i="5" s="1"/>
  <c r="H57" i="5"/>
  <c r="I57" i="5" s="1"/>
  <c r="H56" i="5"/>
  <c r="I56" i="5" s="1"/>
  <c r="H55" i="5"/>
  <c r="I55" i="5" s="1"/>
  <c r="H54" i="5"/>
  <c r="I54" i="5" s="1"/>
  <c r="H53" i="5"/>
  <c r="I53" i="5" s="1"/>
  <c r="H52" i="5"/>
  <c r="I52" i="5" s="1"/>
  <c r="H51" i="5"/>
  <c r="I51" i="5" s="1"/>
  <c r="H50" i="5"/>
  <c r="I50" i="5" s="1"/>
  <c r="H49" i="5"/>
  <c r="I49" i="5" s="1"/>
  <c r="H48" i="5"/>
  <c r="I48" i="5" s="1"/>
  <c r="J81" i="5" l="1"/>
  <c r="K81" i="5" s="1"/>
  <c r="E29" i="14" s="1"/>
  <c r="J90" i="5"/>
  <c r="K90" i="5" s="1"/>
  <c r="E32" i="14" s="1"/>
  <c r="J87" i="5"/>
  <c r="K87" i="5" s="1"/>
  <c r="E31" i="14" s="1"/>
  <c r="J75" i="5"/>
  <c r="K75" i="5" s="1"/>
  <c r="E27" i="14" s="1"/>
  <c r="J69" i="5"/>
  <c r="K69" i="5" s="1"/>
  <c r="E25" i="14" s="1"/>
  <c r="J63" i="5"/>
  <c r="K63" i="5" s="1"/>
  <c r="E23" i="14" s="1"/>
  <c r="J57" i="5"/>
  <c r="K57" i="5" s="1"/>
  <c r="E21" i="14" s="1"/>
  <c r="J51" i="5"/>
  <c r="K51" i="5" s="1"/>
  <c r="E19" i="14" s="1"/>
  <c r="J78" i="5"/>
  <c r="K78" i="5" s="1"/>
  <c r="E28" i="14" s="1"/>
  <c r="J54" i="5"/>
  <c r="K54" i="5" s="1"/>
  <c r="E20" i="14" s="1"/>
  <c r="J48" i="5"/>
  <c r="K48" i="5" s="1"/>
  <c r="E18" i="14" s="1"/>
  <c r="J60" i="5"/>
  <c r="K60" i="5" s="1"/>
  <c r="E22" i="14" s="1"/>
  <c r="J66" i="5"/>
  <c r="K66" i="5" s="1"/>
  <c r="E24" i="14" s="1"/>
  <c r="J72" i="5"/>
  <c r="K72" i="5" s="1"/>
  <c r="E26" i="14" s="1"/>
  <c r="J84" i="5"/>
  <c r="K84" i="5" s="1"/>
  <c r="E30" i="14" s="1"/>
  <c r="E3" i="20" l="1"/>
  <c r="M11" i="16" l="1"/>
  <c r="N11" i="16"/>
  <c r="P11" i="16"/>
  <c r="D7" i="3"/>
  <c r="E11" i="16" s="1"/>
  <c r="H24" i="21" l="1"/>
  <c r="I24" i="21" s="1"/>
  <c r="H25" i="21"/>
  <c r="I25" i="21" s="1"/>
  <c r="H26" i="21"/>
  <c r="I26" i="21" s="1"/>
  <c r="H27" i="21"/>
  <c r="I27" i="21" s="1"/>
  <c r="H28" i="21"/>
  <c r="I28" i="21" s="1"/>
  <c r="H29" i="21"/>
  <c r="I29" i="21" s="1"/>
  <c r="H30" i="21"/>
  <c r="I30" i="21" s="1"/>
  <c r="H31" i="21"/>
  <c r="I31" i="21" s="1"/>
  <c r="H32" i="21"/>
  <c r="I32" i="21" s="1"/>
  <c r="H33" i="21"/>
  <c r="I33" i="21" s="1"/>
  <c r="H34" i="21"/>
  <c r="I34" i="21" s="1"/>
  <c r="H35" i="21"/>
  <c r="I35" i="21" s="1"/>
  <c r="H36" i="21"/>
  <c r="I36" i="21" s="1"/>
  <c r="E4" i="20" l="1"/>
  <c r="E5" i="20" s="1"/>
  <c r="E6" i="20" s="1"/>
  <c r="E7" i="20" s="1"/>
  <c r="E8" i="20" s="1"/>
  <c r="AA11" i="16" s="1"/>
  <c r="I9" i="19" l="1"/>
  <c r="C9" i="19"/>
  <c r="C25" i="18"/>
  <c r="K21" i="18"/>
  <c r="K20" i="18"/>
  <c r="K19" i="18"/>
  <c r="K18" i="18"/>
  <c r="G5" i="19" l="1"/>
  <c r="G4" i="19"/>
  <c r="G6" i="19"/>
  <c r="G25" i="18"/>
  <c r="H25" i="18" s="1"/>
  <c r="Y11" i="16" s="1"/>
  <c r="G8" i="19"/>
  <c r="G3" i="19"/>
  <c r="G7" i="19"/>
  <c r="G9" i="19" l="1"/>
  <c r="D4" i="19" l="1"/>
  <c r="D3" i="19"/>
  <c r="D5" i="19"/>
  <c r="D6" i="19"/>
  <c r="D8" i="19"/>
  <c r="D7" i="19"/>
  <c r="D8" i="3"/>
  <c r="G11" i="16" s="1"/>
  <c r="D9" i="3"/>
  <c r="I11" i="16" s="1"/>
  <c r="D10" i="3"/>
  <c r="K11" i="16" s="1"/>
  <c r="D9" i="19" l="1"/>
  <c r="C11" i="21" s="1"/>
  <c r="C6" i="21" l="1"/>
  <c r="C7" i="21" s="1"/>
  <c r="C8" i="21" s="1"/>
  <c r="C9" i="21" s="1"/>
  <c r="C10" i="21" s="1"/>
  <c r="C12" i="21" s="1"/>
  <c r="K19" i="9"/>
  <c r="K20" i="9" s="1"/>
  <c r="K21" i="9" s="1"/>
  <c r="I18" i="9"/>
  <c r="I19" i="9" s="1"/>
  <c r="I20" i="9" s="1"/>
  <c r="I21" i="9" s="1"/>
  <c r="G17" i="9"/>
  <c r="G18" i="9" s="1"/>
  <c r="G19" i="9" s="1"/>
  <c r="G20" i="9" s="1"/>
  <c r="G21" i="9" s="1"/>
  <c r="E16" i="9"/>
  <c r="L16" i="9" s="1"/>
  <c r="F9" i="9"/>
  <c r="D17" i="9" l="1"/>
  <c r="C13" i="21"/>
  <c r="E17" i="9"/>
  <c r="D16" i="9" l="1"/>
  <c r="J16" i="9"/>
  <c r="F17" i="9"/>
  <c r="L17" i="9" s="1"/>
  <c r="H17" i="9"/>
  <c r="F21" i="9"/>
  <c r="J18" i="9"/>
  <c r="D21" i="9"/>
  <c r="H19" i="9"/>
  <c r="J19" i="9"/>
  <c r="H20" i="9"/>
  <c r="F18" i="9"/>
  <c r="J17" i="9"/>
  <c r="D18" i="9"/>
  <c r="F16" i="9"/>
  <c r="H18" i="9"/>
  <c r="J20" i="9"/>
  <c r="H21" i="9"/>
  <c r="D19" i="9"/>
  <c r="J21" i="9"/>
  <c r="F19" i="9"/>
  <c r="D20" i="9"/>
  <c r="H16" i="9"/>
  <c r="F20" i="9"/>
  <c r="C14" i="21"/>
  <c r="C15" i="21" s="1"/>
  <c r="E18" i="9"/>
  <c r="H5" i="8"/>
  <c r="I5" i="8" s="1"/>
  <c r="H4" i="8"/>
  <c r="I4" i="8" s="1"/>
  <c r="H3" i="8"/>
  <c r="I3" i="8" s="1"/>
  <c r="J3" i="8" s="1"/>
  <c r="H8" i="7"/>
  <c r="I8" i="7" s="1"/>
  <c r="H7" i="7"/>
  <c r="I7" i="7" s="1"/>
  <c r="H6" i="7"/>
  <c r="I6" i="7" s="1"/>
  <c r="H5" i="7"/>
  <c r="I5" i="7" s="1"/>
  <c r="H4" i="7"/>
  <c r="I4" i="7" s="1"/>
  <c r="H3" i="7"/>
  <c r="I3" i="7" s="1"/>
  <c r="H4" i="6"/>
  <c r="I4" i="6" s="1"/>
  <c r="H5" i="6"/>
  <c r="I5" i="6" s="1"/>
  <c r="H6" i="6"/>
  <c r="I6" i="6" s="1"/>
  <c r="H7" i="6"/>
  <c r="I7" i="6" s="1"/>
  <c r="H8" i="6"/>
  <c r="I8" i="6" s="1"/>
  <c r="H3" i="6"/>
  <c r="I3" i="6" s="1"/>
  <c r="I3" i="5"/>
  <c r="H4" i="5"/>
  <c r="I4" i="5" s="1"/>
  <c r="H5" i="5"/>
  <c r="I5" i="5" s="1"/>
  <c r="H6" i="5"/>
  <c r="I6" i="5" s="1"/>
  <c r="H7" i="5"/>
  <c r="I7" i="5" s="1"/>
  <c r="H8" i="5"/>
  <c r="I8" i="5" s="1"/>
  <c r="H9" i="5"/>
  <c r="I9" i="5" s="1"/>
  <c r="H10" i="5"/>
  <c r="I10" i="5" s="1"/>
  <c r="H11" i="5"/>
  <c r="I11" i="5" s="1"/>
  <c r="H12" i="5"/>
  <c r="I12" i="5" s="1"/>
  <c r="H13" i="5"/>
  <c r="I13" i="5" s="1"/>
  <c r="H14" i="5"/>
  <c r="I14" i="5" s="1"/>
  <c r="H15" i="5"/>
  <c r="I15" i="5" s="1"/>
  <c r="H16" i="5"/>
  <c r="I16" i="5" s="1"/>
  <c r="H17" i="5"/>
  <c r="I17" i="5" s="1"/>
  <c r="H18" i="5"/>
  <c r="I18" i="5" s="1"/>
  <c r="H19" i="5"/>
  <c r="I19" i="5" s="1"/>
  <c r="H20" i="5"/>
  <c r="I20" i="5" s="1"/>
  <c r="H21" i="5"/>
  <c r="I21" i="5" s="1"/>
  <c r="H22" i="5"/>
  <c r="I22" i="5" s="1"/>
  <c r="H23" i="5"/>
  <c r="I23" i="5" s="1"/>
  <c r="H24" i="5"/>
  <c r="I24" i="5" s="1"/>
  <c r="H25" i="5"/>
  <c r="I25" i="5" s="1"/>
  <c r="H26" i="5"/>
  <c r="I26" i="5" s="1"/>
  <c r="H27" i="5"/>
  <c r="I27" i="5" s="1"/>
  <c r="H28" i="5"/>
  <c r="I28" i="5" s="1"/>
  <c r="H29" i="5"/>
  <c r="I29" i="5" s="1"/>
  <c r="H30" i="5"/>
  <c r="I30" i="5" s="1"/>
  <c r="H31" i="5"/>
  <c r="I31" i="5" s="1"/>
  <c r="H32" i="5"/>
  <c r="I32" i="5" s="1"/>
  <c r="H33" i="5"/>
  <c r="I33" i="5" s="1"/>
  <c r="H34" i="5"/>
  <c r="I34" i="5" s="1"/>
  <c r="H35" i="5"/>
  <c r="I35" i="5" s="1"/>
  <c r="H36" i="5"/>
  <c r="I36" i="5" s="1"/>
  <c r="H37" i="5"/>
  <c r="I37" i="5" s="1"/>
  <c r="H38" i="5"/>
  <c r="I38" i="5" s="1"/>
  <c r="H39" i="5"/>
  <c r="I39" i="5" s="1"/>
  <c r="H40" i="5"/>
  <c r="I40" i="5" s="1"/>
  <c r="H41" i="5"/>
  <c r="I41" i="5" s="1"/>
  <c r="H42" i="5"/>
  <c r="I42" i="5" s="1"/>
  <c r="H43" i="5"/>
  <c r="I43" i="5" s="1"/>
  <c r="H44" i="5"/>
  <c r="I44" i="5" s="1"/>
  <c r="H45" i="5"/>
  <c r="I45" i="5" s="1"/>
  <c r="H46" i="5"/>
  <c r="I46" i="5" s="1"/>
  <c r="H47" i="5"/>
  <c r="I47" i="5" s="1"/>
  <c r="L18" i="9" l="1"/>
  <c r="C16" i="21"/>
  <c r="J3" i="5"/>
  <c r="K3" i="5" s="1"/>
  <c r="E3" i="14" s="1"/>
  <c r="J6" i="7"/>
  <c r="K6" i="7" s="1"/>
  <c r="E44" i="14" s="1"/>
  <c r="J15" i="5"/>
  <c r="K15" i="5" s="1"/>
  <c r="E7" i="14" s="1"/>
  <c r="J6" i="6"/>
  <c r="K6" i="6" s="1"/>
  <c r="E34" i="14" s="1"/>
  <c r="J12" i="5"/>
  <c r="K12" i="5" s="1"/>
  <c r="E6" i="14" s="1"/>
  <c r="J36" i="5"/>
  <c r="K36" i="5" s="1"/>
  <c r="E14" i="14" s="1"/>
  <c r="J3" i="6"/>
  <c r="J6" i="5"/>
  <c r="K6" i="5" s="1"/>
  <c r="E4" i="14" s="1"/>
  <c r="J30" i="5"/>
  <c r="K30" i="5" s="1"/>
  <c r="E12" i="14" s="1"/>
  <c r="E19" i="9"/>
  <c r="L19" i="9" s="1"/>
  <c r="K3" i="8"/>
  <c r="E45" i="14" s="1"/>
  <c r="F45" i="14" s="1"/>
  <c r="J11" i="16" s="1"/>
  <c r="J3" i="7"/>
  <c r="K3" i="7" s="1"/>
  <c r="E43" i="14" s="1"/>
  <c r="J18" i="5"/>
  <c r="K18" i="5" s="1"/>
  <c r="E8" i="14" s="1"/>
  <c r="J33" i="5"/>
  <c r="K33" i="5" s="1"/>
  <c r="E13" i="14" s="1"/>
  <c r="J39" i="5"/>
  <c r="K39" i="5" s="1"/>
  <c r="E15" i="14" s="1"/>
  <c r="J24" i="5"/>
  <c r="K24" i="5" s="1"/>
  <c r="E10" i="14" s="1"/>
  <c r="J42" i="5"/>
  <c r="K42" i="5" s="1"/>
  <c r="E16" i="14" s="1"/>
  <c r="J27" i="5"/>
  <c r="K27" i="5" s="1"/>
  <c r="E11" i="14" s="1"/>
  <c r="J9" i="5"/>
  <c r="K9" i="5" s="1"/>
  <c r="J45" i="5"/>
  <c r="K45" i="5" s="1"/>
  <c r="E17" i="14" s="1"/>
  <c r="J21" i="5"/>
  <c r="K21" i="5" s="1"/>
  <c r="E9" i="14" s="1"/>
  <c r="C17" i="21" l="1"/>
  <c r="K3" i="6"/>
  <c r="E33" i="14" s="1"/>
  <c r="F33" i="14" s="1"/>
  <c r="F11" i="16" s="1"/>
  <c r="E5" i="14"/>
  <c r="F43" i="14"/>
  <c r="H11" i="16" s="1"/>
  <c r="E20" i="9"/>
  <c r="L20" i="9" s="1"/>
  <c r="F3" i="14" l="1"/>
  <c r="L11" i="16" s="1"/>
  <c r="O11" i="16" s="1"/>
  <c r="Q11" i="16" s="1"/>
  <c r="R11" i="16" s="1"/>
  <c r="V11" i="16" s="1"/>
  <c r="C18" i="21"/>
  <c r="E21" i="9"/>
  <c r="L21" i="9" s="1"/>
  <c r="W11" i="16" l="1"/>
  <c r="C19" i="21"/>
  <c r="U11" i="16"/>
  <c r="S11" i="16"/>
  <c r="X11" i="16" l="1"/>
  <c r="C20" i="21"/>
  <c r="Z11" i="16"/>
  <c r="E3" i="19" l="1"/>
  <c r="J3" i="19" s="1"/>
  <c r="E12" i="19" s="1"/>
  <c r="C21" i="21"/>
  <c r="AC11" i="16"/>
  <c r="AD11" i="16" s="1"/>
  <c r="E4" i="19"/>
  <c r="J4" i="19" s="1"/>
  <c r="E13" i="19" s="1"/>
  <c r="E7" i="19"/>
  <c r="E8" i="19"/>
  <c r="E6" i="19"/>
  <c r="E5" i="19"/>
  <c r="H4" i="19" l="1"/>
  <c r="K4" i="19" s="1"/>
  <c r="H3" i="19"/>
  <c r="H5" i="19"/>
  <c r="H8" i="19"/>
  <c r="H6" i="19"/>
  <c r="H7" i="19"/>
  <c r="C22" i="21"/>
  <c r="AE11" i="16"/>
  <c r="J8" i="19"/>
  <c r="E17" i="19" s="1"/>
  <c r="F3" i="19"/>
  <c r="E9" i="19"/>
  <c r="D11" i="21" s="1"/>
  <c r="J7" i="19"/>
  <c r="E16" i="19" s="1"/>
  <c r="J5" i="19"/>
  <c r="E14" i="19" s="1"/>
  <c r="J6" i="19"/>
  <c r="E15" i="19" s="1"/>
  <c r="D6" i="21" l="1"/>
  <c r="D7" i="21" s="1"/>
  <c r="D8" i="21" s="1"/>
  <c r="F4" i="19"/>
  <c r="F5" i="19" s="1"/>
  <c r="F6" i="19" s="1"/>
  <c r="F7" i="19" s="1"/>
  <c r="F8" i="19" s="1"/>
  <c r="K8" i="19"/>
  <c r="F11" i="21"/>
  <c r="C23" i="21"/>
  <c r="K7" i="19"/>
  <c r="E18" i="19"/>
  <c r="F12" i="19" s="1"/>
  <c r="K5" i="19"/>
  <c r="E6" i="21"/>
  <c r="K3" i="19"/>
  <c r="H9" i="19"/>
  <c r="J9" i="19"/>
  <c r="K6" i="19"/>
  <c r="D9" i="21" l="1"/>
  <c r="E8" i="21"/>
  <c r="F9" i="19"/>
  <c r="C24" i="21"/>
  <c r="E7" i="21"/>
  <c r="F6" i="21"/>
  <c r="G6" i="21" s="1"/>
  <c r="H6" i="21" s="1"/>
  <c r="I6" i="21" s="1"/>
  <c r="K9" i="19"/>
  <c r="D10" i="21" l="1"/>
  <c r="E9" i="21"/>
  <c r="C25" i="21"/>
  <c r="F7" i="21"/>
  <c r="G7" i="21" s="1"/>
  <c r="H7" i="21" s="1"/>
  <c r="I7" i="21" s="1"/>
  <c r="E10" i="21" l="1"/>
  <c r="E11" i="21"/>
  <c r="D12" i="21"/>
  <c r="C26" i="21"/>
  <c r="F8" i="21"/>
  <c r="G8" i="21" s="1"/>
  <c r="H8" i="21" s="1"/>
  <c r="I8" i="21" s="1"/>
  <c r="E12" i="21" l="1"/>
  <c r="F12" i="21"/>
  <c r="G12" i="21" s="1"/>
  <c r="H12" i="21" s="1"/>
  <c r="I12" i="21" s="1"/>
  <c r="C28" i="21"/>
  <c r="C27" i="21"/>
  <c r="C29" i="21"/>
  <c r="C30" i="21"/>
  <c r="F9" i="21"/>
  <c r="G9" i="21" s="1"/>
  <c r="H9" i="21" s="1"/>
  <c r="I9" i="21" s="1"/>
  <c r="F10" i="21"/>
  <c r="G11" i="21" s="1"/>
  <c r="H11" i="21" s="1"/>
  <c r="I11" i="21" s="1"/>
  <c r="G10" i="21" l="1"/>
  <c r="H10" i="21" s="1"/>
  <c r="I10" i="21" s="1"/>
  <c r="D13" i="21"/>
  <c r="E13" i="21" l="1"/>
  <c r="F13" i="21"/>
  <c r="D14" i="21"/>
  <c r="F14" i="21" s="1"/>
  <c r="G14" i="21" s="1"/>
  <c r="G13" i="21" l="1"/>
  <c r="H13" i="21" s="1"/>
  <c r="I13" i="21" s="1"/>
  <c r="D15" i="21"/>
  <c r="E15" i="21" s="1"/>
  <c r="E14" i="21"/>
  <c r="H14" i="21"/>
  <c r="I14" i="21" s="1"/>
  <c r="D16" i="21" l="1"/>
  <c r="F16" i="21" s="1"/>
  <c r="F15" i="21"/>
  <c r="G15" i="21" l="1"/>
  <c r="H15" i="21" s="1"/>
  <c r="I15" i="21" s="1"/>
  <c r="G16" i="21"/>
  <c r="H16" i="21" s="1"/>
  <c r="I16" i="21" s="1"/>
  <c r="D17" i="21"/>
  <c r="E16" i="21"/>
  <c r="E17" i="21" l="1"/>
  <c r="F17" i="21"/>
  <c r="D18" i="21"/>
  <c r="G17" i="21" l="1"/>
  <c r="H17" i="21" s="1"/>
  <c r="I17" i="21" s="1"/>
  <c r="E18" i="21"/>
  <c r="F18" i="21"/>
  <c r="G18" i="21" s="1"/>
  <c r="H18" i="21" s="1"/>
  <c r="I18" i="21" s="1"/>
  <c r="D19" i="21"/>
  <c r="E19" i="21" l="1"/>
  <c r="F19" i="21"/>
  <c r="G19" i="21" s="1"/>
  <c r="H19" i="21" s="1"/>
  <c r="I19" i="21" s="1"/>
  <c r="D20" i="21"/>
  <c r="D21" i="21" l="1"/>
  <c r="E20" i="21"/>
  <c r="F20" i="21"/>
  <c r="G20" i="21" s="1"/>
  <c r="H20" i="21" s="1"/>
  <c r="I20" i="21" s="1"/>
  <c r="E21" i="21" l="1"/>
  <c r="F21" i="21"/>
  <c r="D22" i="21"/>
  <c r="D23" i="21" s="1"/>
  <c r="E23" i="21" l="1"/>
  <c r="F23" i="21"/>
  <c r="E22" i="21"/>
  <c r="F22" i="21"/>
  <c r="D24" i="21"/>
  <c r="E24" i="21" s="1"/>
  <c r="D25" i="21" l="1"/>
  <c r="E25" i="21" s="1"/>
  <c r="F24" i="21"/>
  <c r="D26" i="21" l="1"/>
  <c r="E26" i="21" s="1"/>
  <c r="F25" i="21"/>
  <c r="D27" i="21" l="1"/>
  <c r="E27" i="21" s="1"/>
  <c r="F26" i="21"/>
  <c r="F27" i="21" l="1"/>
  <c r="D28" i="21"/>
  <c r="E28" i="21" s="1"/>
  <c r="F28" i="21" l="1"/>
  <c r="D29" i="21"/>
  <c r="E29" i="21" s="1"/>
  <c r="D30" i="21" l="1"/>
  <c r="E30" i="21" s="1"/>
  <c r="F29" i="21"/>
  <c r="F30" i="21" l="1"/>
  <c r="D31" i="21"/>
  <c r="E31" i="21" s="1"/>
  <c r="D32" i="21" l="1"/>
  <c r="E32" i="21" s="1"/>
  <c r="F31" i="21"/>
  <c r="D33" i="21" l="1"/>
  <c r="E33" i="21" s="1"/>
  <c r="F32" i="21"/>
  <c r="F33" i="21" l="1"/>
  <c r="D34" i="21"/>
  <c r="E34" i="21" s="1"/>
  <c r="D35" i="21" l="1"/>
  <c r="D36" i="21" s="1"/>
  <c r="E36" i="21" s="1"/>
  <c r="F34" i="21"/>
  <c r="F35" i="21" l="1"/>
  <c r="E35" i="21"/>
  <c r="F36" i="21"/>
  <c r="F37" i="21" l="1"/>
  <c r="F38" i="21" s="1"/>
  <c r="G21" i="21" s="1"/>
  <c r="H21" i="21" s="1"/>
  <c r="I21" i="21" s="1"/>
  <c r="G22" i="21" l="1"/>
  <c r="H22" i="21" l="1"/>
  <c r="I2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Sahil Pathan</author>
  </authors>
  <commentList>
    <comment ref="H2" authorId="0" shapeId="0" xr:uid="{B677D23E-8A5F-4F1D-B9D3-18B3D9E79815}">
      <text>
        <r>
          <rPr>
            <b/>
            <sz val="9"/>
            <color indexed="81"/>
            <rFont val="Tahoma"/>
            <family val="2"/>
          </rPr>
          <t xml:space="preserve">Himanshu:
</t>
        </r>
        <r>
          <rPr>
            <sz val="9"/>
            <color indexed="81"/>
            <rFont val="Tahoma"/>
            <family val="2"/>
          </rPr>
          <t>As per tool 14</t>
        </r>
        <r>
          <rPr>
            <b/>
            <sz val="9"/>
            <color indexed="81"/>
            <rFont val="Tahoma"/>
            <family val="2"/>
          </rPr>
          <t xml:space="preserve">
</t>
        </r>
      </text>
    </comment>
    <comment ref="J2" authorId="0" shapeId="0" xr:uid="{ED5892C3-BE41-491D-9CBA-D2BB49195028}">
      <text>
        <r>
          <rPr>
            <b/>
            <sz val="9"/>
            <color indexed="81"/>
            <rFont val="Tahoma"/>
            <family val="2"/>
          </rPr>
          <t>Himanshu:</t>
        </r>
        <r>
          <rPr>
            <sz val="9"/>
            <color indexed="81"/>
            <rFont val="Tahoma"/>
            <family val="2"/>
          </rPr>
          <t xml:space="preserve">
As per Tool 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Sahil Pathan</author>
  </authors>
  <commentList>
    <comment ref="D10" authorId="0" shapeId="0" xr:uid="{45A2BA5A-A3FC-4378-90B1-9A32E881BACF}">
      <text>
        <r>
          <rPr>
            <sz val="9"/>
            <color indexed="81"/>
            <rFont val="Tahoma"/>
            <family val="2"/>
          </rPr>
          <t xml:space="preserve">
Substantial soil disturbance with
full inversion and/or frequent
(within-year) tillage operations.
At planting time, little (e.g. &lt;30%)
of the surface is covered by
residues</t>
        </r>
      </text>
    </comment>
    <comment ref="D11" authorId="0" shapeId="0" xr:uid="{41036418-F578-45F2-9A06-E42181E185C4}">
      <text>
        <r>
          <rPr>
            <sz val="9"/>
            <color indexed="81"/>
            <rFont val="Tahoma"/>
            <family val="2"/>
          </rPr>
          <t>All crop residues are returned to
the field. If residues are removed
then supplemental organic matter
(e.g. manure) is added.
Additionally, mineral fertilization
or N-fixing crop rotation is
practised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Sahil Pathan</author>
  </authors>
  <commentList>
    <comment ref="C27" authorId="0" shapeId="0" xr:uid="{C1B431D0-11BF-43A4-B2E3-3729B4013D2C}">
      <text>
        <r>
          <rPr>
            <b/>
            <sz val="9"/>
            <color indexed="81"/>
            <rFont val="Tahoma"/>
            <family val="2"/>
          </rPr>
          <t>Himanshu Sachan:</t>
        </r>
        <r>
          <rPr>
            <sz val="9"/>
            <color indexed="81"/>
            <rFont val="Tahoma"/>
            <family val="2"/>
          </rPr>
          <t xml:space="preserve">
Tree biomass may reach a steady state in which biomass growth becomes zero or insignificant, either because of biological maturity of trees or because the rate of anthropogenic biomass extraction from the area is equal to the rate of biomass growth.
Therefore, this parameter should be taken to be zero after the year in which tree biomass in the baseline reaches a steady state. The year in which tree biomass in the baseline reaches a steady-state is taken to be the 20th year from the start of the CDM project activity, unless transparent and v</t>
        </r>
      </text>
    </comment>
  </commentList>
</comments>
</file>

<file path=xl/sharedStrings.xml><?xml version="1.0" encoding="utf-8"?>
<sst xmlns="http://schemas.openxmlformats.org/spreadsheetml/2006/main" count="428" uniqueCount="297">
  <si>
    <t>Sr.No.</t>
  </si>
  <si>
    <t>Species</t>
  </si>
  <si>
    <t>Botanical name</t>
  </si>
  <si>
    <t xml:space="preserve">Allometric equation </t>
  </si>
  <si>
    <t>Root-shoot ratio</t>
  </si>
  <si>
    <t>Carbon fraction</t>
  </si>
  <si>
    <t>Litter</t>
  </si>
  <si>
    <t>Deadwood</t>
  </si>
  <si>
    <t>Tulda Bamboo</t>
  </si>
  <si>
    <t>Bambusa tulda</t>
  </si>
  <si>
    <t>Y=0.307*DBH^2.174</t>
  </si>
  <si>
    <t>Area</t>
  </si>
  <si>
    <t>PSP</t>
  </si>
  <si>
    <t>2019 B.tulda</t>
  </si>
  <si>
    <t>2020 B.tulda</t>
  </si>
  <si>
    <t>2021 B.tulda</t>
  </si>
  <si>
    <t>2022 B.tulda</t>
  </si>
  <si>
    <t>PSP Plot No.</t>
  </si>
  <si>
    <t>PSP in Straum</t>
  </si>
  <si>
    <t>Straum Name</t>
  </si>
  <si>
    <t>Above ground Biomass (ton/ha)</t>
  </si>
  <si>
    <t>Year</t>
  </si>
  <si>
    <t>Carbon fraction of shrub biomass; t C (t.d.m.)-1</t>
  </si>
  <si>
    <t>Root-shoot ratio for shrubs; dimensionless</t>
  </si>
  <si>
    <t>t</t>
  </si>
  <si>
    <t>Parameter</t>
  </si>
  <si>
    <t>Value</t>
  </si>
  <si>
    <t>Referenses or Justification</t>
  </si>
  <si>
    <t>https://www.researchgate.net/publication/322222168</t>
  </si>
  <si>
    <t>dSOC</t>
  </si>
  <si>
    <t>The area of stratum i=1 of the areas of land; ha</t>
  </si>
  <si>
    <t>The area of stratum i=2 of the areas of land; ha</t>
  </si>
  <si>
    <t>The area of stratum i=3 of the areas of land; ha</t>
  </si>
  <si>
    <t>The area of stratum i=4 of the areas of land; ha</t>
  </si>
  <si>
    <t>A2</t>
  </si>
  <si>
    <t>A3</t>
  </si>
  <si>
    <t>A4</t>
  </si>
  <si>
    <t>Strata</t>
  </si>
  <si>
    <t>Monitoring period</t>
  </si>
  <si>
    <t>Area burnt in stratum i in year t; ha</t>
  </si>
  <si>
    <t>Combustion factor for stratum i; dimensionless</t>
  </si>
  <si>
    <r>
      <t>GHG</t>
    </r>
    <r>
      <rPr>
        <b/>
        <vertAlign val="subscript"/>
        <sz val="11"/>
        <color theme="1"/>
        <rFont val="Times New Roman"/>
        <family val="1"/>
      </rPr>
      <t xml:space="preserve">SPF,t </t>
    </r>
  </si>
  <si>
    <r>
      <t>GHG</t>
    </r>
    <r>
      <rPr>
        <b/>
        <vertAlign val="subscript"/>
        <sz val="11"/>
        <color theme="1"/>
        <rFont val="Times New Roman"/>
        <family val="1"/>
      </rPr>
      <t>FMF,t</t>
    </r>
  </si>
  <si>
    <r>
      <t>GHG</t>
    </r>
    <r>
      <rPr>
        <b/>
        <vertAlign val="subscript"/>
        <sz val="11"/>
        <color theme="1"/>
        <rFont val="Times New Roman"/>
        <family val="1"/>
      </rPr>
      <t>FF,t</t>
    </r>
  </si>
  <si>
    <r>
      <t>GHG</t>
    </r>
    <r>
      <rPr>
        <b/>
        <vertAlign val="subscript"/>
        <sz val="11"/>
        <color theme="1"/>
        <rFont val="Times New Roman"/>
        <family val="1"/>
      </rPr>
      <t xml:space="preserve">E,t </t>
    </r>
  </si>
  <si>
    <t>Age</t>
  </si>
  <si>
    <t>Root shoot ration</t>
  </si>
  <si>
    <t>Buffer Pool allocation</t>
  </si>
  <si>
    <t>A</t>
  </si>
  <si>
    <t>Rs</t>
  </si>
  <si>
    <t>Vintage period</t>
  </si>
  <si>
    <t>Total</t>
  </si>
  <si>
    <t>Total VCUs available each year (VCUs)</t>
  </si>
  <si>
    <t>BE</t>
  </si>
  <si>
    <t>PE</t>
  </si>
  <si>
    <t>Sum</t>
  </si>
  <si>
    <t>LTA</t>
  </si>
  <si>
    <t xml:space="preserve">No. of Clumps in plot </t>
  </si>
  <si>
    <t xml:space="preserve">Clump </t>
  </si>
  <si>
    <t>No. of culms in clump</t>
  </si>
  <si>
    <t>Avg. DBH (cm)</t>
  </si>
  <si>
    <t>Above Ground Biomass (kg/culm)</t>
  </si>
  <si>
    <t>Above Ground Biomass (ton/clump)</t>
  </si>
  <si>
    <t>Total Above Ground Biomass (ton/ha)</t>
  </si>
  <si>
    <t>Stratum name</t>
  </si>
  <si>
    <t>Farmers Name</t>
  </si>
  <si>
    <t>Latitude</t>
  </si>
  <si>
    <t>Longitude</t>
  </si>
  <si>
    <t>Point A</t>
  </si>
  <si>
    <t>Point B</t>
  </si>
  <si>
    <t>Point C</t>
  </si>
  <si>
    <t>Point D</t>
  </si>
  <si>
    <t>Clump 1</t>
  </si>
  <si>
    <t>Clump 2</t>
  </si>
  <si>
    <t>Clump 3</t>
  </si>
  <si>
    <t>Bidyasing Ronghang</t>
  </si>
  <si>
    <t>Sanjoy Taro</t>
  </si>
  <si>
    <t xml:space="preserve"> 2019 B. tulda</t>
  </si>
  <si>
    <t>Jirsong Kro</t>
  </si>
  <si>
    <t>Ajit Timung</t>
  </si>
  <si>
    <t>Longkiram Tokbi</t>
  </si>
  <si>
    <t xml:space="preserve">Harsing Engti </t>
  </si>
  <si>
    <t>Moniram Bey</t>
  </si>
  <si>
    <t>Dhon Rongpi</t>
  </si>
  <si>
    <t>Velina Beypi</t>
  </si>
  <si>
    <t>Komal Kro</t>
  </si>
  <si>
    <t>Bimol Kro</t>
  </si>
  <si>
    <t>Dimi Teronpi</t>
  </si>
  <si>
    <t xml:space="preserve">Mina Terangpi </t>
  </si>
  <si>
    <t>Mirjalin terangpi</t>
  </si>
  <si>
    <t>Sim eh rongpi pi</t>
  </si>
  <si>
    <t>Babu Ingti</t>
  </si>
  <si>
    <t>Rostom Tokbi</t>
  </si>
  <si>
    <t>Sar sing teron</t>
  </si>
  <si>
    <t>Amphu Beypi</t>
  </si>
  <si>
    <t xml:space="preserve">Soron Teron </t>
  </si>
  <si>
    <t xml:space="preserve">Dilip Rongphar </t>
  </si>
  <si>
    <t>Jonaki Phongchopi</t>
  </si>
  <si>
    <t>Lolita Beypi</t>
  </si>
  <si>
    <t>Jun terangpi</t>
  </si>
  <si>
    <t>Roshmi Tokbipi</t>
  </si>
  <si>
    <t>2021 B. tulda</t>
  </si>
  <si>
    <t>2022 B. tulda</t>
  </si>
  <si>
    <t>Dibising Kramsa</t>
  </si>
  <si>
    <t>Kadom Rongpipi</t>
  </si>
  <si>
    <t>Kadom Roghangpi</t>
  </si>
  <si>
    <t>Rajen Kro</t>
  </si>
  <si>
    <t>Bidyaram Terang</t>
  </si>
  <si>
    <t>Har Sing Kro</t>
  </si>
  <si>
    <t>Eliban Teronpi</t>
  </si>
  <si>
    <t xml:space="preserve">Junaki Kropi </t>
  </si>
  <si>
    <t>Asha Ronghangpi</t>
  </si>
  <si>
    <t>Bikrom Terang</t>
  </si>
  <si>
    <t>Kare Singnarpi</t>
  </si>
  <si>
    <t>Bajong Ingti</t>
  </si>
  <si>
    <t>Pradip Ronghang</t>
  </si>
  <si>
    <t xml:space="preserve">Hemari Timung </t>
  </si>
  <si>
    <t>Anjuli Tokbipi</t>
  </si>
  <si>
    <t>Chondro sing Timung</t>
  </si>
  <si>
    <t>Table 3A.1.4</t>
  </si>
  <si>
    <t>Default value</t>
  </si>
  <si>
    <t>Table 4.4 of 2006 IPCC Guidelines for National Greenhouse Gas Inventories</t>
  </si>
  <si>
    <t>2019-2020</t>
  </si>
  <si>
    <t>2020-2021</t>
  </si>
  <si>
    <t>2021-2022</t>
  </si>
  <si>
    <t>2022-2023</t>
  </si>
  <si>
    <t>2023-2024</t>
  </si>
  <si>
    <t xml:space="preserve">This Monitoring Value </t>
  </si>
  <si>
    <t>1. Full tillage, Table 4</t>
  </si>
  <si>
    <t>2.low , Table 5</t>
  </si>
  <si>
    <r>
      <t>CO</t>
    </r>
    <r>
      <rPr>
        <vertAlign val="subscript"/>
        <sz val="11"/>
        <color theme="1"/>
        <rFont val="Times New Roman"/>
        <family val="1"/>
      </rPr>
      <t>2</t>
    </r>
    <r>
      <rPr>
        <sz val="11"/>
        <color theme="1"/>
        <rFont val="Times New Roman"/>
        <family val="1"/>
      </rPr>
      <t>/C</t>
    </r>
  </si>
  <si>
    <r>
      <rPr>
        <sz val="11"/>
        <color rgb="FF000000"/>
        <rFont val="Times New Roman"/>
        <family val="1"/>
      </rPr>
      <t>Puangchit, L., Hnin, S.M. and Sungkaew, S., 2019. Allometric equations for estimating the aboveground biomass of a 14-Year-old bamboo plantation at moeswe research station, Myanmar. </t>
    </r>
    <r>
      <rPr>
        <i/>
        <sz val="11"/>
        <color rgb="FF222222"/>
        <rFont val="Times New Roman"/>
        <family val="1"/>
      </rPr>
      <t>Journal of Tropical Forest Research</t>
    </r>
    <r>
      <rPr>
        <sz val="11"/>
        <color rgb="FF222222"/>
        <rFont val="Times New Roman"/>
        <family val="1"/>
      </rPr>
      <t>, </t>
    </r>
    <r>
      <rPr>
        <i/>
        <sz val="11"/>
        <color rgb="FF222222"/>
        <rFont val="Times New Roman"/>
        <family val="1"/>
      </rPr>
      <t>3</t>
    </r>
    <r>
      <rPr>
        <sz val="11"/>
        <color rgb="FF222222"/>
        <rFont val="Times New Roman"/>
        <family val="1"/>
      </rPr>
      <t>(1), pp.1-19.</t>
    </r>
  </si>
  <si>
    <t>Weightage</t>
  </si>
  <si>
    <t>Sangmir Teronpi</t>
  </si>
  <si>
    <t>Jekson Rongphar</t>
  </si>
  <si>
    <r>
      <t xml:space="preserve"> Above Ground Biomass of plot (625 m</t>
    </r>
    <r>
      <rPr>
        <b/>
        <vertAlign val="superscript"/>
        <sz val="11"/>
        <color theme="1"/>
        <rFont val="Times New Roman"/>
        <family val="1"/>
      </rPr>
      <t>2</t>
    </r>
    <r>
      <rPr>
        <b/>
        <sz val="11"/>
        <color theme="1"/>
        <rFont val="Times New Roman"/>
        <family val="1"/>
      </rPr>
      <t>) (ton/plot)</t>
    </r>
  </si>
  <si>
    <t>Name of Farmer</t>
  </si>
  <si>
    <t>Sr. No.</t>
  </si>
  <si>
    <t>Avg. Above Ground Biomass (ton/ha)</t>
  </si>
  <si>
    <r>
      <t>CC</t>
    </r>
    <r>
      <rPr>
        <b/>
        <i/>
        <vertAlign val="subscript"/>
        <sz val="11"/>
        <rFont val="Times New Roman"/>
        <family val="1"/>
      </rPr>
      <t>SHRUB_BSL,i</t>
    </r>
  </si>
  <si>
    <r>
      <t>b</t>
    </r>
    <r>
      <rPr>
        <b/>
        <i/>
        <vertAlign val="subscript"/>
        <sz val="11"/>
        <rFont val="Times New Roman"/>
        <family val="1"/>
      </rPr>
      <t>FOREST</t>
    </r>
  </si>
  <si>
    <r>
      <t>BDR</t>
    </r>
    <r>
      <rPr>
        <b/>
        <i/>
        <vertAlign val="subscript"/>
        <sz val="11"/>
        <rFont val="Times New Roman"/>
        <family val="1"/>
      </rPr>
      <t>SF</t>
    </r>
  </si>
  <si>
    <r>
      <t>b</t>
    </r>
    <r>
      <rPr>
        <b/>
        <i/>
        <vertAlign val="subscript"/>
        <sz val="11"/>
        <rFont val="Times New Roman"/>
        <family val="1"/>
      </rPr>
      <t>SHRUB_BSL,I,t</t>
    </r>
  </si>
  <si>
    <r>
      <t>CF</t>
    </r>
    <r>
      <rPr>
        <b/>
        <vertAlign val="subscript"/>
        <sz val="11"/>
        <rFont val="Times New Roman"/>
        <family val="1"/>
      </rPr>
      <t>s</t>
    </r>
  </si>
  <si>
    <r>
      <t>R</t>
    </r>
    <r>
      <rPr>
        <b/>
        <vertAlign val="subscript"/>
        <sz val="11"/>
        <rFont val="Times New Roman"/>
        <family val="1"/>
      </rPr>
      <t>s</t>
    </r>
  </si>
  <si>
    <r>
      <t>A</t>
    </r>
    <r>
      <rPr>
        <b/>
        <i/>
        <vertAlign val="subscript"/>
        <sz val="11"/>
        <rFont val="Times New Roman"/>
        <family val="1"/>
      </rPr>
      <t>SHRUB,i</t>
    </r>
  </si>
  <si>
    <r>
      <t>C</t>
    </r>
    <r>
      <rPr>
        <b/>
        <i/>
        <vertAlign val="subscript"/>
        <sz val="11"/>
        <rFont val="Times New Roman"/>
        <family val="1"/>
      </rPr>
      <t>SHRUB_BSL,t</t>
    </r>
  </si>
  <si>
    <r>
      <t>ΔC</t>
    </r>
    <r>
      <rPr>
        <b/>
        <vertAlign val="subscript"/>
        <sz val="11"/>
        <color theme="1"/>
        <rFont val="Times New Roman"/>
        <family val="1"/>
      </rPr>
      <t>SHRUB_BSL,t</t>
    </r>
  </si>
  <si>
    <r>
      <t>ΔC</t>
    </r>
    <r>
      <rPr>
        <b/>
        <vertAlign val="subscript"/>
        <sz val="11"/>
        <color theme="1"/>
        <rFont val="Times New Roman"/>
        <family val="1"/>
      </rPr>
      <t>BSL,t</t>
    </r>
  </si>
  <si>
    <t>Crown cover of shrubs in shrub biomass stratum i1 at a given point of time in year t expressed as a fraction; dimensionless (2019)</t>
  </si>
  <si>
    <t>Crown cover of shrubs in shrub biomass stratum i2 at a given point of time in year t expressed as a fraction; dimensionless (2020)</t>
  </si>
  <si>
    <t>Crown cover of shrubs in shrub biomass stratum i3 at a given point of time in year t expressed as a fraction; dimensionless (2021)</t>
  </si>
  <si>
    <t>Crown cover of shrubs in shrub biomass stratum i3 at a given point of time in year t expressed as a fraction; dimensionless (2022)</t>
  </si>
  <si>
    <r>
      <t>Default above-ground biomass content in forest in the region/ country where the A/R CDM project is located; t d.m. ha</t>
    </r>
    <r>
      <rPr>
        <b/>
        <vertAlign val="superscript"/>
        <sz val="11"/>
        <color theme="1"/>
        <rFont val="Times New Roman"/>
        <family val="1"/>
      </rPr>
      <t>-1</t>
    </r>
  </si>
  <si>
    <t>Ratio of shrub biomass per hectare in land having a shrub crown cover of 1.0 and default above-ground biomass content per hectare in forest in the region/country where the A/R CDM project is located; dimensionless</t>
  </si>
  <si>
    <r>
      <t>Shrub biomass per hectare in shrub biomass stratum i1 at a given point of time in year t; t d.m. ha</t>
    </r>
    <r>
      <rPr>
        <b/>
        <vertAlign val="superscript"/>
        <sz val="11"/>
        <color theme="1"/>
        <rFont val="Times New Roman"/>
        <family val="1"/>
      </rPr>
      <t>-1</t>
    </r>
    <r>
      <rPr>
        <b/>
        <sz val="11"/>
        <color theme="1"/>
        <rFont val="Times New Roman"/>
        <family val="1"/>
      </rPr>
      <t xml:space="preserve"> (2019)</t>
    </r>
  </si>
  <si>
    <r>
      <t>Shrub biomass per hectare in shrub biomass stratum i2 at a given point of time in year t; t d.m. ha</t>
    </r>
    <r>
      <rPr>
        <b/>
        <vertAlign val="superscript"/>
        <sz val="11"/>
        <color theme="1"/>
        <rFont val="Times New Roman"/>
        <family val="1"/>
      </rPr>
      <t>-1</t>
    </r>
    <r>
      <rPr>
        <b/>
        <sz val="11"/>
        <color theme="1"/>
        <rFont val="Times New Roman"/>
        <family val="1"/>
      </rPr>
      <t xml:space="preserve"> (2020)</t>
    </r>
  </si>
  <si>
    <r>
      <t>Shrub biomass per hectare in shrub biomass stratum i3 at a given point of time in year t; t d.m. ha</t>
    </r>
    <r>
      <rPr>
        <b/>
        <vertAlign val="superscript"/>
        <sz val="11"/>
        <color theme="1"/>
        <rFont val="Times New Roman"/>
        <family val="1"/>
      </rPr>
      <t>-1</t>
    </r>
    <r>
      <rPr>
        <b/>
        <sz val="11"/>
        <color theme="1"/>
        <rFont val="Times New Roman"/>
        <family val="1"/>
      </rPr>
      <t xml:space="preserve"> (2021)</t>
    </r>
  </si>
  <si>
    <r>
      <t>Shrub biomass per hectare in shrub biomass stratum i4 at a given point of time in year t; t d.m. ha</t>
    </r>
    <r>
      <rPr>
        <b/>
        <vertAlign val="superscript"/>
        <sz val="11"/>
        <color theme="1"/>
        <rFont val="Times New Roman"/>
        <family val="1"/>
      </rPr>
      <t>-1</t>
    </r>
    <r>
      <rPr>
        <b/>
        <sz val="11"/>
        <color theme="1"/>
        <rFont val="Times New Roman"/>
        <family val="1"/>
      </rPr>
      <t xml:space="preserve"> (2022)</t>
    </r>
  </si>
  <si>
    <t>Area of shrub biomass stratum i1 at a given point of time in year t; ha (2019)</t>
  </si>
  <si>
    <t>Area of shrub biomass stratum i2 at a given point of time in year t; ha (2020)</t>
  </si>
  <si>
    <t>Area of shrub biomass stratum i4 at a given point of time in year t; ha (2022)</t>
  </si>
  <si>
    <t>Area of shrub biomass stratum i3 at a given point of time in year t; ha (2021)</t>
  </si>
  <si>
    <r>
      <t>Carbon stock in shrub biomass within the stratum i1 at a given point of time in year t; tCO</t>
    </r>
    <r>
      <rPr>
        <b/>
        <vertAlign val="subscript"/>
        <sz val="11"/>
        <color theme="1"/>
        <rFont val="Times New Roman"/>
        <family val="1"/>
      </rPr>
      <t>2</t>
    </r>
    <r>
      <rPr>
        <b/>
        <sz val="11"/>
        <color theme="1"/>
        <rFont val="Times New Roman"/>
        <family val="1"/>
      </rPr>
      <t>e (2019)</t>
    </r>
  </si>
  <si>
    <r>
      <t>Carbon stock in shrub biomass within the stratum i2 at a given point of time in year t; tCO</t>
    </r>
    <r>
      <rPr>
        <b/>
        <vertAlign val="subscript"/>
        <sz val="11"/>
        <color theme="1"/>
        <rFont val="Times New Roman"/>
        <family val="1"/>
      </rPr>
      <t>2</t>
    </r>
    <r>
      <rPr>
        <b/>
        <sz val="11"/>
        <color theme="1"/>
        <rFont val="Times New Roman"/>
        <family val="1"/>
      </rPr>
      <t>e (2020)</t>
    </r>
  </si>
  <si>
    <r>
      <t>Carbon stock in shrub biomass within the stratum i3 at a
given point of time in year t; tCO</t>
    </r>
    <r>
      <rPr>
        <b/>
        <vertAlign val="subscript"/>
        <sz val="11"/>
        <color theme="1"/>
        <rFont val="Times New Roman"/>
        <family val="1"/>
      </rPr>
      <t>2</t>
    </r>
    <r>
      <rPr>
        <b/>
        <sz val="11"/>
        <color theme="1"/>
        <rFont val="Times New Roman"/>
        <family val="1"/>
      </rPr>
      <t>e (2021)</t>
    </r>
  </si>
  <si>
    <r>
      <t>Carbon stock in shrub biomass within the stratum i4 at a
given point of time in year t; tCO</t>
    </r>
    <r>
      <rPr>
        <b/>
        <vertAlign val="subscript"/>
        <sz val="11"/>
        <color theme="1"/>
        <rFont val="Times New Roman"/>
        <family val="1"/>
      </rPr>
      <t>2</t>
    </r>
    <r>
      <rPr>
        <b/>
        <sz val="11"/>
        <color theme="1"/>
        <rFont val="Times New Roman"/>
        <family val="1"/>
      </rPr>
      <t>e (2021)</t>
    </r>
  </si>
  <si>
    <r>
      <t>Change in carbon stock in shrub biomass within the project
boundary in year t; tCO</t>
    </r>
    <r>
      <rPr>
        <b/>
        <vertAlign val="subscript"/>
        <sz val="11"/>
        <color theme="1"/>
        <rFont val="Times New Roman"/>
        <family val="1"/>
      </rPr>
      <t>2</t>
    </r>
    <r>
      <rPr>
        <b/>
        <sz val="11"/>
        <color theme="1"/>
        <rFont val="Times New Roman"/>
        <family val="1"/>
      </rPr>
      <t>e</t>
    </r>
  </si>
  <si>
    <r>
      <t>Baseline net GHG removals by sinks in year t; tCO</t>
    </r>
    <r>
      <rPr>
        <b/>
        <vertAlign val="subscript"/>
        <sz val="11"/>
        <color theme="1"/>
        <rFont val="Times New Roman"/>
        <family val="1"/>
      </rPr>
      <t>2</t>
    </r>
    <r>
      <rPr>
        <b/>
        <sz val="11"/>
        <color theme="1"/>
        <rFont val="Times New Roman"/>
        <family val="1"/>
      </rPr>
      <t>e</t>
    </r>
  </si>
  <si>
    <r>
      <t>SOC</t>
    </r>
    <r>
      <rPr>
        <b/>
        <vertAlign val="subscript"/>
        <sz val="12"/>
        <color theme="1"/>
        <rFont val="Times New Roman"/>
        <family val="1"/>
      </rPr>
      <t>REF,i</t>
    </r>
  </si>
  <si>
    <r>
      <t>f</t>
    </r>
    <r>
      <rPr>
        <b/>
        <vertAlign val="subscript"/>
        <sz val="12"/>
        <color theme="1"/>
        <rFont val="Times New Roman"/>
        <family val="1"/>
      </rPr>
      <t>LU,i</t>
    </r>
  </si>
  <si>
    <r>
      <t>f</t>
    </r>
    <r>
      <rPr>
        <b/>
        <vertAlign val="subscript"/>
        <sz val="12"/>
        <color theme="1"/>
        <rFont val="Times New Roman"/>
        <family val="1"/>
      </rPr>
      <t>MG,i</t>
    </r>
  </si>
  <si>
    <r>
      <t>f</t>
    </r>
    <r>
      <rPr>
        <b/>
        <vertAlign val="subscript"/>
        <sz val="12"/>
        <color theme="1"/>
        <rFont val="Times New Roman"/>
        <family val="1"/>
      </rPr>
      <t>IN,i</t>
    </r>
  </si>
  <si>
    <r>
      <t>SOC</t>
    </r>
    <r>
      <rPr>
        <b/>
        <vertAlign val="subscript"/>
        <sz val="12"/>
        <color theme="1"/>
        <rFont val="Times New Roman"/>
        <family val="1"/>
      </rPr>
      <t>INITIAL,i</t>
    </r>
  </si>
  <si>
    <r>
      <t>SOC</t>
    </r>
    <r>
      <rPr>
        <b/>
        <vertAlign val="subscript"/>
        <sz val="12"/>
        <color theme="1"/>
        <rFont val="Times New Roman"/>
        <family val="1"/>
      </rPr>
      <t>LOSS,i</t>
    </r>
  </si>
  <si>
    <r>
      <t>dSOC</t>
    </r>
    <r>
      <rPr>
        <b/>
        <vertAlign val="subscript"/>
        <sz val="12"/>
        <color theme="1"/>
        <rFont val="Times New Roman"/>
        <family val="1"/>
      </rPr>
      <t>t,1</t>
    </r>
  </si>
  <si>
    <r>
      <t>A</t>
    </r>
    <r>
      <rPr>
        <b/>
        <vertAlign val="subscript"/>
        <sz val="12"/>
        <color theme="1"/>
        <rFont val="Times New Roman"/>
        <family val="1"/>
      </rPr>
      <t>1</t>
    </r>
  </si>
  <si>
    <r>
      <t>dSOC</t>
    </r>
    <r>
      <rPr>
        <b/>
        <vertAlign val="subscript"/>
        <sz val="12"/>
        <color theme="1"/>
        <rFont val="Times New Roman"/>
        <family val="1"/>
      </rPr>
      <t>t,2</t>
    </r>
  </si>
  <si>
    <r>
      <t>dSOC</t>
    </r>
    <r>
      <rPr>
        <b/>
        <vertAlign val="subscript"/>
        <sz val="12"/>
        <color theme="1"/>
        <rFont val="Times New Roman"/>
        <family val="1"/>
      </rPr>
      <t>t,3</t>
    </r>
  </si>
  <si>
    <r>
      <t>dSOC</t>
    </r>
    <r>
      <rPr>
        <b/>
        <vertAlign val="subscript"/>
        <sz val="12"/>
        <color theme="1"/>
        <rFont val="Times New Roman"/>
        <family val="1"/>
      </rPr>
      <t>t,4</t>
    </r>
  </si>
  <si>
    <r>
      <t>∆SOC</t>
    </r>
    <r>
      <rPr>
        <b/>
        <i/>
        <vertAlign val="subscript"/>
        <sz val="12"/>
        <rFont val="Times New Roman"/>
        <family val="1"/>
      </rPr>
      <t>AL,t</t>
    </r>
  </si>
  <si>
    <t xml:space="preserve">Short-term cultivated (&lt; 20 yrs) or set aside (&lt; 5 years), Table 4 </t>
  </si>
  <si>
    <r>
      <t>CO</t>
    </r>
    <r>
      <rPr>
        <b/>
        <vertAlign val="subscript"/>
        <sz val="12"/>
        <color theme="1"/>
        <rFont val="Times New Roman"/>
        <family val="1"/>
      </rPr>
      <t>2</t>
    </r>
    <r>
      <rPr>
        <b/>
        <sz val="12"/>
        <color theme="1"/>
        <rFont val="Times New Roman"/>
        <family val="1"/>
      </rPr>
      <t>/C</t>
    </r>
  </si>
  <si>
    <r>
      <t>The rate of change in SOC stock in stratum i of the areas of land, in year t;
t C ha</t>
    </r>
    <r>
      <rPr>
        <b/>
        <vertAlign val="superscript"/>
        <sz val="12"/>
        <color theme="1"/>
        <rFont val="Times New Roman"/>
        <family val="1"/>
      </rPr>
      <t>-1</t>
    </r>
    <r>
      <rPr>
        <b/>
        <sz val="12"/>
        <color theme="1"/>
        <rFont val="Times New Roman"/>
        <family val="1"/>
      </rPr>
      <t xml:space="preserve"> yr</t>
    </r>
    <r>
      <rPr>
        <b/>
        <vertAlign val="superscript"/>
        <sz val="12"/>
        <color theme="1"/>
        <rFont val="Times New Roman"/>
        <family val="1"/>
      </rPr>
      <t>-1</t>
    </r>
  </si>
  <si>
    <r>
      <t>The rate of change in SOC stock in stratum ii of the areas of land, in year t;
t C ha</t>
    </r>
    <r>
      <rPr>
        <b/>
        <vertAlign val="superscript"/>
        <sz val="12"/>
        <color theme="1"/>
        <rFont val="Times New Roman"/>
        <family val="1"/>
      </rPr>
      <t>-1</t>
    </r>
    <r>
      <rPr>
        <b/>
        <sz val="12"/>
        <color theme="1"/>
        <rFont val="Times New Roman"/>
        <family val="1"/>
      </rPr>
      <t xml:space="preserve"> yr</t>
    </r>
    <r>
      <rPr>
        <b/>
        <vertAlign val="superscript"/>
        <sz val="12"/>
        <color theme="1"/>
        <rFont val="Times New Roman"/>
        <family val="1"/>
      </rPr>
      <t>-1</t>
    </r>
  </si>
  <si>
    <r>
      <t>The rate of change in SOC stock in stratum iii of the areas of land, in year t;
t C ha</t>
    </r>
    <r>
      <rPr>
        <b/>
        <vertAlign val="superscript"/>
        <sz val="12"/>
        <color theme="1"/>
        <rFont val="Times New Roman"/>
        <family val="1"/>
      </rPr>
      <t>-1</t>
    </r>
    <r>
      <rPr>
        <b/>
        <sz val="12"/>
        <color theme="1"/>
        <rFont val="Times New Roman"/>
        <family val="1"/>
      </rPr>
      <t xml:space="preserve"> yr</t>
    </r>
    <r>
      <rPr>
        <b/>
        <vertAlign val="superscript"/>
        <sz val="12"/>
        <color theme="1"/>
        <rFont val="Times New Roman"/>
        <family val="1"/>
      </rPr>
      <t>-1</t>
    </r>
  </si>
  <si>
    <r>
      <t>The rate of change in SOC stock in stratum iv of the areas of land, in year t;
t C ha</t>
    </r>
    <r>
      <rPr>
        <b/>
        <vertAlign val="superscript"/>
        <sz val="12"/>
        <color theme="1"/>
        <rFont val="Times New Roman"/>
        <family val="1"/>
      </rPr>
      <t>-1</t>
    </r>
    <r>
      <rPr>
        <b/>
        <sz val="12"/>
        <color theme="1"/>
        <rFont val="Times New Roman"/>
        <family val="1"/>
      </rPr>
      <t xml:space="preserve"> yr</t>
    </r>
    <r>
      <rPr>
        <b/>
        <vertAlign val="superscript"/>
        <sz val="12"/>
        <color theme="1"/>
        <rFont val="Times New Roman"/>
        <family val="1"/>
      </rPr>
      <t>-1</t>
    </r>
  </si>
  <si>
    <r>
      <t>Change in carbon stock in SOC in project, in year t; tCO</t>
    </r>
    <r>
      <rPr>
        <b/>
        <vertAlign val="subscript"/>
        <sz val="12"/>
        <rFont val="Times New Roman"/>
        <family val="1"/>
      </rPr>
      <t>2</t>
    </r>
    <r>
      <rPr>
        <b/>
        <sz val="12"/>
        <rFont val="Times New Roman"/>
        <family val="1"/>
      </rPr>
      <t>e</t>
    </r>
  </si>
  <si>
    <t>09-Jul-2019 to 31-Dec-2019</t>
  </si>
  <si>
    <t>01-Jan-2024 to 16-Dec-2024</t>
  </si>
  <si>
    <t>09-Jul-2019 to 08-July-2020</t>
  </si>
  <si>
    <t>09-Jul-2020 to 08-July-2021</t>
  </si>
  <si>
    <t>09-Jul-2021 to 08-July-2022</t>
  </si>
  <si>
    <t>09-Jul-2022 to 08-July-2023</t>
  </si>
  <si>
    <t>09-Jul-2023 to 08-July-2024</t>
  </si>
  <si>
    <t>09-Jul-2024 to 16-Dec-2024</t>
  </si>
  <si>
    <r>
      <t>As per the tool GHG</t>
    </r>
    <r>
      <rPr>
        <vertAlign val="subscript"/>
        <sz val="11"/>
        <color theme="1"/>
        <rFont val="Times New Roman"/>
        <family val="1"/>
      </rPr>
      <t>SPF,t</t>
    </r>
    <r>
      <rPr>
        <sz val="11"/>
        <color theme="1"/>
        <rFont val="Times New Roman"/>
        <family val="1"/>
      </rPr>
      <t xml:space="preserve"> and GHG</t>
    </r>
    <r>
      <rPr>
        <vertAlign val="subscript"/>
        <sz val="11"/>
        <color theme="1"/>
        <rFont val="Times New Roman"/>
        <family val="1"/>
      </rPr>
      <t>FMF,t</t>
    </r>
    <r>
      <rPr>
        <sz val="11"/>
        <color theme="1"/>
        <rFont val="Times New Roman"/>
        <family val="1"/>
      </rPr>
      <t xml:space="preserve"> are ZERO. </t>
    </r>
  </si>
  <si>
    <r>
      <t>GHG</t>
    </r>
    <r>
      <rPr>
        <vertAlign val="subscript"/>
        <sz val="11"/>
        <color theme="1"/>
        <rFont val="Times New Roman"/>
        <family val="1"/>
      </rPr>
      <t>FF_DOM,t</t>
    </r>
    <r>
      <rPr>
        <sz val="11"/>
        <color theme="1"/>
        <rFont val="Times New Roman"/>
        <family val="1"/>
      </rPr>
      <t xml:space="preserve"> conservatively assumed zero since Dead Organic Matter is excluded from the GHG accounting. </t>
    </r>
  </si>
  <si>
    <r>
      <t>GHG</t>
    </r>
    <r>
      <rPr>
        <vertAlign val="subscript"/>
        <sz val="11"/>
        <color theme="1"/>
        <rFont val="Times New Roman"/>
        <family val="1"/>
      </rPr>
      <t>FF_TREE,t</t>
    </r>
    <r>
      <rPr>
        <sz val="11"/>
        <color theme="1"/>
        <rFont val="Times New Roman"/>
        <family val="1"/>
      </rPr>
      <t xml:space="preserve"> is calculated as follows:</t>
    </r>
  </si>
  <si>
    <r>
      <t>i</t>
    </r>
    <r>
      <rPr>
        <vertAlign val="subscript"/>
        <sz val="11"/>
        <color theme="1"/>
        <rFont val="Times New Roman"/>
        <family val="1"/>
      </rPr>
      <t>1</t>
    </r>
  </si>
  <si>
    <r>
      <t>A</t>
    </r>
    <r>
      <rPr>
        <vertAlign val="subscript"/>
        <sz val="11"/>
        <color theme="1"/>
        <rFont val="Times New Roman"/>
        <family val="1"/>
      </rPr>
      <t>BURN,I,t</t>
    </r>
  </si>
  <si>
    <r>
      <t>b</t>
    </r>
    <r>
      <rPr>
        <vertAlign val="subscript"/>
        <sz val="11"/>
        <color theme="1"/>
        <rFont val="Times New Roman"/>
        <family val="1"/>
      </rPr>
      <t>TREE,i,tL</t>
    </r>
  </si>
  <si>
    <r>
      <t>COMF</t>
    </r>
    <r>
      <rPr>
        <vertAlign val="subscript"/>
        <sz val="11"/>
        <color theme="1"/>
        <rFont val="Times New Roman"/>
        <family val="1"/>
      </rPr>
      <t>i</t>
    </r>
  </si>
  <si>
    <r>
      <t>EF</t>
    </r>
    <r>
      <rPr>
        <vertAlign val="subscript"/>
        <sz val="11"/>
        <color theme="1"/>
        <rFont val="Times New Roman"/>
        <family val="1"/>
      </rPr>
      <t>CH4,i</t>
    </r>
  </si>
  <si>
    <r>
      <t>GWP</t>
    </r>
    <r>
      <rPr>
        <vertAlign val="subscript"/>
        <sz val="11"/>
        <color theme="1"/>
        <rFont val="Times New Roman"/>
        <family val="1"/>
      </rPr>
      <t>CH4</t>
    </r>
  </si>
  <si>
    <r>
      <t>EF</t>
    </r>
    <r>
      <rPr>
        <vertAlign val="subscript"/>
        <sz val="11"/>
        <color theme="1"/>
        <rFont val="Times New Roman"/>
        <family val="1"/>
      </rPr>
      <t>N2O,i</t>
    </r>
  </si>
  <si>
    <r>
      <t>GWP</t>
    </r>
    <r>
      <rPr>
        <vertAlign val="subscript"/>
        <sz val="11"/>
        <color theme="1"/>
        <rFont val="Times New Roman"/>
        <family val="1"/>
      </rPr>
      <t>N2O</t>
    </r>
  </si>
  <si>
    <r>
      <t>GHG</t>
    </r>
    <r>
      <rPr>
        <vertAlign val="subscript"/>
        <sz val="11"/>
        <color theme="1"/>
        <rFont val="Times New Roman"/>
        <family val="1"/>
      </rPr>
      <t>FF_TREE,t</t>
    </r>
  </si>
  <si>
    <t>09-Jul-2019 to 16-Dec-2024</t>
  </si>
  <si>
    <r>
      <t>Emission factor for CH</t>
    </r>
    <r>
      <rPr>
        <vertAlign val="subscript"/>
        <sz val="11"/>
        <color theme="1"/>
        <rFont val="Times New Roman"/>
        <family val="1"/>
      </rPr>
      <t>4</t>
    </r>
    <r>
      <rPr>
        <sz val="11"/>
        <color theme="1"/>
        <rFont val="Times New Roman"/>
        <family val="1"/>
      </rPr>
      <t xml:space="preserve"> in stratum i</t>
    </r>
  </si>
  <si>
    <r>
      <t>Global warming potential for CH</t>
    </r>
    <r>
      <rPr>
        <vertAlign val="subscript"/>
        <sz val="11"/>
        <color theme="1"/>
        <rFont val="Times New Roman"/>
        <family val="1"/>
      </rPr>
      <t>4</t>
    </r>
    <r>
      <rPr>
        <sz val="11"/>
        <color theme="1"/>
        <rFont val="Times New Roman"/>
        <family val="1"/>
      </rPr>
      <t>; dimensionless</t>
    </r>
  </si>
  <si>
    <r>
      <t>Emission factor for N</t>
    </r>
    <r>
      <rPr>
        <vertAlign val="subscript"/>
        <sz val="11"/>
        <color theme="1"/>
        <rFont val="Times New Roman"/>
        <family val="1"/>
      </rPr>
      <t>2</t>
    </r>
    <r>
      <rPr>
        <sz val="11"/>
        <color theme="1"/>
        <rFont val="Times New Roman"/>
        <family val="1"/>
      </rPr>
      <t>O in stratum i</t>
    </r>
  </si>
  <si>
    <r>
      <t>Global warming potential for N</t>
    </r>
    <r>
      <rPr>
        <vertAlign val="subscript"/>
        <sz val="11"/>
        <color theme="1"/>
        <rFont val="Times New Roman"/>
        <family val="1"/>
      </rPr>
      <t>2</t>
    </r>
    <r>
      <rPr>
        <sz val="11"/>
        <color theme="1"/>
        <rFont val="Times New Roman"/>
        <family val="1"/>
      </rPr>
      <t>O; dimensionless</t>
    </r>
  </si>
  <si>
    <r>
      <t>Emission of non-CO</t>
    </r>
    <r>
      <rPr>
        <vertAlign val="subscript"/>
        <sz val="11"/>
        <color theme="1"/>
        <rFont val="Times New Roman"/>
        <family val="1"/>
      </rPr>
      <t>2</t>
    </r>
    <r>
      <rPr>
        <sz val="11"/>
        <color theme="1"/>
        <rFont val="Times New Roman"/>
        <family val="1"/>
      </rPr>
      <t xml:space="preserve"> gases resulting from the loss of aboveground biomass of trees due to fire (tCO</t>
    </r>
    <r>
      <rPr>
        <vertAlign val="subscript"/>
        <sz val="11"/>
        <color theme="1"/>
        <rFont val="Times New Roman"/>
        <family val="1"/>
      </rPr>
      <t>2</t>
    </r>
    <r>
      <rPr>
        <sz val="11"/>
        <color theme="1"/>
        <rFont val="Times New Roman"/>
        <family val="1"/>
      </rPr>
      <t>e)</t>
    </r>
  </si>
  <si>
    <r>
      <t>Mean aboveground tree biomass per hectare in stratum i in year t which is the year in which last verification was carried out before occurrence of the fire; t.d.m. ha</t>
    </r>
    <r>
      <rPr>
        <vertAlign val="superscript"/>
        <sz val="11"/>
        <color theme="1"/>
        <rFont val="Times New Roman"/>
        <family val="1"/>
      </rPr>
      <t>-1</t>
    </r>
  </si>
  <si>
    <r>
      <t>Emission of non-CO</t>
    </r>
    <r>
      <rPr>
        <b/>
        <vertAlign val="subscript"/>
        <sz val="11"/>
        <color theme="1"/>
        <rFont val="Times New Roman"/>
        <family val="1"/>
      </rPr>
      <t>2</t>
    </r>
    <r>
      <rPr>
        <b/>
        <sz val="11"/>
        <color theme="1"/>
        <rFont val="Times New Roman"/>
        <family val="1"/>
      </rPr>
      <t xml:space="preserve"> GHGs resulting from use of fire to clear the land of harvest residue prior to replanting of the land or other forest management, in year t; tCO</t>
    </r>
    <r>
      <rPr>
        <b/>
        <vertAlign val="subscript"/>
        <sz val="11"/>
        <color theme="1"/>
        <rFont val="Times New Roman"/>
        <family val="1"/>
      </rPr>
      <t>2</t>
    </r>
    <r>
      <rPr>
        <b/>
        <sz val="11"/>
        <color theme="1"/>
        <rFont val="Times New Roman"/>
        <family val="1"/>
      </rPr>
      <t>e</t>
    </r>
  </si>
  <si>
    <r>
      <t>Emission of non-CO</t>
    </r>
    <r>
      <rPr>
        <b/>
        <vertAlign val="subscript"/>
        <sz val="11"/>
        <color theme="1"/>
        <rFont val="Times New Roman"/>
        <family val="1"/>
      </rPr>
      <t>2</t>
    </r>
    <r>
      <rPr>
        <b/>
        <sz val="11"/>
        <color theme="1"/>
        <rFont val="Times New Roman"/>
        <family val="1"/>
      </rPr>
      <t xml:space="preserve"> GHGs resulting from fire in year t; tCO</t>
    </r>
    <r>
      <rPr>
        <b/>
        <vertAlign val="subscript"/>
        <sz val="11"/>
        <color theme="1"/>
        <rFont val="Times New Roman"/>
        <family val="1"/>
      </rPr>
      <t>2</t>
    </r>
    <r>
      <rPr>
        <b/>
        <sz val="11"/>
        <color theme="1"/>
        <rFont val="Times New Roman"/>
        <family val="1"/>
      </rPr>
      <t xml:space="preserve">e </t>
    </r>
  </si>
  <si>
    <r>
      <t>Emission of non-CO</t>
    </r>
    <r>
      <rPr>
        <b/>
        <vertAlign val="subscript"/>
        <sz val="11"/>
        <color theme="1"/>
        <rFont val="Times New Roman"/>
        <family val="1"/>
      </rPr>
      <t>2</t>
    </r>
    <r>
      <rPr>
        <b/>
        <sz val="11"/>
        <color theme="1"/>
        <rFont val="Times New Roman"/>
        <family val="1"/>
      </rPr>
      <t xml:space="preserve"> GHGs resulting from use of fire in site preparation in year t; tCO</t>
    </r>
    <r>
      <rPr>
        <b/>
        <vertAlign val="subscript"/>
        <sz val="11"/>
        <color theme="1"/>
        <rFont val="Times New Roman"/>
        <family val="1"/>
      </rPr>
      <t>2</t>
    </r>
    <r>
      <rPr>
        <b/>
        <sz val="11"/>
        <color theme="1"/>
        <rFont val="Times New Roman"/>
        <family val="1"/>
      </rPr>
      <t>e</t>
    </r>
  </si>
  <si>
    <r>
      <t>Emission of non-CO</t>
    </r>
    <r>
      <rPr>
        <b/>
        <vertAlign val="subscript"/>
        <sz val="11"/>
        <color theme="1"/>
        <rFont val="Times New Roman"/>
        <family val="1"/>
      </rPr>
      <t>2</t>
    </r>
    <r>
      <rPr>
        <b/>
        <sz val="11"/>
        <color theme="1"/>
        <rFont val="Times New Roman"/>
        <family val="1"/>
      </rPr>
      <t xml:space="preserve"> GHGs resulting from burning of biomass and forest fires within the project boundary in year t; tCO</t>
    </r>
    <r>
      <rPr>
        <b/>
        <vertAlign val="subscript"/>
        <sz val="11"/>
        <color theme="1"/>
        <rFont val="Times New Roman"/>
        <family val="1"/>
      </rPr>
      <t>2</t>
    </r>
    <r>
      <rPr>
        <b/>
        <sz val="11"/>
        <color theme="1"/>
        <rFont val="Times New Roman"/>
        <family val="1"/>
      </rPr>
      <t>e</t>
    </r>
  </si>
  <si>
    <r>
      <t>Annual Leakage Emissions (tCO</t>
    </r>
    <r>
      <rPr>
        <b/>
        <vertAlign val="subscript"/>
        <sz val="11"/>
        <color rgb="FFFFFFFF"/>
        <rFont val="Times New Roman"/>
        <family val="1"/>
      </rPr>
      <t>2</t>
    </r>
    <r>
      <rPr>
        <b/>
        <sz val="11"/>
        <color rgb="FFFFFFFF"/>
        <rFont val="Times New Roman"/>
        <family val="1"/>
      </rPr>
      <t>e)</t>
    </r>
  </si>
  <si>
    <r>
      <t>Total Leakage Emissions (tCO</t>
    </r>
    <r>
      <rPr>
        <b/>
        <vertAlign val="subscript"/>
        <sz val="11"/>
        <color rgb="FFFFFFFF"/>
        <rFont val="Times New Roman"/>
        <family val="1"/>
      </rPr>
      <t>2</t>
    </r>
    <r>
      <rPr>
        <b/>
        <sz val="11"/>
        <color rgb="FFFFFFFF"/>
        <rFont val="Times New Roman"/>
        <family val="1"/>
      </rPr>
      <t>e)</t>
    </r>
  </si>
  <si>
    <r>
      <t>Mean tree biomass per hectare in stratum i</t>
    </r>
    <r>
      <rPr>
        <b/>
        <vertAlign val="subscript"/>
        <sz val="11"/>
        <rFont val="Times New Roman"/>
        <family val="1"/>
      </rPr>
      <t>1</t>
    </r>
    <r>
      <rPr>
        <b/>
        <sz val="11"/>
        <rFont val="Times New Roman"/>
        <family val="1"/>
      </rPr>
      <t xml:space="preserve"> at a given point of time in year t; t d.m. ha</t>
    </r>
    <r>
      <rPr>
        <b/>
        <vertAlign val="superscript"/>
        <sz val="11"/>
        <rFont val="Times New Roman"/>
        <family val="1"/>
      </rPr>
      <t>-1</t>
    </r>
  </si>
  <si>
    <r>
      <t>Mean tree biomass per hectare in stratum i</t>
    </r>
    <r>
      <rPr>
        <b/>
        <vertAlign val="subscript"/>
        <sz val="11"/>
        <rFont val="Times New Roman"/>
        <family val="1"/>
      </rPr>
      <t>2</t>
    </r>
    <r>
      <rPr>
        <b/>
        <sz val="11"/>
        <rFont val="Times New Roman"/>
        <family val="1"/>
      </rPr>
      <t xml:space="preserve"> at a given point of time in year t; t d.m. ha</t>
    </r>
    <r>
      <rPr>
        <b/>
        <vertAlign val="superscript"/>
        <sz val="11"/>
        <rFont val="Times New Roman"/>
        <family val="1"/>
      </rPr>
      <t>-1</t>
    </r>
  </si>
  <si>
    <r>
      <t>Mean tree biomass per hectare in stratum i</t>
    </r>
    <r>
      <rPr>
        <b/>
        <vertAlign val="subscript"/>
        <sz val="11"/>
        <rFont val="Times New Roman"/>
        <family val="1"/>
      </rPr>
      <t>3</t>
    </r>
    <r>
      <rPr>
        <b/>
        <sz val="11"/>
        <rFont val="Times New Roman"/>
        <family val="1"/>
      </rPr>
      <t xml:space="preserve"> at a given point of time in year t; t d.m. ha</t>
    </r>
    <r>
      <rPr>
        <b/>
        <vertAlign val="superscript"/>
        <sz val="11"/>
        <rFont val="Times New Roman"/>
        <family val="1"/>
      </rPr>
      <t>-1</t>
    </r>
  </si>
  <si>
    <r>
      <t>Mean tree biomass per hectare in stratum i</t>
    </r>
    <r>
      <rPr>
        <b/>
        <vertAlign val="subscript"/>
        <sz val="11"/>
        <rFont val="Times New Roman"/>
        <family val="1"/>
      </rPr>
      <t>4</t>
    </r>
    <r>
      <rPr>
        <b/>
        <sz val="11"/>
        <rFont val="Times New Roman"/>
        <family val="1"/>
      </rPr>
      <t xml:space="preserve"> at a given point of time in year t; t d.m. ha</t>
    </r>
    <r>
      <rPr>
        <b/>
        <vertAlign val="superscript"/>
        <sz val="11"/>
        <rFont val="Times New Roman"/>
        <family val="1"/>
      </rPr>
      <t>-1</t>
    </r>
  </si>
  <si>
    <r>
      <t>b</t>
    </r>
    <r>
      <rPr>
        <b/>
        <vertAlign val="subscript"/>
        <sz val="11"/>
        <rFont val="Times New Roman"/>
        <family val="1"/>
      </rPr>
      <t>TREE,i,t</t>
    </r>
  </si>
  <si>
    <r>
      <t>w</t>
    </r>
    <r>
      <rPr>
        <b/>
        <vertAlign val="subscript"/>
        <sz val="11"/>
        <rFont val="Times New Roman"/>
        <family val="1"/>
      </rPr>
      <t>1</t>
    </r>
  </si>
  <si>
    <r>
      <t>w</t>
    </r>
    <r>
      <rPr>
        <b/>
        <vertAlign val="subscript"/>
        <sz val="11"/>
        <rFont val="Times New Roman"/>
        <family val="1"/>
      </rPr>
      <t>2</t>
    </r>
  </si>
  <si>
    <r>
      <t>w</t>
    </r>
    <r>
      <rPr>
        <b/>
        <vertAlign val="subscript"/>
        <sz val="11"/>
        <rFont val="Times New Roman"/>
        <family val="1"/>
      </rPr>
      <t>3</t>
    </r>
  </si>
  <si>
    <r>
      <t>w</t>
    </r>
    <r>
      <rPr>
        <b/>
        <vertAlign val="subscript"/>
        <sz val="11"/>
        <rFont val="Times New Roman"/>
        <family val="1"/>
      </rPr>
      <t>4</t>
    </r>
  </si>
  <si>
    <r>
      <t>b</t>
    </r>
    <r>
      <rPr>
        <b/>
        <vertAlign val="subscript"/>
        <sz val="11"/>
        <rFont val="Times New Roman"/>
        <family val="1"/>
      </rPr>
      <t>TREE,t</t>
    </r>
  </si>
  <si>
    <r>
      <t>B</t>
    </r>
    <r>
      <rPr>
        <b/>
        <vertAlign val="subscript"/>
        <sz val="11"/>
        <rFont val="Times New Roman"/>
        <family val="1"/>
      </rPr>
      <t>TREE,t</t>
    </r>
  </si>
  <si>
    <r>
      <t>CF</t>
    </r>
    <r>
      <rPr>
        <b/>
        <vertAlign val="subscript"/>
        <sz val="11"/>
        <rFont val="Times New Roman"/>
        <family val="1"/>
      </rPr>
      <t>TREE</t>
    </r>
  </si>
  <si>
    <r>
      <t>C</t>
    </r>
    <r>
      <rPr>
        <b/>
        <vertAlign val="subscript"/>
        <sz val="11"/>
        <rFont val="Times New Roman"/>
        <family val="1"/>
      </rPr>
      <t>TREE,t</t>
    </r>
  </si>
  <si>
    <r>
      <t>∆C</t>
    </r>
    <r>
      <rPr>
        <b/>
        <i/>
        <vertAlign val="subscript"/>
        <sz val="11"/>
        <rFont val="Times New Roman"/>
        <family val="1"/>
      </rPr>
      <t>TREE,t</t>
    </r>
  </si>
  <si>
    <r>
      <t>∆C</t>
    </r>
    <r>
      <rPr>
        <b/>
        <i/>
        <vertAlign val="subscript"/>
        <sz val="11"/>
        <rFont val="Times New Roman"/>
        <family val="1"/>
      </rPr>
      <t>TREE_PROJ,t</t>
    </r>
  </si>
  <si>
    <r>
      <t>∆C</t>
    </r>
    <r>
      <rPr>
        <b/>
        <i/>
        <vertAlign val="subscript"/>
        <sz val="11"/>
        <rFont val="Times New Roman"/>
        <family val="1"/>
      </rPr>
      <t>SHRUB_PROJ,t</t>
    </r>
  </si>
  <si>
    <r>
      <t>∆C</t>
    </r>
    <r>
      <rPr>
        <b/>
        <i/>
        <vertAlign val="subscript"/>
        <sz val="11"/>
        <rFont val="Times New Roman"/>
        <family val="1"/>
      </rPr>
      <t>DW_PROJ,t</t>
    </r>
  </si>
  <si>
    <r>
      <t>∆C</t>
    </r>
    <r>
      <rPr>
        <b/>
        <i/>
        <vertAlign val="subscript"/>
        <sz val="11"/>
        <rFont val="Times New Roman"/>
        <family val="1"/>
      </rPr>
      <t>LI_PROJ,t</t>
    </r>
  </si>
  <si>
    <r>
      <t>∆SOC</t>
    </r>
    <r>
      <rPr>
        <b/>
        <i/>
        <vertAlign val="subscript"/>
        <sz val="11"/>
        <rFont val="Times New Roman"/>
        <family val="1"/>
      </rPr>
      <t>AL,t</t>
    </r>
  </si>
  <si>
    <r>
      <t>∆C</t>
    </r>
    <r>
      <rPr>
        <b/>
        <i/>
        <vertAlign val="subscript"/>
        <sz val="11"/>
        <rFont val="Times New Roman"/>
        <family val="1"/>
      </rPr>
      <t>P,t</t>
    </r>
  </si>
  <si>
    <r>
      <t>GHG</t>
    </r>
    <r>
      <rPr>
        <b/>
        <vertAlign val="subscript"/>
        <sz val="11"/>
        <rFont val="Times New Roman"/>
        <family val="1"/>
      </rPr>
      <t>E,t</t>
    </r>
  </si>
  <si>
    <r>
      <t>∆C</t>
    </r>
    <r>
      <rPr>
        <b/>
        <i/>
        <vertAlign val="subscript"/>
        <sz val="11"/>
        <rFont val="Times New Roman"/>
        <family val="1"/>
      </rPr>
      <t>ACTUAL,t</t>
    </r>
  </si>
  <si>
    <r>
      <t>LK</t>
    </r>
    <r>
      <rPr>
        <b/>
        <i/>
        <vertAlign val="subscript"/>
        <sz val="11"/>
        <rFont val="Times New Roman"/>
        <family val="1"/>
      </rPr>
      <t>t</t>
    </r>
  </si>
  <si>
    <r>
      <t>∆C</t>
    </r>
    <r>
      <rPr>
        <b/>
        <vertAlign val="subscript"/>
        <sz val="11"/>
        <rFont val="Times New Roman"/>
        <family val="1"/>
      </rPr>
      <t>BSL,t</t>
    </r>
  </si>
  <si>
    <r>
      <t>∆C</t>
    </r>
    <r>
      <rPr>
        <b/>
        <vertAlign val="subscript"/>
        <sz val="11"/>
        <rFont val="Times New Roman"/>
        <family val="1"/>
      </rPr>
      <t>AR-CDM,t</t>
    </r>
  </si>
  <si>
    <r>
      <t>Change in carbon stock in tree biomass in project in year t; tCO</t>
    </r>
    <r>
      <rPr>
        <b/>
        <vertAlign val="subscript"/>
        <sz val="11"/>
        <rFont val="Times New Roman"/>
        <family val="1"/>
      </rPr>
      <t>2</t>
    </r>
    <r>
      <rPr>
        <b/>
        <sz val="11"/>
        <rFont val="Times New Roman"/>
        <family val="1"/>
      </rPr>
      <t>e</t>
    </r>
  </si>
  <si>
    <r>
      <t>Change in carbon stock in shrub biomass in project in year t; t CO</t>
    </r>
    <r>
      <rPr>
        <b/>
        <vertAlign val="subscript"/>
        <sz val="11"/>
        <rFont val="Times New Roman"/>
        <family val="1"/>
      </rPr>
      <t>2</t>
    </r>
    <r>
      <rPr>
        <b/>
        <sz val="11"/>
        <rFont val="Times New Roman"/>
        <family val="1"/>
      </rPr>
      <t>e</t>
    </r>
  </si>
  <si>
    <r>
      <t>Change in carbon stock in dead wood in project in year t; tCO</t>
    </r>
    <r>
      <rPr>
        <b/>
        <vertAlign val="subscript"/>
        <sz val="11"/>
        <rFont val="Times New Roman"/>
        <family val="1"/>
      </rPr>
      <t>2</t>
    </r>
    <r>
      <rPr>
        <b/>
        <sz val="11"/>
        <rFont val="Times New Roman"/>
        <family val="1"/>
      </rPr>
      <t>e</t>
    </r>
  </si>
  <si>
    <r>
      <t>Change in carbon stock in litter in project in year t; tCO</t>
    </r>
    <r>
      <rPr>
        <b/>
        <vertAlign val="subscript"/>
        <sz val="11"/>
        <rFont val="Times New Roman"/>
        <family val="1"/>
      </rPr>
      <t>2</t>
    </r>
    <r>
      <rPr>
        <b/>
        <sz val="11"/>
        <rFont val="Times New Roman"/>
        <family val="1"/>
      </rPr>
      <t>e</t>
    </r>
  </si>
  <si>
    <r>
      <t>Change in carbon stock in SOC in project, in year t; tCO</t>
    </r>
    <r>
      <rPr>
        <b/>
        <vertAlign val="subscript"/>
        <sz val="11"/>
        <rFont val="Times New Roman"/>
        <family val="1"/>
      </rPr>
      <t>2</t>
    </r>
    <r>
      <rPr>
        <b/>
        <sz val="11"/>
        <rFont val="Times New Roman"/>
        <family val="1"/>
      </rPr>
      <t>e</t>
    </r>
  </si>
  <si>
    <r>
      <t>Change in the carbon stocks in project, occurring in the selected carbon pools, in year t; tCO</t>
    </r>
    <r>
      <rPr>
        <b/>
        <vertAlign val="subscript"/>
        <sz val="11"/>
        <rFont val="Times New Roman"/>
        <family val="1"/>
      </rPr>
      <t>2</t>
    </r>
    <r>
      <rPr>
        <b/>
        <sz val="11"/>
        <rFont val="Times New Roman"/>
        <family val="1"/>
      </rPr>
      <t>e</t>
    </r>
  </si>
  <si>
    <r>
      <t>Increase in non-CO</t>
    </r>
    <r>
      <rPr>
        <b/>
        <vertAlign val="subscript"/>
        <sz val="11"/>
        <color theme="1"/>
        <rFont val="Times New Roman"/>
        <family val="1"/>
      </rPr>
      <t>2</t>
    </r>
    <r>
      <rPr>
        <b/>
        <sz val="11"/>
        <color theme="1"/>
        <rFont val="Times New Roman"/>
        <family val="1"/>
      </rPr>
      <t xml:space="preserve"> GHG emissions within the project boundary as a result of the implementation of the A/R CDM project activity, in year t; tCO</t>
    </r>
    <r>
      <rPr>
        <b/>
        <vertAlign val="subscript"/>
        <sz val="11"/>
        <color theme="1"/>
        <rFont val="Times New Roman"/>
        <family val="1"/>
      </rPr>
      <t>2</t>
    </r>
    <r>
      <rPr>
        <b/>
        <sz val="11"/>
        <color theme="1"/>
        <rFont val="Times New Roman"/>
        <family val="1"/>
      </rPr>
      <t>e</t>
    </r>
  </si>
  <si>
    <r>
      <t>Actual net GHG removals by sinks, in year t; tCO</t>
    </r>
    <r>
      <rPr>
        <b/>
        <vertAlign val="subscript"/>
        <sz val="11"/>
        <rFont val="Times New Roman"/>
        <family val="1"/>
      </rPr>
      <t>2</t>
    </r>
    <r>
      <rPr>
        <b/>
        <sz val="11"/>
        <rFont val="Times New Roman"/>
        <family val="1"/>
      </rPr>
      <t>e</t>
    </r>
  </si>
  <si>
    <r>
      <t>GHG emissions due to leakage, in year t; tCO</t>
    </r>
    <r>
      <rPr>
        <b/>
        <vertAlign val="subscript"/>
        <sz val="11"/>
        <rFont val="Times New Roman"/>
        <family val="1"/>
      </rPr>
      <t>2</t>
    </r>
    <r>
      <rPr>
        <b/>
        <sz val="11"/>
        <rFont val="Times New Roman"/>
        <family val="1"/>
      </rPr>
      <t>e</t>
    </r>
  </si>
  <si>
    <r>
      <t>Baseline net GHG removals by sinks, in year t; tCO</t>
    </r>
    <r>
      <rPr>
        <b/>
        <vertAlign val="subscript"/>
        <sz val="11"/>
        <rFont val="Times New Roman"/>
        <family val="1"/>
      </rPr>
      <t>2</t>
    </r>
    <r>
      <rPr>
        <b/>
        <sz val="11"/>
        <rFont val="Times New Roman"/>
        <family val="1"/>
      </rPr>
      <t>e</t>
    </r>
  </si>
  <si>
    <r>
      <t>Net anthropogenic GHG removals by sinks, in year t; tCO</t>
    </r>
    <r>
      <rPr>
        <b/>
        <vertAlign val="subscript"/>
        <sz val="11"/>
        <rFont val="Times New Roman"/>
        <family val="1"/>
      </rPr>
      <t>2</t>
    </r>
    <r>
      <rPr>
        <b/>
        <sz val="11"/>
        <rFont val="Times New Roman"/>
        <family val="1"/>
      </rPr>
      <t>e</t>
    </r>
  </si>
  <si>
    <t>Mean tree biomass per hectare within the project boundary at agiven point of time in year t; t d.m. ha-1</t>
  </si>
  <si>
    <r>
      <t>Ratio of the area of stratum i</t>
    </r>
    <r>
      <rPr>
        <b/>
        <vertAlign val="subscript"/>
        <sz val="11"/>
        <rFont val="Times New Roman"/>
        <family val="1"/>
      </rPr>
      <t>1</t>
    </r>
    <r>
      <rPr>
        <b/>
        <sz val="11"/>
        <rFont val="Times New Roman"/>
        <family val="1"/>
      </rPr>
      <t xml:space="preserve"> to the sum of areas of biomass estimation strata; dimensionless</t>
    </r>
  </si>
  <si>
    <r>
      <t>Ratio of the area of stratum i</t>
    </r>
    <r>
      <rPr>
        <b/>
        <vertAlign val="subscript"/>
        <sz val="11"/>
        <rFont val="Times New Roman"/>
        <family val="1"/>
      </rPr>
      <t>2</t>
    </r>
    <r>
      <rPr>
        <b/>
        <sz val="11"/>
        <rFont val="Times New Roman"/>
        <family val="1"/>
      </rPr>
      <t xml:space="preserve"> to the sum of areas of biomass estimation strata; dimensionless</t>
    </r>
  </si>
  <si>
    <r>
      <t>Ratio of the area of stratum i</t>
    </r>
    <r>
      <rPr>
        <b/>
        <vertAlign val="subscript"/>
        <sz val="11"/>
        <rFont val="Times New Roman"/>
        <family val="1"/>
      </rPr>
      <t>3</t>
    </r>
    <r>
      <rPr>
        <b/>
        <sz val="11"/>
        <rFont val="Times New Roman"/>
        <family val="1"/>
      </rPr>
      <t xml:space="preserve"> to the sum of areas of biomass estimation strata; dimensionless</t>
    </r>
  </si>
  <si>
    <r>
      <t>Ratio of the area of stratum i</t>
    </r>
    <r>
      <rPr>
        <b/>
        <vertAlign val="subscript"/>
        <sz val="11"/>
        <rFont val="Times New Roman"/>
        <family val="1"/>
      </rPr>
      <t>4</t>
    </r>
    <r>
      <rPr>
        <b/>
        <sz val="11"/>
        <rFont val="Times New Roman"/>
        <family val="1"/>
      </rPr>
      <t xml:space="preserve"> to the sum of areas of biomass estimation strata; dimensionless</t>
    </r>
  </si>
  <si>
    <t>Sum of areas of the biomass estimation strata within the project boundary; ha</t>
  </si>
  <si>
    <t>Total tree biomass within the project boundary at a given point of time in year t; t d.m.</t>
  </si>
  <si>
    <r>
      <t>Carbon fraction of tree biomass; t C t d.m.</t>
    </r>
    <r>
      <rPr>
        <b/>
        <vertAlign val="subscript"/>
        <sz val="11"/>
        <rFont val="Times New Roman"/>
        <family val="1"/>
      </rPr>
      <t>-1</t>
    </r>
    <r>
      <rPr>
        <b/>
        <sz val="11"/>
        <rFont val="Times New Roman"/>
        <family val="1"/>
      </rPr>
      <t xml:space="preserve"> (Default value used as per tool)</t>
    </r>
  </si>
  <si>
    <r>
      <t>Carbon stock in tree biomass within the project boundary at a given point of time in year t; tCO</t>
    </r>
    <r>
      <rPr>
        <b/>
        <vertAlign val="subscript"/>
        <sz val="11"/>
        <rFont val="Times New Roman"/>
        <family val="1"/>
      </rPr>
      <t>2</t>
    </r>
    <r>
      <rPr>
        <b/>
        <sz val="11"/>
        <rFont val="Times New Roman"/>
        <family val="1"/>
      </rPr>
      <t>e</t>
    </r>
  </si>
  <si>
    <r>
      <t>Change in carbon stock in tree biomass within the project boundary in year t; tCO</t>
    </r>
    <r>
      <rPr>
        <b/>
        <vertAlign val="subscript"/>
        <sz val="11"/>
        <rFont val="Times New Roman"/>
        <family val="1"/>
      </rPr>
      <t>2</t>
    </r>
    <r>
      <rPr>
        <b/>
        <sz val="11"/>
        <rFont val="Times New Roman"/>
        <family val="1"/>
      </rPr>
      <t>e</t>
    </r>
  </si>
  <si>
    <t xml:space="preserve">VCUs eligible for Issuance
</t>
  </si>
  <si>
    <r>
      <t>Baseline emissions (tCO</t>
    </r>
    <r>
      <rPr>
        <b/>
        <vertAlign val="subscript"/>
        <sz val="11"/>
        <color rgb="FFFFFFFF"/>
        <rFont val="Times New Roman"/>
        <family val="1"/>
      </rPr>
      <t>2</t>
    </r>
    <r>
      <rPr>
        <b/>
        <sz val="11"/>
        <color rgb="FFFFFFFF"/>
        <rFont val="Times New Roman"/>
        <family val="1"/>
      </rPr>
      <t>e)</t>
    </r>
  </si>
  <si>
    <r>
      <t>Project emissions (tCO</t>
    </r>
    <r>
      <rPr>
        <b/>
        <vertAlign val="subscript"/>
        <sz val="11"/>
        <color rgb="FFFFFFFF"/>
        <rFont val="Times New Roman"/>
        <family val="1"/>
      </rPr>
      <t>2</t>
    </r>
    <r>
      <rPr>
        <b/>
        <sz val="11"/>
        <color rgb="FFFFFFFF"/>
        <rFont val="Times New Roman"/>
        <family val="1"/>
      </rPr>
      <t>e)</t>
    </r>
  </si>
  <si>
    <r>
      <t>Project emissions to date (tCO</t>
    </r>
    <r>
      <rPr>
        <b/>
        <vertAlign val="subscript"/>
        <sz val="11"/>
        <color rgb="FFFFFFFF"/>
        <rFont val="Times New Roman"/>
        <family val="1"/>
      </rPr>
      <t>2</t>
    </r>
    <r>
      <rPr>
        <b/>
        <sz val="11"/>
        <color rgb="FFFFFFFF"/>
        <rFont val="Times New Roman"/>
        <family val="1"/>
      </rPr>
      <t>e)</t>
    </r>
  </si>
  <si>
    <r>
      <t>Leakage emissions (tCO</t>
    </r>
    <r>
      <rPr>
        <b/>
        <vertAlign val="subscript"/>
        <sz val="11"/>
        <color rgb="FFFFFFFF"/>
        <rFont val="Times New Roman"/>
        <family val="1"/>
      </rPr>
      <t>2</t>
    </r>
    <r>
      <rPr>
        <b/>
        <sz val="11"/>
        <color rgb="FFFFFFFF"/>
        <rFont val="Times New Roman"/>
        <family val="1"/>
      </rPr>
      <t>e)</t>
    </r>
  </si>
  <si>
    <t>01-Jan-2020 to 31-Dec-2020</t>
  </si>
  <si>
    <t>01-Jan-2021 to 31-Dec-2021</t>
  </si>
  <si>
    <t>01-Jan-2022 to 31-Dec-2022</t>
  </si>
  <si>
    <t>01-Jan-2023 to 31-Dec-2023</t>
  </si>
  <si>
    <t>No. of days</t>
  </si>
  <si>
    <r>
      <t>Buffer pool allocation (tCO</t>
    </r>
    <r>
      <rPr>
        <b/>
        <vertAlign val="subscript"/>
        <sz val="11"/>
        <color rgb="FFFFFFFF"/>
        <rFont val="Times New Roman"/>
        <family val="1"/>
      </rPr>
      <t>2</t>
    </r>
    <r>
      <rPr>
        <b/>
        <sz val="11"/>
        <color rgb="FFFFFFFF"/>
        <rFont val="Times New Roman"/>
        <family val="1"/>
      </rPr>
      <t>e)</t>
    </r>
  </si>
  <si>
    <r>
      <t>Reductions VCUs (tCO</t>
    </r>
    <r>
      <rPr>
        <b/>
        <vertAlign val="subscript"/>
        <sz val="11"/>
        <color rgb="FFFFFFFF"/>
        <rFont val="Times New Roman"/>
        <family val="1"/>
      </rPr>
      <t>2</t>
    </r>
    <r>
      <rPr>
        <b/>
        <sz val="11"/>
        <color rgb="FFFFFFFF"/>
        <rFont val="Times New Roman"/>
        <family val="1"/>
      </rPr>
      <t>e)</t>
    </r>
  </si>
  <si>
    <r>
      <t>Removals VCUs (tCO</t>
    </r>
    <r>
      <rPr>
        <b/>
        <vertAlign val="subscript"/>
        <sz val="11"/>
        <color rgb="FFFFFFFF"/>
        <rFont val="Times New Roman"/>
        <family val="1"/>
      </rPr>
      <t>2</t>
    </r>
    <r>
      <rPr>
        <b/>
        <sz val="11"/>
        <color rgb="FFFFFFFF"/>
        <rFont val="Times New Roman"/>
        <family val="1"/>
      </rPr>
      <t>e)</t>
    </r>
  </si>
  <si>
    <r>
      <t>Total VCU issuance (tCO</t>
    </r>
    <r>
      <rPr>
        <b/>
        <vertAlign val="subscript"/>
        <sz val="11"/>
        <color rgb="FFFFFFFF"/>
        <rFont val="Times New Roman"/>
        <family val="1"/>
      </rPr>
      <t>2</t>
    </r>
    <r>
      <rPr>
        <b/>
        <sz val="11"/>
        <color rgb="FFFFFFFF"/>
        <rFont val="Times New Roman"/>
        <family val="1"/>
      </rPr>
      <t>e)</t>
    </r>
  </si>
  <si>
    <r>
      <t>Ex ante VCUs (tCO</t>
    </r>
    <r>
      <rPr>
        <b/>
        <vertAlign val="subscript"/>
        <sz val="11"/>
        <color rgb="FFFFFFFF"/>
        <rFont val="Times New Roman"/>
        <family val="1"/>
      </rPr>
      <t>2</t>
    </r>
    <r>
      <rPr>
        <b/>
        <sz val="11"/>
        <color rgb="FFFFFFFF"/>
        <rFont val="Times New Roman"/>
        <family val="1"/>
      </rPr>
      <t>e)</t>
    </r>
  </si>
  <si>
    <r>
      <t>Ex post VCUs (tCO</t>
    </r>
    <r>
      <rPr>
        <b/>
        <vertAlign val="subscript"/>
        <sz val="11"/>
        <color rgb="FFFFFFFF"/>
        <rFont val="Times New Roman"/>
        <family val="1"/>
      </rPr>
      <t>2</t>
    </r>
    <r>
      <rPr>
        <b/>
        <sz val="11"/>
        <color rgb="FFFFFFFF"/>
        <rFont val="Times New Roman"/>
        <family val="1"/>
      </rPr>
      <t>e)</t>
    </r>
  </si>
  <si>
    <t>Difference</t>
  </si>
  <si>
    <r>
      <t>tCO</t>
    </r>
    <r>
      <rPr>
        <b/>
        <vertAlign val="subscript"/>
        <sz val="11"/>
        <color rgb="FFFFFFFF"/>
        <rFont val="Times New Roman"/>
        <family val="1"/>
      </rPr>
      <t>2</t>
    </r>
    <r>
      <rPr>
        <b/>
        <sz val="11"/>
        <color rgb="FFFFFFFF"/>
        <rFont val="Times New Roman"/>
        <family val="1"/>
      </rPr>
      <t>e</t>
    </r>
  </si>
  <si>
    <r>
      <t>PE</t>
    </r>
    <r>
      <rPr>
        <b/>
        <vertAlign val="subscript"/>
        <sz val="11"/>
        <color rgb="FFFFFFFF"/>
        <rFont val="Times New Roman"/>
        <family val="1"/>
      </rPr>
      <t>t</t>
    </r>
    <r>
      <rPr>
        <b/>
        <sz val="11"/>
        <color rgb="FFFFFFFF"/>
        <rFont val="Times New Roman"/>
        <family val="1"/>
      </rPr>
      <t xml:space="preserve"> − PE</t>
    </r>
    <r>
      <rPr>
        <b/>
        <vertAlign val="subscript"/>
        <sz val="11"/>
        <color rgb="FFFFFFFF"/>
        <rFont val="Times New Roman"/>
        <family val="1"/>
      </rPr>
      <t>t-1</t>
    </r>
  </si>
  <si>
    <t xml:space="preserve">Annual Buffer Pool Allocation </t>
  </si>
  <si>
    <t xml:space="preserve">Total number of VCUs for issuance </t>
  </si>
  <si>
    <r>
      <t>tCO</t>
    </r>
    <r>
      <rPr>
        <b/>
        <vertAlign val="subscript"/>
        <sz val="11"/>
        <color rgb="FFFFFFFF"/>
        <rFont val="Times New Roman"/>
        <family val="1"/>
      </rPr>
      <t>2</t>
    </r>
    <r>
      <rPr>
        <b/>
        <sz val="11"/>
        <color rgb="FFFFFFFF"/>
        <rFont val="Times New Roman"/>
        <family val="1"/>
      </rPr>
      <t>e/yr</t>
    </r>
  </si>
  <si>
    <t xml:space="preserve">Project scenario: to date GHG emission reductions and removals at year t </t>
  </si>
  <si>
    <t>Baseline scenario: to date GHG emission reductions and removals at year t</t>
  </si>
  <si>
    <r>
      <t>PE</t>
    </r>
    <r>
      <rPr>
        <b/>
        <vertAlign val="subscript"/>
        <sz val="11"/>
        <color rgb="FFFFFFFF"/>
        <rFont val="Times New Roman"/>
        <family val="1"/>
      </rPr>
      <t>t</t>
    </r>
    <r>
      <rPr>
        <b/>
        <sz val="11"/>
        <color rgb="FFFFFFFF"/>
        <rFont val="Times New Roman"/>
        <family val="1"/>
      </rPr>
      <t>- BE</t>
    </r>
    <r>
      <rPr>
        <b/>
        <vertAlign val="subscript"/>
        <sz val="11"/>
        <color rgb="FFFFFFFF"/>
        <rFont val="Times New Roman"/>
        <family val="1"/>
      </rPr>
      <t>t</t>
    </r>
  </si>
  <si>
    <t>Annual change in GHG benefit</t>
  </si>
  <si>
    <t xml:space="preserve">Expected total GHG benefit to date </t>
  </si>
  <si>
    <t>Reference</t>
  </si>
  <si>
    <t>https://www.bing.com/ck/a?!&amp;&amp;p=07c21af0487fa8692154afaf72f147348bd1156d391f329c62f050775eb6efd1JmltdHM9MTc1OTI3NjgwMA&amp;ptn=3&amp;ver=2&amp;hsh=4&amp;fclid=18478bda-6735-65d8-2601-9f9d6651643a&amp;psq=Puangchit%2c+L.%2c+Hnin%2c+S.M.+and+Sungkaew%2c+S.%2c+2019.+Allometric+equations+for+estimating+the+aboveground+biomass+of+a+14-Year-old+bamboo+plantation+at+moeswe+research+station%2c+Myanmar.+Journal+of+Tropical+Forest+Research%2c+3(1)%2c+pp.1-19.&amp;u=a1aHR0cHM6Ly9rdWtyLmxpYi5rdS5hYy50aC9rdWtyX2VzL2t1a3Ivc2VhcmNoX2RldGFpbC9kb3dsb2FkX2RpZ2l0YWxfZmlsZS8zOTUwMTgvMTMzMzkz</t>
  </si>
  <si>
    <t>Stratum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</si>
</sst>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0.000"/>
    <numFmt numFmtId="166" formatCode="0.0000"/>
    <numFmt numFmtId="167" formatCode="0.0"/>
    <numFmt numFmtId="168" formatCode="[Red][&lt;0]\-General;[Black]General;[Black]General"/>
    <numFmt numFmtId="169" formatCode="_(* #,##0_);_(* \(#,##0\);_(* &quot;-&quot;??_);_(@_)"/>
  </numFmts>
  <fonts count="35" x14ac:knownFonts="1">
    <font>
      <sz val="11"/>
      <color theme="1"/>
      <name val="Calibri"/>
      <family val="2"/>
      <scheme val="minor"/>
    </font>
    <font>
      <sz val="12"/>
      <color theme="1"/>
      <name val="Times New Roman"/>
      <family val="1"/>
    </font>
    <font>
      <b/>
      <sz val="12"/>
      <color theme="1"/>
      <name val="Times New Roman"/>
      <family val="1"/>
    </font>
    <font>
      <b/>
      <sz val="9"/>
      <color indexed="81"/>
      <name val="Tahoma"/>
      <family val="2"/>
    </font>
    <font>
      <sz val="9"/>
      <color indexed="81"/>
      <name val="Tahoma"/>
      <family val="2"/>
    </font>
    <font>
      <sz val="8"/>
      <name val="Calibri"/>
      <family val="2"/>
      <scheme val="minor"/>
    </font>
    <font>
      <sz val="10"/>
      <name val="Arial"/>
      <family val="2"/>
    </font>
    <font>
      <u/>
      <sz val="11"/>
      <color theme="10"/>
      <name val="Calibri"/>
      <family val="2"/>
      <scheme val="minor"/>
    </font>
    <font>
      <sz val="11"/>
      <color theme="1"/>
      <name val="Calibri"/>
      <family val="2"/>
      <scheme val="minor"/>
    </font>
    <font>
      <b/>
      <sz val="11"/>
      <color theme="1"/>
      <name val="Times New Roman"/>
      <family val="1"/>
    </font>
    <font>
      <b/>
      <vertAlign val="subscript"/>
      <sz val="11"/>
      <color theme="1"/>
      <name val="Times New Roman"/>
      <family val="1"/>
    </font>
    <font>
      <sz val="11"/>
      <color theme="1"/>
      <name val="Times New Roman"/>
      <family val="1"/>
    </font>
    <font>
      <b/>
      <sz val="11"/>
      <color rgb="FFFFFFFF"/>
      <name val="Times New Roman"/>
      <family val="1"/>
    </font>
    <font>
      <b/>
      <vertAlign val="subscript"/>
      <sz val="11"/>
      <color rgb="FFFFFFFF"/>
      <name val="Times New Roman"/>
      <family val="1"/>
    </font>
    <font>
      <sz val="11"/>
      <name val="Times New Roman"/>
      <family val="1"/>
    </font>
    <font>
      <vertAlign val="subscript"/>
      <sz val="11"/>
      <color theme="1"/>
      <name val="Times New Roman"/>
      <family val="1"/>
    </font>
    <font>
      <i/>
      <sz val="11"/>
      <color theme="1"/>
      <name val="Times New Roman"/>
      <family val="1"/>
    </font>
    <font>
      <sz val="11"/>
      <color rgb="FF000000"/>
      <name val="Times New Roman"/>
      <family val="1"/>
    </font>
    <font>
      <i/>
      <sz val="11"/>
      <color rgb="FF222222"/>
      <name val="Times New Roman"/>
      <family val="1"/>
    </font>
    <font>
      <sz val="11"/>
      <color rgb="FF222222"/>
      <name val="Times New Roman"/>
      <family val="1"/>
    </font>
    <font>
      <b/>
      <vertAlign val="superscript"/>
      <sz val="11"/>
      <color theme="1"/>
      <name val="Times New Roman"/>
      <family val="1"/>
    </font>
    <font>
      <b/>
      <i/>
      <sz val="11"/>
      <name val="Times New Roman"/>
      <family val="1"/>
    </font>
    <font>
      <b/>
      <i/>
      <vertAlign val="subscript"/>
      <sz val="11"/>
      <name val="Times New Roman"/>
      <family val="1"/>
    </font>
    <font>
      <b/>
      <sz val="11"/>
      <name val="Times New Roman"/>
      <family val="1"/>
    </font>
    <font>
      <b/>
      <vertAlign val="subscript"/>
      <sz val="11"/>
      <name val="Times New Roman"/>
      <family val="1"/>
    </font>
    <font>
      <b/>
      <vertAlign val="subscript"/>
      <sz val="12"/>
      <color theme="1"/>
      <name val="Times New Roman"/>
      <family val="1"/>
    </font>
    <font>
      <u/>
      <sz val="12"/>
      <color theme="10"/>
      <name val="Times New Roman"/>
      <family val="1"/>
    </font>
    <font>
      <sz val="12"/>
      <name val="Times New Roman"/>
      <family val="1"/>
    </font>
    <font>
      <b/>
      <sz val="12"/>
      <name val="Times New Roman"/>
      <family val="1"/>
    </font>
    <font>
      <b/>
      <i/>
      <vertAlign val="subscript"/>
      <sz val="12"/>
      <name val="Times New Roman"/>
      <family val="1"/>
    </font>
    <font>
      <b/>
      <vertAlign val="superscript"/>
      <sz val="12"/>
      <color theme="1"/>
      <name val="Times New Roman"/>
      <family val="1"/>
    </font>
    <font>
      <b/>
      <vertAlign val="subscript"/>
      <sz val="12"/>
      <name val="Times New Roman"/>
      <family val="1"/>
    </font>
    <font>
      <vertAlign val="superscript"/>
      <sz val="11"/>
      <color theme="1"/>
      <name val="Times New Roman"/>
      <family val="1"/>
    </font>
    <font>
      <sz val="11"/>
      <color rgb="FFFF0000"/>
      <name val="Times New Roman"/>
      <family val="1"/>
    </font>
    <font>
      <b/>
      <vertAlign val="superscript"/>
      <sz val="11"/>
      <name val="Times New Roman"/>
      <family val="1"/>
    </font>
  </fonts>
  <fills count="1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FF00"/>
        <bgColor theme="4" tint="0.79998168889431442"/>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theme="6" tint="0.79998168889431442"/>
        <bgColor indexed="64"/>
      </patternFill>
    </fill>
    <fill>
      <patternFill patternType="solid">
        <fgColor rgb="FF2B395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s>
  <cellStyleXfs count="7">
    <xf numFmtId="0" fontId="0" fillId="0" borderId="0"/>
    <xf numFmtId="0" fontId="7" fillId="0" borderId="0" applyNumberForma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0" fontId="6" fillId="0" borderId="0"/>
    <xf numFmtId="168" fontId="6" fillId="13" borderId="13">
      <alignment wrapText="1"/>
      <protection locked="0"/>
    </xf>
    <xf numFmtId="9" fontId="8" fillId="0" borderId="0" applyFont="0" applyFill="0" applyBorder="0" applyAlignment="0" applyProtection="0"/>
  </cellStyleXfs>
  <cellXfs count="431">
    <xf numFmtId="0" fontId="0" fillId="0" borderId="0" xfId="0"/>
    <xf numFmtId="0" fontId="1" fillId="0" borderId="0" xfId="0" applyFont="1"/>
    <xf numFmtId="0" fontId="0" fillId="0" borderId="0" xfId="0" applyAlignment="1">
      <alignment wrapText="1"/>
    </xf>
    <xf numFmtId="2" fontId="0" fillId="0" borderId="1" xfId="0" applyNumberFormat="1" applyBorder="1" applyAlignment="1">
      <alignment horizontal="center" wrapText="1"/>
    </xf>
    <xf numFmtId="0" fontId="0" fillId="0" borderId="1" xfId="0" applyBorder="1" applyAlignment="1">
      <alignment wrapText="1"/>
    </xf>
    <xf numFmtId="0" fontId="11" fillId="0" borderId="0" xfId="0" applyFont="1"/>
    <xf numFmtId="2" fontId="11" fillId="0" borderId="0" xfId="0" applyNumberFormat="1" applyFont="1"/>
    <xf numFmtId="1" fontId="11" fillId="0" borderId="0" xfId="0" applyNumberFormat="1" applyFont="1"/>
    <xf numFmtId="9" fontId="11" fillId="0" borderId="0" xfId="0" applyNumberFormat="1" applyFont="1"/>
    <xf numFmtId="3" fontId="11" fillId="0" borderId="0" xfId="0" applyNumberFormat="1" applyFont="1"/>
    <xf numFmtId="0" fontId="11" fillId="0" borderId="1" xfId="2" applyNumberFormat="1" applyFont="1" applyBorder="1" applyAlignment="1">
      <alignment horizontal="center" vertical="center"/>
    </xf>
    <xf numFmtId="0" fontId="0" fillId="0" borderId="1" xfId="0" applyBorder="1" applyAlignment="1">
      <alignment horizontal="center" wrapText="1"/>
    </xf>
    <xf numFmtId="0" fontId="11" fillId="0" borderId="0" xfId="0" applyFont="1" applyAlignment="1">
      <alignment wrapText="1"/>
    </xf>
    <xf numFmtId="2" fontId="14" fillId="11" borderId="10" xfId="5" applyNumberFormat="1" applyFont="1" applyFill="1" applyBorder="1" applyAlignment="1">
      <alignment horizontal="center" wrapText="1"/>
      <protection locked="0"/>
    </xf>
    <xf numFmtId="2" fontId="11" fillId="0" borderId="11" xfId="0" applyNumberFormat="1" applyFont="1" applyBorder="1" applyAlignment="1">
      <alignment horizontal="center"/>
    </xf>
    <xf numFmtId="1" fontId="11" fillId="0" borderId="12" xfId="0" applyNumberFormat="1" applyFont="1" applyBorder="1" applyAlignment="1">
      <alignment horizontal="center"/>
    </xf>
    <xf numFmtId="2" fontId="14" fillId="11" borderId="8" xfId="5" applyNumberFormat="1" applyFont="1" applyFill="1" applyBorder="1" applyAlignment="1">
      <alignment horizontal="center" wrapText="1"/>
      <protection locked="0"/>
    </xf>
    <xf numFmtId="2" fontId="11" fillId="0" borderId="1" xfId="0" applyNumberFormat="1" applyFont="1" applyBorder="1" applyAlignment="1">
      <alignment horizontal="center"/>
    </xf>
    <xf numFmtId="1" fontId="11" fillId="0" borderId="9" xfId="0" applyNumberFormat="1" applyFont="1" applyBorder="1" applyAlignment="1">
      <alignment horizontal="center"/>
    </xf>
    <xf numFmtId="2" fontId="14" fillId="11" borderId="21" xfId="5" applyNumberFormat="1" applyFont="1" applyFill="1" applyBorder="1" applyAlignment="1">
      <alignment horizontal="center" wrapText="1"/>
      <protection locked="0"/>
    </xf>
    <xf numFmtId="2" fontId="11" fillId="0" borderId="22" xfId="0" applyNumberFormat="1" applyFont="1" applyBorder="1" applyAlignment="1">
      <alignment horizontal="center"/>
    </xf>
    <xf numFmtId="1" fontId="11" fillId="0" borderId="23" xfId="0" applyNumberFormat="1" applyFont="1" applyBorder="1" applyAlignment="1">
      <alignment horizont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16" fillId="0" borderId="17" xfId="0" applyFont="1" applyBorder="1" applyAlignment="1">
      <alignment horizontal="left" vertical="center"/>
    </xf>
    <xf numFmtId="0" fontId="11"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17" xfId="0" applyFont="1" applyBorder="1" applyAlignment="1">
      <alignment vertical="center"/>
    </xf>
    <xf numFmtId="10" fontId="11" fillId="0" borderId="17" xfId="0" applyNumberFormat="1" applyFont="1" applyBorder="1" applyAlignment="1">
      <alignment vertical="center"/>
    </xf>
    <xf numFmtId="0" fontId="11" fillId="0" borderId="18" xfId="0" applyFont="1" applyBorder="1" applyAlignment="1">
      <alignment vertical="center"/>
    </xf>
    <xf numFmtId="0" fontId="11" fillId="0" borderId="0" xfId="0" applyFont="1" applyAlignment="1">
      <alignment horizontal="center" vertical="center"/>
    </xf>
    <xf numFmtId="0" fontId="16" fillId="0" borderId="0" xfId="0" applyFont="1" applyAlignment="1">
      <alignment horizontal="left" vertical="center"/>
    </xf>
    <xf numFmtId="0" fontId="11" fillId="0" borderId="0" xfId="0" applyFont="1" applyAlignment="1">
      <alignment horizontal="center" vertical="center" wrapText="1"/>
    </xf>
    <xf numFmtId="10" fontId="11" fillId="0" borderId="0" xfId="0" applyNumberFormat="1" applyFont="1" applyAlignment="1">
      <alignment horizontal="center" vertical="center"/>
    </xf>
    <xf numFmtId="0" fontId="11" fillId="0" borderId="0" xfId="0" applyFont="1" applyAlignment="1">
      <alignment horizontal="center"/>
    </xf>
    <xf numFmtId="10" fontId="11" fillId="0" borderId="0" xfId="0" applyNumberFormat="1" applyFont="1" applyAlignment="1">
      <alignment horizontal="center"/>
    </xf>
    <xf numFmtId="9" fontId="11" fillId="0" borderId="0" xfId="0" applyNumberFormat="1" applyFont="1" applyAlignment="1">
      <alignment horizont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0" borderId="31" xfId="0" applyFont="1" applyBorder="1" applyAlignment="1">
      <alignment horizontal="left"/>
    </xf>
    <xf numFmtId="0" fontId="11" fillId="0" borderId="32" xfId="0" applyFont="1" applyBorder="1" applyAlignment="1">
      <alignment horizontal="left"/>
    </xf>
    <xf numFmtId="0" fontId="11" fillId="0" borderId="33" xfId="0" applyFont="1" applyBorder="1" applyAlignment="1">
      <alignment horizontal="left"/>
    </xf>
    <xf numFmtId="0" fontId="9" fillId="5" borderId="5" xfId="0" applyFont="1" applyFill="1" applyBorder="1" applyAlignment="1">
      <alignment horizontal="center" vertical="center" wrapText="1"/>
    </xf>
    <xf numFmtId="0" fontId="9" fillId="5" borderId="24" xfId="0" applyFont="1" applyFill="1" applyBorder="1" applyAlignment="1">
      <alignment horizontal="left" vertical="center" wrapText="1"/>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xf numFmtId="0" fontId="11" fillId="0" borderId="3" xfId="0" applyFont="1" applyBorder="1"/>
    <xf numFmtId="2" fontId="11" fillId="0" borderId="3" xfId="0" applyNumberFormat="1" applyFont="1" applyBorder="1" applyAlignment="1">
      <alignment horizont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xf numFmtId="0" fontId="11" fillId="0" borderId="22" xfId="0" applyFont="1" applyBorder="1"/>
    <xf numFmtId="0" fontId="0" fillId="0" borderId="11" xfId="0" applyBorder="1" applyAlignment="1">
      <alignment horizontal="center" wrapText="1"/>
    </xf>
    <xf numFmtId="2" fontId="0" fillId="0" borderId="11" xfId="0" applyNumberFormat="1" applyBorder="1" applyAlignment="1">
      <alignment horizontal="center" wrapText="1"/>
    </xf>
    <xf numFmtId="0" fontId="0" fillId="0" borderId="22" xfId="0" applyBorder="1" applyAlignment="1">
      <alignment horizontal="center" wrapText="1"/>
    </xf>
    <xf numFmtId="2" fontId="0" fillId="0" borderId="22" xfId="0" applyNumberFormat="1" applyBorder="1" applyAlignment="1">
      <alignment horizont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0" borderId="11" xfId="0" applyBorder="1" applyAlignment="1">
      <alignment wrapText="1"/>
    </xf>
    <xf numFmtId="0" fontId="0" fillId="0" borderId="22" xfId="0" applyBorder="1" applyAlignment="1">
      <alignment wrapText="1"/>
    </xf>
    <xf numFmtId="0" fontId="0" fillId="0" borderId="0" xfId="0" applyAlignment="1">
      <alignment horizontal="center" vertical="center"/>
    </xf>
    <xf numFmtId="0" fontId="11" fillId="0" borderId="0" xfId="0" applyFont="1" applyAlignment="1">
      <alignment horizontal="left"/>
    </xf>
    <xf numFmtId="0" fontId="11" fillId="7" borderId="28" xfId="0" applyFont="1" applyFill="1" applyBorder="1" applyAlignment="1">
      <alignment horizontal="center" wrapText="1"/>
    </xf>
    <xf numFmtId="0" fontId="11" fillId="7" borderId="39" xfId="0" applyFont="1" applyFill="1" applyBorder="1" applyAlignment="1">
      <alignment horizontal="center" wrapText="1"/>
    </xf>
    <xf numFmtId="2" fontId="11" fillId="7" borderId="11" xfId="0" applyNumberFormat="1" applyFont="1" applyFill="1" applyBorder="1" applyAlignment="1">
      <alignment horizontal="center" wrapText="1"/>
    </xf>
    <xf numFmtId="0" fontId="11" fillId="7" borderId="29" xfId="0" applyFont="1" applyFill="1" applyBorder="1" applyAlignment="1">
      <alignment horizontal="center" wrapText="1"/>
    </xf>
    <xf numFmtId="0" fontId="11" fillId="7" borderId="35" xfId="0" applyFont="1" applyFill="1" applyBorder="1" applyAlignment="1">
      <alignment horizontal="center" wrapText="1"/>
    </xf>
    <xf numFmtId="2" fontId="11" fillId="7" borderId="1" xfId="0" applyNumberFormat="1" applyFont="1" applyFill="1" applyBorder="1" applyAlignment="1">
      <alignment horizontal="center" wrapText="1"/>
    </xf>
    <xf numFmtId="0" fontId="11" fillId="7" borderId="30" xfId="0" applyFont="1" applyFill="1" applyBorder="1" applyAlignment="1">
      <alignment horizontal="center" wrapText="1"/>
    </xf>
    <xf numFmtId="0" fontId="11" fillId="7" borderId="40" xfId="0" applyFont="1" applyFill="1" applyBorder="1" applyAlignment="1">
      <alignment horizontal="center" wrapText="1"/>
    </xf>
    <xf numFmtId="2" fontId="11" fillId="7" borderId="22" xfId="0" applyNumberFormat="1" applyFont="1" applyFill="1" applyBorder="1" applyAlignment="1">
      <alignment horizontal="center" wrapText="1"/>
    </xf>
    <xf numFmtId="0" fontId="11" fillId="8" borderId="28" xfId="0" applyFont="1" applyFill="1" applyBorder="1" applyAlignment="1">
      <alignment horizontal="center" wrapText="1"/>
    </xf>
    <xf numFmtId="0" fontId="11" fillId="8" borderId="39" xfId="0" applyFont="1" applyFill="1" applyBorder="1" applyAlignment="1">
      <alignment horizontal="center" wrapText="1"/>
    </xf>
    <xf numFmtId="2" fontId="11" fillId="8" borderId="11" xfId="0" applyNumberFormat="1" applyFont="1" applyFill="1" applyBorder="1" applyAlignment="1">
      <alignment horizontal="center" wrapText="1"/>
    </xf>
    <xf numFmtId="0" fontId="11" fillId="8" borderId="29" xfId="0" applyFont="1" applyFill="1" applyBorder="1" applyAlignment="1">
      <alignment horizontal="center" wrapText="1"/>
    </xf>
    <xf numFmtId="0" fontId="11" fillId="8" borderId="35" xfId="0" applyFont="1" applyFill="1" applyBorder="1" applyAlignment="1">
      <alignment horizontal="center" wrapText="1"/>
    </xf>
    <xf numFmtId="2" fontId="11" fillId="8" borderId="1" xfId="0" applyNumberFormat="1" applyFont="1" applyFill="1" applyBorder="1" applyAlignment="1">
      <alignment horizontal="center" wrapText="1"/>
    </xf>
    <xf numFmtId="0" fontId="11" fillId="8" borderId="30" xfId="0" applyFont="1" applyFill="1" applyBorder="1" applyAlignment="1">
      <alignment horizontal="center" wrapText="1"/>
    </xf>
    <xf numFmtId="0" fontId="11" fillId="8" borderId="40" xfId="0" applyFont="1" applyFill="1" applyBorder="1" applyAlignment="1">
      <alignment horizontal="center" wrapText="1"/>
    </xf>
    <xf numFmtId="2" fontId="11" fillId="8" borderId="22" xfId="0" applyNumberFormat="1" applyFont="1" applyFill="1" applyBorder="1" applyAlignment="1">
      <alignment horizontal="center" wrapText="1"/>
    </xf>
    <xf numFmtId="0" fontId="11" fillId="9" borderId="28" xfId="0" applyFont="1" applyFill="1" applyBorder="1" applyAlignment="1">
      <alignment horizontal="center" wrapText="1"/>
    </xf>
    <xf numFmtId="0" fontId="11" fillId="9" borderId="39" xfId="0" applyFont="1" applyFill="1" applyBorder="1" applyAlignment="1">
      <alignment horizontal="center" wrapText="1"/>
    </xf>
    <xf numFmtId="2" fontId="11" fillId="9" borderId="11" xfId="0" applyNumberFormat="1" applyFont="1" applyFill="1" applyBorder="1" applyAlignment="1">
      <alignment horizontal="center" wrapText="1"/>
    </xf>
    <xf numFmtId="0" fontId="11" fillId="9" borderId="30" xfId="0" applyFont="1" applyFill="1" applyBorder="1" applyAlignment="1">
      <alignment horizontal="center" wrapText="1"/>
    </xf>
    <xf numFmtId="0" fontId="11" fillId="9" borderId="40" xfId="0" applyFont="1" applyFill="1" applyBorder="1" applyAlignment="1">
      <alignment horizontal="center" wrapText="1"/>
    </xf>
    <xf numFmtId="2" fontId="11" fillId="9" borderId="22" xfId="0" applyNumberFormat="1" applyFont="1" applyFill="1" applyBorder="1" applyAlignment="1">
      <alignment horizontal="center" wrapText="1"/>
    </xf>
    <xf numFmtId="0" fontId="11" fillId="10" borderId="24" xfId="0" applyFont="1" applyFill="1" applyBorder="1" applyAlignment="1">
      <alignment horizontal="center" wrapText="1"/>
    </xf>
    <xf numFmtId="0" fontId="11" fillId="10" borderId="25" xfId="0" applyFont="1" applyFill="1" applyBorder="1" applyAlignment="1">
      <alignment horizontal="center" wrapText="1"/>
    </xf>
    <xf numFmtId="0" fontId="11" fillId="10" borderId="15" xfId="0" applyFont="1" applyFill="1" applyBorder="1" applyAlignment="1">
      <alignment horizontal="left" wrapText="1"/>
    </xf>
    <xf numFmtId="2" fontId="11" fillId="10" borderId="15" xfId="0" applyNumberFormat="1" applyFont="1" applyFill="1" applyBorder="1" applyAlignment="1">
      <alignment horizontal="center" wrapText="1"/>
    </xf>
    <xf numFmtId="2" fontId="11" fillId="10" borderId="16" xfId="0" applyNumberFormat="1" applyFont="1" applyFill="1" applyBorder="1" applyAlignment="1">
      <alignment horizontal="center" wrapText="1"/>
    </xf>
    <xf numFmtId="2" fontId="11" fillId="0" borderId="0" xfId="0" applyNumberFormat="1" applyFont="1" applyAlignment="1">
      <alignment horizontal="center"/>
    </xf>
    <xf numFmtId="0" fontId="11" fillId="0" borderId="0" xfId="0" applyFont="1" applyAlignment="1">
      <alignment horizontal="center" wrapText="1"/>
    </xf>
    <xf numFmtId="0" fontId="9" fillId="0" borderId="15" xfId="0" applyFont="1" applyBorder="1" applyAlignment="1">
      <alignment horizontal="center" vertical="top" wrapText="1"/>
    </xf>
    <xf numFmtId="2" fontId="9" fillId="0" borderId="15" xfId="0" applyNumberFormat="1" applyFont="1" applyBorder="1" applyAlignment="1">
      <alignment horizontal="center" vertical="top" wrapText="1"/>
    </xf>
    <xf numFmtId="0" fontId="9" fillId="0" borderId="16" xfId="0" applyFont="1" applyBorder="1" applyAlignment="1">
      <alignment horizontal="center" vertical="top" wrapText="1"/>
    </xf>
    <xf numFmtId="0" fontId="9" fillId="0" borderId="0" xfId="0" applyFont="1" applyAlignment="1">
      <alignment horizontal="center" vertical="top"/>
    </xf>
    <xf numFmtId="0" fontId="9" fillId="0" borderId="0" xfId="0" applyFont="1" applyAlignment="1">
      <alignment horizontal="center" vertical="top" wrapText="1"/>
    </xf>
    <xf numFmtId="0" fontId="21" fillId="0" borderId="17" xfId="0" applyFont="1" applyBorder="1" applyAlignment="1">
      <alignment horizontal="center"/>
    </xf>
    <xf numFmtId="0" fontId="23" fillId="0" borderId="17" xfId="0" applyFont="1" applyBorder="1" applyAlignment="1">
      <alignment horizontal="center"/>
    </xf>
    <xf numFmtId="2" fontId="21" fillId="0" borderId="17" xfId="0" applyNumberFormat="1" applyFont="1" applyBorder="1" applyAlignment="1">
      <alignment horizontal="center"/>
    </xf>
    <xf numFmtId="2" fontId="9" fillId="0" borderId="17" xfId="0" applyNumberFormat="1" applyFont="1" applyBorder="1" applyAlignment="1">
      <alignment horizontal="center"/>
    </xf>
    <xf numFmtId="2" fontId="9" fillId="0" borderId="18" xfId="0" applyNumberFormat="1" applyFont="1" applyBorder="1" applyAlignment="1">
      <alignment horizontal="center"/>
    </xf>
    <xf numFmtId="0" fontId="9" fillId="0" borderId="0" xfId="0" applyFont="1" applyAlignment="1">
      <alignment horizontal="center"/>
    </xf>
    <xf numFmtId="0" fontId="11" fillId="0" borderId="3" xfId="0" applyFont="1" applyBorder="1" applyAlignment="1">
      <alignment horizontal="center"/>
    </xf>
    <xf numFmtId="2" fontId="11" fillId="0" borderId="20" xfId="0" applyNumberFormat="1" applyFont="1" applyBorder="1" applyAlignment="1">
      <alignment horizontal="center"/>
    </xf>
    <xf numFmtId="2" fontId="11" fillId="0" borderId="9" xfId="0" applyNumberFormat="1" applyFont="1" applyBorder="1" applyAlignment="1">
      <alignment horizontal="center"/>
    </xf>
    <xf numFmtId="0" fontId="11" fillId="0" borderId="22" xfId="0" applyFont="1" applyBorder="1" applyAlignment="1">
      <alignment horizontal="center"/>
    </xf>
    <xf numFmtId="2" fontId="11" fillId="0" borderId="23" xfId="0" applyNumberFormat="1" applyFont="1" applyBorder="1" applyAlignment="1">
      <alignment horizontal="center"/>
    </xf>
    <xf numFmtId="0" fontId="9" fillId="0" borderId="25" xfId="0" applyFont="1" applyBorder="1" applyAlignment="1">
      <alignment horizontal="center" vertical="top" wrapText="1"/>
    </xf>
    <xf numFmtId="0" fontId="11" fillId="0" borderId="27" xfId="0" applyFont="1" applyBorder="1" applyAlignment="1">
      <alignment vertical="top" wrapText="1"/>
    </xf>
    <xf numFmtId="0" fontId="14" fillId="0" borderId="36" xfId="4" applyFont="1" applyBorder="1" applyAlignment="1">
      <alignment horizontal="center"/>
    </xf>
    <xf numFmtId="0" fontId="14" fillId="0" borderId="29" xfId="4" applyFont="1" applyBorder="1" applyAlignment="1">
      <alignment horizontal="center"/>
    </xf>
    <xf numFmtId="0" fontId="11" fillId="0" borderId="30" xfId="0" applyFont="1" applyBorder="1" applyAlignment="1">
      <alignment horizontal="center"/>
    </xf>
    <xf numFmtId="0" fontId="9" fillId="0" borderId="0" xfId="0" applyFont="1"/>
    <xf numFmtId="2" fontId="11" fillId="0" borderId="1" xfId="0" applyNumberFormat="1" applyFont="1" applyBorder="1"/>
    <xf numFmtId="14" fontId="11" fillId="0" borderId="0" xfId="0" applyNumberFormat="1" applyFont="1"/>
    <xf numFmtId="0" fontId="1" fillId="0" borderId="1" xfId="0" applyFont="1" applyBorder="1" applyAlignment="1" applyProtection="1">
      <alignment horizontal="center" vertical="top" wrapText="1"/>
      <protection locked="0"/>
    </xf>
    <xf numFmtId="0" fontId="27" fillId="0" borderId="1" xfId="0" applyFont="1" applyBorder="1" applyAlignment="1" applyProtection="1">
      <alignment horizontal="center" vertical="center"/>
      <protection locked="0"/>
    </xf>
    <xf numFmtId="0" fontId="1" fillId="0" borderId="0" xfId="0" applyFont="1" applyAlignment="1">
      <alignment wrapText="1"/>
    </xf>
    <xf numFmtId="0" fontId="2" fillId="0" borderId="0" xfId="0" applyFont="1" applyAlignment="1">
      <alignment vertical="top"/>
    </xf>
    <xf numFmtId="0" fontId="2" fillId="0" borderId="0" xfId="0" applyFont="1"/>
    <xf numFmtId="2" fontId="1" fillId="0" borderId="1" xfId="0" applyNumberFormat="1" applyFont="1" applyBorder="1"/>
    <xf numFmtId="2" fontId="1" fillId="0" borderId="0" xfId="0" applyNumberFormat="1" applyFont="1"/>
    <xf numFmtId="14" fontId="1" fillId="0" borderId="0" xfId="0" applyNumberFormat="1" applyFont="1"/>
    <xf numFmtId="165" fontId="1" fillId="0" borderId="0" xfId="0" applyNumberFormat="1" applyFont="1"/>
    <xf numFmtId="0" fontId="2" fillId="4" borderId="6" xfId="0" applyFont="1" applyFill="1" applyBorder="1" applyAlignment="1">
      <alignment horizontal="center"/>
    </xf>
    <xf numFmtId="0" fontId="2" fillId="4" borderId="7" xfId="0" applyFont="1" applyFill="1" applyBorder="1" applyAlignment="1">
      <alignment horizontal="center"/>
    </xf>
    <xf numFmtId="0" fontId="1" fillId="0" borderId="22" xfId="0" applyFont="1" applyBorder="1" applyAlignment="1" applyProtection="1">
      <alignment horizontal="center" vertical="center"/>
      <protection locked="0"/>
    </xf>
    <xf numFmtId="0" fontId="2" fillId="4" borderId="5" xfId="0" applyFont="1" applyFill="1" applyBorder="1" applyAlignment="1">
      <alignment horizontal="center" wrapText="1"/>
    </xf>
    <xf numFmtId="0" fontId="2" fillId="4" borderId="4" xfId="0" applyFont="1" applyFill="1" applyBorder="1" applyAlignment="1">
      <alignment horizontal="center" wrapText="1"/>
    </xf>
    <xf numFmtId="0" fontId="1" fillId="0" borderId="39"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0" xfId="0" applyFont="1" applyBorder="1" applyAlignment="1">
      <alignment horizontal="center" vertical="center" wrapText="1"/>
    </xf>
    <xf numFmtId="4" fontId="1" fillId="0" borderId="12" xfId="0" applyNumberFormat="1" applyFont="1" applyBorder="1" applyAlignment="1">
      <alignment horizontal="center" vertical="center"/>
    </xf>
    <xf numFmtId="2" fontId="1"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28"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1" xfId="0" applyFont="1" applyBorder="1" applyAlignment="1">
      <alignment vertical="center" wrapText="1"/>
    </xf>
    <xf numFmtId="0" fontId="2" fillId="0" borderId="22" xfId="0" applyFont="1" applyBorder="1" applyAlignment="1">
      <alignment vertical="center" wrapText="1"/>
    </xf>
    <xf numFmtId="0" fontId="2" fillId="0" borderId="1" xfId="0" applyFont="1" applyFill="1" applyBorder="1" applyAlignment="1">
      <alignment vertical="center" wrapText="1"/>
    </xf>
    <xf numFmtId="0" fontId="26" fillId="0" borderId="11" xfId="1" applyFont="1" applyBorder="1" applyAlignment="1">
      <alignment horizontal="center" wrapText="1"/>
    </xf>
    <xf numFmtId="0" fontId="2" fillId="0" borderId="11" xfId="0" applyFont="1" applyBorder="1" applyAlignment="1">
      <alignment vertical="center"/>
    </xf>
    <xf numFmtId="0" fontId="2" fillId="0" borderId="15" xfId="0" applyFont="1" applyBorder="1" applyAlignment="1">
      <alignment horizontal="center" vertical="top" wrapText="1"/>
    </xf>
    <xf numFmtId="2" fontId="28" fillId="0" borderId="16" xfId="0" applyNumberFormat="1" applyFont="1" applyBorder="1" applyAlignment="1">
      <alignment horizontal="center" vertical="top" wrapText="1"/>
    </xf>
    <xf numFmtId="2" fontId="1" fillId="0" borderId="3" xfId="0" applyNumberFormat="1" applyFont="1" applyBorder="1"/>
    <xf numFmtId="0" fontId="2" fillId="0" borderId="17" xfId="0" applyFont="1" applyBorder="1" applyAlignment="1">
      <alignment horizontal="center"/>
    </xf>
    <xf numFmtId="2" fontId="28" fillId="0" borderId="18" xfId="0" applyNumberFormat="1" applyFont="1" applyBorder="1" applyAlignment="1">
      <alignment horizontal="center"/>
    </xf>
    <xf numFmtId="2" fontId="1" fillId="0" borderId="20" xfId="0" applyNumberFormat="1" applyFont="1" applyBorder="1"/>
    <xf numFmtId="2" fontId="1" fillId="0" borderId="9" xfId="0" applyNumberFormat="1" applyFont="1" applyBorder="1"/>
    <xf numFmtId="2" fontId="1" fillId="0" borderId="22" xfId="0" applyNumberFormat="1" applyFont="1" applyBorder="1"/>
    <xf numFmtId="2" fontId="1" fillId="0" borderId="23" xfId="0" applyNumberFormat="1" applyFont="1" applyBorder="1"/>
    <xf numFmtId="0" fontId="28" fillId="0" borderId="27" xfId="0" applyFont="1" applyBorder="1" applyAlignment="1">
      <alignment horizontal="center"/>
    </xf>
    <xf numFmtId="0" fontId="27" fillId="0" borderId="36" xfId="0" applyFont="1" applyBorder="1"/>
    <xf numFmtId="0" fontId="27" fillId="0" borderId="30" xfId="0" applyFont="1" applyBorder="1"/>
    <xf numFmtId="167" fontId="1" fillId="0" borderId="23" xfId="0" applyNumberFormat="1" applyFont="1" applyBorder="1" applyAlignment="1">
      <alignment horizontal="center" vertical="center" wrapText="1"/>
    </xf>
    <xf numFmtId="2" fontId="11" fillId="0" borderId="9" xfId="0" applyNumberFormat="1" applyFont="1" applyBorder="1"/>
    <xf numFmtId="0" fontId="11" fillId="12" borderId="15" xfId="0" applyFont="1" applyFill="1" applyBorder="1" applyAlignment="1">
      <alignment horizontal="center" vertical="center" wrapText="1"/>
    </xf>
    <xf numFmtId="0" fontId="11" fillId="12" borderId="16" xfId="0" applyFont="1" applyFill="1" applyBorder="1" applyAlignment="1">
      <alignment horizontal="center" vertical="center" wrapText="1"/>
    </xf>
    <xf numFmtId="2" fontId="11" fillId="0" borderId="3" xfId="0" applyNumberFormat="1" applyFont="1" applyBorder="1"/>
    <xf numFmtId="2" fontId="11" fillId="0" borderId="20" xfId="0" applyNumberFormat="1" applyFont="1" applyBorder="1"/>
    <xf numFmtId="0" fontId="11" fillId="12" borderId="15" xfId="0" applyFont="1" applyFill="1" applyBorder="1"/>
    <xf numFmtId="0" fontId="11" fillId="12" borderId="16" xfId="0" applyFont="1" applyFill="1" applyBorder="1"/>
    <xf numFmtId="2" fontId="11" fillId="0" borderId="22" xfId="0" applyNumberFormat="1" applyFont="1" applyBorder="1"/>
    <xf numFmtId="2" fontId="11" fillId="0" borderId="23" xfId="0" applyNumberFormat="1" applyFont="1" applyBorder="1"/>
    <xf numFmtId="0" fontId="11" fillId="12" borderId="25" xfId="0" applyFont="1" applyFill="1" applyBorder="1" applyAlignment="1">
      <alignment horizontal="center" vertical="center" wrapText="1"/>
    </xf>
    <xf numFmtId="0" fontId="11" fillId="12" borderId="25" xfId="0" applyFont="1" applyFill="1" applyBorder="1"/>
    <xf numFmtId="0" fontId="11" fillId="0" borderId="34" xfId="0" applyFont="1" applyBorder="1"/>
    <xf numFmtId="0" fontId="11" fillId="0" borderId="35" xfId="0" applyFont="1" applyBorder="1"/>
    <xf numFmtId="0" fontId="11" fillId="0" borderId="40" xfId="0" applyFont="1" applyBorder="1"/>
    <xf numFmtId="0" fontId="11" fillId="12" borderId="24" xfId="0" applyFont="1" applyFill="1" applyBorder="1" applyAlignment="1">
      <alignment horizontal="center" vertical="center" wrapText="1"/>
    </xf>
    <xf numFmtId="0" fontId="11" fillId="12" borderId="24" xfId="0" applyFont="1" applyFill="1" applyBorder="1"/>
    <xf numFmtId="0" fontId="11" fillId="0" borderId="36" xfId="0" applyFont="1" applyBorder="1" applyAlignment="1">
      <alignment horizontal="center"/>
    </xf>
    <xf numFmtId="0" fontId="11" fillId="0" borderId="29" xfId="0" applyFont="1" applyBorder="1" applyAlignment="1">
      <alignment horizontal="center"/>
    </xf>
    <xf numFmtId="0" fontId="11" fillId="0" borderId="36" xfId="0" applyFont="1" applyBorder="1"/>
    <xf numFmtId="0" fontId="11" fillId="0" borderId="29" xfId="0" applyFont="1" applyBorder="1"/>
    <xf numFmtId="0" fontId="11" fillId="0" borderId="30" xfId="0" applyFont="1" applyBorder="1"/>
    <xf numFmtId="0" fontId="23" fillId="0" borderId="2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27" xfId="4" applyFont="1" applyBorder="1"/>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15" xfId="0" applyFont="1" applyBorder="1"/>
    <xf numFmtId="2" fontId="11" fillId="0" borderId="15" xfId="0" applyNumberFormat="1" applyFont="1" applyBorder="1"/>
    <xf numFmtId="0" fontId="11" fillId="0" borderId="16" xfId="0" applyFont="1" applyBorder="1"/>
    <xf numFmtId="167" fontId="11" fillId="0" borderId="0" xfId="0" applyNumberFormat="1" applyFont="1"/>
    <xf numFmtId="0" fontId="11" fillId="0" borderId="11" xfId="2" applyNumberFormat="1" applyFont="1" applyBorder="1" applyAlignment="1">
      <alignment horizontal="center" vertical="center"/>
    </xf>
    <xf numFmtId="0" fontId="11" fillId="0" borderId="22" xfId="2" applyNumberFormat="1" applyFont="1" applyBorder="1" applyAlignment="1">
      <alignment horizontal="center" vertical="center"/>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12" fillId="15" borderId="25" xfId="0" applyFont="1" applyFill="1" applyBorder="1" applyAlignment="1">
      <alignment horizontal="center" vertical="center"/>
    </xf>
    <xf numFmtId="0" fontId="11" fillId="0" borderId="39" xfId="0" applyFont="1" applyBorder="1" applyAlignment="1">
      <alignment horizontal="center" vertical="center"/>
    </xf>
    <xf numFmtId="0" fontId="11" fillId="0" borderId="35" xfId="0" applyFont="1" applyBorder="1" applyAlignment="1">
      <alignment horizontal="center" vertical="center"/>
    </xf>
    <xf numFmtId="0" fontId="11" fillId="0" borderId="40" xfId="0" applyFont="1" applyBorder="1" applyAlignment="1">
      <alignment horizontal="center" vertical="center"/>
    </xf>
    <xf numFmtId="0" fontId="12" fillId="15" borderId="24" xfId="0" applyFont="1" applyFill="1" applyBorder="1" applyAlignment="1">
      <alignment horizontal="center" vertical="center"/>
    </xf>
    <xf numFmtId="0" fontId="33" fillId="0" borderId="0" xfId="0" applyFont="1"/>
    <xf numFmtId="2" fontId="23" fillId="8" borderId="15" xfId="0" applyNumberFormat="1" applyFont="1" applyFill="1" applyBorder="1" applyAlignment="1">
      <alignment horizontal="center" vertical="top" wrapText="1"/>
    </xf>
    <xf numFmtId="2" fontId="23" fillId="9" borderId="15" xfId="0" applyNumberFormat="1" applyFont="1" applyFill="1" applyBorder="1" applyAlignment="1">
      <alignment horizontal="center" vertical="top" wrapText="1"/>
    </xf>
    <xf numFmtId="2" fontId="23" fillId="14" borderId="15" xfId="0" applyNumberFormat="1" applyFont="1" applyFill="1" applyBorder="1" applyAlignment="1">
      <alignment horizontal="center" vertical="top" wrapText="1"/>
    </xf>
    <xf numFmtId="2" fontId="23" fillId="0" borderId="15" xfId="0" applyNumberFormat="1" applyFont="1" applyBorder="1" applyAlignment="1">
      <alignment horizontal="center" vertical="top" wrapText="1"/>
    </xf>
    <xf numFmtId="166" fontId="23" fillId="0" borderId="15" xfId="0" applyNumberFormat="1" applyFont="1" applyBorder="1" applyAlignment="1">
      <alignment horizontal="center" vertical="top" wrapText="1"/>
    </xf>
    <xf numFmtId="2" fontId="23" fillId="11" borderId="15" xfId="0" applyNumberFormat="1" applyFont="1" applyFill="1" applyBorder="1" applyAlignment="1">
      <alignment horizontal="center" vertical="top" wrapText="1"/>
    </xf>
    <xf numFmtId="2" fontId="23" fillId="11" borderId="16" xfId="0" applyNumberFormat="1" applyFont="1" applyFill="1" applyBorder="1" applyAlignment="1">
      <alignment horizontal="center" vertical="top" wrapText="1"/>
    </xf>
    <xf numFmtId="2" fontId="23" fillId="8" borderId="17" xfId="0" applyNumberFormat="1" applyFont="1" applyFill="1" applyBorder="1" applyAlignment="1">
      <alignment horizontal="center"/>
    </xf>
    <xf numFmtId="2" fontId="23" fillId="9" borderId="17" xfId="0" applyNumberFormat="1" applyFont="1" applyFill="1" applyBorder="1" applyAlignment="1">
      <alignment horizontal="center"/>
    </xf>
    <xf numFmtId="2" fontId="23" fillId="14" borderId="17" xfId="0" applyNumberFormat="1" applyFont="1" applyFill="1" applyBorder="1" applyAlignment="1">
      <alignment horizontal="center"/>
    </xf>
    <xf numFmtId="2" fontId="23" fillId="0" borderId="17" xfId="0" applyNumberFormat="1" applyFont="1" applyBorder="1" applyAlignment="1">
      <alignment horizontal="center"/>
    </xf>
    <xf numFmtId="166" fontId="23" fillId="0" borderId="17" xfId="0" applyNumberFormat="1" applyFont="1" applyBorder="1" applyAlignment="1">
      <alignment horizontal="center"/>
    </xf>
    <xf numFmtId="2" fontId="23" fillId="11" borderId="17" xfId="0" applyNumberFormat="1" applyFont="1" applyFill="1" applyBorder="1" applyAlignment="1">
      <alignment horizontal="center"/>
    </xf>
    <xf numFmtId="0" fontId="21" fillId="11" borderId="17" xfId="0" applyFont="1" applyFill="1" applyBorder="1" applyAlignment="1">
      <alignment horizontal="center"/>
    </xf>
    <xf numFmtId="3" fontId="23" fillId="11" borderId="17" xfId="0" applyNumberFormat="1" applyFont="1" applyFill="1" applyBorder="1" applyAlignment="1">
      <alignment horizontal="center"/>
    </xf>
    <xf numFmtId="3" fontId="23" fillId="11" borderId="18" xfId="0" applyNumberFormat="1" applyFont="1" applyFill="1" applyBorder="1" applyAlignment="1">
      <alignment horizontal="center"/>
    </xf>
    <xf numFmtId="2" fontId="14" fillId="0" borderId="17" xfId="0" applyNumberFormat="1" applyFont="1" applyBorder="1" applyAlignment="1">
      <alignment horizontal="center" vertical="center"/>
    </xf>
    <xf numFmtId="167" fontId="14" fillId="0" borderId="17" xfId="0" applyNumberFormat="1" applyFont="1" applyBorder="1" applyAlignment="1">
      <alignment horizontal="center" vertical="center"/>
    </xf>
    <xf numFmtId="43" fontId="14" fillId="11" borderId="17" xfId="2" applyFont="1" applyFill="1" applyBorder="1" applyAlignment="1">
      <alignment horizontal="center" vertical="center"/>
    </xf>
    <xf numFmtId="1" fontId="14" fillId="11" borderId="17" xfId="2" applyNumberFormat="1" applyFont="1" applyFill="1" applyBorder="1" applyAlignment="1">
      <alignment horizontal="center" vertical="center"/>
    </xf>
    <xf numFmtId="1" fontId="14" fillId="11" borderId="18" xfId="2" applyNumberFormat="1" applyFont="1" applyFill="1" applyBorder="1" applyAlignment="1">
      <alignment horizontal="center" vertical="center"/>
    </xf>
    <xf numFmtId="0" fontId="23" fillId="0" borderId="24" xfId="0" applyFont="1" applyBorder="1" applyAlignment="1">
      <alignment horizontal="center"/>
    </xf>
    <xf numFmtId="2" fontId="23" fillId="8" borderId="25" xfId="0" applyNumberFormat="1" applyFont="1" applyFill="1" applyBorder="1" applyAlignment="1">
      <alignment horizontal="center" vertical="top" wrapText="1"/>
    </xf>
    <xf numFmtId="2" fontId="23" fillId="8" borderId="26" xfId="0" applyNumberFormat="1" applyFont="1" applyFill="1" applyBorder="1" applyAlignment="1">
      <alignment horizontal="center"/>
    </xf>
    <xf numFmtId="0" fontId="23" fillId="0" borderId="27" xfId="0" applyFont="1" applyBorder="1" applyAlignment="1">
      <alignment horizontal="center"/>
    </xf>
    <xf numFmtId="0" fontId="14" fillId="6" borderId="44" xfId="0" applyFont="1" applyFill="1" applyBorder="1" applyAlignment="1">
      <alignment vertical="center"/>
    </xf>
    <xf numFmtId="0" fontId="14" fillId="6" borderId="27" xfId="0" applyFont="1" applyFill="1" applyBorder="1" applyAlignment="1">
      <alignment horizontal="center" vertical="center"/>
    </xf>
    <xf numFmtId="1" fontId="11" fillId="0" borderId="1" xfId="0" applyNumberFormat="1" applyFont="1" applyBorder="1" applyAlignment="1">
      <alignment horizontal="center"/>
    </xf>
    <xf numFmtId="1" fontId="11" fillId="0" borderId="0" xfId="2" applyNumberFormat="1" applyFont="1" applyFill="1" applyBorder="1" applyAlignment="1">
      <alignment horizontal="left"/>
    </xf>
    <xf numFmtId="43" fontId="11" fillId="0" borderId="0" xfId="0" applyNumberFormat="1" applyFont="1"/>
    <xf numFmtId="1" fontId="12" fillId="15" borderId="14" xfId="0" applyNumberFormat="1" applyFont="1" applyFill="1" applyBorder="1" applyAlignment="1">
      <alignment vertical="center" wrapText="1"/>
    </xf>
    <xf numFmtId="1" fontId="12" fillId="15" borderId="15" xfId="0" applyNumberFormat="1" applyFont="1" applyFill="1" applyBorder="1" applyAlignment="1">
      <alignment vertical="center" wrapText="1"/>
    </xf>
    <xf numFmtId="1" fontId="12" fillId="15" borderId="16" xfId="0" applyNumberFormat="1" applyFont="1" applyFill="1" applyBorder="1" applyAlignment="1">
      <alignment vertical="center" wrapText="1"/>
    </xf>
    <xf numFmtId="1" fontId="12" fillId="15" borderId="25" xfId="0" applyNumberFormat="1" applyFont="1" applyFill="1" applyBorder="1" applyAlignment="1">
      <alignment vertical="center" wrapText="1"/>
    </xf>
    <xf numFmtId="1" fontId="11" fillId="0" borderId="35" xfId="0" applyNumberFormat="1" applyFont="1" applyBorder="1" applyAlignment="1">
      <alignment horizontal="center"/>
    </xf>
    <xf numFmtId="1" fontId="12" fillId="15" borderId="24" xfId="0" applyNumberFormat="1" applyFont="1" applyFill="1" applyBorder="1" applyAlignment="1">
      <alignment vertical="center" wrapText="1"/>
    </xf>
    <xf numFmtId="0" fontId="9" fillId="0" borderId="24" xfId="0" applyFont="1" applyBorder="1"/>
    <xf numFmtId="1" fontId="11" fillId="0" borderId="10" xfId="0" applyNumberFormat="1" applyFont="1" applyBorder="1" applyAlignment="1">
      <alignment horizontal="center"/>
    </xf>
    <xf numFmtId="1" fontId="11" fillId="0" borderId="8" xfId="0" applyNumberFormat="1" applyFont="1" applyBorder="1" applyAlignment="1">
      <alignment horizontal="center"/>
    </xf>
    <xf numFmtId="1" fontId="11" fillId="0" borderId="21" xfId="0" applyNumberFormat="1" applyFont="1" applyBorder="1" applyAlignment="1">
      <alignment horizontal="center"/>
    </xf>
    <xf numFmtId="1" fontId="9" fillId="0" borderId="14" xfId="0" applyNumberFormat="1" applyFont="1" applyBorder="1" applyAlignment="1">
      <alignment horizontal="center"/>
    </xf>
    <xf numFmtId="0" fontId="9" fillId="2" borderId="22" xfId="0" applyFont="1" applyFill="1" applyBorder="1" applyAlignment="1">
      <alignment horizontal="center" wrapText="1"/>
    </xf>
    <xf numFmtId="0" fontId="9" fillId="2" borderId="23" xfId="0" applyFont="1" applyFill="1" applyBorder="1" applyAlignment="1">
      <alignment horizontal="center" wrapText="1"/>
    </xf>
    <xf numFmtId="0" fontId="11" fillId="11" borderId="35" xfId="0" applyFont="1" applyFill="1" applyBorder="1" applyAlignment="1">
      <alignment wrapText="1"/>
    </xf>
    <xf numFmtId="0" fontId="11" fillId="0" borderId="9" xfId="0" applyFont="1" applyBorder="1" applyAlignment="1">
      <alignment horizontal="center" wrapText="1"/>
    </xf>
    <xf numFmtId="0" fontId="11" fillId="11" borderId="40" xfId="0" applyFont="1" applyFill="1" applyBorder="1" applyAlignment="1">
      <alignment wrapText="1"/>
    </xf>
    <xf numFmtId="0" fontId="11" fillId="0" borderId="22" xfId="0" applyFont="1" applyBorder="1" applyAlignment="1">
      <alignment horizontal="center" wrapText="1"/>
    </xf>
    <xf numFmtId="0" fontId="11" fillId="0" borderId="23" xfId="0" applyFont="1" applyBorder="1" applyAlignment="1">
      <alignment horizontal="center" wrapText="1"/>
    </xf>
    <xf numFmtId="0" fontId="11" fillId="0" borderId="28" xfId="0" applyFont="1" applyBorder="1" applyAlignment="1">
      <alignment horizontal="center"/>
    </xf>
    <xf numFmtId="0" fontId="11" fillId="0" borderId="47" xfId="0" applyFont="1" applyBorder="1" applyAlignment="1">
      <alignment horizontal="center" vertical="center" wrapText="1"/>
    </xf>
    <xf numFmtId="0" fontId="11" fillId="11" borderId="39" xfId="0" applyFont="1" applyFill="1" applyBorder="1" applyAlignment="1">
      <alignment wrapText="1"/>
    </xf>
    <xf numFmtId="0" fontId="11" fillId="0" borderId="11" xfId="0" applyFont="1" applyBorder="1" applyAlignment="1">
      <alignment horizontal="center" wrapText="1"/>
    </xf>
    <xf numFmtId="0" fontId="11" fillId="0" borderId="12" xfId="0" applyFont="1" applyBorder="1" applyAlignment="1">
      <alignment horizontal="center" wrapText="1"/>
    </xf>
    <xf numFmtId="1" fontId="11" fillId="2" borderId="3" xfId="0" applyNumberFormat="1" applyFont="1" applyFill="1" applyBorder="1" applyAlignment="1">
      <alignment horizontal="center"/>
    </xf>
    <xf numFmtId="1" fontId="11" fillId="2" borderId="35" xfId="0" applyNumberFormat="1" applyFont="1" applyFill="1" applyBorder="1" applyAlignment="1">
      <alignment horizontal="center"/>
    </xf>
    <xf numFmtId="0" fontId="9" fillId="2" borderId="24" xfId="0" applyFont="1" applyFill="1" applyBorder="1" applyAlignment="1">
      <alignment horizontal="center"/>
    </xf>
    <xf numFmtId="0" fontId="11" fillId="0" borderId="0" xfId="0" applyFont="1" applyFill="1"/>
    <xf numFmtId="43" fontId="11" fillId="0" borderId="0" xfId="0" applyNumberFormat="1" applyFont="1" applyFill="1"/>
    <xf numFmtId="0" fontId="11" fillId="0" borderId="28" xfId="0" applyFont="1" applyFill="1" applyBorder="1" applyAlignment="1">
      <alignment horizontal="center"/>
    </xf>
    <xf numFmtId="0" fontId="11" fillId="0" borderId="29" xfId="0" applyFont="1" applyFill="1" applyBorder="1" applyAlignment="1">
      <alignment horizontal="center"/>
    </xf>
    <xf numFmtId="1" fontId="11" fillId="0" borderId="35" xfId="0" applyNumberFormat="1" applyFont="1" applyFill="1" applyBorder="1" applyAlignment="1">
      <alignment horizontal="center"/>
    </xf>
    <xf numFmtId="0" fontId="11" fillId="0" borderId="30" xfId="0" applyFont="1" applyFill="1" applyBorder="1" applyAlignment="1">
      <alignment horizontal="center"/>
    </xf>
    <xf numFmtId="1" fontId="11" fillId="0" borderId="40" xfId="0" applyNumberFormat="1" applyFont="1" applyFill="1" applyBorder="1" applyAlignment="1">
      <alignment horizontal="center"/>
    </xf>
    <xf numFmtId="0" fontId="9" fillId="0" borderId="24" xfId="0" applyFont="1" applyFill="1" applyBorder="1" applyAlignment="1">
      <alignment horizontal="center"/>
    </xf>
    <xf numFmtId="1" fontId="9" fillId="0" borderId="25" xfId="0" applyNumberFormat="1" applyFont="1" applyFill="1" applyBorder="1" applyAlignment="1">
      <alignment horizontal="center"/>
    </xf>
    <xf numFmtId="1" fontId="12" fillId="15" borderId="43" xfId="0" applyNumberFormat="1" applyFont="1" applyFill="1" applyBorder="1" applyAlignment="1">
      <alignment vertical="center" wrapText="1"/>
    </xf>
    <xf numFmtId="1" fontId="11" fillId="0" borderId="34" xfId="0" applyNumberFormat="1" applyFont="1" applyFill="1" applyBorder="1" applyAlignment="1">
      <alignment horizontal="center"/>
    </xf>
    <xf numFmtId="1" fontId="11" fillId="11" borderId="1" xfId="0" applyNumberFormat="1" applyFont="1" applyFill="1" applyBorder="1" applyAlignment="1">
      <alignment horizontal="center"/>
    </xf>
    <xf numFmtId="1" fontId="33" fillId="2" borderId="1" xfId="0" applyNumberFormat="1" applyFont="1" applyFill="1" applyBorder="1" applyAlignment="1">
      <alignment horizontal="center"/>
    </xf>
    <xf numFmtId="0" fontId="12" fillId="15" borderId="3" xfId="2" applyNumberFormat="1" applyFont="1" applyFill="1" applyBorder="1" applyAlignment="1">
      <alignment horizontal="center" vertical="center" wrapText="1"/>
    </xf>
    <xf numFmtId="0" fontId="12" fillId="15" borderId="34" xfId="2" applyNumberFormat="1" applyFont="1" applyFill="1" applyBorder="1" applyAlignment="1">
      <alignment horizontal="center" vertical="center" wrapText="1"/>
    </xf>
    <xf numFmtId="0" fontId="12" fillId="15" borderId="15" xfId="2" applyNumberFormat="1" applyFont="1" applyFill="1" applyBorder="1" applyAlignment="1">
      <alignment horizontal="center" vertical="top" wrapText="1"/>
    </xf>
    <xf numFmtId="0" fontId="12" fillId="15" borderId="16" xfId="2" applyNumberFormat="1" applyFont="1" applyFill="1" applyBorder="1" applyAlignment="1">
      <alignment horizontal="center" vertical="top" wrapText="1"/>
    </xf>
    <xf numFmtId="1" fontId="11" fillId="11" borderId="3" xfId="0" applyNumberFormat="1" applyFont="1" applyFill="1" applyBorder="1" applyAlignment="1">
      <alignment horizontal="center"/>
    </xf>
    <xf numFmtId="0" fontId="12" fillId="15" borderId="22" xfId="2" applyNumberFormat="1" applyFont="1" applyFill="1" applyBorder="1" applyAlignment="1">
      <alignment horizontal="center" vertical="center" wrapText="1"/>
    </xf>
    <xf numFmtId="0" fontId="12" fillId="15" borderId="17" xfId="2" applyNumberFormat="1" applyFont="1" applyFill="1" applyBorder="1" applyAlignment="1">
      <alignment horizontal="center" vertical="center" wrapText="1"/>
    </xf>
    <xf numFmtId="1" fontId="11" fillId="11" borderId="20" xfId="0" applyNumberFormat="1" applyFont="1" applyFill="1" applyBorder="1" applyAlignment="1">
      <alignment horizontal="center"/>
    </xf>
    <xf numFmtId="1" fontId="11" fillId="11" borderId="9" xfId="0" applyNumberFormat="1" applyFont="1" applyFill="1" applyBorder="1" applyAlignment="1">
      <alignment horizontal="center"/>
    </xf>
    <xf numFmtId="1" fontId="11" fillId="0" borderId="22" xfId="0" applyNumberFormat="1" applyFont="1" applyBorder="1" applyAlignment="1">
      <alignment horizontal="center"/>
    </xf>
    <xf numFmtId="0" fontId="12" fillId="15" borderId="25" xfId="2" applyNumberFormat="1" applyFont="1" applyFill="1" applyBorder="1" applyAlignment="1">
      <alignment horizontal="center" vertical="top" wrapText="1"/>
    </xf>
    <xf numFmtId="0" fontId="12" fillId="15" borderId="40" xfId="2" applyNumberFormat="1" applyFont="1" applyFill="1" applyBorder="1" applyAlignment="1">
      <alignment horizontal="center" vertical="center" wrapText="1"/>
    </xf>
    <xf numFmtId="1" fontId="11" fillId="2" borderId="34" xfId="0" applyNumberFormat="1" applyFont="1" applyFill="1" applyBorder="1" applyAlignment="1">
      <alignment horizontal="center"/>
    </xf>
    <xf numFmtId="1" fontId="33" fillId="2" borderId="35" xfId="0" applyNumberFormat="1" applyFont="1" applyFill="1" applyBorder="1" applyAlignment="1">
      <alignment horizontal="center"/>
    </xf>
    <xf numFmtId="1" fontId="11" fillId="0" borderId="40" xfId="0" applyNumberFormat="1" applyFont="1" applyBorder="1" applyAlignment="1">
      <alignment horizontal="center"/>
    </xf>
    <xf numFmtId="2" fontId="11" fillId="2" borderId="36" xfId="0" applyNumberFormat="1" applyFont="1" applyFill="1" applyBorder="1"/>
    <xf numFmtId="2" fontId="11" fillId="2" borderId="29" xfId="0" applyNumberFormat="1" applyFont="1" applyFill="1" applyBorder="1"/>
    <xf numFmtId="2" fontId="33" fillId="2" borderId="29" xfId="0" applyNumberFormat="1" applyFont="1" applyFill="1" applyBorder="1"/>
    <xf numFmtId="2" fontId="11" fillId="0" borderId="29" xfId="0" applyNumberFormat="1" applyFont="1" applyBorder="1"/>
    <xf numFmtId="2" fontId="11" fillId="0" borderId="30" xfId="0" applyNumberFormat="1" applyFont="1" applyBorder="1"/>
    <xf numFmtId="1" fontId="9" fillId="2" borderId="49" xfId="0" applyNumberFormat="1" applyFont="1" applyFill="1" applyBorder="1" applyAlignment="1">
      <alignment horizontal="center"/>
    </xf>
    <xf numFmtId="1" fontId="9" fillId="2" borderId="45" xfId="0" applyNumberFormat="1" applyFont="1" applyFill="1" applyBorder="1" applyAlignment="1">
      <alignment horizontal="center"/>
    </xf>
    <xf numFmtId="0" fontId="9" fillId="2" borderId="27" xfId="0" applyFont="1" applyFill="1" applyBorder="1" applyAlignment="1">
      <alignment horizontal="center"/>
    </xf>
    <xf numFmtId="0" fontId="9" fillId="2" borderId="15"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25" xfId="0" applyFont="1" applyBorder="1" applyAlignment="1">
      <alignment horizontal="center" vertical="center" wrapText="1"/>
    </xf>
    <xf numFmtId="0" fontId="21" fillId="0" borderId="26" xfId="0" applyFont="1" applyBorder="1" applyAlignment="1">
      <alignment horizontal="center"/>
    </xf>
    <xf numFmtId="2" fontId="11" fillId="0" borderId="34" xfId="0" applyNumberFormat="1" applyFont="1" applyBorder="1" applyAlignment="1">
      <alignment horizontal="center"/>
    </xf>
    <xf numFmtId="2" fontId="11" fillId="0" borderId="35" xfId="0" applyNumberFormat="1" applyFont="1" applyBorder="1" applyAlignment="1">
      <alignment horizontal="center"/>
    </xf>
    <xf numFmtId="2" fontId="11" fillId="0" borderId="40" xfId="0" applyNumberFormat="1" applyFont="1" applyBorder="1" applyAlignment="1">
      <alignment horizontal="center"/>
    </xf>
    <xf numFmtId="0" fontId="9" fillId="0" borderId="24" xfId="0" applyFont="1" applyBorder="1" applyAlignment="1">
      <alignment horizontal="center"/>
    </xf>
    <xf numFmtId="0" fontId="2" fillId="0" borderId="25" xfId="0" applyFont="1" applyBorder="1" applyAlignment="1">
      <alignment horizontal="center" vertical="top" wrapText="1"/>
    </xf>
    <xf numFmtId="0" fontId="2" fillId="0" borderId="26" xfId="0" applyFont="1" applyBorder="1" applyAlignment="1">
      <alignment horizontal="center"/>
    </xf>
    <xf numFmtId="2" fontId="1" fillId="0" borderId="34" xfId="0" applyNumberFormat="1" applyFont="1" applyBorder="1"/>
    <xf numFmtId="2" fontId="1" fillId="0" borderId="35" xfId="0" applyNumberFormat="1" applyFont="1" applyBorder="1"/>
    <xf numFmtId="2" fontId="1" fillId="0" borderId="40" xfId="0" applyNumberFormat="1" applyFont="1" applyBorder="1"/>
    <xf numFmtId="0" fontId="28" fillId="0" borderId="24" xfId="0" applyFont="1" applyBorder="1" applyAlignment="1">
      <alignment horizontal="center"/>
    </xf>
    <xf numFmtId="0" fontId="1" fillId="0" borderId="36" xfId="0" applyFont="1" applyBorder="1"/>
    <xf numFmtId="0" fontId="1" fillId="0" borderId="29" xfId="0" applyFont="1" applyBorder="1"/>
    <xf numFmtId="0" fontId="1" fillId="0" borderId="30" xfId="0" applyFont="1" applyBorder="1"/>
    <xf numFmtId="0" fontId="9" fillId="0" borderId="5" xfId="0" applyFont="1" applyBorder="1" applyAlignment="1">
      <alignment horizontal="center" vertical="center" wrapText="1"/>
    </xf>
    <xf numFmtId="0" fontId="11" fillId="0" borderId="25" xfId="0" applyFont="1" applyBorder="1"/>
    <xf numFmtId="0" fontId="23" fillId="0" borderId="49" xfId="0" applyFont="1" applyBorder="1" applyAlignment="1">
      <alignment horizontal="center" vertical="center" wrapText="1"/>
    </xf>
    <xf numFmtId="0" fontId="11" fillId="0" borderId="24" xfId="0" applyFont="1" applyBorder="1"/>
    <xf numFmtId="0" fontId="11" fillId="0" borderId="28" xfId="0" applyFont="1" applyBorder="1" applyAlignment="1">
      <alignment horizontal="center" vertical="center"/>
    </xf>
    <xf numFmtId="0" fontId="11" fillId="0" borderId="12" xfId="2" applyNumberFormat="1" applyFont="1" applyBorder="1" applyAlignment="1">
      <alignment horizontal="center"/>
    </xf>
    <xf numFmtId="0" fontId="11" fillId="0" borderId="9" xfId="2" applyNumberFormat="1" applyFont="1" applyBorder="1" applyAlignment="1">
      <alignment horizontal="center"/>
    </xf>
    <xf numFmtId="0" fontId="11" fillId="0" borderId="23" xfId="2" applyNumberFormat="1" applyFont="1" applyBorder="1" applyAlignment="1">
      <alignment horizontal="center"/>
    </xf>
    <xf numFmtId="2" fontId="14" fillId="6" borderId="26" xfId="0" applyNumberFormat="1" applyFont="1" applyFill="1" applyBorder="1" applyAlignment="1">
      <alignment horizontal="center" vertical="center"/>
    </xf>
    <xf numFmtId="2" fontId="14" fillId="6" borderId="17" xfId="0" applyNumberFormat="1" applyFont="1" applyFill="1" applyBorder="1" applyAlignment="1">
      <alignment horizontal="center" vertical="center"/>
    </xf>
    <xf numFmtId="1" fontId="11" fillId="0" borderId="11" xfId="2" applyNumberFormat="1" applyFont="1" applyBorder="1" applyAlignment="1">
      <alignment horizontal="center"/>
    </xf>
    <xf numFmtId="1" fontId="11" fillId="0" borderId="11" xfId="0" applyNumberFormat="1" applyFont="1" applyBorder="1" applyAlignment="1">
      <alignment horizontal="center"/>
    </xf>
    <xf numFmtId="1" fontId="11" fillId="0" borderId="12" xfId="2" applyNumberFormat="1" applyFont="1" applyBorder="1" applyAlignment="1">
      <alignment horizontal="center"/>
    </xf>
    <xf numFmtId="1" fontId="11" fillId="0" borderId="1" xfId="2" applyNumberFormat="1" applyFont="1" applyBorder="1" applyAlignment="1">
      <alignment horizontal="center"/>
    </xf>
    <xf numFmtId="1" fontId="11" fillId="0" borderId="9" xfId="2" applyNumberFormat="1" applyFont="1" applyBorder="1" applyAlignment="1">
      <alignment horizontal="center"/>
    </xf>
    <xf numFmtId="1" fontId="11" fillId="0" borderId="22" xfId="2" applyNumberFormat="1" applyFont="1" applyBorder="1" applyAlignment="1">
      <alignment horizontal="center"/>
    </xf>
    <xf numFmtId="1" fontId="11" fillId="0" borderId="23" xfId="2" applyNumberFormat="1" applyFont="1" applyBorder="1" applyAlignment="1">
      <alignment horizontal="center"/>
    </xf>
    <xf numFmtId="1" fontId="9" fillId="0" borderId="15" xfId="2" applyNumberFormat="1" applyFont="1" applyBorder="1" applyAlignment="1">
      <alignment horizontal="center"/>
    </xf>
    <xf numFmtId="1" fontId="9" fillId="0" borderId="16" xfId="2" applyNumberFormat="1" applyFont="1" applyBorder="1" applyAlignment="1">
      <alignment horizontal="center"/>
    </xf>
    <xf numFmtId="169" fontId="11" fillId="0" borderId="3" xfId="2" applyNumberFormat="1" applyFont="1" applyFill="1" applyBorder="1" applyAlignment="1">
      <alignment horizontal="center"/>
    </xf>
    <xf numFmtId="169" fontId="11" fillId="0" borderId="20" xfId="2" applyNumberFormat="1" applyFont="1" applyFill="1" applyBorder="1" applyAlignment="1">
      <alignment horizontal="center" vertical="top"/>
    </xf>
    <xf numFmtId="169" fontId="11" fillId="0" borderId="1" xfId="2" applyNumberFormat="1" applyFont="1" applyFill="1" applyBorder="1" applyAlignment="1">
      <alignment horizontal="center"/>
    </xf>
    <xf numFmtId="169" fontId="11" fillId="0" borderId="9" xfId="2" applyNumberFormat="1" applyFont="1" applyFill="1" applyBorder="1" applyAlignment="1">
      <alignment horizontal="center" vertical="top"/>
    </xf>
    <xf numFmtId="169" fontId="11" fillId="0" borderId="22" xfId="2" applyNumberFormat="1" applyFont="1" applyFill="1" applyBorder="1" applyAlignment="1">
      <alignment horizontal="center"/>
    </xf>
    <xf numFmtId="169" fontId="9" fillId="0" borderId="15" xfId="2" applyNumberFormat="1" applyFont="1" applyFill="1" applyBorder="1" applyAlignment="1">
      <alignment horizontal="center"/>
    </xf>
    <xf numFmtId="0" fontId="7" fillId="0" borderId="15" xfId="1" applyBorder="1" applyAlignment="1">
      <alignment wrapText="1"/>
    </xf>
    <xf numFmtId="0" fontId="9" fillId="3" borderId="51" xfId="0" applyFont="1" applyFill="1" applyBorder="1" applyAlignment="1">
      <alignment horizontal="center" vertical="center"/>
    </xf>
    <xf numFmtId="0" fontId="9" fillId="3" borderId="25" xfId="0" applyFont="1" applyFill="1" applyBorder="1" applyAlignment="1">
      <alignment horizontal="center" vertical="center"/>
    </xf>
    <xf numFmtId="0" fontId="9" fillId="2" borderId="4" xfId="0" applyFont="1" applyFill="1" applyBorder="1" applyAlignment="1">
      <alignment horizontal="center"/>
    </xf>
    <xf numFmtId="0" fontId="9" fillId="2" borderId="27" xfId="0" applyFont="1" applyFill="1" applyBorder="1" applyAlignment="1">
      <alignment horizontal="center"/>
    </xf>
    <xf numFmtId="0" fontId="9" fillId="2" borderId="11" xfId="0" applyFont="1" applyFill="1" applyBorder="1" applyAlignment="1">
      <alignment horizontal="center" wrapText="1"/>
    </xf>
    <xf numFmtId="0" fontId="9" fillId="2" borderId="12" xfId="0" applyFont="1" applyFill="1" applyBorder="1" applyAlignment="1">
      <alignment horizontal="center" wrapText="1"/>
    </xf>
    <xf numFmtId="0" fontId="11" fillId="0" borderId="48" xfId="0" applyFont="1" applyBorder="1" applyAlignment="1">
      <alignment horizontal="center" vertical="center" wrapText="1"/>
    </xf>
    <xf numFmtId="0" fontId="11" fillId="0" borderId="46" xfId="0" applyFont="1" applyBorder="1" applyAlignment="1">
      <alignment horizontal="center" vertical="center" wrapText="1"/>
    </xf>
    <xf numFmtId="0" fontId="9" fillId="2" borderId="4" xfId="0" applyFont="1" applyFill="1" applyBorder="1" applyAlignment="1">
      <alignment horizontal="center" wrapText="1"/>
    </xf>
    <xf numFmtId="0" fontId="9" fillId="2" borderId="27" xfId="0" applyFont="1" applyFill="1" applyBorder="1" applyAlignment="1">
      <alignment horizontal="center" wrapText="1"/>
    </xf>
    <xf numFmtId="0" fontId="9" fillId="2" borderId="5" xfId="0" applyFont="1" applyFill="1" applyBorder="1" applyAlignment="1">
      <alignment horizontal="center" wrapText="1"/>
    </xf>
    <xf numFmtId="0" fontId="9" fillId="2" borderId="26" xfId="0" applyFont="1" applyFill="1" applyBorder="1" applyAlignment="1">
      <alignment horizont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2" fontId="11" fillId="0" borderId="1" xfId="0" applyNumberFormat="1" applyFont="1" applyBorder="1" applyAlignment="1">
      <alignment horizontal="center" vertical="center"/>
    </xf>
    <xf numFmtId="2" fontId="11" fillId="0" borderId="22" xfId="0" applyNumberFormat="1" applyFont="1" applyBorder="1" applyAlignment="1">
      <alignment horizontal="center" vertical="center"/>
    </xf>
    <xf numFmtId="2" fontId="11" fillId="0" borderId="9" xfId="0" applyNumberFormat="1" applyFont="1" applyBorder="1" applyAlignment="1">
      <alignment horizontal="center" vertical="center"/>
    </xf>
    <xf numFmtId="2" fontId="11" fillId="0" borderId="23"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21" xfId="0" applyFont="1" applyBorder="1" applyAlignment="1">
      <alignment horizontal="center" vertical="center"/>
    </xf>
    <xf numFmtId="2"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2" fontId="11" fillId="0" borderId="12"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9" xfId="0" applyFont="1" applyBorder="1" applyAlignment="1">
      <alignment horizontal="center" vertical="center"/>
    </xf>
    <xf numFmtId="0" fontId="11" fillId="0" borderId="8" xfId="0" applyFont="1" applyFill="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2" fontId="0" fillId="0" borderId="1" xfId="0" applyNumberFormat="1" applyBorder="1" applyAlignment="1">
      <alignment horizontal="center" vertical="center" wrapText="1"/>
    </xf>
    <xf numFmtId="2" fontId="0" fillId="0" borderId="22" xfId="0" applyNumberFormat="1" applyBorder="1" applyAlignment="1">
      <alignment horizontal="center" vertical="center" wrapText="1"/>
    </xf>
    <xf numFmtId="2" fontId="0" fillId="0" borderId="9" xfId="0" applyNumberFormat="1" applyBorder="1" applyAlignment="1">
      <alignment horizontal="center" vertical="center" wrapText="1"/>
    </xf>
    <xf numFmtId="2" fontId="0" fillId="0" borderId="23" xfId="0" applyNumberFormat="1" applyBorder="1" applyAlignment="1">
      <alignment horizontal="center" vertical="center" wrapText="1"/>
    </xf>
    <xf numFmtId="0" fontId="0" fillId="0" borderId="35" xfId="0" applyBorder="1" applyAlignment="1">
      <alignment horizontal="center" vertical="center" wrapText="1"/>
    </xf>
    <xf numFmtId="0" fontId="0" fillId="0" borderId="40" xfId="0" applyBorder="1" applyAlignment="1">
      <alignment horizontal="center" vertical="center" wrapText="1"/>
    </xf>
    <xf numFmtId="0" fontId="0" fillId="0" borderId="35" xfId="0" applyFill="1" applyBorder="1" applyAlignment="1">
      <alignment horizontal="center" vertical="center" wrapText="1"/>
    </xf>
    <xf numFmtId="0" fontId="0" fillId="0" borderId="28" xfId="0" applyBorder="1" applyAlignment="1">
      <alignment horizontal="center" vertical="center" wrapText="1"/>
    </xf>
    <xf numFmtId="2" fontId="0" fillId="0" borderId="11" xfId="0" applyNumberFormat="1" applyBorder="1" applyAlignment="1">
      <alignment horizontal="center" vertical="center" wrapText="1"/>
    </xf>
    <xf numFmtId="2" fontId="0" fillId="0" borderId="12" xfId="0" applyNumberFormat="1" applyBorder="1" applyAlignment="1">
      <alignment horizontal="center" vertical="center" wrapText="1"/>
    </xf>
    <xf numFmtId="0" fontId="0" fillId="0" borderId="11" xfId="0" applyBorder="1" applyAlignment="1">
      <alignment horizontal="center" vertical="center" wrapText="1"/>
    </xf>
    <xf numFmtId="0" fontId="0" fillId="0" borderId="39" xfId="0" applyBorder="1" applyAlignment="1">
      <alignment horizontal="center" vertical="center" wrapText="1"/>
    </xf>
    <xf numFmtId="0" fontId="0" fillId="0" borderId="1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Border="1" applyAlignment="1">
      <alignment horizontal="center" vertical="center" wrapText="1"/>
    </xf>
    <xf numFmtId="0" fontId="0" fillId="0" borderId="21" xfId="0" applyBorder="1" applyAlignment="1">
      <alignment horizontal="center" vertical="center" wrapText="1"/>
    </xf>
    <xf numFmtId="0" fontId="0" fillId="0" borderId="39" xfId="0" applyFill="1" applyBorder="1" applyAlignment="1">
      <alignment horizontal="center" vertical="center" wrapText="1"/>
    </xf>
    <xf numFmtId="0" fontId="0" fillId="0" borderId="40" xfId="0" applyFill="1" applyBorder="1" applyAlignment="1">
      <alignment horizontal="center" vertical="center" wrapText="1"/>
    </xf>
    <xf numFmtId="0" fontId="11" fillId="9" borderId="11" xfId="0" applyFont="1" applyFill="1" applyBorder="1" applyAlignment="1">
      <alignment horizontal="left" vertical="top" wrapText="1"/>
    </xf>
    <xf numFmtId="0" fontId="11" fillId="9" borderId="22" xfId="0" applyFont="1" applyFill="1" applyBorder="1" applyAlignment="1">
      <alignment horizontal="left" vertical="top" wrapText="1"/>
    </xf>
    <xf numFmtId="2" fontId="11" fillId="9" borderId="12" xfId="0" applyNumberFormat="1" applyFont="1" applyFill="1" applyBorder="1" applyAlignment="1">
      <alignment horizontal="center" vertical="top" wrapText="1"/>
    </xf>
    <xf numFmtId="2" fontId="11" fillId="9" borderId="23" xfId="0" applyNumberFormat="1"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7" borderId="2" xfId="0" applyFont="1" applyFill="1" applyBorder="1" applyAlignment="1">
      <alignment horizontal="center" vertical="top" wrapText="1"/>
    </xf>
    <xf numFmtId="0" fontId="11" fillId="7" borderId="17" xfId="0" applyFont="1" applyFill="1" applyBorder="1" applyAlignment="1">
      <alignment horizontal="center" vertical="top" wrapText="1"/>
    </xf>
    <xf numFmtId="2" fontId="11" fillId="7" borderId="7" xfId="0" applyNumberFormat="1" applyFont="1" applyFill="1" applyBorder="1" applyAlignment="1">
      <alignment horizontal="center" vertical="top" wrapText="1"/>
    </xf>
    <xf numFmtId="2" fontId="11" fillId="7" borderId="41" xfId="0" applyNumberFormat="1" applyFont="1" applyFill="1" applyBorder="1" applyAlignment="1">
      <alignment horizontal="center" vertical="top" wrapText="1"/>
    </xf>
    <xf numFmtId="2" fontId="11" fillId="7" borderId="18" xfId="0" applyNumberFormat="1" applyFont="1" applyFill="1" applyBorder="1" applyAlignment="1">
      <alignment horizontal="center" vertical="top" wrapText="1"/>
    </xf>
    <xf numFmtId="2" fontId="11" fillId="8" borderId="6" xfId="0" applyNumberFormat="1" applyFont="1" applyFill="1" applyBorder="1" applyAlignment="1">
      <alignment horizontal="center" vertical="top" wrapText="1"/>
    </xf>
    <xf numFmtId="2" fontId="11" fillId="8" borderId="2" xfId="0" applyNumberFormat="1" applyFont="1" applyFill="1" applyBorder="1" applyAlignment="1">
      <alignment horizontal="center" vertical="top" wrapText="1"/>
    </xf>
    <xf numFmtId="2" fontId="11" fillId="8" borderId="17" xfId="0" applyNumberFormat="1" applyFont="1" applyFill="1" applyBorder="1" applyAlignment="1">
      <alignment horizontal="center" vertical="top" wrapText="1"/>
    </xf>
    <xf numFmtId="2" fontId="11" fillId="8" borderId="7" xfId="0" applyNumberFormat="1" applyFont="1" applyFill="1" applyBorder="1" applyAlignment="1">
      <alignment horizontal="center" vertical="top" wrapText="1"/>
    </xf>
    <xf numFmtId="2" fontId="11" fillId="8" borderId="41" xfId="0" applyNumberFormat="1" applyFont="1" applyFill="1" applyBorder="1" applyAlignment="1">
      <alignment horizontal="center" vertical="top" wrapText="1"/>
    </xf>
    <xf numFmtId="2" fontId="11" fillId="8" borderId="18" xfId="0" applyNumberFormat="1" applyFont="1" applyFill="1" applyBorder="1" applyAlignment="1">
      <alignment horizontal="center" vertical="top" wrapText="1"/>
    </xf>
    <xf numFmtId="0" fontId="9" fillId="0" borderId="43" xfId="0" applyFont="1" applyBorder="1" applyAlignment="1">
      <alignment horizontal="center" vertical="center" wrapText="1"/>
    </xf>
    <xf numFmtId="0" fontId="9" fillId="0" borderId="49" xfId="0" applyFont="1" applyBorder="1" applyAlignment="1">
      <alignment horizontal="center" vertical="center" wrapText="1"/>
    </xf>
    <xf numFmtId="0" fontId="28" fillId="0" borderId="43" xfId="0" applyFont="1" applyBorder="1" applyAlignment="1">
      <alignment horizontal="center" vertical="center"/>
    </xf>
    <xf numFmtId="0" fontId="28" fillId="0" borderId="49" xfId="0" applyFont="1" applyBorder="1" applyAlignment="1">
      <alignment horizontal="center" vertical="center"/>
    </xf>
    <xf numFmtId="0" fontId="11" fillId="0" borderId="4" xfId="0" applyFont="1" applyBorder="1" applyAlignment="1">
      <alignment horizontal="center" vertical="center"/>
    </xf>
    <xf numFmtId="0" fontId="11" fillId="0" borderId="42" xfId="0" applyFont="1" applyBorder="1" applyAlignment="1">
      <alignment horizontal="center" vertical="center"/>
    </xf>
    <xf numFmtId="0" fontId="11" fillId="0" borderId="27" xfId="0" applyFont="1" applyBorder="1" applyAlignment="1">
      <alignment horizontal="center" vertical="center"/>
    </xf>
    <xf numFmtId="0" fontId="23" fillId="0" borderId="43" xfId="0" applyFont="1" applyBorder="1" applyAlignment="1">
      <alignment horizontal="center" vertical="center" wrapText="1"/>
    </xf>
    <xf numFmtId="0" fontId="23" fillId="0" borderId="49" xfId="0" applyFont="1" applyBorder="1" applyAlignment="1">
      <alignment horizontal="center" vertical="center" wrapText="1"/>
    </xf>
    <xf numFmtId="10" fontId="9" fillId="0" borderId="42" xfId="6" applyNumberFormat="1" applyFont="1" applyFill="1" applyBorder="1" applyAlignment="1">
      <alignment horizontal="center" vertical="center"/>
    </xf>
    <xf numFmtId="10" fontId="9" fillId="0" borderId="27" xfId="6" applyNumberFormat="1" applyFont="1" applyFill="1" applyBorder="1" applyAlignment="1">
      <alignment horizontal="center" vertical="center"/>
    </xf>
    <xf numFmtId="0" fontId="11" fillId="2" borderId="50" xfId="0" applyFont="1" applyFill="1" applyBorder="1" applyAlignment="1">
      <alignment horizontal="center"/>
    </xf>
    <xf numFmtId="0" fontId="12" fillId="15" borderId="41" xfId="2" applyNumberFormat="1" applyFont="1" applyFill="1" applyBorder="1" applyAlignment="1">
      <alignment horizontal="center" vertical="center" wrapText="1"/>
    </xf>
    <xf numFmtId="0" fontId="12" fillId="15" borderId="18" xfId="2" applyNumberFormat="1" applyFont="1" applyFill="1" applyBorder="1" applyAlignment="1">
      <alignment horizontal="center" vertical="center" wrapText="1"/>
    </xf>
    <xf numFmtId="0" fontId="12" fillId="15" borderId="4" xfId="2" applyNumberFormat="1" applyFont="1" applyFill="1" applyBorder="1" applyAlignment="1">
      <alignment horizontal="center" vertical="center"/>
    </xf>
    <xf numFmtId="0" fontId="12" fillId="15" borderId="42" xfId="2" applyNumberFormat="1" applyFont="1" applyFill="1" applyBorder="1" applyAlignment="1">
      <alignment horizontal="center" vertical="center"/>
    </xf>
    <xf numFmtId="0" fontId="12" fillId="15" borderId="27" xfId="2" applyNumberFormat="1" applyFont="1" applyFill="1" applyBorder="1" applyAlignment="1">
      <alignment horizontal="center" vertical="center"/>
    </xf>
    <xf numFmtId="0" fontId="12" fillId="15" borderId="2" xfId="2" applyNumberFormat="1" applyFont="1" applyFill="1" applyBorder="1" applyAlignment="1">
      <alignment horizontal="center" vertical="center" wrapText="1"/>
    </xf>
    <xf numFmtId="0" fontId="12" fillId="15" borderId="17" xfId="2" applyNumberFormat="1" applyFont="1" applyFill="1" applyBorder="1" applyAlignment="1">
      <alignment horizontal="center" vertical="center" wrapText="1"/>
    </xf>
  </cellXfs>
  <cellStyles count="7">
    <cellStyle name="Comma" xfId="2" builtinId="3"/>
    <cellStyle name="Comma 2" xfId="3" xr:uid="{1055C1DA-5F8D-4FFC-BC44-50706FB59CC8}"/>
    <cellStyle name="dar Data Entry non-negative" xfId="5" xr:uid="{F335B31C-A8AA-4A0A-86C5-C17E645A252A}"/>
    <cellStyle name="Hyperlink" xfId="1" builtinId="8"/>
    <cellStyle name="Normal" xfId="0" builtinId="0"/>
    <cellStyle name="Normal 2" xfId="4" xr:uid="{AA858007-CC16-4DA8-A0A7-9F09A6A9601E}"/>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5.emf"/><Relationship Id="rId7"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image" Target="../media/image12.png"/><Relationship Id="rId5" Type="http://schemas.openxmlformats.org/officeDocument/2006/relationships/image" Target="../media/image2.png"/><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6</xdr:row>
      <xdr:rowOff>101601</xdr:rowOff>
    </xdr:from>
    <xdr:to>
      <xdr:col>5</xdr:col>
      <xdr:colOff>728686</xdr:colOff>
      <xdr:row>8</xdr:row>
      <xdr:rowOff>187326</xdr:rowOff>
    </xdr:to>
    <xdr:pic>
      <xdr:nvPicPr>
        <xdr:cNvPr id="2" name="Picture 1">
          <a:extLst>
            <a:ext uri="{FF2B5EF4-FFF2-40B4-BE49-F238E27FC236}">
              <a16:creationId xmlns:a16="http://schemas.microsoft.com/office/drawing/2014/main" id="{A370F6C9-B934-49C8-93D6-03F7C69710F6}"/>
            </a:ext>
          </a:extLst>
        </xdr:cNvPr>
        <xdr:cNvPicPr/>
      </xdr:nvPicPr>
      <xdr:blipFill>
        <a:blip xmlns:r="http://schemas.openxmlformats.org/officeDocument/2006/relationships" r:embed="rId1"/>
        <a:srcRect/>
        <a:stretch>
          <a:fillRect/>
        </a:stretch>
      </xdr:blipFill>
      <xdr:spPr bwMode="auto">
        <a:xfrm>
          <a:off x="619126" y="1320801"/>
          <a:ext cx="3976710" cy="466725"/>
        </a:xfrm>
        <a:prstGeom prst="rect">
          <a:avLst/>
        </a:prstGeom>
        <a:noFill/>
        <a:ln w="9525">
          <a:noFill/>
          <a:miter lim="800000"/>
          <a:headEnd/>
          <a:tailEnd/>
        </a:ln>
      </xdr:spPr>
    </xdr:pic>
    <xdr:clientData/>
  </xdr:twoCellAnchor>
  <xdr:twoCellAnchor editAs="oneCell">
    <xdr:from>
      <xdr:col>1</xdr:col>
      <xdr:colOff>19050</xdr:colOff>
      <xdr:row>3</xdr:row>
      <xdr:rowOff>69850</xdr:rowOff>
    </xdr:from>
    <xdr:to>
      <xdr:col>6</xdr:col>
      <xdr:colOff>613051</xdr:colOff>
      <xdr:row>6</xdr:row>
      <xdr:rowOff>76200</xdr:rowOff>
    </xdr:to>
    <xdr:pic>
      <xdr:nvPicPr>
        <xdr:cNvPr id="3" name="Picture 1">
          <a:extLst>
            <a:ext uri="{FF2B5EF4-FFF2-40B4-BE49-F238E27FC236}">
              <a16:creationId xmlns:a16="http://schemas.microsoft.com/office/drawing/2014/main" id="{48D3FC10-AF1B-4CD5-AD40-BE7BCEB3ECC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0075" y="641350"/>
          <a:ext cx="4908826" cy="654050"/>
        </a:xfrm>
        <a:prstGeom prst="rect">
          <a:avLst/>
        </a:prstGeom>
        <a:noFill/>
        <a:ln w="1">
          <a:noFill/>
          <a:miter lim="800000"/>
          <a:headEnd/>
          <a:tailEnd type="none" w="med" len="med"/>
        </a:ln>
        <a:effectLst/>
      </xdr:spPr>
    </xdr:pic>
    <xdr:clientData/>
  </xdr:twoCellAnchor>
  <xdr:twoCellAnchor editAs="oneCell">
    <xdr:from>
      <xdr:col>1</xdr:col>
      <xdr:colOff>9525</xdr:colOff>
      <xdr:row>0</xdr:row>
      <xdr:rowOff>85726</xdr:rowOff>
    </xdr:from>
    <xdr:to>
      <xdr:col>8</xdr:col>
      <xdr:colOff>578888</xdr:colOff>
      <xdr:row>3</xdr:row>
      <xdr:rowOff>9526</xdr:rowOff>
    </xdr:to>
    <xdr:pic>
      <xdr:nvPicPr>
        <xdr:cNvPr id="7" name="Picture 6">
          <a:extLst>
            <a:ext uri="{FF2B5EF4-FFF2-40B4-BE49-F238E27FC236}">
              <a16:creationId xmlns:a16="http://schemas.microsoft.com/office/drawing/2014/main" id="{08C24FEE-1BBF-4EE8-8655-4E10C8F0E67F}"/>
            </a:ext>
          </a:extLst>
        </xdr:cNvPr>
        <xdr:cNvPicPr>
          <a:picLocks noChangeAspect="1"/>
        </xdr:cNvPicPr>
      </xdr:nvPicPr>
      <xdr:blipFill>
        <a:blip xmlns:r="http://schemas.openxmlformats.org/officeDocument/2006/relationships" r:embed="rId3"/>
        <a:stretch>
          <a:fillRect/>
        </a:stretch>
      </xdr:blipFill>
      <xdr:spPr>
        <a:xfrm>
          <a:off x="590550" y="85726"/>
          <a:ext cx="6998738" cy="495300"/>
        </a:xfrm>
        <a:prstGeom prst="rect">
          <a:avLst/>
        </a:prstGeom>
      </xdr:spPr>
    </xdr:pic>
    <xdr:clientData/>
  </xdr:twoCellAnchor>
  <xdr:twoCellAnchor editAs="oneCell">
    <xdr:from>
      <xdr:col>1</xdr:col>
      <xdr:colOff>39480</xdr:colOff>
      <xdr:row>8</xdr:row>
      <xdr:rowOff>180191</xdr:rowOff>
    </xdr:from>
    <xdr:to>
      <xdr:col>3</xdr:col>
      <xdr:colOff>757674</xdr:colOff>
      <xdr:row>11</xdr:row>
      <xdr:rowOff>145681</xdr:rowOff>
    </xdr:to>
    <xdr:pic>
      <xdr:nvPicPr>
        <xdr:cNvPr id="34" name="Picture 33">
          <a:extLst>
            <a:ext uri="{FF2B5EF4-FFF2-40B4-BE49-F238E27FC236}">
              <a16:creationId xmlns:a16="http://schemas.microsoft.com/office/drawing/2014/main" id="{33C3AB9F-E75A-43F9-B905-1B06C9EEA530}"/>
            </a:ext>
          </a:extLst>
        </xdr:cNvPr>
        <xdr:cNvPicPr/>
      </xdr:nvPicPr>
      <xdr:blipFill>
        <a:blip xmlns:r="http://schemas.openxmlformats.org/officeDocument/2006/relationships" r:embed="rId4"/>
        <a:srcRect/>
        <a:stretch>
          <a:fillRect/>
        </a:stretch>
      </xdr:blipFill>
      <xdr:spPr bwMode="auto">
        <a:xfrm>
          <a:off x="620505" y="1780391"/>
          <a:ext cx="1946919" cy="536990"/>
        </a:xfrm>
        <a:prstGeom prst="rect">
          <a:avLst/>
        </a:prstGeom>
        <a:noFill/>
        <a:ln w="9525">
          <a:noFill/>
          <a:miter lim="800000"/>
          <a:headEnd/>
          <a:tailEnd/>
        </a:ln>
      </xdr:spPr>
    </xdr:pic>
    <xdr:clientData/>
  </xdr:twoCellAnchor>
  <xdr:twoCellAnchor editAs="oneCell">
    <xdr:from>
      <xdr:col>8</xdr:col>
      <xdr:colOff>7409</xdr:colOff>
      <xdr:row>6</xdr:row>
      <xdr:rowOff>28576</xdr:rowOff>
    </xdr:from>
    <xdr:to>
      <xdr:col>12</xdr:col>
      <xdr:colOff>409575</xdr:colOff>
      <xdr:row>8</xdr:row>
      <xdr:rowOff>171450</xdr:rowOff>
    </xdr:to>
    <xdr:pic>
      <xdr:nvPicPr>
        <xdr:cNvPr id="14" name="Picture 5">
          <a:extLst>
            <a:ext uri="{FF2B5EF4-FFF2-40B4-BE49-F238E27FC236}">
              <a16:creationId xmlns:a16="http://schemas.microsoft.com/office/drawing/2014/main" id="{14192C41-E350-416F-9F0E-FB7F7829FB2D}"/>
            </a:ext>
          </a:extLst>
        </xdr:cNvPr>
        <xdr:cNvPicPr>
          <a:picLocks noChangeAspect="1" noChangeArrowheads="1"/>
        </xdr:cNvPicPr>
      </xdr:nvPicPr>
      <xdr:blipFill>
        <a:blip xmlns:r="http://schemas.openxmlformats.org/officeDocument/2006/relationships" r:embed="rId5"/>
        <a:srcRect/>
        <a:stretch>
          <a:fillRect/>
        </a:stretch>
      </xdr:blipFill>
      <xdr:spPr bwMode="auto">
        <a:xfrm>
          <a:off x="7017809" y="1247776"/>
          <a:ext cx="5088466" cy="523874"/>
        </a:xfrm>
        <a:prstGeom prst="rect">
          <a:avLst/>
        </a:prstGeom>
        <a:noFill/>
      </xdr:spPr>
    </xdr:pic>
    <xdr:clientData/>
  </xdr:twoCellAnchor>
  <xdr:twoCellAnchor editAs="oneCell">
    <xdr:from>
      <xdr:col>8</xdr:col>
      <xdr:colOff>19051</xdr:colOff>
      <xdr:row>9</xdr:row>
      <xdr:rowOff>51858</xdr:rowOff>
    </xdr:from>
    <xdr:to>
      <xdr:col>12</xdr:col>
      <xdr:colOff>400051</xdr:colOff>
      <xdr:row>11</xdr:row>
      <xdr:rowOff>99483</xdr:rowOff>
    </xdr:to>
    <xdr:pic>
      <xdr:nvPicPr>
        <xdr:cNvPr id="15" name="Picture 6">
          <a:extLst>
            <a:ext uri="{FF2B5EF4-FFF2-40B4-BE49-F238E27FC236}">
              <a16:creationId xmlns:a16="http://schemas.microsoft.com/office/drawing/2014/main" id="{A35E4B1E-06F5-4F87-AACB-10C2706B8755}"/>
            </a:ext>
          </a:extLst>
        </xdr:cNvPr>
        <xdr:cNvPicPr>
          <a:picLocks noChangeAspect="1" noChangeArrowheads="1"/>
        </xdr:cNvPicPr>
      </xdr:nvPicPr>
      <xdr:blipFill>
        <a:blip xmlns:r="http://schemas.openxmlformats.org/officeDocument/2006/relationships" r:embed="rId6"/>
        <a:srcRect/>
        <a:stretch>
          <a:fillRect/>
        </a:stretch>
      </xdr:blipFill>
      <xdr:spPr bwMode="auto">
        <a:xfrm>
          <a:off x="7029451" y="1842558"/>
          <a:ext cx="5067300" cy="4286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88733</xdr:colOff>
      <xdr:row>0</xdr:row>
      <xdr:rowOff>146384</xdr:rowOff>
    </xdr:from>
    <xdr:to>
      <xdr:col>3</xdr:col>
      <xdr:colOff>205034</xdr:colOff>
      <xdr:row>2</xdr:row>
      <xdr:rowOff>50997</xdr:rowOff>
    </xdr:to>
    <xdr:pic>
      <xdr:nvPicPr>
        <xdr:cNvPr id="2" name="Picture 2">
          <a:extLst>
            <a:ext uri="{FF2B5EF4-FFF2-40B4-BE49-F238E27FC236}">
              <a16:creationId xmlns:a16="http://schemas.microsoft.com/office/drawing/2014/main" id="{E4C1C3CF-B1FF-44E2-8A9D-DC8D8ED4B4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80286" y="146384"/>
          <a:ext cx="2452432" cy="305666"/>
        </a:xfrm>
        <a:prstGeom prst="rect">
          <a:avLst/>
        </a:prstGeom>
        <a:noFill/>
      </xdr:spPr>
    </xdr:pic>
    <xdr:clientData/>
  </xdr:twoCellAnchor>
  <xdr:twoCellAnchor editAs="oneCell">
    <xdr:from>
      <xdr:col>1</xdr:col>
      <xdr:colOff>77704</xdr:colOff>
      <xdr:row>2</xdr:row>
      <xdr:rowOff>87229</xdr:rowOff>
    </xdr:from>
    <xdr:to>
      <xdr:col>2</xdr:col>
      <xdr:colOff>255169</xdr:colOff>
      <xdr:row>4</xdr:row>
      <xdr:rowOff>48127</xdr:rowOff>
    </xdr:to>
    <xdr:pic>
      <xdr:nvPicPr>
        <xdr:cNvPr id="3" name="Picture 3">
          <a:extLst>
            <a:ext uri="{FF2B5EF4-FFF2-40B4-BE49-F238E27FC236}">
              <a16:creationId xmlns:a16="http://schemas.microsoft.com/office/drawing/2014/main" id="{EA206AB2-2856-4174-B1DE-62434DFD42E7}"/>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69257" y="488282"/>
          <a:ext cx="1942096" cy="361950"/>
        </a:xfrm>
        <a:prstGeom prst="rect">
          <a:avLst/>
        </a:prstGeom>
        <a:noFill/>
      </xdr:spPr>
    </xdr:pic>
    <xdr:clientData/>
  </xdr:twoCellAnchor>
  <xdr:twoCellAnchor editAs="oneCell">
    <xdr:from>
      <xdr:col>6</xdr:col>
      <xdr:colOff>540418</xdr:colOff>
      <xdr:row>6</xdr:row>
      <xdr:rowOff>73192</xdr:rowOff>
    </xdr:from>
    <xdr:to>
      <xdr:col>9</xdr:col>
      <xdr:colOff>611103</xdr:colOff>
      <xdr:row>7</xdr:row>
      <xdr:rowOff>357939</xdr:rowOff>
    </xdr:to>
    <xdr:pic>
      <xdr:nvPicPr>
        <xdr:cNvPr id="4" name="Picture 4">
          <a:extLst>
            <a:ext uri="{FF2B5EF4-FFF2-40B4-BE49-F238E27FC236}">
              <a16:creationId xmlns:a16="http://schemas.microsoft.com/office/drawing/2014/main" id="{A7E2954B-152F-4328-88C8-90804FCE6F4F}"/>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965155" y="1286376"/>
          <a:ext cx="2577264" cy="495300"/>
        </a:xfrm>
        <a:prstGeom prst="rect">
          <a:avLst/>
        </a:prstGeom>
        <a:noFill/>
      </xdr:spPr>
    </xdr:pic>
    <xdr:clientData/>
  </xdr:twoCellAnchor>
  <xdr:twoCellAnchor editAs="oneCell">
    <xdr:from>
      <xdr:col>6</xdr:col>
      <xdr:colOff>580525</xdr:colOff>
      <xdr:row>8</xdr:row>
      <xdr:rowOff>208549</xdr:rowOff>
    </xdr:from>
    <xdr:to>
      <xdr:col>12</xdr:col>
      <xdr:colOff>203033</xdr:colOff>
      <xdr:row>10</xdr:row>
      <xdr:rowOff>227097</xdr:rowOff>
    </xdr:to>
    <xdr:pic>
      <xdr:nvPicPr>
        <xdr:cNvPr id="5" name="Picture 5">
          <a:extLst>
            <a:ext uri="{FF2B5EF4-FFF2-40B4-BE49-F238E27FC236}">
              <a16:creationId xmlns:a16="http://schemas.microsoft.com/office/drawing/2014/main" id="{8AD66999-00F5-4C40-AC75-3DBAAA4C59F3}"/>
            </a:ext>
          </a:extLst>
        </xdr:cNvPr>
        <xdr:cNvPicPr>
          <a:picLocks noChangeAspect="1" noChangeArrowheads="1"/>
        </xdr:cNvPicPr>
      </xdr:nvPicPr>
      <xdr:blipFill>
        <a:blip xmlns:r="http://schemas.openxmlformats.org/officeDocument/2006/relationships" r:embed="rId4"/>
        <a:srcRect/>
        <a:stretch>
          <a:fillRect/>
        </a:stretch>
      </xdr:blipFill>
      <xdr:spPr bwMode="auto">
        <a:xfrm>
          <a:off x="10005262" y="1872917"/>
          <a:ext cx="4766008" cy="640180"/>
        </a:xfrm>
        <a:prstGeom prst="rect">
          <a:avLst/>
        </a:prstGeom>
        <a:noFill/>
      </xdr:spPr>
    </xdr:pic>
    <xdr:clientData/>
  </xdr:twoCellAnchor>
  <xdr:twoCellAnchor editAs="oneCell">
    <xdr:from>
      <xdr:col>6</xdr:col>
      <xdr:colOff>568993</xdr:colOff>
      <xdr:row>3</xdr:row>
      <xdr:rowOff>38600</xdr:rowOff>
    </xdr:from>
    <xdr:to>
      <xdr:col>9</xdr:col>
      <xdr:colOff>761998</xdr:colOff>
      <xdr:row>5</xdr:row>
      <xdr:rowOff>180472</xdr:rowOff>
    </xdr:to>
    <xdr:pic>
      <xdr:nvPicPr>
        <xdr:cNvPr id="6" name="Picture 6">
          <a:extLst>
            <a:ext uri="{FF2B5EF4-FFF2-40B4-BE49-F238E27FC236}">
              <a16:creationId xmlns:a16="http://schemas.microsoft.com/office/drawing/2014/main" id="{6EC76AB4-6AD9-45D9-B94B-65DE3445DAF6}"/>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93730" y="640179"/>
          <a:ext cx="2699584" cy="5429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11</xdr:row>
      <xdr:rowOff>92076</xdr:rowOff>
    </xdr:from>
    <xdr:to>
      <xdr:col>4</xdr:col>
      <xdr:colOff>709084</xdr:colOff>
      <xdr:row>13</xdr:row>
      <xdr:rowOff>177801</xdr:rowOff>
    </xdr:to>
    <xdr:pic>
      <xdr:nvPicPr>
        <xdr:cNvPr id="2" name="Picture 1">
          <a:extLst>
            <a:ext uri="{FF2B5EF4-FFF2-40B4-BE49-F238E27FC236}">
              <a16:creationId xmlns:a16="http://schemas.microsoft.com/office/drawing/2014/main" id="{EFD872A9-B015-4344-B3C9-BC796D09AAF9}"/>
            </a:ext>
          </a:extLst>
        </xdr:cNvPr>
        <xdr:cNvPicPr/>
      </xdr:nvPicPr>
      <xdr:blipFill>
        <a:blip xmlns:r="http://schemas.openxmlformats.org/officeDocument/2006/relationships" r:embed="rId1"/>
        <a:srcRect/>
        <a:stretch>
          <a:fillRect/>
        </a:stretch>
      </xdr:blipFill>
      <xdr:spPr bwMode="auto">
        <a:xfrm>
          <a:off x="600076" y="2244726"/>
          <a:ext cx="4099983" cy="466725"/>
        </a:xfrm>
        <a:prstGeom prst="rect">
          <a:avLst/>
        </a:prstGeom>
        <a:noFill/>
        <a:ln w="9525">
          <a:noFill/>
          <a:miter lim="800000"/>
          <a:headEnd/>
          <a:tailEnd/>
        </a:ln>
      </xdr:spPr>
    </xdr:pic>
    <xdr:clientData/>
  </xdr:twoCellAnchor>
  <xdr:twoCellAnchor editAs="oneCell">
    <xdr:from>
      <xdr:col>1</xdr:col>
      <xdr:colOff>47625</xdr:colOff>
      <xdr:row>6</xdr:row>
      <xdr:rowOff>11641</xdr:rowOff>
    </xdr:from>
    <xdr:to>
      <xdr:col>2</xdr:col>
      <xdr:colOff>842434</xdr:colOff>
      <xdr:row>8</xdr:row>
      <xdr:rowOff>179917</xdr:rowOff>
    </xdr:to>
    <xdr:pic>
      <xdr:nvPicPr>
        <xdr:cNvPr id="4" name="Picture 3">
          <a:extLst>
            <a:ext uri="{FF2B5EF4-FFF2-40B4-BE49-F238E27FC236}">
              <a16:creationId xmlns:a16="http://schemas.microsoft.com/office/drawing/2014/main" id="{E2B91EB8-3932-4A71-9E2A-CDDCB3C9D8B2}"/>
            </a:ext>
          </a:extLst>
        </xdr:cNvPr>
        <xdr:cNvPicPr/>
      </xdr:nvPicPr>
      <xdr:blipFill>
        <a:blip xmlns:r="http://schemas.openxmlformats.org/officeDocument/2006/relationships" r:embed="rId2"/>
        <a:srcRect/>
        <a:stretch>
          <a:fillRect/>
        </a:stretch>
      </xdr:blipFill>
      <xdr:spPr bwMode="auto">
        <a:xfrm>
          <a:off x="638175" y="1173691"/>
          <a:ext cx="1947334" cy="549276"/>
        </a:xfrm>
        <a:prstGeom prst="rect">
          <a:avLst/>
        </a:prstGeom>
        <a:noFill/>
        <a:ln w="9525">
          <a:noFill/>
          <a:miter lim="800000"/>
          <a:headEnd/>
          <a:tailEnd/>
        </a:ln>
      </xdr:spPr>
    </xdr:pic>
    <xdr:clientData/>
  </xdr:twoCellAnchor>
  <xdr:twoCellAnchor editAs="oneCell">
    <xdr:from>
      <xdr:col>5</xdr:col>
      <xdr:colOff>350308</xdr:colOff>
      <xdr:row>1</xdr:row>
      <xdr:rowOff>57150</xdr:rowOff>
    </xdr:from>
    <xdr:to>
      <xdr:col>10</xdr:col>
      <xdr:colOff>770465</xdr:colOff>
      <xdr:row>4</xdr:row>
      <xdr:rowOff>123825</xdr:rowOff>
    </xdr:to>
    <xdr:pic>
      <xdr:nvPicPr>
        <xdr:cNvPr id="5" name="Picture 5">
          <a:extLst>
            <a:ext uri="{FF2B5EF4-FFF2-40B4-BE49-F238E27FC236}">
              <a16:creationId xmlns:a16="http://schemas.microsoft.com/office/drawing/2014/main" id="{103D78A3-1ED9-4058-8FE4-C55BB073CE15}"/>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931958" y="247650"/>
          <a:ext cx="5763682" cy="638175"/>
        </a:xfrm>
        <a:prstGeom prst="rect">
          <a:avLst/>
        </a:prstGeom>
        <a:noFill/>
      </xdr:spPr>
    </xdr:pic>
    <xdr:clientData/>
  </xdr:twoCellAnchor>
  <xdr:twoCellAnchor editAs="oneCell">
    <xdr:from>
      <xdr:col>5</xdr:col>
      <xdr:colOff>342900</xdr:colOff>
      <xdr:row>5</xdr:row>
      <xdr:rowOff>23283</xdr:rowOff>
    </xdr:from>
    <xdr:to>
      <xdr:col>10</xdr:col>
      <xdr:colOff>842433</xdr:colOff>
      <xdr:row>7</xdr:row>
      <xdr:rowOff>51858</xdr:rowOff>
    </xdr:to>
    <xdr:pic>
      <xdr:nvPicPr>
        <xdr:cNvPr id="6" name="Picture 6">
          <a:extLst>
            <a:ext uri="{FF2B5EF4-FFF2-40B4-BE49-F238E27FC236}">
              <a16:creationId xmlns:a16="http://schemas.microsoft.com/office/drawing/2014/main" id="{1A70772F-CE79-46F5-995A-077C01C73F81}"/>
            </a:ext>
          </a:extLst>
        </xdr:cNvPr>
        <xdr:cNvPicPr>
          <a:picLocks noChangeAspect="1" noChangeArrowheads="1"/>
        </xdr:cNvPicPr>
      </xdr:nvPicPr>
      <xdr:blipFill>
        <a:blip xmlns:r="http://schemas.openxmlformats.org/officeDocument/2006/relationships" r:embed="rId4"/>
        <a:srcRect/>
        <a:stretch>
          <a:fillRect/>
        </a:stretch>
      </xdr:blipFill>
      <xdr:spPr bwMode="auto">
        <a:xfrm>
          <a:off x="5924550" y="975783"/>
          <a:ext cx="5843058" cy="428625"/>
        </a:xfrm>
        <a:prstGeom prst="rect">
          <a:avLst/>
        </a:prstGeom>
        <a:noFill/>
      </xdr:spPr>
    </xdr:pic>
    <xdr:clientData/>
  </xdr:twoCellAnchor>
  <xdr:twoCellAnchor editAs="oneCell">
    <xdr:from>
      <xdr:col>1</xdr:col>
      <xdr:colOff>19050</xdr:colOff>
      <xdr:row>1</xdr:row>
      <xdr:rowOff>117475</xdr:rowOff>
    </xdr:from>
    <xdr:to>
      <xdr:col>5</xdr:col>
      <xdr:colOff>161925</xdr:colOff>
      <xdr:row>4</xdr:row>
      <xdr:rowOff>133350</xdr:rowOff>
    </xdr:to>
    <xdr:pic>
      <xdr:nvPicPr>
        <xdr:cNvPr id="9" name="Picture 1">
          <a:extLst>
            <a:ext uri="{FF2B5EF4-FFF2-40B4-BE49-F238E27FC236}">
              <a16:creationId xmlns:a16="http://schemas.microsoft.com/office/drawing/2014/main" id="{8AF3D5C9-6391-4DBC-AAF4-3DB5560C4808}"/>
            </a:ext>
          </a:extLst>
        </xdr:cNvPr>
        <xdr:cNvPicPr>
          <a:picLocks noChangeAspect="1" noChangeArrowheads="1"/>
        </xdr:cNvPicPr>
      </xdr:nvPicPr>
      <xdr:blipFill>
        <a:blip xmlns:r="http://schemas.openxmlformats.org/officeDocument/2006/relationships" r:embed="rId5"/>
        <a:srcRect/>
        <a:stretch>
          <a:fillRect/>
        </a:stretch>
      </xdr:blipFill>
      <xdr:spPr bwMode="auto">
        <a:xfrm>
          <a:off x="609600" y="307975"/>
          <a:ext cx="5076825" cy="587375"/>
        </a:xfrm>
        <a:prstGeom prst="rect">
          <a:avLst/>
        </a:prstGeom>
        <a:noFill/>
        <a:ln w="1">
          <a:noFill/>
          <a:miter lim="800000"/>
          <a:headEnd/>
          <a:tailEnd type="none" w="med" len="med"/>
        </a:ln>
        <a:effectLst/>
      </xdr:spPr>
    </xdr:pic>
    <xdr:clientData/>
  </xdr:twoCellAnchor>
  <xdr:twoCellAnchor editAs="oneCell">
    <xdr:from>
      <xdr:col>5</xdr:col>
      <xdr:colOff>228600</xdr:colOff>
      <xdr:row>12</xdr:row>
      <xdr:rowOff>85725</xdr:rowOff>
    </xdr:from>
    <xdr:to>
      <xdr:col>9</xdr:col>
      <xdr:colOff>480483</xdr:colOff>
      <xdr:row>14</xdr:row>
      <xdr:rowOff>152824</xdr:rowOff>
    </xdr:to>
    <xdr:pic>
      <xdr:nvPicPr>
        <xdr:cNvPr id="18" name="Picture 17">
          <a:extLst>
            <a:ext uri="{FF2B5EF4-FFF2-40B4-BE49-F238E27FC236}">
              <a16:creationId xmlns:a16="http://schemas.microsoft.com/office/drawing/2014/main" id="{DC92A418-21F5-4906-BBE0-279971E1F19A}"/>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810250" y="2428875"/>
          <a:ext cx="4766733" cy="448099"/>
        </a:xfrm>
        <a:prstGeom prst="rect">
          <a:avLst/>
        </a:prstGeom>
      </xdr:spPr>
    </xdr:pic>
    <xdr:clientData/>
  </xdr:twoCellAnchor>
  <xdr:twoCellAnchor editAs="oneCell">
    <xdr:from>
      <xdr:col>2</xdr:col>
      <xdr:colOff>1000125</xdr:colOff>
      <xdr:row>6</xdr:row>
      <xdr:rowOff>38100</xdr:rowOff>
    </xdr:from>
    <xdr:to>
      <xdr:col>4</xdr:col>
      <xdr:colOff>1352549</xdr:colOff>
      <xdr:row>8</xdr:row>
      <xdr:rowOff>76200</xdr:rowOff>
    </xdr:to>
    <xdr:pic>
      <xdr:nvPicPr>
        <xdr:cNvPr id="19" name="Picture 18">
          <a:extLst>
            <a:ext uri="{FF2B5EF4-FFF2-40B4-BE49-F238E27FC236}">
              <a16:creationId xmlns:a16="http://schemas.microsoft.com/office/drawing/2014/main" id="{F472CD08-C35A-4E74-B26D-C86C2FE230A0}"/>
            </a:ext>
          </a:extLst>
        </xdr:cNvPr>
        <xdr:cNvPicPr/>
      </xdr:nvPicPr>
      <xdr:blipFill>
        <a:blip xmlns:r="http://schemas.openxmlformats.org/officeDocument/2006/relationships" r:embed="rId7"/>
        <a:srcRect/>
        <a:stretch>
          <a:fillRect/>
        </a:stretch>
      </xdr:blipFill>
      <xdr:spPr bwMode="auto">
        <a:xfrm>
          <a:off x="2743200" y="1200150"/>
          <a:ext cx="2600324" cy="419100"/>
        </a:xfrm>
        <a:prstGeom prst="rect">
          <a:avLst/>
        </a:prstGeom>
        <a:noFill/>
        <a:ln w="9525">
          <a:noFill/>
          <a:miter lim="800000"/>
          <a:headEnd/>
          <a:tailEnd/>
        </a:ln>
      </xdr:spPr>
    </xdr:pic>
    <xdr:clientData/>
  </xdr:twoCellAnchor>
  <xdr:twoCellAnchor editAs="oneCell">
    <xdr:from>
      <xdr:col>5</xdr:col>
      <xdr:colOff>215900</xdr:colOff>
      <xdr:row>10</xdr:row>
      <xdr:rowOff>92076</xdr:rowOff>
    </xdr:from>
    <xdr:to>
      <xdr:col>7</xdr:col>
      <xdr:colOff>349461</xdr:colOff>
      <xdr:row>12</xdr:row>
      <xdr:rowOff>47626</xdr:rowOff>
    </xdr:to>
    <xdr:pic>
      <xdr:nvPicPr>
        <xdr:cNvPr id="20" name="Picture 19">
          <a:extLst>
            <a:ext uri="{FF2B5EF4-FFF2-40B4-BE49-F238E27FC236}">
              <a16:creationId xmlns:a16="http://schemas.microsoft.com/office/drawing/2014/main" id="{B105EDAE-DDFC-41BE-949D-B3952218C8F3}"/>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797550" y="2035176"/>
          <a:ext cx="2924386" cy="35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371476</xdr:colOff>
      <xdr:row>0</xdr:row>
      <xdr:rowOff>0</xdr:rowOff>
    </xdr:from>
    <xdr:to>
      <xdr:col>13</xdr:col>
      <xdr:colOff>190501</xdr:colOff>
      <xdr:row>10</xdr:row>
      <xdr:rowOff>54701</xdr:rowOff>
    </xdr:to>
    <xdr:pic>
      <xdr:nvPicPr>
        <xdr:cNvPr id="2" name="Picture 1">
          <a:extLst>
            <a:ext uri="{FF2B5EF4-FFF2-40B4-BE49-F238E27FC236}">
              <a16:creationId xmlns:a16="http://schemas.microsoft.com/office/drawing/2014/main" id="{5B2FA733-B305-4D8C-8D3A-197C57ECC005}"/>
            </a:ext>
          </a:extLst>
        </xdr:cNvPr>
        <xdr:cNvPicPr>
          <a:picLocks noChangeAspect="1"/>
        </xdr:cNvPicPr>
      </xdr:nvPicPr>
      <xdr:blipFill>
        <a:blip xmlns:r="http://schemas.openxmlformats.org/officeDocument/2006/relationships" r:embed="rId1"/>
        <a:stretch>
          <a:fillRect/>
        </a:stretch>
      </xdr:blipFill>
      <xdr:spPr>
        <a:xfrm>
          <a:off x="4152901" y="0"/>
          <a:ext cx="3886200" cy="2559776"/>
        </a:xfrm>
        <a:prstGeom prst="rect">
          <a:avLst/>
        </a:prstGeom>
      </xdr:spPr>
    </xdr:pic>
    <xdr:clientData/>
  </xdr:twoCellAnchor>
  <xdr:twoCellAnchor editAs="oneCell">
    <xdr:from>
      <xdr:col>6</xdr:col>
      <xdr:colOff>400050</xdr:colOff>
      <xdr:row>11</xdr:row>
      <xdr:rowOff>9525</xdr:rowOff>
    </xdr:from>
    <xdr:to>
      <xdr:col>15</xdr:col>
      <xdr:colOff>381000</xdr:colOff>
      <xdr:row>12</xdr:row>
      <xdr:rowOff>97007</xdr:rowOff>
    </xdr:to>
    <xdr:pic>
      <xdr:nvPicPr>
        <xdr:cNvPr id="3" name="Picture 2">
          <a:extLst>
            <a:ext uri="{FF2B5EF4-FFF2-40B4-BE49-F238E27FC236}">
              <a16:creationId xmlns:a16="http://schemas.microsoft.com/office/drawing/2014/main" id="{5A6BDE26-8772-41CE-8541-A1C984D538F7}"/>
            </a:ext>
          </a:extLst>
        </xdr:cNvPr>
        <xdr:cNvPicPr>
          <a:picLocks noChangeAspect="1"/>
        </xdr:cNvPicPr>
      </xdr:nvPicPr>
      <xdr:blipFill>
        <a:blip xmlns:r="http://schemas.openxmlformats.org/officeDocument/2006/relationships" r:embed="rId2"/>
        <a:stretch>
          <a:fillRect/>
        </a:stretch>
      </xdr:blipFill>
      <xdr:spPr>
        <a:xfrm>
          <a:off x="4181475" y="2686050"/>
          <a:ext cx="5295900" cy="2779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7</xdr:col>
      <xdr:colOff>73927</xdr:colOff>
      <xdr:row>4</xdr:row>
      <xdr:rowOff>28575</xdr:rowOff>
    </xdr:to>
    <xdr:pic>
      <xdr:nvPicPr>
        <xdr:cNvPr id="2" name="Picture 1">
          <a:extLst>
            <a:ext uri="{FF2B5EF4-FFF2-40B4-BE49-F238E27FC236}">
              <a16:creationId xmlns:a16="http://schemas.microsoft.com/office/drawing/2014/main" id="{382A38B2-AF62-4DB1-8A15-B5B633DD74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3425" y="219075"/>
          <a:ext cx="5598427" cy="571500"/>
        </a:xfrm>
        <a:prstGeom prst="rect">
          <a:avLst/>
        </a:prstGeom>
        <a:noFill/>
        <a:ln w="1">
          <a:noFill/>
          <a:miter lim="800000"/>
          <a:headEnd/>
          <a:tailEnd type="none" w="med" len="med"/>
        </a:ln>
        <a:effectLst/>
      </xdr:spPr>
    </xdr:pic>
    <xdr:clientData/>
  </xdr:twoCellAnchor>
  <xdr:twoCellAnchor editAs="oneCell">
    <xdr:from>
      <xdr:col>7</xdr:col>
      <xdr:colOff>276225</xdr:colOff>
      <xdr:row>1</xdr:row>
      <xdr:rowOff>76200</xdr:rowOff>
    </xdr:from>
    <xdr:to>
      <xdr:col>13</xdr:col>
      <xdr:colOff>38101</xdr:colOff>
      <xdr:row>4</xdr:row>
      <xdr:rowOff>114300</xdr:rowOff>
    </xdr:to>
    <xdr:pic>
      <xdr:nvPicPr>
        <xdr:cNvPr id="3" name="Picture 3">
          <a:extLst>
            <a:ext uri="{FF2B5EF4-FFF2-40B4-BE49-F238E27FC236}">
              <a16:creationId xmlns:a16="http://schemas.microsoft.com/office/drawing/2014/main" id="{FDC50350-A09D-40E1-976E-D1931D617AE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276975" y="266700"/>
          <a:ext cx="5391151" cy="609600"/>
        </a:xfrm>
        <a:prstGeom prst="rect">
          <a:avLst/>
        </a:prstGeom>
        <a:noFill/>
        <a:ln w="1">
          <a:noFill/>
          <a:miter lim="800000"/>
          <a:headEnd/>
          <a:tailEnd type="none" w="med" len="med"/>
        </a:ln>
        <a:effectLst/>
      </xdr:spPr>
    </xdr:pic>
    <xdr:clientData/>
  </xdr:twoCellAnchor>
  <xdr:twoCellAnchor editAs="oneCell">
    <xdr:from>
      <xdr:col>1</xdr:col>
      <xdr:colOff>133350</xdr:colOff>
      <xdr:row>4</xdr:row>
      <xdr:rowOff>95250</xdr:rowOff>
    </xdr:from>
    <xdr:to>
      <xdr:col>5</xdr:col>
      <xdr:colOff>504825</xdr:colOff>
      <xdr:row>7</xdr:row>
      <xdr:rowOff>47625</xdr:rowOff>
    </xdr:to>
    <xdr:pic>
      <xdr:nvPicPr>
        <xdr:cNvPr id="4" name="Picture 4">
          <a:extLst>
            <a:ext uri="{FF2B5EF4-FFF2-40B4-BE49-F238E27FC236}">
              <a16:creationId xmlns:a16="http://schemas.microsoft.com/office/drawing/2014/main" id="{2A1BD9FC-E954-4B42-AD8D-C6C1F7A87F1B}"/>
            </a:ext>
          </a:extLst>
        </xdr:cNvPr>
        <xdr:cNvPicPr>
          <a:picLocks noChangeAspect="1" noChangeArrowheads="1"/>
        </xdr:cNvPicPr>
      </xdr:nvPicPr>
      <xdr:blipFill rotWithShape="1">
        <a:blip xmlns:r="http://schemas.openxmlformats.org/officeDocument/2006/relationships" r:embed="rId3"/>
        <a:srcRect t="23956" b="18759"/>
        <a:stretch/>
      </xdr:blipFill>
      <xdr:spPr bwMode="auto">
        <a:xfrm>
          <a:off x="723900" y="857250"/>
          <a:ext cx="4210050" cy="523875"/>
        </a:xfrm>
        <a:prstGeom prst="rect">
          <a:avLst/>
        </a:prstGeom>
        <a:noFill/>
        <a:ln w="1">
          <a:noFill/>
          <a:miter lim="800000"/>
          <a:headEnd/>
          <a:tailEnd type="none" w="med" len="med"/>
        </a:ln>
        <a:effectLst/>
      </xdr:spPr>
    </xdr:pic>
    <xdr:clientData/>
  </xdr:twoCellAnchor>
  <xdr:twoCellAnchor editAs="oneCell">
    <xdr:from>
      <xdr:col>7</xdr:col>
      <xdr:colOff>190500</xdr:colOff>
      <xdr:row>4</xdr:row>
      <xdr:rowOff>142875</xdr:rowOff>
    </xdr:from>
    <xdr:to>
      <xdr:col>13</xdr:col>
      <xdr:colOff>19051</xdr:colOff>
      <xdr:row>7</xdr:row>
      <xdr:rowOff>123825</xdr:rowOff>
    </xdr:to>
    <xdr:pic>
      <xdr:nvPicPr>
        <xdr:cNvPr id="5" name="Picture 5">
          <a:extLst>
            <a:ext uri="{FF2B5EF4-FFF2-40B4-BE49-F238E27FC236}">
              <a16:creationId xmlns:a16="http://schemas.microsoft.com/office/drawing/2014/main" id="{396FB686-E116-4DF0-B3EA-6F96DEB939C8}"/>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191250" y="904875"/>
          <a:ext cx="5457826" cy="552450"/>
        </a:xfrm>
        <a:prstGeom prst="rect">
          <a:avLst/>
        </a:prstGeom>
        <a:noFill/>
        <a:ln w="1">
          <a:noFill/>
          <a:miter lim="800000"/>
          <a:headEnd/>
          <a:tailEnd type="none" w="med" len="med"/>
        </a:ln>
        <a:effectLst/>
      </xdr:spPr>
    </xdr:pic>
    <xdr:clientData/>
  </xdr:twoCellAnchor>
  <xdr:twoCellAnchor editAs="oneCell">
    <xdr:from>
      <xdr:col>14</xdr:col>
      <xdr:colOff>114300</xdr:colOff>
      <xdr:row>1</xdr:row>
      <xdr:rowOff>47625</xdr:rowOff>
    </xdr:from>
    <xdr:to>
      <xdr:col>19</xdr:col>
      <xdr:colOff>790575</xdr:colOff>
      <xdr:row>4</xdr:row>
      <xdr:rowOff>171450</xdr:rowOff>
    </xdr:to>
    <xdr:pic>
      <xdr:nvPicPr>
        <xdr:cNvPr id="6" name="Picture 2">
          <a:extLst>
            <a:ext uri="{FF2B5EF4-FFF2-40B4-BE49-F238E27FC236}">
              <a16:creationId xmlns:a16="http://schemas.microsoft.com/office/drawing/2014/main" id="{038D907E-3AB9-440C-BD01-CBC2D49BC03D}"/>
            </a:ext>
          </a:extLst>
        </xdr:cNvPr>
        <xdr:cNvPicPr>
          <a:picLocks noChangeAspect="1" noChangeArrowheads="1"/>
        </xdr:cNvPicPr>
      </xdr:nvPicPr>
      <xdr:blipFill>
        <a:blip xmlns:r="http://schemas.openxmlformats.org/officeDocument/2006/relationships" r:embed="rId5"/>
        <a:srcRect/>
        <a:stretch>
          <a:fillRect/>
        </a:stretch>
      </xdr:blipFill>
      <xdr:spPr bwMode="auto">
        <a:xfrm>
          <a:off x="12287250" y="238125"/>
          <a:ext cx="5362575" cy="695325"/>
        </a:xfrm>
        <a:prstGeom prst="rect">
          <a:avLst/>
        </a:prstGeom>
        <a:noFill/>
        <a:ln w="1">
          <a:noFill/>
          <a:miter lim="800000"/>
          <a:headEnd/>
          <a:tailEnd type="none" w="med" len="med"/>
        </a:ln>
        <a:effectLst/>
      </xdr:spPr>
    </xdr:pic>
    <xdr:clientData/>
  </xdr:twoCellAnchor>
  <xdr:twoCellAnchor editAs="oneCell">
    <xdr:from>
      <xdr:col>14</xdr:col>
      <xdr:colOff>95250</xdr:colOff>
      <xdr:row>4</xdr:row>
      <xdr:rowOff>171450</xdr:rowOff>
    </xdr:from>
    <xdr:to>
      <xdr:col>19</xdr:col>
      <xdr:colOff>685799</xdr:colOff>
      <xdr:row>7</xdr:row>
      <xdr:rowOff>142875</xdr:rowOff>
    </xdr:to>
    <xdr:pic>
      <xdr:nvPicPr>
        <xdr:cNvPr id="7" name="Picture 3">
          <a:extLst>
            <a:ext uri="{FF2B5EF4-FFF2-40B4-BE49-F238E27FC236}">
              <a16:creationId xmlns:a16="http://schemas.microsoft.com/office/drawing/2014/main" id="{73EE57A6-C5BC-4C2F-9BBC-74A2D4003B9B}"/>
            </a:ext>
          </a:extLst>
        </xdr:cNvPr>
        <xdr:cNvPicPr>
          <a:picLocks noChangeAspect="1" noChangeArrowheads="1"/>
        </xdr:cNvPicPr>
      </xdr:nvPicPr>
      <xdr:blipFill>
        <a:blip xmlns:r="http://schemas.openxmlformats.org/officeDocument/2006/relationships" r:embed="rId6"/>
        <a:srcRect/>
        <a:stretch>
          <a:fillRect/>
        </a:stretch>
      </xdr:blipFill>
      <xdr:spPr bwMode="auto">
        <a:xfrm>
          <a:off x="12268200" y="933450"/>
          <a:ext cx="5276849" cy="542925"/>
        </a:xfrm>
        <a:prstGeom prst="rect">
          <a:avLst/>
        </a:prstGeom>
        <a:noFill/>
        <a:ln w="1">
          <a:noFill/>
          <a:miter lim="800000"/>
          <a:headEnd/>
          <a:tailEnd type="none" w="med" len="med"/>
        </a:ln>
        <a:effectLst/>
      </xdr:spPr>
    </xdr:pic>
    <xdr:clientData/>
  </xdr:twoCellAnchor>
  <xdr:twoCellAnchor editAs="oneCell">
    <xdr:from>
      <xdr:col>20</xdr:col>
      <xdr:colOff>609600</xdr:colOff>
      <xdr:row>1</xdr:row>
      <xdr:rowOff>57150</xdr:rowOff>
    </xdr:from>
    <xdr:to>
      <xdr:col>26</xdr:col>
      <xdr:colOff>50447</xdr:colOff>
      <xdr:row>4</xdr:row>
      <xdr:rowOff>38100</xdr:rowOff>
    </xdr:to>
    <xdr:pic>
      <xdr:nvPicPr>
        <xdr:cNvPr id="8" name="Picture 4">
          <a:extLst>
            <a:ext uri="{FF2B5EF4-FFF2-40B4-BE49-F238E27FC236}">
              <a16:creationId xmlns:a16="http://schemas.microsoft.com/office/drawing/2014/main" id="{03B46B83-2A3B-4E3E-9EC0-1EA8095353D6}"/>
            </a:ext>
          </a:extLst>
        </xdr:cNvPr>
        <xdr:cNvPicPr>
          <a:picLocks noChangeAspect="1" noChangeArrowheads="1"/>
        </xdr:cNvPicPr>
      </xdr:nvPicPr>
      <xdr:blipFill>
        <a:blip xmlns:r="http://schemas.openxmlformats.org/officeDocument/2006/relationships" r:embed="rId7"/>
        <a:srcRect/>
        <a:stretch>
          <a:fillRect/>
        </a:stretch>
      </xdr:blipFill>
      <xdr:spPr bwMode="auto">
        <a:xfrm>
          <a:off x="18049875" y="247650"/>
          <a:ext cx="5212997" cy="5524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perations%20-%20NBS\Pankaj%20Tomar\Pankaj\1.%20Verra,%20CDM,%20CCB,%20Plan%20VIVO,%20GS\CDM\Methodologies\ARWG30_SOC_Tool_Multizones%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nfi%20IT%20Admin\Downloads\ARWG30_SOC_Tool_Multiz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Calculator"/>
      <sheetName val="IPCC Major Climate Zones"/>
      <sheetName val="IPCC Tables"/>
      <sheetName val="Notes"/>
    </sheetNames>
    <sheetDataSet>
      <sheetData sheetId="0"/>
      <sheetData sheetId="1"/>
      <sheetData sheetId="2"/>
      <sheetData sheetId="3"/>
      <sheetData sheetId="4">
        <row r="2">
          <cell r="K2" t="str">
            <v>1. Long-term cultivated cropland</v>
          </cell>
          <cell r="L2" t="str">
            <v>2. Short-term or set aside cropland</v>
          </cell>
          <cell r="M2" t="str">
            <v>3. Grassland</v>
          </cell>
        </row>
        <row r="15">
          <cell r="C15" t="str">
            <v>1. Low</v>
          </cell>
          <cell r="D15" t="str">
            <v>2. Medium</v>
          </cell>
          <cell r="E15" t="str">
            <v>3. High without manure</v>
          </cell>
          <cell r="F15" t="str">
            <v>4. High with manure</v>
          </cell>
          <cell r="K15" t="str">
            <v>1. Low</v>
          </cell>
          <cell r="L15" t="str">
            <v>2. Medium</v>
          </cell>
          <cell r="M15" t="str">
            <v>3. High</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Calculator"/>
      <sheetName val="IPCC Major Climate Zones"/>
      <sheetName val="IPCC Tables"/>
      <sheetName val="Notes"/>
    </sheetNames>
    <sheetDataSet>
      <sheetData sheetId="0"/>
      <sheetData sheetId="1"/>
      <sheetData sheetId="2"/>
      <sheetData sheetId="3"/>
      <sheetData sheetId="4">
        <row r="2">
          <cell r="Q2" t="str">
            <v>1. Full tillage</v>
          </cell>
          <cell r="R2" t="str">
            <v>2. Reduced tillage</v>
          </cell>
          <cell r="S2" t="str">
            <v>3. No-till</v>
          </cell>
          <cell r="W2" t="str">
            <v>1. Improved</v>
          </cell>
          <cell r="X2" t="str">
            <v>2. Nominal</v>
          </cell>
          <cell r="Y2" t="str">
            <v>3. Moderately degraded</v>
          </cell>
          <cell r="Z2" t="str">
            <v>4. Severely degraded</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bing.com/ck/a?!&amp;&amp;p=07c21af0487fa8692154afaf72f147348bd1156d391f329c62f050775eb6efd1JmltdHM9MTc1OTI3NjgwMA&amp;ptn=3&amp;ver=2&amp;hsh=4&amp;fclid=18478bda-6735-65d8-2601-9f9d6651643a&amp;psq=Puangchit%2c+L.%2c+Hnin%2c+S.M.+and+Sungkaew%2c+S.%2c+2019.+Allometric+equations+for+estimating+the+aboveground+biomass+of+a+14-Year-old+bamboo+plantation+at+moeswe+research+station%2c+Myanmar.+Journal+of+Tropical+Forest+Research%2c+3(1)%2c+pp.1-19.&amp;u=a1aHR0cHM6Ly9rdWtyLmxpYi5rdS5hYy50aC9rdWtyX2VzL2t1a3Ivc2VhcmNoX2RldGFpbC9kb3dsb2FkX2RpZ2l0YWxfZmlsZS8zOTUwMTgvMTMzMzkz"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www.researchgate.net/publication/322222168"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ADD3-E191-4AD8-85B6-98A0BBBE2307}">
  <dimension ref="A1:M10"/>
  <sheetViews>
    <sheetView tabSelected="1" topLeftCell="G1" zoomScaleNormal="100" workbookViewId="0">
      <selection activeCell="K8" sqref="K8"/>
    </sheetView>
  </sheetViews>
  <sheetFormatPr defaultRowHeight="15" x14ac:dyDescent="0.25"/>
  <cols>
    <col min="1" max="1" width="9.140625" style="5"/>
    <col min="2" max="2" width="14.42578125" style="5" bestFit="1" customWidth="1"/>
    <col min="3" max="3" width="13.42578125" style="5" bestFit="1" customWidth="1"/>
    <col min="4" max="4" width="15.42578125" style="5" bestFit="1" customWidth="1"/>
    <col min="5" max="5" width="20.28515625" style="5" bestFit="1" customWidth="1"/>
    <col min="6" max="6" width="56.28515625" style="5" customWidth="1"/>
    <col min="7" max="7" width="89.140625" style="5" customWidth="1"/>
    <col min="8" max="8" width="16.7109375" style="5" bestFit="1" customWidth="1"/>
    <col min="9" max="9" width="16" style="5" bestFit="1" customWidth="1"/>
    <col min="10" max="10" width="6.85546875" style="5" bestFit="1" customWidth="1"/>
    <col min="11" max="11" width="11" style="5" bestFit="1" customWidth="1"/>
    <col min="12" max="12" width="7.28515625" style="5" bestFit="1" customWidth="1"/>
    <col min="13" max="16384" width="9.140625" style="5"/>
  </cols>
  <sheetData>
    <row r="1" spans="1:13" ht="15.75" thickBot="1" x14ac:dyDescent="0.3"/>
    <row r="2" spans="1:13" ht="17.25" thickBot="1" x14ac:dyDescent="0.3">
      <c r="B2" s="22" t="s">
        <v>0</v>
      </c>
      <c r="C2" s="23" t="s">
        <v>1</v>
      </c>
      <c r="D2" s="24" t="s">
        <v>2</v>
      </c>
      <c r="E2" s="24" t="s">
        <v>3</v>
      </c>
      <c r="F2" s="343" t="s">
        <v>294</v>
      </c>
      <c r="G2" s="344"/>
      <c r="H2" s="24" t="s">
        <v>4</v>
      </c>
      <c r="I2" s="24" t="s">
        <v>5</v>
      </c>
      <c r="J2" s="24" t="s">
        <v>6</v>
      </c>
      <c r="K2" s="24" t="s">
        <v>7</v>
      </c>
      <c r="L2" s="25" t="s">
        <v>130</v>
      </c>
    </row>
    <row r="3" spans="1:13" ht="120.75" thickBot="1" x14ac:dyDescent="0.3">
      <c r="B3" s="26">
        <v>1</v>
      </c>
      <c r="C3" s="27" t="s">
        <v>8</v>
      </c>
      <c r="D3" s="28" t="s">
        <v>9</v>
      </c>
      <c r="E3" s="29" t="s">
        <v>10</v>
      </c>
      <c r="F3" s="30" t="s">
        <v>131</v>
      </c>
      <c r="G3" s="342" t="s">
        <v>295</v>
      </c>
      <c r="H3" s="31">
        <v>0.25</v>
      </c>
      <c r="I3" s="31">
        <v>0.47</v>
      </c>
      <c r="J3" s="32">
        <v>0</v>
      </c>
      <c r="K3" s="32">
        <v>0</v>
      </c>
      <c r="L3" s="33">
        <v>3.67</v>
      </c>
    </row>
    <row r="4" spans="1:13" ht="15" customHeight="1" x14ac:dyDescent="0.25">
      <c r="B4" s="34"/>
      <c r="C4" s="34"/>
      <c r="D4" s="35"/>
      <c r="E4" s="36"/>
      <c r="F4" s="12"/>
      <c r="G4" s="12"/>
      <c r="H4" s="34"/>
      <c r="I4" s="34"/>
      <c r="J4" s="37"/>
      <c r="K4" s="37"/>
      <c r="L4" s="34"/>
    </row>
    <row r="5" spans="1:13" ht="15.75" thickBot="1" x14ac:dyDescent="0.3">
      <c r="A5" s="34"/>
      <c r="B5" s="34"/>
      <c r="C5" s="34"/>
      <c r="D5" s="35"/>
      <c r="E5" s="38"/>
      <c r="F5" s="34"/>
      <c r="G5" s="34"/>
      <c r="H5" s="34"/>
      <c r="I5" s="38"/>
      <c r="J5" s="39"/>
      <c r="K5" s="38"/>
      <c r="L5" s="40"/>
      <c r="M5" s="38"/>
    </row>
    <row r="6" spans="1:13" ht="29.25" thickBot="1" x14ac:dyDescent="0.3">
      <c r="B6" s="47" t="s">
        <v>296</v>
      </c>
      <c r="C6" s="46" t="s">
        <v>11</v>
      </c>
      <c r="D6" s="41" t="s">
        <v>132</v>
      </c>
      <c r="E6" s="42" t="s">
        <v>12</v>
      </c>
    </row>
    <row r="7" spans="1:13" x14ac:dyDescent="0.25">
      <c r="B7" s="43" t="s">
        <v>13</v>
      </c>
      <c r="C7" s="13">
        <v>540.47999999999979</v>
      </c>
      <c r="D7" s="14">
        <f>(C7/SUM($C$7:$C$10))</f>
        <v>0.64780122972924381</v>
      </c>
      <c r="E7" s="15">
        <v>30</v>
      </c>
    </row>
    <row r="8" spans="1:13" x14ac:dyDescent="0.25">
      <c r="B8" s="44" t="s">
        <v>14</v>
      </c>
      <c r="C8" s="16">
        <v>223.1699999999999</v>
      </c>
      <c r="D8" s="17">
        <f>(C8/SUM($C$7:$C$10))</f>
        <v>0.2674840890295207</v>
      </c>
      <c r="E8" s="18">
        <v>10</v>
      </c>
    </row>
    <row r="9" spans="1:13" x14ac:dyDescent="0.25">
      <c r="B9" s="44" t="s">
        <v>15</v>
      </c>
      <c r="C9" s="16">
        <v>59.950000000000024</v>
      </c>
      <c r="D9" s="17">
        <f>(C9/SUM($C$7:$C$10))</f>
        <v>7.1854062541200775E-2</v>
      </c>
      <c r="E9" s="18">
        <v>2</v>
      </c>
    </row>
    <row r="10" spans="1:13" ht="15.75" thickBot="1" x14ac:dyDescent="0.3">
      <c r="B10" s="45" t="s">
        <v>16</v>
      </c>
      <c r="C10" s="19">
        <v>10.73</v>
      </c>
      <c r="D10" s="20">
        <f>(C10/SUM($C$7:$C$10))</f>
        <v>1.2860618700034764E-2</v>
      </c>
      <c r="E10" s="21">
        <v>1</v>
      </c>
    </row>
  </sheetData>
  <mergeCells count="1">
    <mergeCell ref="F2:G2"/>
  </mergeCells>
  <phoneticPr fontId="5" type="noConversion"/>
  <hyperlinks>
    <hyperlink ref="G3" r:id="rId1" display="https://www.bing.com/ck/a?!&amp;&amp;p=07c21af0487fa8692154afaf72f147348bd1156d391f329c62f050775eb6efd1JmltdHM9MTc1OTI3NjgwMA&amp;ptn=3&amp;ver=2&amp;hsh=4&amp;fclid=18478bda-6735-65d8-2601-9f9d6651643a&amp;psq=Puangchit%2c+L.%2c+Hnin%2c+S.M.+and+Sungkaew%2c+S.%2c+2019.+Allometric+equations+for+estimating+the+aboveground+biomass+of+a+14-Year-old+bamboo+plantation+at+moeswe+research+station%2c+Myanmar.+Journal+of+Tropical+Forest+Research%2c+3(1)%2c+pp.1-19.&amp;u=a1aHR0cHM6Ly9rdWtyLmxpYi5rdS5hYy50aC9rdWtyX2VzL2t1a3Ivc2VhcmNoX2RldGFpbC9kb3dsb2FkX2RpZ2l0YWxfZmlsZS8zOTUwMTgvMTMzMzkz" xr:uid="{ACEC3F3C-8188-4C92-9E11-EADF8A196001}"/>
  </hyperlinks>
  <pageMargins left="0.7" right="0.7" top="0.75" bottom="0.75" header="0.3" footer="0.3"/>
  <pageSetup orientation="portrait" horizontalDpi="300" verticalDpi="300"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1ECF-2C7B-420E-8028-414C1CC0787D}">
  <dimension ref="B6:K31"/>
  <sheetViews>
    <sheetView workbookViewId="0"/>
  </sheetViews>
  <sheetFormatPr defaultColWidth="8.85546875" defaultRowHeight="15" x14ac:dyDescent="0.25"/>
  <cols>
    <col min="1" max="1" width="8.85546875" style="5"/>
    <col min="2" max="2" width="17.28515625" style="5" bestFit="1" customWidth="1"/>
    <col min="3" max="3" width="25.28515625" style="5" customWidth="1"/>
    <col min="4" max="4" width="8.42578125" style="5" bestFit="1" customWidth="1"/>
    <col min="5" max="5" width="23" style="5" customWidth="1"/>
    <col min="6" max="6" width="18.140625" style="5" customWidth="1"/>
    <col min="7" max="7" width="23.7109375" style="5" customWidth="1"/>
    <col min="8" max="8" width="17" style="5" customWidth="1"/>
    <col min="9" max="9" width="8.85546875" style="5"/>
    <col min="10" max="10" width="12.42578125" style="5" bestFit="1" customWidth="1"/>
    <col min="11" max="11" width="19" style="5" customWidth="1"/>
    <col min="12" max="16384" width="8.85546875" style="5"/>
  </cols>
  <sheetData>
    <row r="6" spans="2:11" ht="16.5" x14ac:dyDescent="0.3">
      <c r="C6" s="5" t="s">
        <v>196</v>
      </c>
    </row>
    <row r="10" spans="2:11" ht="16.5" x14ac:dyDescent="0.3">
      <c r="C10" s="5" t="s">
        <v>197</v>
      </c>
    </row>
    <row r="11" spans="2:11" ht="16.5" x14ac:dyDescent="0.3">
      <c r="C11" s="5" t="s">
        <v>198</v>
      </c>
    </row>
    <row r="15" spans="2:11" ht="15.75" thickBot="1" x14ac:dyDescent="0.3"/>
    <row r="16" spans="2:11" s="36" customFormat="1" ht="108.75" thickBot="1" x14ac:dyDescent="0.3">
      <c r="B16" s="179" t="s">
        <v>37</v>
      </c>
      <c r="C16" s="179" t="s">
        <v>38</v>
      </c>
      <c r="D16" s="174" t="s">
        <v>39</v>
      </c>
      <c r="E16" s="166" t="s">
        <v>214</v>
      </c>
      <c r="F16" s="166" t="s">
        <v>40</v>
      </c>
      <c r="G16" s="166" t="s">
        <v>209</v>
      </c>
      <c r="H16" s="166" t="s">
        <v>210</v>
      </c>
      <c r="I16" s="166" t="s">
        <v>211</v>
      </c>
      <c r="J16" s="166" t="s">
        <v>212</v>
      </c>
      <c r="K16" s="167" t="s">
        <v>213</v>
      </c>
    </row>
    <row r="17" spans="2:11" ht="17.25" thickBot="1" x14ac:dyDescent="0.35">
      <c r="B17" s="180" t="s">
        <v>199</v>
      </c>
      <c r="C17" s="180"/>
      <c r="D17" s="175" t="s">
        <v>200</v>
      </c>
      <c r="E17" s="170" t="s">
        <v>201</v>
      </c>
      <c r="F17" s="170" t="s">
        <v>202</v>
      </c>
      <c r="G17" s="170" t="s">
        <v>203</v>
      </c>
      <c r="H17" s="170" t="s">
        <v>204</v>
      </c>
      <c r="I17" s="170" t="s">
        <v>205</v>
      </c>
      <c r="J17" s="170" t="s">
        <v>206</v>
      </c>
      <c r="K17" s="171" t="s">
        <v>207</v>
      </c>
    </row>
    <row r="18" spans="2:11" x14ac:dyDescent="0.25">
      <c r="B18" s="181" t="s">
        <v>13</v>
      </c>
      <c r="C18" s="416" t="s">
        <v>208</v>
      </c>
      <c r="D18" s="176">
        <v>0</v>
      </c>
      <c r="E18" s="168">
        <v>0</v>
      </c>
      <c r="F18" s="51">
        <v>0.67</v>
      </c>
      <c r="G18" s="51">
        <v>6.8</v>
      </c>
      <c r="H18" s="51">
        <v>21</v>
      </c>
      <c r="I18" s="51">
        <v>0.2</v>
      </c>
      <c r="J18" s="51">
        <v>310</v>
      </c>
      <c r="K18" s="169">
        <f>0.001*D18*E18*F18*(G18*H18+I18*J18)</f>
        <v>0</v>
      </c>
    </row>
    <row r="19" spans="2:11" x14ac:dyDescent="0.25">
      <c r="B19" s="182" t="s">
        <v>14</v>
      </c>
      <c r="C19" s="417"/>
      <c r="D19" s="177">
        <v>0</v>
      </c>
      <c r="E19" s="122">
        <v>0</v>
      </c>
      <c r="F19" s="50">
        <v>0.67</v>
      </c>
      <c r="G19" s="50">
        <v>6.8</v>
      </c>
      <c r="H19" s="50">
        <v>21</v>
      </c>
      <c r="I19" s="50">
        <v>0.2</v>
      </c>
      <c r="J19" s="50">
        <v>310</v>
      </c>
      <c r="K19" s="165">
        <f>0.001*D19*E19*F19*(G19*H19+I19*J19)</f>
        <v>0</v>
      </c>
    </row>
    <row r="20" spans="2:11" x14ac:dyDescent="0.25">
      <c r="B20" s="182" t="s">
        <v>15</v>
      </c>
      <c r="C20" s="417"/>
      <c r="D20" s="177">
        <v>0</v>
      </c>
      <c r="E20" s="122">
        <v>0</v>
      </c>
      <c r="F20" s="50">
        <v>0.67</v>
      </c>
      <c r="G20" s="50">
        <v>6.8</v>
      </c>
      <c r="H20" s="50">
        <v>21</v>
      </c>
      <c r="I20" s="50">
        <v>0.2</v>
      </c>
      <c r="J20" s="50">
        <v>310</v>
      </c>
      <c r="K20" s="165">
        <f>0.001*D20*E20*F20*(G20*H20+I20*J20)</f>
        <v>0</v>
      </c>
    </row>
    <row r="21" spans="2:11" ht="15.75" thickBot="1" x14ac:dyDescent="0.3">
      <c r="B21" s="120" t="s">
        <v>16</v>
      </c>
      <c r="C21" s="418"/>
      <c r="D21" s="178">
        <v>0</v>
      </c>
      <c r="E21" s="172">
        <v>0</v>
      </c>
      <c r="F21" s="58">
        <v>0.67</v>
      </c>
      <c r="G21" s="58">
        <v>6.8</v>
      </c>
      <c r="H21" s="58">
        <v>21</v>
      </c>
      <c r="I21" s="58">
        <v>0.2</v>
      </c>
      <c r="J21" s="58">
        <v>310</v>
      </c>
      <c r="K21" s="173">
        <f>0.001*D21*E21*F21*(G21*H21+I21*J21)</f>
        <v>0</v>
      </c>
    </row>
    <row r="22" spans="2:11" ht="15.75" thickBot="1" x14ac:dyDescent="0.3">
      <c r="B22"/>
    </row>
    <row r="23" spans="2:11" ht="177.75" thickBot="1" x14ac:dyDescent="0.3">
      <c r="B23"/>
      <c r="C23" s="419" t="s">
        <v>21</v>
      </c>
      <c r="D23" s="420"/>
      <c r="E23" s="317" t="s">
        <v>217</v>
      </c>
      <c r="F23" s="187" t="s">
        <v>215</v>
      </c>
      <c r="G23" s="187" t="s">
        <v>216</v>
      </c>
      <c r="H23" s="188" t="s">
        <v>218</v>
      </c>
    </row>
    <row r="24" spans="2:11" ht="18" thickBot="1" x14ac:dyDescent="0.3">
      <c r="B24"/>
      <c r="C24" s="186"/>
      <c r="D24" s="319" t="s">
        <v>24</v>
      </c>
      <c r="E24" s="302" t="s">
        <v>41</v>
      </c>
      <c r="F24" s="190" t="s">
        <v>42</v>
      </c>
      <c r="G24" s="190" t="s">
        <v>43</v>
      </c>
      <c r="H24" s="191" t="s">
        <v>44</v>
      </c>
    </row>
    <row r="25" spans="2:11" ht="15.75" thickBot="1" x14ac:dyDescent="0.3">
      <c r="B25"/>
      <c r="C25" s="189" t="str">
        <f>C18</f>
        <v>09-Jul-2019 to 16-Dec-2024</v>
      </c>
      <c r="D25" s="320">
        <v>5.44</v>
      </c>
      <c r="E25" s="318">
        <v>0</v>
      </c>
      <c r="F25" s="192">
        <v>0</v>
      </c>
      <c r="G25" s="193">
        <f>SUM(K18:K21)</f>
        <v>0</v>
      </c>
      <c r="H25" s="194">
        <f>SUM(E25:G25)</f>
        <v>0</v>
      </c>
    </row>
    <row r="26" spans="2:11" x14ac:dyDescent="0.25">
      <c r="B26"/>
    </row>
    <row r="27" spans="2:11" x14ac:dyDescent="0.25">
      <c r="B27"/>
    </row>
    <row r="31" spans="2:11" x14ac:dyDescent="0.25">
      <c r="E31" s="195"/>
    </row>
  </sheetData>
  <mergeCells count="2">
    <mergeCell ref="C18:C21"/>
    <mergeCell ref="C23:D23"/>
  </mergeCells>
  <phoneticPr fontId="5"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AB2C-34D5-4E3E-A969-E856FC5FC170}">
  <dimension ref="B1:S30"/>
  <sheetViews>
    <sheetView workbookViewId="0"/>
  </sheetViews>
  <sheetFormatPr defaultColWidth="9.140625" defaultRowHeight="15" x14ac:dyDescent="0.25"/>
  <cols>
    <col min="1" max="1" width="9" style="5" customWidth="1"/>
    <col min="2" max="2" width="7.42578125" style="5" customWidth="1"/>
    <col min="3" max="3" width="12.140625" style="5" customWidth="1"/>
    <col min="4" max="4" width="13.85546875" style="5" customWidth="1"/>
    <col min="5" max="5" width="13.28515625" style="5" customWidth="1"/>
    <col min="6" max="6" width="9.5703125" style="5" bestFit="1" customWidth="1"/>
    <col min="7" max="7" width="10.140625" style="5" bestFit="1" customWidth="1"/>
    <col min="8" max="8" width="6.85546875" style="5" customWidth="1"/>
    <col min="9" max="9" width="9.140625" style="5"/>
    <col min="10" max="10" width="7.42578125" style="5" customWidth="1"/>
    <col min="11" max="13" width="9.140625" style="5"/>
    <col min="14" max="14" width="9.5703125" style="5" bestFit="1" customWidth="1"/>
    <col min="15" max="16384" width="9.140625" style="5"/>
  </cols>
  <sheetData>
    <row r="1" spans="2:19" ht="15.75" thickBot="1" x14ac:dyDescent="0.3"/>
    <row r="2" spans="2:19" ht="60.75" thickBot="1" x14ac:dyDescent="0.3">
      <c r="B2" s="204" t="s">
        <v>45</v>
      </c>
      <c r="C2" s="200" t="s">
        <v>21</v>
      </c>
      <c r="D2" s="198" t="s">
        <v>219</v>
      </c>
      <c r="E2" s="199" t="s">
        <v>220</v>
      </c>
    </row>
    <row r="3" spans="2:19" x14ac:dyDescent="0.25">
      <c r="B3" s="321">
        <v>1</v>
      </c>
      <c r="C3" s="201">
        <v>2019</v>
      </c>
      <c r="D3" s="196">
        <v>0</v>
      </c>
      <c r="E3" s="322">
        <f>D3</f>
        <v>0</v>
      </c>
      <c r="N3" s="6"/>
      <c r="O3" s="6"/>
      <c r="P3" s="6"/>
      <c r="Q3" s="6"/>
      <c r="R3" s="6"/>
      <c r="S3" s="6"/>
    </row>
    <row r="4" spans="2:19" x14ac:dyDescent="0.25">
      <c r="B4" s="55">
        <v>2</v>
      </c>
      <c r="C4" s="202">
        <v>2020</v>
      </c>
      <c r="D4" s="10">
        <v>0</v>
      </c>
      <c r="E4" s="323">
        <f>E3+D4</f>
        <v>0</v>
      </c>
      <c r="O4" s="6"/>
      <c r="P4" s="6"/>
    </row>
    <row r="5" spans="2:19" x14ac:dyDescent="0.25">
      <c r="B5" s="55">
        <v>3</v>
      </c>
      <c r="C5" s="202">
        <v>2021</v>
      </c>
      <c r="D5" s="10">
        <v>0</v>
      </c>
      <c r="E5" s="323">
        <f>E4+D5</f>
        <v>0</v>
      </c>
      <c r="O5" s="6"/>
      <c r="P5" s="6"/>
    </row>
    <row r="6" spans="2:19" x14ac:dyDescent="0.25">
      <c r="B6" s="55">
        <v>4</v>
      </c>
      <c r="C6" s="202">
        <v>2022</v>
      </c>
      <c r="D6" s="10">
        <v>0</v>
      </c>
      <c r="E6" s="323">
        <f>E5+D6</f>
        <v>0</v>
      </c>
      <c r="O6" s="6"/>
      <c r="P6" s="6"/>
    </row>
    <row r="7" spans="2:19" x14ac:dyDescent="0.25">
      <c r="B7" s="55">
        <v>5</v>
      </c>
      <c r="C7" s="202">
        <v>2023</v>
      </c>
      <c r="D7" s="10">
        <v>0</v>
      </c>
      <c r="E7" s="323">
        <f>E6+D7</f>
        <v>0</v>
      </c>
      <c r="O7" s="6"/>
      <c r="P7" s="6"/>
    </row>
    <row r="8" spans="2:19" ht="15.75" thickBot="1" x14ac:dyDescent="0.3">
      <c r="B8" s="56">
        <v>6</v>
      </c>
      <c r="C8" s="203">
        <v>2024</v>
      </c>
      <c r="D8" s="197">
        <v>0</v>
      </c>
      <c r="E8" s="324">
        <f>E7+D8</f>
        <v>0</v>
      </c>
      <c r="O8" s="6"/>
      <c r="P8" s="6"/>
    </row>
    <row r="9" spans="2:19" x14ac:dyDescent="0.25">
      <c r="G9" s="7"/>
      <c r="H9" s="7"/>
      <c r="J9" s="7"/>
    </row>
    <row r="10" spans="2:19" x14ac:dyDescent="0.25">
      <c r="G10" s="6"/>
      <c r="J10" s="7"/>
      <c r="L10" s="8"/>
    </row>
    <row r="12" spans="2:19" x14ac:dyDescent="0.25">
      <c r="H12" s="9"/>
    </row>
    <row r="21" spans="9:16" x14ac:dyDescent="0.25">
      <c r="I21" s="6"/>
    </row>
    <row r="23" spans="9:16" x14ac:dyDescent="0.25">
      <c r="P23" s="6"/>
    </row>
    <row r="30" spans="9:16" x14ac:dyDescent="0.25">
      <c r="M30" s="6"/>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DAC8-7E4C-43DC-AE89-D9F983FFED3A}">
  <dimension ref="B8:AE20"/>
  <sheetViews>
    <sheetView workbookViewId="0"/>
  </sheetViews>
  <sheetFormatPr defaultColWidth="8.85546875" defaultRowHeight="15" x14ac:dyDescent="0.25"/>
  <cols>
    <col min="1" max="1" width="8.85546875" style="5"/>
    <col min="2" max="2" width="24.85546875" style="5" bestFit="1" customWidth="1"/>
    <col min="3" max="3" width="5" style="5" bestFit="1" customWidth="1"/>
    <col min="4" max="4" width="12.42578125" style="5" customWidth="1"/>
    <col min="5" max="5" width="15.28515625" style="5" customWidth="1"/>
    <col min="6" max="6" width="12.28515625" style="5" customWidth="1"/>
    <col min="7" max="7" width="15.140625" style="5" customWidth="1"/>
    <col min="8" max="8" width="12.140625" style="5" customWidth="1"/>
    <col min="9" max="9" width="15.140625" style="5" customWidth="1"/>
    <col min="10" max="10" width="13.42578125" style="5" customWidth="1"/>
    <col min="11" max="11" width="14.7109375" style="5" customWidth="1"/>
    <col min="12" max="12" width="16.140625" style="5" customWidth="1"/>
    <col min="13" max="13" width="12.85546875" style="5" customWidth="1"/>
    <col min="14" max="14" width="12" style="5" customWidth="1"/>
    <col min="15" max="15" width="14.5703125" style="5" customWidth="1"/>
    <col min="16" max="16" width="13.140625" style="5" customWidth="1"/>
    <col min="17" max="17" width="14.85546875" style="5" customWidth="1"/>
    <col min="18" max="18" width="14.42578125" style="5" customWidth="1"/>
    <col min="19" max="19" width="13.28515625" style="5" customWidth="1"/>
    <col min="20" max="20" width="14.5703125" style="5" bestFit="1" customWidth="1"/>
    <col min="21" max="21" width="11.85546875" style="5" customWidth="1"/>
    <col min="22" max="22" width="12" style="5" customWidth="1"/>
    <col min="23" max="23" width="11.85546875" style="5" customWidth="1"/>
    <col min="24" max="24" width="15.140625" style="5" customWidth="1"/>
    <col min="25" max="25" width="22.85546875" style="5" customWidth="1"/>
    <col min="26" max="26" width="12.85546875" style="5" customWidth="1"/>
    <col min="27" max="27" width="11.7109375" style="5" customWidth="1"/>
    <col min="28" max="28" width="12.42578125" style="5" customWidth="1"/>
    <col min="29" max="29" width="14.5703125" style="5" customWidth="1"/>
    <col min="30" max="30" width="12.140625" style="5" customWidth="1"/>
    <col min="31" max="31" width="10.5703125" style="5" bestFit="1" customWidth="1"/>
    <col min="32" max="16384" width="8.85546875" style="5"/>
  </cols>
  <sheetData>
    <row r="8" spans="2:31" ht="14.25" customHeight="1" thickBot="1" x14ac:dyDescent="0.3"/>
    <row r="9" spans="2:31" ht="132" thickBot="1" x14ac:dyDescent="0.3">
      <c r="B9" s="419" t="s">
        <v>21</v>
      </c>
      <c r="C9" s="420"/>
      <c r="D9" s="228" t="s">
        <v>221</v>
      </c>
      <c r="E9" s="206" t="s">
        <v>258</v>
      </c>
      <c r="F9" s="207" t="s">
        <v>222</v>
      </c>
      <c r="G9" s="207" t="s">
        <v>259</v>
      </c>
      <c r="H9" s="208" t="s">
        <v>223</v>
      </c>
      <c r="I9" s="208" t="s">
        <v>260</v>
      </c>
      <c r="J9" s="206" t="s">
        <v>224</v>
      </c>
      <c r="K9" s="206" t="s">
        <v>261</v>
      </c>
      <c r="L9" s="209" t="s">
        <v>257</v>
      </c>
      <c r="M9" s="210" t="s">
        <v>262</v>
      </c>
      <c r="N9" s="210" t="s">
        <v>46</v>
      </c>
      <c r="O9" s="209" t="s">
        <v>263</v>
      </c>
      <c r="P9" s="211" t="s">
        <v>264</v>
      </c>
      <c r="Q9" s="211" t="s">
        <v>265</v>
      </c>
      <c r="R9" s="211" t="s">
        <v>266</v>
      </c>
      <c r="S9" s="211" t="s">
        <v>246</v>
      </c>
      <c r="T9" s="211" t="s">
        <v>247</v>
      </c>
      <c r="U9" s="211" t="s">
        <v>248</v>
      </c>
      <c r="V9" s="211" t="s">
        <v>249</v>
      </c>
      <c r="W9" s="211" t="s">
        <v>250</v>
      </c>
      <c r="X9" s="211" t="s">
        <v>251</v>
      </c>
      <c r="Y9" s="211" t="s">
        <v>252</v>
      </c>
      <c r="Z9" s="211" t="s">
        <v>253</v>
      </c>
      <c r="AA9" s="211" t="s">
        <v>254</v>
      </c>
      <c r="AB9" s="211" t="s">
        <v>255</v>
      </c>
      <c r="AC9" s="211" t="s">
        <v>256</v>
      </c>
      <c r="AD9" s="211" t="s">
        <v>47</v>
      </c>
      <c r="AE9" s="212" t="s">
        <v>267</v>
      </c>
    </row>
    <row r="10" spans="2:31" s="121" customFormat="1" ht="18" thickBot="1" x14ac:dyDescent="0.35">
      <c r="B10" s="227"/>
      <c r="C10" s="230" t="s">
        <v>24</v>
      </c>
      <c r="D10" s="229" t="s">
        <v>225</v>
      </c>
      <c r="E10" s="213" t="s">
        <v>226</v>
      </c>
      <c r="F10" s="214" t="s">
        <v>225</v>
      </c>
      <c r="G10" s="214" t="s">
        <v>227</v>
      </c>
      <c r="H10" s="215" t="s">
        <v>225</v>
      </c>
      <c r="I10" s="215" t="s">
        <v>228</v>
      </c>
      <c r="J10" s="213" t="s">
        <v>225</v>
      </c>
      <c r="K10" s="213" t="s">
        <v>229</v>
      </c>
      <c r="L10" s="216" t="s">
        <v>230</v>
      </c>
      <c r="M10" s="217" t="s">
        <v>48</v>
      </c>
      <c r="N10" s="217" t="s">
        <v>49</v>
      </c>
      <c r="O10" s="216" t="s">
        <v>231</v>
      </c>
      <c r="P10" s="218" t="s">
        <v>232</v>
      </c>
      <c r="Q10" s="218" t="s">
        <v>233</v>
      </c>
      <c r="R10" s="218" t="s">
        <v>234</v>
      </c>
      <c r="S10" s="218" t="s">
        <v>235</v>
      </c>
      <c r="T10" s="218" t="s">
        <v>236</v>
      </c>
      <c r="U10" s="218" t="s">
        <v>237</v>
      </c>
      <c r="V10" s="218" t="s">
        <v>238</v>
      </c>
      <c r="W10" s="218" t="s">
        <v>239</v>
      </c>
      <c r="X10" s="218" t="s">
        <v>240</v>
      </c>
      <c r="Y10" s="218" t="s">
        <v>241</v>
      </c>
      <c r="Z10" s="218" t="s">
        <v>242</v>
      </c>
      <c r="AA10" s="219" t="s">
        <v>243</v>
      </c>
      <c r="AB10" s="218" t="s">
        <v>244</v>
      </c>
      <c r="AC10" s="220" t="s">
        <v>245</v>
      </c>
      <c r="AD10" s="220"/>
      <c r="AE10" s="221"/>
    </row>
    <row r="11" spans="2:31" s="205" customFormat="1" ht="37.15" customHeight="1" thickBot="1" x14ac:dyDescent="0.3">
      <c r="B11" s="231" t="s">
        <v>208</v>
      </c>
      <c r="C11" s="232">
        <v>5.44</v>
      </c>
      <c r="D11" s="325">
        <f>Database!F3</f>
        <v>116.81477401572197</v>
      </c>
      <c r="E11" s="326">
        <f>'key data'!D7</f>
        <v>0.64780122972924381</v>
      </c>
      <c r="F11" s="326">
        <f>Database!F33</f>
        <v>108.68632553458922</v>
      </c>
      <c r="G11" s="326">
        <f>'key data'!D8</f>
        <v>0.2674840890295207</v>
      </c>
      <c r="H11" s="326">
        <f>Database!F43</f>
        <v>85.205081436390657</v>
      </c>
      <c r="I11" s="326">
        <f>'key data'!D9</f>
        <v>7.1854062541200775E-2</v>
      </c>
      <c r="J11" s="326">
        <f>Database!F45</f>
        <v>55.654416749722984</v>
      </c>
      <c r="K11" s="326">
        <f>'key data'!D10</f>
        <v>1.2860618700034764E-2</v>
      </c>
      <c r="L11" s="222">
        <f>(D11*E11)+(F11*G11)+(H11*I11)+(J11*K11)</f>
        <v>111.58269851666346</v>
      </c>
      <c r="M11" s="222">
        <f>SUM('key data'!C7:C10)</f>
        <v>834.3299999999997</v>
      </c>
      <c r="N11" s="222">
        <f>'key data'!H3</f>
        <v>0.25</v>
      </c>
      <c r="O11" s="223">
        <f>(L11*M11)+(L11*N11*M11)</f>
        <v>116370.99106675974</v>
      </c>
      <c r="P11" s="224">
        <f>'key data'!I3</f>
        <v>0.47</v>
      </c>
      <c r="Q11" s="224">
        <f>O11*P11*3.67</f>
        <v>200728.32249105387</v>
      </c>
      <c r="R11" s="224">
        <f>(Q11-0)/1*1</f>
        <v>200728.32249105387</v>
      </c>
      <c r="S11" s="224">
        <f>R11</f>
        <v>200728.32249105387</v>
      </c>
      <c r="T11" s="225">
        <v>0</v>
      </c>
      <c r="U11" s="225">
        <f>Q11*'key data'!$K$3</f>
        <v>0</v>
      </c>
      <c r="V11" s="225">
        <f>R11*'key data'!$J$3</f>
        <v>0</v>
      </c>
      <c r="W11" s="225">
        <f>SUM('SOC '!$L$16:$L$21)</f>
        <v>12185.173314912561</v>
      </c>
      <c r="X11" s="225">
        <f>SUM(S11:W11)</f>
        <v>212913.49580596644</v>
      </c>
      <c r="Y11" s="225">
        <f>'GHG emission'!H25</f>
        <v>0</v>
      </c>
      <c r="Z11" s="225">
        <f>X11-Y11</f>
        <v>212913.49580596644</v>
      </c>
      <c r="AA11" s="225">
        <f>Leakage!E8</f>
        <v>0</v>
      </c>
      <c r="AB11" s="225">
        <f>SUM(Baseline!Y16:Y20)</f>
        <v>7767.7510067368075</v>
      </c>
      <c r="AC11" s="225">
        <f>Z11-AB11-AA11</f>
        <v>205145.74479922964</v>
      </c>
      <c r="AD11" s="225">
        <f>AC11*19%</f>
        <v>38977.691511853634</v>
      </c>
      <c r="AE11" s="226">
        <f>AC11-AD11</f>
        <v>166168.05328737601</v>
      </c>
    </row>
    <row r="12" spans="2:31" x14ac:dyDescent="0.25">
      <c r="AC12" s="7"/>
      <c r="AD12" s="7"/>
      <c r="AE12" s="7"/>
    </row>
    <row r="13" spans="2:31" x14ac:dyDescent="0.25">
      <c r="AD13" s="9"/>
    </row>
    <row r="14" spans="2:31" x14ac:dyDescent="0.25">
      <c r="M14" s="6"/>
      <c r="N14" s="6"/>
    </row>
    <row r="15" spans="2:31" x14ac:dyDescent="0.25">
      <c r="M15" s="6"/>
      <c r="N15" s="6"/>
    </row>
    <row r="16" spans="2:31" x14ac:dyDescent="0.25">
      <c r="M16" s="6"/>
      <c r="N16" s="6"/>
    </row>
    <row r="17" spans="13:14" x14ac:dyDescent="0.25">
      <c r="M17" s="6"/>
      <c r="N17" s="6"/>
    </row>
    <row r="18" spans="13:14" x14ac:dyDescent="0.25">
      <c r="M18" s="6"/>
      <c r="N18" s="6"/>
    </row>
    <row r="19" spans="13:14" x14ac:dyDescent="0.25">
      <c r="M19" s="6"/>
      <c r="N19" s="6"/>
    </row>
    <row r="20" spans="13:14" x14ac:dyDescent="0.25">
      <c r="M20" s="6"/>
      <c r="N20" s="6"/>
    </row>
  </sheetData>
  <mergeCells count="1">
    <mergeCell ref="B9:C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E533C-0F15-4149-9629-563D6123F570}">
  <dimension ref="B1:P20"/>
  <sheetViews>
    <sheetView workbookViewId="0">
      <selection activeCell="H14" sqref="H14"/>
    </sheetView>
  </sheetViews>
  <sheetFormatPr defaultRowHeight="15" x14ac:dyDescent="0.25"/>
  <cols>
    <col min="1" max="1" width="9.140625" style="5"/>
    <col min="2" max="2" width="25.5703125" style="5" bestFit="1" customWidth="1"/>
    <col min="3" max="3" width="11.28515625" style="5" bestFit="1" customWidth="1"/>
    <col min="4" max="4" width="18.42578125" style="5" bestFit="1" customWidth="1"/>
    <col min="5" max="6" width="17.85546875" style="5" bestFit="1" customWidth="1"/>
    <col min="7" max="7" width="18.42578125" style="5" bestFit="1" customWidth="1"/>
    <col min="8" max="8" width="18" style="5" bestFit="1" customWidth="1"/>
    <col min="9" max="9" width="14.5703125" style="5" bestFit="1" customWidth="1"/>
    <col min="10" max="10" width="14.5703125" style="5" customWidth="1"/>
    <col min="11" max="11" width="17" style="5" bestFit="1" customWidth="1"/>
    <col min="12" max="15" width="9.140625" style="5"/>
    <col min="16" max="16" width="10.7109375" style="5" bestFit="1" customWidth="1"/>
    <col min="17" max="16384" width="9.140625" style="5"/>
  </cols>
  <sheetData>
    <row r="1" spans="2:16" ht="15.75" thickBot="1" x14ac:dyDescent="0.3"/>
    <row r="2" spans="2:16" ht="32.25" thickBot="1" x14ac:dyDescent="0.3">
      <c r="B2" s="241" t="s">
        <v>50</v>
      </c>
      <c r="C2" s="239" t="s">
        <v>276</v>
      </c>
      <c r="D2" s="237" t="s">
        <v>268</v>
      </c>
      <c r="E2" s="237" t="s">
        <v>269</v>
      </c>
      <c r="F2" s="237" t="s">
        <v>270</v>
      </c>
      <c r="G2" s="237" t="s">
        <v>271</v>
      </c>
      <c r="H2" s="237" t="s">
        <v>277</v>
      </c>
      <c r="I2" s="237" t="s">
        <v>278</v>
      </c>
      <c r="J2" s="237" t="s">
        <v>279</v>
      </c>
      <c r="K2" s="238" t="s">
        <v>280</v>
      </c>
    </row>
    <row r="3" spans="2:16" x14ac:dyDescent="0.25">
      <c r="B3" s="183" t="s">
        <v>188</v>
      </c>
      <c r="C3" s="243">
        <v>176</v>
      </c>
      <c r="D3" s="327">
        <f>('Final Calculation'!$AB$11/'Vinatge Period'!$C$9)*'Vinatge Period'!C3</f>
        <v>687.68821790024049</v>
      </c>
      <c r="E3" s="327">
        <f>('Final Calculation'!$Z$11/'Vinatge Period'!$C$9)*'Vinatge Period'!C3</f>
        <v>18849.484538153971</v>
      </c>
      <c r="F3" s="328">
        <f>E3</f>
        <v>18849.484538153971</v>
      </c>
      <c r="G3" s="327">
        <f>('Final Calculation'!$AA$11/'Vinatge Period'!$C$9)*'Vinatge Period'!C3</f>
        <v>0</v>
      </c>
      <c r="H3" s="327">
        <f>('Final Calculation'!$AD$11/'Vinatge Period'!$C$9)*'Vinatge Period'!C3</f>
        <v>3450.741300848209</v>
      </c>
      <c r="I3" s="327">
        <v>0</v>
      </c>
      <c r="J3" s="327">
        <f>E3-D3-G3</f>
        <v>18161.796320253728</v>
      </c>
      <c r="K3" s="329">
        <f t="shared" ref="K3:K8" si="0">ROUNDDOWN((J3-I3-H3),0)</f>
        <v>14711</v>
      </c>
      <c r="O3" s="123"/>
      <c r="P3" s="123"/>
    </row>
    <row r="4" spans="2:16" x14ac:dyDescent="0.25">
      <c r="B4" s="184" t="s">
        <v>272</v>
      </c>
      <c r="C4" s="244">
        <v>366</v>
      </c>
      <c r="D4" s="330">
        <f>('Final Calculation'!$AB$11/'Vinatge Period'!$C$9)*'Vinatge Period'!C4</f>
        <v>1430.0789076789092</v>
      </c>
      <c r="E4" s="330">
        <f>('Final Calculation'!$Z$11/'Vinatge Period'!$C$9)*'Vinatge Period'!C4</f>
        <v>39198.359891842912</v>
      </c>
      <c r="F4" s="233">
        <f>E4+F3</f>
        <v>58047.844429996883</v>
      </c>
      <c r="G4" s="330">
        <f>('Final Calculation'!$AA$11/'Vinatge Period'!$C$9)*'Vinatge Period'!C4</f>
        <v>0</v>
      </c>
      <c r="H4" s="330">
        <f>('Final Calculation'!$AD$11/'Vinatge Period'!$C$9)*'Vinatge Period'!C4</f>
        <v>7175.9733869911624</v>
      </c>
      <c r="I4" s="330">
        <v>0</v>
      </c>
      <c r="J4" s="330">
        <f t="shared" ref="J4:J8" si="1">E4-D4-G4</f>
        <v>37768.280984164005</v>
      </c>
      <c r="K4" s="331">
        <f t="shared" si="0"/>
        <v>30592</v>
      </c>
    </row>
    <row r="5" spans="2:16" x14ac:dyDescent="0.25">
      <c r="B5" s="184" t="s">
        <v>273</v>
      </c>
      <c r="C5" s="244">
        <v>365</v>
      </c>
      <c r="D5" s="330">
        <f>('Final Calculation'!$AB$11/'Vinatge Period'!$C$9)*'Vinatge Period'!C5</f>
        <v>1426.1715882590215</v>
      </c>
      <c r="E5" s="330">
        <f>('Final Calculation'!$Z$11/'Vinatge Period'!$C$9)*'Vinatge Period'!C5</f>
        <v>39091.260547876132</v>
      </c>
      <c r="F5" s="233">
        <f>E5+F4</f>
        <v>97139.104977873008</v>
      </c>
      <c r="G5" s="330">
        <f>('Final Calculation'!$AA$11/'Vinatge Period'!$C$9)*'Vinatge Period'!C5</f>
        <v>0</v>
      </c>
      <c r="H5" s="330">
        <f>('Final Calculation'!$AD$11/'Vinatge Period'!$C$9)*'Vinatge Period'!C5</f>
        <v>7156.3669023272523</v>
      </c>
      <c r="I5" s="330">
        <v>0</v>
      </c>
      <c r="J5" s="330">
        <f t="shared" si="1"/>
        <v>37665.088959617111</v>
      </c>
      <c r="K5" s="331">
        <f t="shared" si="0"/>
        <v>30508</v>
      </c>
    </row>
    <row r="6" spans="2:16" x14ac:dyDescent="0.25">
      <c r="B6" s="184" t="s">
        <v>274</v>
      </c>
      <c r="C6" s="244">
        <v>365</v>
      </c>
      <c r="D6" s="330">
        <f>('Final Calculation'!$AB$11/'Vinatge Period'!$C$9)*'Vinatge Period'!C6</f>
        <v>1426.1715882590215</v>
      </c>
      <c r="E6" s="330">
        <f>('Final Calculation'!$Z$11/'Vinatge Period'!$C$9)*'Vinatge Period'!C6</f>
        <v>39091.260547876132</v>
      </c>
      <c r="F6" s="233">
        <f>E6+F5</f>
        <v>136230.36552574913</v>
      </c>
      <c r="G6" s="330">
        <f>('Final Calculation'!$AA$11/'Vinatge Period'!$C$9)*'Vinatge Period'!C6</f>
        <v>0</v>
      </c>
      <c r="H6" s="330">
        <f>('Final Calculation'!$AD$11/'Vinatge Period'!$C$9)*'Vinatge Period'!C6</f>
        <v>7156.3669023272523</v>
      </c>
      <c r="I6" s="330">
        <v>0</v>
      </c>
      <c r="J6" s="330">
        <f t="shared" si="1"/>
        <v>37665.088959617111</v>
      </c>
      <c r="K6" s="331">
        <f t="shared" si="0"/>
        <v>30508</v>
      </c>
    </row>
    <row r="7" spans="2:16" x14ac:dyDescent="0.25">
      <c r="B7" s="184" t="s">
        <v>275</v>
      </c>
      <c r="C7" s="244">
        <v>365</v>
      </c>
      <c r="D7" s="330">
        <f>('Final Calculation'!$AB$11/'Vinatge Period'!$C$9)*'Vinatge Period'!C7</f>
        <v>1426.1715882590215</v>
      </c>
      <c r="E7" s="330">
        <f>('Final Calculation'!$Z$11/'Vinatge Period'!$C$9)*'Vinatge Period'!C7</f>
        <v>39091.260547876132</v>
      </c>
      <c r="F7" s="233">
        <f>E7+F6</f>
        <v>175321.62607362526</v>
      </c>
      <c r="G7" s="330">
        <f>('Final Calculation'!$AA$11/'Vinatge Period'!$C$9)*'Vinatge Period'!C7</f>
        <v>0</v>
      </c>
      <c r="H7" s="330">
        <f>('Final Calculation'!$AD$11/'Vinatge Period'!$C$9)*'Vinatge Period'!C7</f>
        <v>7156.3669023272523</v>
      </c>
      <c r="I7" s="330">
        <v>0</v>
      </c>
      <c r="J7" s="330">
        <f t="shared" si="1"/>
        <v>37665.088959617111</v>
      </c>
      <c r="K7" s="331">
        <f t="shared" si="0"/>
        <v>30508</v>
      </c>
    </row>
    <row r="8" spans="2:16" ht="15.75" thickBot="1" x14ac:dyDescent="0.3">
      <c r="B8" s="185" t="s">
        <v>189</v>
      </c>
      <c r="C8" s="245">
        <v>351</v>
      </c>
      <c r="D8" s="332">
        <f>('Final Calculation'!$AB$11/'Vinatge Period'!$C$9)*'Vinatge Period'!C8</f>
        <v>1371.4691163805933</v>
      </c>
      <c r="E8" s="332">
        <f>('Final Calculation'!$Z$11/'Vinatge Period'!$C$9)*'Vinatge Period'!C8</f>
        <v>37591.869732341154</v>
      </c>
      <c r="F8" s="284">
        <f>E8+F7</f>
        <v>212913.49580596641</v>
      </c>
      <c r="G8" s="332">
        <f>('Final Calculation'!$AA$11/'Vinatge Period'!$C$9)*'Vinatge Period'!C8</f>
        <v>0</v>
      </c>
      <c r="H8" s="332">
        <f>('Final Calculation'!$AD$11/'Vinatge Period'!$C$9)*'Vinatge Period'!C8</f>
        <v>6881.8761170325079</v>
      </c>
      <c r="I8" s="332">
        <v>0</v>
      </c>
      <c r="J8" s="332">
        <f t="shared" si="1"/>
        <v>36220.400615960563</v>
      </c>
      <c r="K8" s="333">
        <f t="shared" si="0"/>
        <v>29338</v>
      </c>
    </row>
    <row r="9" spans="2:16" ht="15.75" thickBot="1" x14ac:dyDescent="0.3">
      <c r="B9" s="242" t="s">
        <v>51</v>
      </c>
      <c r="C9" s="246">
        <f>SUM(C3:C8)</f>
        <v>1988</v>
      </c>
      <c r="D9" s="334">
        <f t="shared" ref="D9:K9" si="2">SUM(D3:D8)</f>
        <v>7767.7510067368075</v>
      </c>
      <c r="E9" s="334">
        <f t="shared" si="2"/>
        <v>212913.49580596641</v>
      </c>
      <c r="F9" s="334">
        <f t="shared" si="2"/>
        <v>698501.9213513647</v>
      </c>
      <c r="G9" s="334">
        <f t="shared" si="2"/>
        <v>0</v>
      </c>
      <c r="H9" s="334">
        <f t="shared" si="2"/>
        <v>38977.691511853634</v>
      </c>
      <c r="I9" s="334">
        <f t="shared" si="2"/>
        <v>0</v>
      </c>
      <c r="J9" s="334">
        <f t="shared" si="2"/>
        <v>205145.74479922961</v>
      </c>
      <c r="K9" s="335">
        <f t="shared" si="2"/>
        <v>166165</v>
      </c>
    </row>
    <row r="10" spans="2:16" ht="15.75" thickBot="1" x14ac:dyDescent="0.3">
      <c r="C10" s="121"/>
      <c r="K10" s="234"/>
    </row>
    <row r="11" spans="2:16" ht="32.25" thickBot="1" x14ac:dyDescent="0.3">
      <c r="B11" s="271" t="s">
        <v>50</v>
      </c>
      <c r="C11" s="236" t="s">
        <v>276</v>
      </c>
      <c r="D11" s="237" t="s">
        <v>281</v>
      </c>
      <c r="E11" s="237" t="s">
        <v>282</v>
      </c>
      <c r="F11" s="238" t="s">
        <v>283</v>
      </c>
      <c r="I11" s="7"/>
    </row>
    <row r="12" spans="2:16" x14ac:dyDescent="0.25">
      <c r="B12" s="264" t="s">
        <v>188</v>
      </c>
      <c r="C12" s="272">
        <f>C3</f>
        <v>176</v>
      </c>
      <c r="D12" s="336">
        <v>15726.584028706457</v>
      </c>
      <c r="E12" s="337">
        <f>J3</f>
        <v>18161.796320253728</v>
      </c>
      <c r="F12" s="421">
        <f>(E18-D18)/D18</f>
        <v>-0.17412469713616546</v>
      </c>
      <c r="I12" s="7"/>
    </row>
    <row r="13" spans="2:16" x14ac:dyDescent="0.25">
      <c r="B13" s="265" t="s">
        <v>272</v>
      </c>
      <c r="C13" s="266">
        <f t="shared" ref="C13:C17" si="3">C4</f>
        <v>366</v>
      </c>
      <c r="D13" s="338">
        <v>39104.241091439842</v>
      </c>
      <c r="E13" s="339">
        <f>J4</f>
        <v>37768.280984164005</v>
      </c>
      <c r="F13" s="421"/>
      <c r="I13" s="7"/>
    </row>
    <row r="14" spans="2:16" x14ac:dyDescent="0.25">
      <c r="B14" s="265" t="s">
        <v>273</v>
      </c>
      <c r="C14" s="266">
        <f t="shared" si="3"/>
        <v>365</v>
      </c>
      <c r="D14" s="338">
        <v>47815.401910758788</v>
      </c>
      <c r="E14" s="339">
        <f t="shared" ref="E14:E17" si="4">J5</f>
        <v>37665.088959617111</v>
      </c>
      <c r="F14" s="421"/>
      <c r="I14" s="7"/>
    </row>
    <row r="15" spans="2:16" x14ac:dyDescent="0.25">
      <c r="B15" s="265" t="s">
        <v>274</v>
      </c>
      <c r="C15" s="266">
        <f t="shared" si="3"/>
        <v>365</v>
      </c>
      <c r="D15" s="338">
        <v>49997.820512202525</v>
      </c>
      <c r="E15" s="339">
        <f t="shared" si="4"/>
        <v>37665.088959617111</v>
      </c>
      <c r="F15" s="421"/>
      <c r="I15" s="7"/>
    </row>
    <row r="16" spans="2:16" x14ac:dyDescent="0.25">
      <c r="B16" s="265" t="s">
        <v>275</v>
      </c>
      <c r="C16" s="266">
        <f t="shared" si="3"/>
        <v>365</v>
      </c>
      <c r="D16" s="338">
        <v>50332.161835166007</v>
      </c>
      <c r="E16" s="339">
        <f t="shared" si="4"/>
        <v>37665.088959617111</v>
      </c>
      <c r="F16" s="421"/>
      <c r="I16" s="7"/>
    </row>
    <row r="17" spans="2:6" ht="15.75" thickBot="1" x14ac:dyDescent="0.3">
      <c r="B17" s="267" t="s">
        <v>189</v>
      </c>
      <c r="C17" s="268">
        <f t="shared" si="3"/>
        <v>351</v>
      </c>
      <c r="D17" s="340">
        <v>45421.755893068141</v>
      </c>
      <c r="E17" s="339">
        <f t="shared" si="4"/>
        <v>36220.400615960563</v>
      </c>
      <c r="F17" s="421"/>
    </row>
    <row r="18" spans="2:6" ht="15.75" thickBot="1" x14ac:dyDescent="0.3">
      <c r="B18" s="269" t="s">
        <v>51</v>
      </c>
      <c r="C18" s="270">
        <f>SUM(C12:C17)</f>
        <v>1988</v>
      </c>
      <c r="D18" s="341">
        <f>SUM(D12:D17)</f>
        <v>248397.96527134173</v>
      </c>
      <c r="E18" s="341">
        <f>SUM(E12:E17)</f>
        <v>205145.74479922961</v>
      </c>
      <c r="F18" s="422"/>
    </row>
    <row r="19" spans="2:6" x14ac:dyDescent="0.25">
      <c r="B19" s="262"/>
      <c r="C19" s="262"/>
      <c r="D19" s="263"/>
      <c r="E19" s="262"/>
      <c r="F19" s="262"/>
    </row>
    <row r="20" spans="2:6" x14ac:dyDescent="0.25">
      <c r="C20" s="6"/>
      <c r="D20" s="235"/>
    </row>
  </sheetData>
  <mergeCells count="1">
    <mergeCell ref="F12:F18"/>
  </mergeCells>
  <phoneticPr fontId="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801C6-F213-4315-BAA6-C9E86B4A61A7}">
  <dimension ref="A1:M39"/>
  <sheetViews>
    <sheetView topLeftCell="A28" workbookViewId="0">
      <selection activeCell="H41" sqref="H41"/>
    </sheetView>
  </sheetViews>
  <sheetFormatPr defaultRowHeight="15" x14ac:dyDescent="0.25"/>
  <cols>
    <col min="1" max="1" width="20.5703125" style="5" bestFit="1" customWidth="1"/>
    <col min="2" max="2" width="9.140625" style="5"/>
    <col min="3" max="3" width="25.85546875" style="5" bestFit="1" customWidth="1"/>
    <col min="4" max="4" width="25.7109375" style="5" bestFit="1" customWidth="1"/>
    <col min="5" max="5" width="12.85546875" style="5" bestFit="1" customWidth="1"/>
    <col min="6" max="6" width="15.42578125" style="5" customWidth="1"/>
    <col min="7" max="7" width="14.140625" style="5" bestFit="1" customWidth="1"/>
    <col min="8" max="8" width="11.5703125" style="5" bestFit="1" customWidth="1"/>
    <col min="9" max="9" width="13.7109375" style="5" bestFit="1" customWidth="1"/>
    <col min="10" max="16384" width="9.140625" style="5"/>
  </cols>
  <sheetData>
    <row r="1" spans="1:13" ht="15.75" thickBot="1" x14ac:dyDescent="0.3"/>
    <row r="2" spans="1:13" ht="43.5" thickBot="1" x14ac:dyDescent="0.3">
      <c r="B2" s="426" t="s">
        <v>45</v>
      </c>
      <c r="C2" s="285" t="s">
        <v>290</v>
      </c>
      <c r="D2" s="277" t="s">
        <v>289</v>
      </c>
      <c r="E2" s="277" t="s">
        <v>292</v>
      </c>
      <c r="F2" s="277" t="s">
        <v>293</v>
      </c>
      <c r="G2" s="277" t="s">
        <v>52</v>
      </c>
      <c r="H2" s="277" t="s">
        <v>286</v>
      </c>
      <c r="I2" s="278" t="s">
        <v>287</v>
      </c>
    </row>
    <row r="3" spans="1:13" ht="17.25" x14ac:dyDescent="0.25">
      <c r="B3" s="427"/>
      <c r="C3" s="276" t="s">
        <v>284</v>
      </c>
      <c r="D3" s="275" t="s">
        <v>284</v>
      </c>
      <c r="E3" s="275" t="s">
        <v>284</v>
      </c>
      <c r="F3" s="275" t="s">
        <v>284</v>
      </c>
      <c r="G3" s="429" t="s">
        <v>284</v>
      </c>
      <c r="H3" s="429" t="s">
        <v>284</v>
      </c>
      <c r="I3" s="424" t="s">
        <v>288</v>
      </c>
    </row>
    <row r="4" spans="1:13" ht="18" thickBot="1" x14ac:dyDescent="0.3">
      <c r="B4" s="428"/>
      <c r="C4" s="286" t="s">
        <v>53</v>
      </c>
      <c r="D4" s="280" t="s">
        <v>54</v>
      </c>
      <c r="E4" s="280" t="s">
        <v>285</v>
      </c>
      <c r="F4" s="281" t="s">
        <v>291</v>
      </c>
      <c r="G4" s="430"/>
      <c r="H4" s="430"/>
      <c r="I4" s="425"/>
    </row>
    <row r="5" spans="1:13" x14ac:dyDescent="0.25">
      <c r="A5" s="423" t="s">
        <v>127</v>
      </c>
      <c r="B5" s="290">
        <v>0</v>
      </c>
      <c r="C5" s="287">
        <v>0</v>
      </c>
      <c r="D5" s="259">
        <v>-7.2759576141834259E-12</v>
      </c>
      <c r="E5" s="279">
        <v>0</v>
      </c>
      <c r="F5" s="279">
        <v>0</v>
      </c>
      <c r="G5" s="279">
        <v>0</v>
      </c>
      <c r="H5" s="279">
        <v>0</v>
      </c>
      <c r="I5" s="282">
        <v>0</v>
      </c>
      <c r="K5" s="7"/>
    </row>
    <row r="6" spans="1:13" x14ac:dyDescent="0.25">
      <c r="A6" s="423"/>
      <c r="B6" s="291">
        <v>1</v>
      </c>
      <c r="C6" s="260">
        <f>$C$11/$B$11</f>
        <v>1428.3270113143249</v>
      </c>
      <c r="D6" s="260">
        <f>$D$11/$B$11</f>
        <v>39150.340538628581</v>
      </c>
      <c r="E6" s="273">
        <f>D6</f>
        <v>39150.340538628581</v>
      </c>
      <c r="F6" s="273">
        <f>D6-C6</f>
        <v>37722.013527314259</v>
      </c>
      <c r="G6" s="273">
        <f>F6</f>
        <v>37722.013527314259</v>
      </c>
      <c r="H6" s="273">
        <f>G6*19%</f>
        <v>7167.1825701897096</v>
      </c>
      <c r="I6" s="283">
        <f>G6-H6</f>
        <v>30554.830957124548</v>
      </c>
      <c r="K6" s="7"/>
      <c r="M6" s="7"/>
    </row>
    <row r="7" spans="1:13" x14ac:dyDescent="0.25">
      <c r="A7" s="423"/>
      <c r="B7" s="291">
        <v>2</v>
      </c>
      <c r="C7" s="260">
        <f>($C$11/$B$11)+C6</f>
        <v>2856.6540226286497</v>
      </c>
      <c r="D7" s="260">
        <f>($D$11/$B$11)+D6</f>
        <v>78300.681077257163</v>
      </c>
      <c r="E7" s="273">
        <f>D7-D6</f>
        <v>39150.340538628581</v>
      </c>
      <c r="F7" s="273">
        <f t="shared" ref="F7:F36" si="0">D7-C7</f>
        <v>75444.027054628517</v>
      </c>
      <c r="G7" s="273">
        <f>F7-F6</f>
        <v>37722.013527314259</v>
      </c>
      <c r="H7" s="273">
        <f t="shared" ref="H7:H36" si="1">G7*19%</f>
        <v>7167.1825701897096</v>
      </c>
      <c r="I7" s="283">
        <f t="shared" ref="I7:I36" si="2">G7-H7</f>
        <v>30554.830957124548</v>
      </c>
      <c r="K7" s="7"/>
      <c r="M7" s="7"/>
    </row>
    <row r="8" spans="1:13" x14ac:dyDescent="0.25">
      <c r="A8" s="423"/>
      <c r="B8" s="291">
        <v>3</v>
      </c>
      <c r="C8" s="260">
        <f t="shared" ref="C8:C10" si="3">($C$11/$B$11)+C7</f>
        <v>4284.981033942975</v>
      </c>
      <c r="D8" s="260">
        <f t="shared" ref="D8:D10" si="4">($D$11/$B$11)+D7</f>
        <v>117451.02161588575</v>
      </c>
      <c r="E8" s="273">
        <f t="shared" ref="E8:E36" si="5">D8-D7</f>
        <v>39150.340538628589</v>
      </c>
      <c r="F8" s="273">
        <f t="shared" si="0"/>
        <v>113166.04058194277</v>
      </c>
      <c r="G8" s="273">
        <f t="shared" ref="G8:G20" si="6">F8-F7</f>
        <v>37722.013527314251</v>
      </c>
      <c r="H8" s="273">
        <f t="shared" si="1"/>
        <v>7167.1825701897078</v>
      </c>
      <c r="I8" s="283">
        <f t="shared" si="2"/>
        <v>30554.830957124545</v>
      </c>
      <c r="K8" s="7"/>
      <c r="M8" s="7"/>
    </row>
    <row r="9" spans="1:13" x14ac:dyDescent="0.25">
      <c r="A9" s="423"/>
      <c r="B9" s="291">
        <v>4</v>
      </c>
      <c r="C9" s="260">
        <f t="shared" si="3"/>
        <v>5713.3080452572995</v>
      </c>
      <c r="D9" s="260">
        <f t="shared" si="4"/>
        <v>156601.36215451433</v>
      </c>
      <c r="E9" s="273">
        <f t="shared" si="5"/>
        <v>39150.340538628574</v>
      </c>
      <c r="F9" s="273">
        <f t="shared" si="0"/>
        <v>150888.05410925703</v>
      </c>
      <c r="G9" s="273">
        <f t="shared" si="6"/>
        <v>37722.013527314266</v>
      </c>
      <c r="H9" s="273">
        <f t="shared" si="1"/>
        <v>7167.1825701897105</v>
      </c>
      <c r="I9" s="283">
        <f t="shared" si="2"/>
        <v>30554.830957124555</v>
      </c>
      <c r="K9" s="7"/>
      <c r="M9" s="7"/>
    </row>
    <row r="10" spans="1:13" x14ac:dyDescent="0.25">
      <c r="A10" s="423"/>
      <c r="B10" s="291">
        <v>5</v>
      </c>
      <c r="C10" s="260">
        <f t="shared" si="3"/>
        <v>7141.6350565716239</v>
      </c>
      <c r="D10" s="260">
        <f t="shared" si="4"/>
        <v>195751.7026931429</v>
      </c>
      <c r="E10" s="273">
        <f t="shared" si="5"/>
        <v>39150.340538628574</v>
      </c>
      <c r="F10" s="273">
        <f t="shared" si="0"/>
        <v>188610.06763657127</v>
      </c>
      <c r="G10" s="273">
        <f t="shared" si="6"/>
        <v>37722.013527314237</v>
      </c>
      <c r="H10" s="273">
        <f t="shared" si="1"/>
        <v>7167.1825701897051</v>
      </c>
      <c r="I10" s="283">
        <f t="shared" si="2"/>
        <v>30554.830957124534</v>
      </c>
      <c r="K10" s="7"/>
      <c r="M10" s="7"/>
    </row>
    <row r="11" spans="1:13" x14ac:dyDescent="0.25">
      <c r="A11" s="423"/>
      <c r="B11" s="292">
        <v>5.4383561643835616</v>
      </c>
      <c r="C11" s="288">
        <f>'Vinatge Period'!D9</f>
        <v>7767.7510067368075</v>
      </c>
      <c r="D11" s="274">
        <f>'Vinatge Period'!E9</f>
        <v>212913.49580596641</v>
      </c>
      <c r="E11" s="273">
        <f t="shared" si="5"/>
        <v>17161.793112823507</v>
      </c>
      <c r="F11" s="273">
        <f t="shared" si="0"/>
        <v>205145.74479922961</v>
      </c>
      <c r="G11" s="273">
        <f t="shared" si="6"/>
        <v>16535.677162658336</v>
      </c>
      <c r="H11" s="273">
        <f t="shared" si="1"/>
        <v>3141.7786609050841</v>
      </c>
      <c r="I11" s="283">
        <f t="shared" si="2"/>
        <v>13393.898501753252</v>
      </c>
      <c r="K11" s="7"/>
      <c r="M11" s="7"/>
    </row>
    <row r="12" spans="1:13" x14ac:dyDescent="0.25">
      <c r="B12" s="293">
        <v>6</v>
      </c>
      <c r="C12" s="240">
        <f>TREND(C10:C11,B10:B11,B12:$B$36,TRUE)</f>
        <v>8569.9620678859501</v>
      </c>
      <c r="D12" s="233">
        <f>TREND(D8:D11,B8:B11,$B12:C$36,TRUE)</f>
        <v>234902.0432317715</v>
      </c>
      <c r="E12" s="233">
        <f t="shared" si="5"/>
        <v>21988.547425805096</v>
      </c>
      <c r="F12" s="233">
        <f t="shared" si="0"/>
        <v>226332.08116388554</v>
      </c>
      <c r="G12" s="233">
        <f t="shared" si="6"/>
        <v>21186.33636465593</v>
      </c>
      <c r="H12" s="233">
        <f t="shared" si="1"/>
        <v>4025.4039092846269</v>
      </c>
      <c r="I12" s="18">
        <f t="shared" si="2"/>
        <v>17160.932455371301</v>
      </c>
    </row>
    <row r="13" spans="1:13" x14ac:dyDescent="0.25">
      <c r="B13" s="293">
        <v>7</v>
      </c>
      <c r="C13" s="240">
        <f>TREND(C11:C12,B11:B12,B13:$B$36,TRUE)</f>
        <v>9998.2890792002763</v>
      </c>
      <c r="D13" s="233">
        <f>TREND(D7:D12,B7:B12,B13:$B$36,TRUE)</f>
        <v>274052.38377040008</v>
      </c>
      <c r="E13" s="233">
        <f t="shared" si="5"/>
        <v>39150.340538628574</v>
      </c>
      <c r="F13" s="233">
        <f t="shared" si="0"/>
        <v>264054.09469119977</v>
      </c>
      <c r="G13" s="233">
        <f t="shared" si="6"/>
        <v>37722.013527314237</v>
      </c>
      <c r="H13" s="233">
        <f t="shared" si="1"/>
        <v>7167.1825701897051</v>
      </c>
      <c r="I13" s="18">
        <f t="shared" si="2"/>
        <v>30554.830957124534</v>
      </c>
    </row>
    <row r="14" spans="1:13" x14ac:dyDescent="0.25">
      <c r="B14" s="293">
        <v>8</v>
      </c>
      <c r="C14" s="240">
        <f>TREND(C12:C13,B12:B13,B14:$B$36,TRUE)</f>
        <v>11426.616090514603</v>
      </c>
      <c r="D14" s="233">
        <f>TREND(D8:D13,B8:B13,B14:$B$36,TRUE)</f>
        <v>313202.72430902859</v>
      </c>
      <c r="E14" s="233">
        <f t="shared" si="5"/>
        <v>39150.340538628516</v>
      </c>
      <c r="F14" s="233">
        <f t="shared" si="0"/>
        <v>301776.10821851401</v>
      </c>
      <c r="G14" s="233">
        <f t="shared" si="6"/>
        <v>37722.013527314237</v>
      </c>
      <c r="H14" s="233">
        <f t="shared" si="1"/>
        <v>7167.1825701897051</v>
      </c>
      <c r="I14" s="18">
        <f t="shared" si="2"/>
        <v>30554.830957124534</v>
      </c>
    </row>
    <row r="15" spans="1:13" x14ac:dyDescent="0.25">
      <c r="B15" s="293">
        <v>9</v>
      </c>
      <c r="C15" s="240">
        <f>TREND(C13:C14,B13:B14,B15:$B$36,TRUE)</f>
        <v>12854.943101828929</v>
      </c>
      <c r="D15" s="233">
        <f>TREND(D9:D14,B9:B14,B15:$B$36,TRUE)</f>
        <v>352353.06484765717</v>
      </c>
      <c r="E15" s="233">
        <f t="shared" si="5"/>
        <v>39150.340538628574</v>
      </c>
      <c r="F15" s="233">
        <f t="shared" si="0"/>
        <v>339498.12174582825</v>
      </c>
      <c r="G15" s="233">
        <f t="shared" si="6"/>
        <v>37722.013527314237</v>
      </c>
      <c r="H15" s="233">
        <f t="shared" si="1"/>
        <v>7167.1825701897051</v>
      </c>
      <c r="I15" s="18">
        <f t="shared" si="2"/>
        <v>30554.830957124534</v>
      </c>
    </row>
    <row r="16" spans="1:13" x14ac:dyDescent="0.25">
      <c r="B16" s="293">
        <v>10</v>
      </c>
      <c r="C16" s="240">
        <f>TREND(C14:C15,B14:B15,B16:$B$36,TRUE)</f>
        <v>14283.270113143255</v>
      </c>
      <c r="D16" s="233">
        <f>TREND(D10:D15,B10:B15,B16:$B$36,TRUE)</f>
        <v>391503.40538628574</v>
      </c>
      <c r="E16" s="233">
        <f t="shared" si="5"/>
        <v>39150.340538628574</v>
      </c>
      <c r="F16" s="233">
        <f t="shared" si="0"/>
        <v>377220.13527314248</v>
      </c>
      <c r="G16" s="233">
        <f t="shared" si="6"/>
        <v>37722.013527314237</v>
      </c>
      <c r="H16" s="233">
        <f t="shared" si="1"/>
        <v>7167.1825701897051</v>
      </c>
      <c r="I16" s="18">
        <f t="shared" si="2"/>
        <v>30554.830957124534</v>
      </c>
    </row>
    <row r="17" spans="2:13" x14ac:dyDescent="0.25">
      <c r="B17" s="293">
        <v>11</v>
      </c>
      <c r="C17" s="240">
        <f>TREND(C15:C16,B15:B16,B17:$B$36,TRUE)</f>
        <v>15711.597124457581</v>
      </c>
      <c r="D17" s="233">
        <f>TREND(D12:D16,B12:B16,B17:$B$36,TRUE)</f>
        <v>430653.74592491426</v>
      </c>
      <c r="E17" s="233">
        <f>D17-D16</f>
        <v>39150.340538628516</v>
      </c>
      <c r="F17" s="233">
        <f t="shared" si="0"/>
        <v>414942.14880045666</v>
      </c>
      <c r="G17" s="233">
        <f t="shared" si="6"/>
        <v>37722.013527314179</v>
      </c>
      <c r="H17" s="233">
        <f t="shared" si="1"/>
        <v>7167.1825701896942</v>
      </c>
      <c r="I17" s="18">
        <f t="shared" si="2"/>
        <v>30554.830957124483</v>
      </c>
    </row>
    <row r="18" spans="2:13" x14ac:dyDescent="0.25">
      <c r="B18" s="293">
        <v>12</v>
      </c>
      <c r="C18" s="240">
        <f>TREND(C16:C17,B16:B17,B18:$B$36,TRUE)</f>
        <v>17139.924135771907</v>
      </c>
      <c r="D18" s="233">
        <f>TREND(D13:D17,B13:B17,B18:$B$36,TRUE)</f>
        <v>469804.08646354283</v>
      </c>
      <c r="E18" s="233">
        <f t="shared" si="5"/>
        <v>39150.340538628574</v>
      </c>
      <c r="F18" s="233">
        <f t="shared" si="0"/>
        <v>452664.1623277709</v>
      </c>
      <c r="G18" s="233">
        <f t="shared" si="6"/>
        <v>37722.013527314237</v>
      </c>
      <c r="H18" s="233">
        <f t="shared" si="1"/>
        <v>7167.1825701897051</v>
      </c>
      <c r="I18" s="18">
        <f t="shared" si="2"/>
        <v>30554.830957124534</v>
      </c>
      <c r="M18" s="7"/>
    </row>
    <row r="19" spans="2:13" x14ac:dyDescent="0.25">
      <c r="B19" s="293">
        <v>13</v>
      </c>
      <c r="C19" s="240">
        <f>TREND(C17:C18,B17:B18,B19:$B$36,TRUE)</f>
        <v>18568.251147086234</v>
      </c>
      <c r="D19" s="233">
        <f>TREND(D14:D18,B14:B18,B19:$B$36,TRUE)</f>
        <v>508954.4270021714</v>
      </c>
      <c r="E19" s="233">
        <f t="shared" si="5"/>
        <v>39150.340538628574</v>
      </c>
      <c r="F19" s="233">
        <f t="shared" si="0"/>
        <v>490386.1758550852</v>
      </c>
      <c r="G19" s="233">
        <f t="shared" si="6"/>
        <v>37722.013527314295</v>
      </c>
      <c r="H19" s="233">
        <f t="shared" si="1"/>
        <v>7167.182570189716</v>
      </c>
      <c r="I19" s="18">
        <f t="shared" si="2"/>
        <v>30554.830957124577</v>
      </c>
    </row>
    <row r="20" spans="2:13" x14ac:dyDescent="0.25">
      <c r="B20" s="293">
        <v>14</v>
      </c>
      <c r="C20" s="240">
        <f>TREND(C18:C19,B18:B19,B20:$B$36,TRUE)</f>
        <v>19996.57815840056</v>
      </c>
      <c r="D20" s="233">
        <f>TREND(D15:D19,B15:B19,B20:$B$36,TRUE)</f>
        <v>548104.76754079992</v>
      </c>
      <c r="E20" s="233">
        <f t="shared" si="5"/>
        <v>39150.340538628516</v>
      </c>
      <c r="F20" s="233">
        <f t="shared" si="0"/>
        <v>528108.18938239932</v>
      </c>
      <c r="G20" s="233">
        <f t="shared" si="6"/>
        <v>37722.01352731412</v>
      </c>
      <c r="H20" s="233">
        <f t="shared" si="1"/>
        <v>7167.1825701896832</v>
      </c>
      <c r="I20" s="18">
        <f t="shared" si="2"/>
        <v>30554.830957124439</v>
      </c>
    </row>
    <row r="21" spans="2:13" x14ac:dyDescent="0.25">
      <c r="B21" s="293">
        <v>15</v>
      </c>
      <c r="C21" s="240">
        <f>TREND(C19:C20,B19:B20,B21:$B$36,TRUE)</f>
        <v>21424.905169714886</v>
      </c>
      <c r="D21" s="233">
        <f>TREND(D16:D20,B16:B20,B21:$B$36,TRUE)</f>
        <v>587255.10807942855</v>
      </c>
      <c r="E21" s="233">
        <f t="shared" si="5"/>
        <v>39150.340538628632</v>
      </c>
      <c r="F21" s="233">
        <f t="shared" si="0"/>
        <v>565830.20290971361</v>
      </c>
      <c r="G21" s="233">
        <f>F38-SUM(G6:G20)</f>
        <v>34708.139745522407</v>
      </c>
      <c r="H21" s="233">
        <f t="shared" si="1"/>
        <v>6594.5465516492577</v>
      </c>
      <c r="I21" s="18">
        <f t="shared" si="2"/>
        <v>28113.593193873148</v>
      </c>
    </row>
    <row r="22" spans="2:13" x14ac:dyDescent="0.25">
      <c r="B22" s="293">
        <v>16</v>
      </c>
      <c r="C22" s="240">
        <f>TREND(C20:C21,B20:B21,B22:$B$36,TRUE)</f>
        <v>22853.232181029212</v>
      </c>
      <c r="D22" s="233">
        <f>TREND(D17:D21,B17:B21,B22:$B$36,TRUE)</f>
        <v>626405.44861805707</v>
      </c>
      <c r="E22" s="233">
        <f t="shared" si="5"/>
        <v>39150.340538628516</v>
      </c>
      <c r="F22" s="233">
        <f t="shared" si="0"/>
        <v>603552.21643702791</v>
      </c>
      <c r="G22" s="233">
        <f>F38-SUM(G6:G21)</f>
        <v>0</v>
      </c>
      <c r="H22" s="233">
        <f t="shared" si="1"/>
        <v>0</v>
      </c>
      <c r="I22" s="18">
        <f t="shared" si="2"/>
        <v>0</v>
      </c>
    </row>
    <row r="23" spans="2:13" x14ac:dyDescent="0.25">
      <c r="B23" s="293">
        <v>17</v>
      </c>
      <c r="C23" s="240">
        <f>TREND(C21:C22,B21:B22,B23:$B$36,TRUE)</f>
        <v>24281.559192343539</v>
      </c>
      <c r="D23" s="233">
        <f>TREND(D18:D22,B18:B22,B23:$B$36,TRUE)</f>
        <v>665555.7891566857</v>
      </c>
      <c r="E23" s="233">
        <f t="shared" si="5"/>
        <v>39150.340538628632</v>
      </c>
      <c r="F23" s="233">
        <f t="shared" si="0"/>
        <v>641274.2299643422</v>
      </c>
      <c r="G23" s="48">
        <v>0</v>
      </c>
      <c r="H23" s="233">
        <f t="shared" si="1"/>
        <v>0</v>
      </c>
      <c r="I23" s="18">
        <f t="shared" si="2"/>
        <v>0</v>
      </c>
    </row>
    <row r="24" spans="2:13" x14ac:dyDescent="0.25">
      <c r="B24" s="293">
        <v>18</v>
      </c>
      <c r="C24" s="240">
        <f>TREND(C22:C23,B22:B23,B24:$B$36,TRUE)</f>
        <v>25709.886203657865</v>
      </c>
      <c r="D24" s="233">
        <f>TREND(D19:D23,B19:B23,B24:$B$36,TRUE)</f>
        <v>704706.12969531422</v>
      </c>
      <c r="E24" s="233">
        <f t="shared" si="5"/>
        <v>39150.340538628516</v>
      </c>
      <c r="F24" s="233">
        <f t="shared" si="0"/>
        <v>678996.24349165638</v>
      </c>
      <c r="G24" s="48">
        <v>0</v>
      </c>
      <c r="H24" s="233">
        <f t="shared" si="1"/>
        <v>0</v>
      </c>
      <c r="I24" s="18">
        <f t="shared" si="2"/>
        <v>0</v>
      </c>
    </row>
    <row r="25" spans="2:13" x14ac:dyDescent="0.25">
      <c r="B25" s="293">
        <v>19</v>
      </c>
      <c r="C25" s="240">
        <f>TREND(C23:C24,B23:B24,B25:$B$36,TRUE)</f>
        <v>27138.213214972191</v>
      </c>
      <c r="D25" s="233">
        <f>TREND(D20:D24,B20:B24,B25:$B$36,TRUE)</f>
        <v>743856.47023394261</v>
      </c>
      <c r="E25" s="233">
        <f t="shared" si="5"/>
        <v>39150.340538628399</v>
      </c>
      <c r="F25" s="233">
        <f t="shared" si="0"/>
        <v>716718.25701897044</v>
      </c>
      <c r="G25" s="48">
        <v>0</v>
      </c>
      <c r="H25" s="48">
        <f t="shared" si="1"/>
        <v>0</v>
      </c>
      <c r="I25" s="18">
        <f t="shared" si="2"/>
        <v>0</v>
      </c>
    </row>
    <row r="26" spans="2:13" x14ac:dyDescent="0.25">
      <c r="B26" s="293">
        <v>20</v>
      </c>
      <c r="C26" s="240">
        <f>TREND(C24:C25,B24:B25,B26:$B$36,TRUE)</f>
        <v>28566.540226286517</v>
      </c>
      <c r="D26" s="233">
        <f>TREND(D21:D25,B21:B25,B26:$B$36,TRUE)</f>
        <v>783006.81077257113</v>
      </c>
      <c r="E26" s="233">
        <f t="shared" si="5"/>
        <v>39150.340538628516</v>
      </c>
      <c r="F26" s="233">
        <f t="shared" si="0"/>
        <v>754440.27054628462</v>
      </c>
      <c r="G26" s="48">
        <v>0</v>
      </c>
      <c r="H26" s="48">
        <f t="shared" si="1"/>
        <v>0</v>
      </c>
      <c r="I26" s="18">
        <f t="shared" si="2"/>
        <v>0</v>
      </c>
    </row>
    <row r="27" spans="2:13" x14ac:dyDescent="0.25">
      <c r="B27" s="293">
        <v>21</v>
      </c>
      <c r="C27" s="260">
        <f>$C$26-C6</f>
        <v>27138.213214972191</v>
      </c>
      <c r="D27" s="233">
        <f>TREND(D22:D26,B22:B26,B27:$B$36,TRUE)</f>
        <v>822157.15131119965</v>
      </c>
      <c r="E27" s="233">
        <f t="shared" si="5"/>
        <v>39150.340538628516</v>
      </c>
      <c r="F27" s="233">
        <f t="shared" si="0"/>
        <v>795018.93809622747</v>
      </c>
      <c r="G27" s="48">
        <v>0</v>
      </c>
      <c r="H27" s="48">
        <f t="shared" si="1"/>
        <v>0</v>
      </c>
      <c r="I27" s="18">
        <f t="shared" si="2"/>
        <v>0</v>
      </c>
    </row>
    <row r="28" spans="2:13" x14ac:dyDescent="0.25">
      <c r="B28" s="293">
        <v>22</v>
      </c>
      <c r="C28" s="260">
        <f>$C$26-C7</f>
        <v>25709.886203657868</v>
      </c>
      <c r="D28" s="233">
        <f>TREND(D23:D27,B23:B27,B28:$B$36,TRUE)</f>
        <v>861307.49184982816</v>
      </c>
      <c r="E28" s="233">
        <f t="shared" si="5"/>
        <v>39150.340538628516</v>
      </c>
      <c r="F28" s="233">
        <f t="shared" si="0"/>
        <v>835597.60564617033</v>
      </c>
      <c r="G28" s="48">
        <v>0</v>
      </c>
      <c r="H28" s="48">
        <f t="shared" si="1"/>
        <v>0</v>
      </c>
      <c r="I28" s="18">
        <f t="shared" si="2"/>
        <v>0</v>
      </c>
    </row>
    <row r="29" spans="2:13" x14ac:dyDescent="0.25">
      <c r="B29" s="293">
        <v>23</v>
      </c>
      <c r="C29" s="260">
        <f>$C$26-C8</f>
        <v>24281.559192343542</v>
      </c>
      <c r="D29" s="233">
        <f>TREND(D24:D28,B24:B28,B29:$B$36,TRUE)</f>
        <v>900457.83238845656</v>
      </c>
      <c r="E29" s="233">
        <f t="shared" si="5"/>
        <v>39150.340538628399</v>
      </c>
      <c r="F29" s="233">
        <f t="shared" si="0"/>
        <v>876176.27319611306</v>
      </c>
      <c r="G29" s="48">
        <v>0</v>
      </c>
      <c r="H29" s="48">
        <f t="shared" si="1"/>
        <v>0</v>
      </c>
      <c r="I29" s="18">
        <f t="shared" si="2"/>
        <v>0</v>
      </c>
    </row>
    <row r="30" spans="2:13" x14ac:dyDescent="0.25">
      <c r="B30" s="293">
        <v>24</v>
      </c>
      <c r="C30" s="260">
        <f>$C$26-C9</f>
        <v>22853.23218102922</v>
      </c>
      <c r="D30" s="233">
        <f>TREND(D25:D29,B25:B29,B30:$B$36,TRUE)</f>
        <v>939608.17292708496</v>
      </c>
      <c r="E30" s="233">
        <f t="shared" si="5"/>
        <v>39150.340538628399</v>
      </c>
      <c r="F30" s="233">
        <f t="shared" si="0"/>
        <v>916754.94074605568</v>
      </c>
      <c r="G30" s="48">
        <v>0</v>
      </c>
      <c r="H30" s="48">
        <f t="shared" si="1"/>
        <v>0</v>
      </c>
      <c r="I30" s="18">
        <f t="shared" si="2"/>
        <v>0</v>
      </c>
    </row>
    <row r="31" spans="2:13" x14ac:dyDescent="0.25">
      <c r="B31" s="293">
        <v>25</v>
      </c>
      <c r="C31" s="240">
        <v>0</v>
      </c>
      <c r="D31" s="233">
        <f>TREND(D26:D30,B26:B30,B31:$B$36,TRUE)</f>
        <v>978758.51346571348</v>
      </c>
      <c r="E31" s="233">
        <f t="shared" si="5"/>
        <v>39150.340538628516</v>
      </c>
      <c r="F31" s="233">
        <f t="shared" si="0"/>
        <v>978758.51346571348</v>
      </c>
      <c r="G31" s="48">
        <v>0</v>
      </c>
      <c r="H31" s="48">
        <f t="shared" si="1"/>
        <v>0</v>
      </c>
      <c r="I31" s="18">
        <f t="shared" si="2"/>
        <v>0</v>
      </c>
    </row>
    <row r="32" spans="2:13" x14ac:dyDescent="0.25">
      <c r="B32" s="293">
        <v>26</v>
      </c>
      <c r="C32" s="240">
        <v>0</v>
      </c>
      <c r="D32" s="233">
        <f>TREND(D27:D31,B27:B31,B32:$B$36,TRUE)</f>
        <v>1017908.8540043419</v>
      </c>
      <c r="E32" s="233">
        <f t="shared" si="5"/>
        <v>39150.340538628399</v>
      </c>
      <c r="F32" s="233">
        <f t="shared" si="0"/>
        <v>1017908.8540043419</v>
      </c>
      <c r="G32" s="48">
        <v>0</v>
      </c>
      <c r="H32" s="48">
        <f t="shared" si="1"/>
        <v>0</v>
      </c>
      <c r="I32" s="18">
        <f t="shared" si="2"/>
        <v>0</v>
      </c>
    </row>
    <row r="33" spans="2:9" x14ac:dyDescent="0.25">
      <c r="B33" s="293">
        <v>27</v>
      </c>
      <c r="C33" s="240">
        <v>0</v>
      </c>
      <c r="D33" s="233">
        <f>TREND(D28:D32,B28:B32,B33:$B$36,TRUE)</f>
        <v>1057059.1945429703</v>
      </c>
      <c r="E33" s="233">
        <f t="shared" si="5"/>
        <v>39150.340538628399</v>
      </c>
      <c r="F33" s="233">
        <f t="shared" si="0"/>
        <v>1057059.1945429703</v>
      </c>
      <c r="G33" s="48">
        <v>0</v>
      </c>
      <c r="H33" s="48">
        <f t="shared" si="1"/>
        <v>0</v>
      </c>
      <c r="I33" s="18">
        <f t="shared" si="2"/>
        <v>0</v>
      </c>
    </row>
    <row r="34" spans="2:9" x14ac:dyDescent="0.25">
      <c r="B34" s="293">
        <v>28</v>
      </c>
      <c r="C34" s="240">
        <v>0</v>
      </c>
      <c r="D34" s="233">
        <f>TREND(D29:D33,B29:B33,B34:$B$36,TRUE)</f>
        <v>1096209.5350815987</v>
      </c>
      <c r="E34" s="233">
        <f t="shared" si="5"/>
        <v>39150.340538628399</v>
      </c>
      <c r="F34" s="233">
        <f t="shared" si="0"/>
        <v>1096209.5350815987</v>
      </c>
      <c r="G34" s="48">
        <v>0</v>
      </c>
      <c r="H34" s="48">
        <f t="shared" si="1"/>
        <v>0</v>
      </c>
      <c r="I34" s="18">
        <f t="shared" si="2"/>
        <v>0</v>
      </c>
    </row>
    <row r="35" spans="2:9" x14ac:dyDescent="0.25">
      <c r="B35" s="293">
        <v>29</v>
      </c>
      <c r="C35" s="240">
        <v>0</v>
      </c>
      <c r="D35" s="233">
        <f>TREND(D30:D34,B30:B34,B35:$B$36,TRUE)</f>
        <v>1135359.8756202273</v>
      </c>
      <c r="E35" s="233">
        <f t="shared" si="5"/>
        <v>39150.340538628632</v>
      </c>
      <c r="F35" s="233">
        <f t="shared" si="0"/>
        <v>1135359.8756202273</v>
      </c>
      <c r="G35" s="48">
        <v>0</v>
      </c>
      <c r="H35" s="48">
        <f t="shared" si="1"/>
        <v>0</v>
      </c>
      <c r="I35" s="18">
        <f t="shared" si="2"/>
        <v>0</v>
      </c>
    </row>
    <row r="36" spans="2:9" ht="15.75" thickBot="1" x14ac:dyDescent="0.3">
      <c r="B36" s="294">
        <v>30</v>
      </c>
      <c r="C36" s="289">
        <v>0</v>
      </c>
      <c r="D36" s="284">
        <f>TREND(D31:D35,B31:B35,B36:$B$36,TRUE)</f>
        <v>1174510.2161588557</v>
      </c>
      <c r="E36" s="284">
        <f t="shared" si="5"/>
        <v>39150.340538628399</v>
      </c>
      <c r="F36" s="284">
        <f t="shared" si="0"/>
        <v>1174510.2161588557</v>
      </c>
      <c r="G36" s="114">
        <v>0</v>
      </c>
      <c r="H36" s="114">
        <f t="shared" si="1"/>
        <v>0</v>
      </c>
      <c r="I36" s="21">
        <f t="shared" si="2"/>
        <v>0</v>
      </c>
    </row>
    <row r="37" spans="2:9" ht="15.75" thickBot="1" x14ac:dyDescent="0.3">
      <c r="E37" s="261" t="s">
        <v>55</v>
      </c>
      <c r="F37" s="295">
        <f>SUM(F6:F36)</f>
        <v>18010122.532093495</v>
      </c>
      <c r="I37" s="7"/>
    </row>
    <row r="38" spans="2:9" ht="15.75" thickBot="1" x14ac:dyDescent="0.3">
      <c r="E38" s="297" t="s">
        <v>56</v>
      </c>
      <c r="F38" s="296">
        <f>F37/COUNT(F5:F36)</f>
        <v>562816.32912792172</v>
      </c>
      <c r="I38" s="7"/>
    </row>
    <row r="39" spans="2:9" x14ac:dyDescent="0.25">
      <c r="H39" s="7"/>
    </row>
  </sheetData>
  <mergeCells count="5">
    <mergeCell ref="A5:A11"/>
    <mergeCell ref="I3:I4"/>
    <mergeCell ref="B2:B4"/>
    <mergeCell ref="G3:G4"/>
    <mergeCell ref="H3:H4"/>
  </mergeCells>
  <pageMargins left="0.7" right="0.7" top="0.75" bottom="0.75" header="0.3" footer="0.3"/>
  <pageSetup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CBED-15F8-470A-87A6-5043F313D4FF}">
  <dimension ref="B1:R46"/>
  <sheetViews>
    <sheetView workbookViewId="0"/>
  </sheetViews>
  <sheetFormatPr defaultRowHeight="15" x14ac:dyDescent="0.25"/>
  <cols>
    <col min="1" max="2" width="9.140625" style="5"/>
    <col min="3" max="3" width="16.42578125" style="5" customWidth="1"/>
    <col min="4" max="4" width="27" style="5" customWidth="1"/>
    <col min="5" max="5" width="14.42578125" style="5" customWidth="1"/>
    <col min="6" max="6" width="16.42578125" style="5" customWidth="1"/>
    <col min="7" max="7" width="16" style="5" customWidth="1"/>
    <col min="8" max="8" width="22.7109375" style="5" customWidth="1"/>
    <col min="9" max="9" width="18.85546875" style="5" customWidth="1"/>
    <col min="10" max="10" width="16.42578125" style="5" customWidth="1"/>
    <col min="11" max="11" width="13.85546875" style="5" customWidth="1"/>
    <col min="12" max="12" width="12.42578125" style="5" customWidth="1"/>
    <col min="13" max="13" width="16.28515625" style="5" customWidth="1"/>
    <col min="14" max="14" width="13.7109375" style="5" customWidth="1"/>
    <col min="15" max="15" width="14.28515625" style="5" customWidth="1"/>
    <col min="16" max="16" width="13.42578125" style="5" customWidth="1"/>
    <col min="17" max="17" width="12.28515625" style="5" customWidth="1"/>
    <col min="18" max="18" width="14.42578125" style="5" customWidth="1"/>
    <col min="19" max="16384" width="9.140625" style="5"/>
  </cols>
  <sheetData>
    <row r="1" spans="2:18" ht="15.75" thickBot="1" x14ac:dyDescent="0.3"/>
    <row r="2" spans="2:18" x14ac:dyDescent="0.25">
      <c r="B2" s="345" t="s">
        <v>137</v>
      </c>
      <c r="C2" s="351" t="s">
        <v>64</v>
      </c>
      <c r="D2" s="353" t="s">
        <v>65</v>
      </c>
      <c r="E2" s="347" t="s">
        <v>68</v>
      </c>
      <c r="F2" s="347"/>
      <c r="G2" s="347" t="s">
        <v>69</v>
      </c>
      <c r="H2" s="347"/>
      <c r="I2" s="347" t="s">
        <v>70</v>
      </c>
      <c r="J2" s="347"/>
      <c r="K2" s="347" t="s">
        <v>71</v>
      </c>
      <c r="L2" s="347"/>
      <c r="M2" s="347" t="s">
        <v>72</v>
      </c>
      <c r="N2" s="347"/>
      <c r="O2" s="347" t="s">
        <v>73</v>
      </c>
      <c r="P2" s="347"/>
      <c r="Q2" s="347" t="s">
        <v>74</v>
      </c>
      <c r="R2" s="348"/>
    </row>
    <row r="3" spans="2:18" ht="15.75" thickBot="1" x14ac:dyDescent="0.3">
      <c r="B3" s="346"/>
      <c r="C3" s="352"/>
      <c r="D3" s="354"/>
      <c r="E3" s="247" t="s">
        <v>66</v>
      </c>
      <c r="F3" s="247" t="s">
        <v>67</v>
      </c>
      <c r="G3" s="247" t="s">
        <v>66</v>
      </c>
      <c r="H3" s="247" t="s">
        <v>67</v>
      </c>
      <c r="I3" s="247" t="s">
        <v>66</v>
      </c>
      <c r="J3" s="247" t="s">
        <v>67</v>
      </c>
      <c r="K3" s="247" t="s">
        <v>66</v>
      </c>
      <c r="L3" s="247" t="s">
        <v>67</v>
      </c>
      <c r="M3" s="247" t="s">
        <v>66</v>
      </c>
      <c r="N3" s="247" t="s">
        <v>67</v>
      </c>
      <c r="O3" s="247" t="s">
        <v>66</v>
      </c>
      <c r="P3" s="247" t="s">
        <v>67</v>
      </c>
      <c r="Q3" s="247" t="s">
        <v>66</v>
      </c>
      <c r="R3" s="248" t="s">
        <v>67</v>
      </c>
    </row>
    <row r="4" spans="2:18" x14ac:dyDescent="0.25">
      <c r="B4" s="254">
        <v>1</v>
      </c>
      <c r="C4" s="349" t="s">
        <v>77</v>
      </c>
      <c r="D4" s="256" t="s">
        <v>76</v>
      </c>
      <c r="E4" s="257">
        <v>26.31026</v>
      </c>
      <c r="F4" s="257">
        <v>93.109830000000002</v>
      </c>
      <c r="G4" s="257">
        <v>26.31</v>
      </c>
      <c r="H4" s="257">
        <v>93.108999999999995</v>
      </c>
      <c r="I4" s="257">
        <v>26.309979999999999</v>
      </c>
      <c r="J4" s="257">
        <v>93.109679999999997</v>
      </c>
      <c r="K4" s="257">
        <v>26.310079999999999</v>
      </c>
      <c r="L4" s="257">
        <v>93.109920000000002</v>
      </c>
      <c r="M4" s="257">
        <v>26.310179999999999</v>
      </c>
      <c r="N4" s="257">
        <v>93.109690000000001</v>
      </c>
      <c r="O4" s="257">
        <v>26.310169999999999</v>
      </c>
      <c r="P4" s="257">
        <v>93.109719999999996</v>
      </c>
      <c r="Q4" s="257">
        <v>26.31015</v>
      </c>
      <c r="R4" s="258">
        <v>93.109719999999996</v>
      </c>
    </row>
    <row r="5" spans="2:18" x14ac:dyDescent="0.25">
      <c r="B5" s="182">
        <v>2</v>
      </c>
      <c r="C5" s="350"/>
      <c r="D5" s="249" t="s">
        <v>78</v>
      </c>
      <c r="E5" s="49">
        <v>26.360659999999999</v>
      </c>
      <c r="F5" s="49">
        <v>93.136099999999999</v>
      </c>
      <c r="G5" s="49">
        <v>26.360700000000001</v>
      </c>
      <c r="H5" s="49">
        <v>93.136170000000007</v>
      </c>
      <c r="I5" s="49">
        <v>26.360679999999999</v>
      </c>
      <c r="J5" s="49">
        <v>93.136380000000003</v>
      </c>
      <c r="K5" s="49">
        <v>26.360499999999998</v>
      </c>
      <c r="L5" s="49">
        <v>93.136219999999994</v>
      </c>
      <c r="M5" s="49">
        <v>26.360669999999999</v>
      </c>
      <c r="N5" s="49">
        <v>93.136240000000001</v>
      </c>
      <c r="O5" s="49">
        <v>26.36</v>
      </c>
      <c r="P5" s="49">
        <v>93.135999999999996</v>
      </c>
      <c r="Q5" s="49">
        <v>26.360700000000001</v>
      </c>
      <c r="R5" s="250">
        <v>93.136089999999996</v>
      </c>
    </row>
    <row r="6" spans="2:18" x14ac:dyDescent="0.25">
      <c r="B6" s="182">
        <v>3</v>
      </c>
      <c r="C6" s="350"/>
      <c r="D6" s="249" t="s">
        <v>79</v>
      </c>
      <c r="E6" s="49">
        <v>26.34553</v>
      </c>
      <c r="F6" s="49">
        <v>93.112039999999993</v>
      </c>
      <c r="G6" s="49">
        <v>26.345510000000001</v>
      </c>
      <c r="H6" s="49">
        <v>93.111890000000002</v>
      </c>
      <c r="I6" s="49">
        <v>26.34552</v>
      </c>
      <c r="J6" s="49">
        <v>93.111810000000006</v>
      </c>
      <c r="K6" s="49">
        <v>26.345320000000001</v>
      </c>
      <c r="L6" s="49">
        <v>93.112110000000001</v>
      </c>
      <c r="M6" s="49">
        <v>26.34543</v>
      </c>
      <c r="N6" s="49">
        <v>93.112049999999996</v>
      </c>
      <c r="O6" s="49">
        <v>26.345410000000001</v>
      </c>
      <c r="P6" s="49">
        <v>93.112009999999998</v>
      </c>
      <c r="Q6" s="49">
        <v>26.34544</v>
      </c>
      <c r="R6" s="250">
        <v>93.112009999999998</v>
      </c>
    </row>
    <row r="7" spans="2:18" x14ac:dyDescent="0.25">
      <c r="B7" s="182">
        <v>4</v>
      </c>
      <c r="C7" s="350"/>
      <c r="D7" s="249" t="s">
        <v>80</v>
      </c>
      <c r="E7" s="49">
        <v>26.27365</v>
      </c>
      <c r="F7" s="49">
        <v>93.061700000000002</v>
      </c>
      <c r="G7" s="49">
        <v>26.273540000000001</v>
      </c>
      <c r="H7" s="49">
        <v>93.061949999999996</v>
      </c>
      <c r="I7" s="49">
        <v>26.27336</v>
      </c>
      <c r="J7" s="49">
        <v>93.061800000000005</v>
      </c>
      <c r="K7" s="49">
        <v>26.273540000000001</v>
      </c>
      <c r="L7" s="49">
        <v>93.06165</v>
      </c>
      <c r="M7" s="49">
        <v>26.273599999999998</v>
      </c>
      <c r="N7" s="49">
        <v>93.061700000000002</v>
      </c>
      <c r="O7" s="49">
        <v>26.273540000000001</v>
      </c>
      <c r="P7" s="49">
        <v>93.061719999999994</v>
      </c>
      <c r="Q7" s="49">
        <v>26.273579999999999</v>
      </c>
      <c r="R7" s="250">
        <v>93.061819999999997</v>
      </c>
    </row>
    <row r="8" spans="2:18" x14ac:dyDescent="0.25">
      <c r="B8" s="182">
        <v>5</v>
      </c>
      <c r="C8" s="350"/>
      <c r="D8" s="249" t="s">
        <v>81</v>
      </c>
      <c r="E8" s="49">
        <v>26.321390000000001</v>
      </c>
      <c r="F8" s="49">
        <v>93.085300000000004</v>
      </c>
      <c r="G8" s="49">
        <v>26.321149999999999</v>
      </c>
      <c r="H8" s="49">
        <v>93.085210000000004</v>
      </c>
      <c r="I8" s="49">
        <v>26.32103</v>
      </c>
      <c r="J8" s="49">
        <v>93.084980000000002</v>
      </c>
      <c r="K8" s="49">
        <v>26.321249999999999</v>
      </c>
      <c r="L8" s="49">
        <v>93.084919999999997</v>
      </c>
      <c r="M8" s="49">
        <v>26.321190000000001</v>
      </c>
      <c r="N8" s="49">
        <v>93.085089999999994</v>
      </c>
      <c r="O8" s="49">
        <v>26.321210000000001</v>
      </c>
      <c r="P8" s="49">
        <v>93.085049999999995</v>
      </c>
      <c r="Q8" s="49">
        <v>26.32132</v>
      </c>
      <c r="R8" s="250">
        <v>93.08502</v>
      </c>
    </row>
    <row r="9" spans="2:18" x14ac:dyDescent="0.25">
      <c r="B9" s="182">
        <v>6</v>
      </c>
      <c r="C9" s="350"/>
      <c r="D9" s="249" t="s">
        <v>82</v>
      </c>
      <c r="E9" s="49">
        <v>26.247479999999999</v>
      </c>
      <c r="F9" s="49">
        <v>93.069630000000004</v>
      </c>
      <c r="G9" s="49">
        <v>26.247499999999999</v>
      </c>
      <c r="H9" s="49">
        <v>93.069820000000007</v>
      </c>
      <c r="I9" s="49">
        <v>26.247720000000001</v>
      </c>
      <c r="J9" s="49">
        <v>93.069850000000002</v>
      </c>
      <c r="K9" s="49">
        <v>26.247679999999999</v>
      </c>
      <c r="L9" s="49">
        <v>93.069519999999997</v>
      </c>
      <c r="M9" s="49">
        <v>26.24755</v>
      </c>
      <c r="N9" s="49">
        <v>93.069820000000007</v>
      </c>
      <c r="O9" s="49">
        <v>26.247669999999999</v>
      </c>
      <c r="P9" s="49">
        <v>93.069710000000001</v>
      </c>
      <c r="Q9" s="49">
        <v>26.247520000000002</v>
      </c>
      <c r="R9" s="250">
        <v>93.069689999999994</v>
      </c>
    </row>
    <row r="10" spans="2:18" x14ac:dyDescent="0.25">
      <c r="B10" s="182">
        <v>7</v>
      </c>
      <c r="C10" s="350"/>
      <c r="D10" s="249" t="s">
        <v>83</v>
      </c>
      <c r="E10" s="49">
        <v>26.24887</v>
      </c>
      <c r="F10" s="49">
        <v>93.068650000000005</v>
      </c>
      <c r="G10" s="49">
        <v>26.249030000000001</v>
      </c>
      <c r="H10" s="49">
        <v>93.0685</v>
      </c>
      <c r="I10" s="49">
        <v>26.248000000000001</v>
      </c>
      <c r="J10" s="49">
        <v>93.067999999999998</v>
      </c>
      <c r="K10" s="49">
        <v>26.24888</v>
      </c>
      <c r="L10" s="49">
        <v>93.068910000000002</v>
      </c>
      <c r="M10" s="49">
        <v>26.24905</v>
      </c>
      <c r="N10" s="49">
        <v>93.068629999999999</v>
      </c>
      <c r="O10" s="49">
        <v>26.24896</v>
      </c>
      <c r="P10" s="49">
        <v>93.068629999999999</v>
      </c>
      <c r="Q10" s="49">
        <v>26.24897</v>
      </c>
      <c r="R10" s="250">
        <v>93.068780000000004</v>
      </c>
    </row>
    <row r="11" spans="2:18" x14ac:dyDescent="0.25">
      <c r="B11" s="182">
        <v>8</v>
      </c>
      <c r="C11" s="350"/>
      <c r="D11" s="249" t="s">
        <v>84</v>
      </c>
      <c r="E11" s="49">
        <v>26.252179999999999</v>
      </c>
      <c r="F11" s="49">
        <v>93.070530000000005</v>
      </c>
      <c r="G11" s="49">
        <v>26.252420000000001</v>
      </c>
      <c r="H11" s="49">
        <v>93.07047</v>
      </c>
      <c r="I11" s="49">
        <v>26.252459999999999</v>
      </c>
      <c r="J11" s="49">
        <v>93.070769999999996</v>
      </c>
      <c r="K11" s="49">
        <v>26.25225</v>
      </c>
      <c r="L11" s="49">
        <v>93.070790000000002</v>
      </c>
      <c r="M11" s="49">
        <v>26.25225</v>
      </c>
      <c r="N11" s="49">
        <v>93.070679999999996</v>
      </c>
      <c r="O11" s="49">
        <v>26.252279999999999</v>
      </c>
      <c r="P11" s="49">
        <v>93.070710000000005</v>
      </c>
      <c r="Q11" s="49">
        <v>26.252310000000001</v>
      </c>
      <c r="R11" s="250">
        <v>93.070769999999996</v>
      </c>
    </row>
    <row r="12" spans="2:18" x14ac:dyDescent="0.25">
      <c r="B12" s="182">
        <v>9</v>
      </c>
      <c r="C12" s="350"/>
      <c r="D12" s="249" t="s">
        <v>85</v>
      </c>
      <c r="E12" s="49">
        <v>26.316469999999999</v>
      </c>
      <c r="F12" s="49">
        <v>93.087919999999997</v>
      </c>
      <c r="G12" s="49">
        <v>26.31626</v>
      </c>
      <c r="H12" s="49">
        <v>93.087950000000006</v>
      </c>
      <c r="I12" s="49">
        <v>26.316310000000001</v>
      </c>
      <c r="J12" s="49">
        <v>93.088189999999997</v>
      </c>
      <c r="K12" s="49">
        <v>26.316500000000001</v>
      </c>
      <c r="L12" s="49">
        <v>93.088250000000002</v>
      </c>
      <c r="M12" s="49">
        <v>26.31645</v>
      </c>
      <c r="N12" s="49">
        <v>93.088070000000002</v>
      </c>
      <c r="O12" s="49">
        <v>26.31635</v>
      </c>
      <c r="P12" s="49">
        <v>93.088099999999997</v>
      </c>
      <c r="Q12" s="49">
        <v>26.31634</v>
      </c>
      <c r="R12" s="250">
        <v>93.088070000000002</v>
      </c>
    </row>
    <row r="13" spans="2:18" x14ac:dyDescent="0.25">
      <c r="B13" s="182">
        <v>10</v>
      </c>
      <c r="C13" s="350"/>
      <c r="D13" s="249" t="s">
        <v>86</v>
      </c>
      <c r="E13" s="49">
        <v>26.316669999999998</v>
      </c>
      <c r="F13" s="49">
        <v>93.087010000000006</v>
      </c>
      <c r="G13" s="49">
        <v>26.31653</v>
      </c>
      <c r="H13" s="49">
        <v>93.087029999999999</v>
      </c>
      <c r="I13" s="49">
        <v>26.31662</v>
      </c>
      <c r="J13" s="49">
        <v>93.087239999999994</v>
      </c>
      <c r="K13" s="49">
        <v>26.316749999999999</v>
      </c>
      <c r="L13" s="49">
        <v>93.087199999999996</v>
      </c>
      <c r="M13" s="49">
        <v>26.31663</v>
      </c>
      <c r="N13" s="49">
        <v>93.087100000000007</v>
      </c>
      <c r="O13" s="49">
        <v>26.316610000000001</v>
      </c>
      <c r="P13" s="49">
        <v>93.087130000000002</v>
      </c>
      <c r="Q13" s="49">
        <v>26.31671</v>
      </c>
      <c r="R13" s="250">
        <v>93.087190000000007</v>
      </c>
    </row>
    <row r="14" spans="2:18" x14ac:dyDescent="0.25">
      <c r="B14" s="182">
        <v>11</v>
      </c>
      <c r="C14" s="350"/>
      <c r="D14" s="249" t="s">
        <v>87</v>
      </c>
      <c r="E14" s="49">
        <v>26.310870000000001</v>
      </c>
      <c r="F14" s="49">
        <v>93.108800000000002</v>
      </c>
      <c r="G14" s="49">
        <v>26.311</v>
      </c>
      <c r="H14" s="49">
        <v>93.108969999999999</v>
      </c>
      <c r="I14" s="49">
        <v>26.311119999999999</v>
      </c>
      <c r="J14" s="49">
        <v>93.108729999999994</v>
      </c>
      <c r="K14" s="49">
        <v>26.310960000000001</v>
      </c>
      <c r="L14" s="49">
        <v>93.108599999999996</v>
      </c>
      <c r="M14" s="49">
        <v>26.31091</v>
      </c>
      <c r="N14" s="49">
        <v>93.108789999999999</v>
      </c>
      <c r="O14" s="49">
        <v>26.310919999999999</v>
      </c>
      <c r="P14" s="49">
        <v>93.108789999999999</v>
      </c>
      <c r="Q14" s="49">
        <v>26.31101</v>
      </c>
      <c r="R14" s="250">
        <v>93.108760000000004</v>
      </c>
    </row>
    <row r="15" spans="2:18" x14ac:dyDescent="0.25">
      <c r="B15" s="182">
        <v>12</v>
      </c>
      <c r="C15" s="350"/>
      <c r="D15" s="249" t="s">
        <v>88</v>
      </c>
      <c r="E15" s="49">
        <v>26.262405000000001</v>
      </c>
      <c r="F15" s="49">
        <v>93.035165000000006</v>
      </c>
      <c r="G15" s="49">
        <v>26.262505000000001</v>
      </c>
      <c r="H15" s="49">
        <v>93.035274000000001</v>
      </c>
      <c r="I15" s="49">
        <v>26.262512999999998</v>
      </c>
      <c r="J15" s="49">
        <v>93.035223000000002</v>
      </c>
      <c r="K15" s="49">
        <v>26.262407</v>
      </c>
      <c r="L15" s="49">
        <v>93.035107999999994</v>
      </c>
      <c r="M15" s="49">
        <v>26.262481999999999</v>
      </c>
      <c r="N15" s="49">
        <v>93.035223999999999</v>
      </c>
      <c r="O15" s="49">
        <v>26.262484000000001</v>
      </c>
      <c r="P15" s="49">
        <v>93.035176000000007</v>
      </c>
      <c r="Q15" s="49">
        <v>26.262501</v>
      </c>
      <c r="R15" s="250">
        <v>93.035185999999996</v>
      </c>
    </row>
    <row r="16" spans="2:18" x14ac:dyDescent="0.25">
      <c r="B16" s="182">
        <v>13</v>
      </c>
      <c r="C16" s="350"/>
      <c r="D16" s="249" t="s">
        <v>89</v>
      </c>
      <c r="E16" s="49">
        <v>26.260816999999999</v>
      </c>
      <c r="F16" s="49">
        <v>93.041741999999999</v>
      </c>
      <c r="G16" s="49">
        <v>26.261019000000001</v>
      </c>
      <c r="H16" s="49">
        <v>93.041858000000005</v>
      </c>
      <c r="I16" s="49">
        <v>26.261005000000001</v>
      </c>
      <c r="J16" s="49">
        <v>93.042089000000004</v>
      </c>
      <c r="K16" s="49">
        <v>26.260797</v>
      </c>
      <c r="L16" s="49">
        <v>93.042068</v>
      </c>
      <c r="M16" s="49">
        <v>26.260826999999999</v>
      </c>
      <c r="N16" s="49">
        <v>93.041826999999998</v>
      </c>
      <c r="O16" s="49">
        <v>26.260869</v>
      </c>
      <c r="P16" s="49">
        <v>93.041860999999997</v>
      </c>
      <c r="Q16" s="49">
        <v>26.260983</v>
      </c>
      <c r="R16" s="250">
        <v>93.041875000000005</v>
      </c>
    </row>
    <row r="17" spans="2:18" x14ac:dyDescent="0.25">
      <c r="B17" s="182">
        <v>14</v>
      </c>
      <c r="C17" s="350"/>
      <c r="D17" s="249" t="s">
        <v>90</v>
      </c>
      <c r="E17" s="49">
        <v>26.251694000000001</v>
      </c>
      <c r="F17" s="49">
        <v>93.041308000000001</v>
      </c>
      <c r="G17" s="49">
        <v>26.251498000000002</v>
      </c>
      <c r="H17" s="49">
        <v>93.041323000000006</v>
      </c>
      <c r="I17" s="49">
        <v>26.251546999999999</v>
      </c>
      <c r="J17" s="49">
        <v>93.041606000000002</v>
      </c>
      <c r="K17" s="49">
        <v>26.251814</v>
      </c>
      <c r="L17" s="49">
        <v>93.041522999999998</v>
      </c>
      <c r="M17" s="49">
        <v>26.251695000000002</v>
      </c>
      <c r="N17" s="49">
        <v>93.041376999999997</v>
      </c>
      <c r="O17" s="49">
        <v>26.251740999999999</v>
      </c>
      <c r="P17" s="49">
        <v>93.041488999999999</v>
      </c>
      <c r="Q17" s="49">
        <v>26.251615999999999</v>
      </c>
      <c r="R17" s="250">
        <v>93.041505000000001</v>
      </c>
    </row>
    <row r="18" spans="2:18" x14ac:dyDescent="0.25">
      <c r="B18" s="182">
        <v>15</v>
      </c>
      <c r="C18" s="350"/>
      <c r="D18" s="249" t="s">
        <v>91</v>
      </c>
      <c r="E18" s="49">
        <v>26.305364999999998</v>
      </c>
      <c r="F18" s="49">
        <v>93.019022000000007</v>
      </c>
      <c r="G18" s="49">
        <v>26.305589000000001</v>
      </c>
      <c r="H18" s="49">
        <v>93.019118000000006</v>
      </c>
      <c r="I18" s="49">
        <v>26.305515</v>
      </c>
      <c r="J18" s="49">
        <v>93.019351999999998</v>
      </c>
      <c r="K18" s="49">
        <v>26.305295000000001</v>
      </c>
      <c r="L18" s="49">
        <v>93.019288000000003</v>
      </c>
      <c r="M18" s="49">
        <v>26.305364000000001</v>
      </c>
      <c r="N18" s="49">
        <v>93.019261</v>
      </c>
      <c r="O18" s="49">
        <v>26.305374</v>
      </c>
      <c r="P18" s="49">
        <v>93.019254000000004</v>
      </c>
      <c r="Q18" s="49">
        <v>26.305357000000001</v>
      </c>
      <c r="R18" s="250">
        <v>93.019114999999999</v>
      </c>
    </row>
    <row r="19" spans="2:18" x14ac:dyDescent="0.25">
      <c r="B19" s="182">
        <v>16</v>
      </c>
      <c r="C19" s="350"/>
      <c r="D19" s="249" t="s">
        <v>92</v>
      </c>
      <c r="E19" s="49">
        <v>26.308623999999998</v>
      </c>
      <c r="F19" s="49">
        <v>93.015611000000007</v>
      </c>
      <c r="G19" s="49">
        <v>26.308827000000001</v>
      </c>
      <c r="H19" s="49">
        <v>93.015500000000003</v>
      </c>
      <c r="I19" s="49">
        <v>26.308785</v>
      </c>
      <c r="J19" s="49">
        <v>93.015433000000002</v>
      </c>
      <c r="K19" s="49">
        <v>26.308619</v>
      </c>
      <c r="L19" s="49">
        <v>93.015305999999995</v>
      </c>
      <c r="M19" s="49">
        <v>26.30866</v>
      </c>
      <c r="N19" s="49">
        <v>93.015427000000003</v>
      </c>
      <c r="O19" s="49">
        <v>26.308691</v>
      </c>
      <c r="P19" s="49">
        <v>93.015399000000002</v>
      </c>
      <c r="Q19" s="49">
        <v>26.308634999999999</v>
      </c>
      <c r="R19" s="250">
        <v>93.015500000000003</v>
      </c>
    </row>
    <row r="20" spans="2:18" x14ac:dyDescent="0.25">
      <c r="B20" s="182">
        <v>17</v>
      </c>
      <c r="C20" s="350"/>
      <c r="D20" s="249" t="s">
        <v>93</v>
      </c>
      <c r="E20" s="49">
        <v>26.243819999999999</v>
      </c>
      <c r="F20" s="49">
        <v>93.039089000000004</v>
      </c>
      <c r="G20" s="49">
        <v>26.243877000000001</v>
      </c>
      <c r="H20" s="49">
        <v>93.039337000000003</v>
      </c>
      <c r="I20" s="49">
        <v>26.243590000000001</v>
      </c>
      <c r="J20" s="49">
        <v>93.039432000000005</v>
      </c>
      <c r="K20" s="49">
        <v>26.243604999999999</v>
      </c>
      <c r="L20" s="49">
        <v>93.039158</v>
      </c>
      <c r="M20" s="49">
        <v>26.243781999999999</v>
      </c>
      <c r="N20" s="49">
        <v>93.039292000000003</v>
      </c>
      <c r="O20" s="49">
        <v>26.243819999999999</v>
      </c>
      <c r="P20" s="49">
        <v>93.039199999999994</v>
      </c>
      <c r="Q20" s="49">
        <v>26.243637</v>
      </c>
      <c r="R20" s="250">
        <v>93.039188999999993</v>
      </c>
    </row>
    <row r="21" spans="2:18" x14ac:dyDescent="0.25">
      <c r="B21" s="182">
        <v>18</v>
      </c>
      <c r="C21" s="350"/>
      <c r="D21" s="249" t="s">
        <v>94</v>
      </c>
      <c r="E21" s="49">
        <v>26.306839</v>
      </c>
      <c r="F21" s="49">
        <v>93.017150999999998</v>
      </c>
      <c r="G21" s="49">
        <v>26.306884</v>
      </c>
      <c r="H21" s="49">
        <v>93.016188</v>
      </c>
      <c r="I21" s="49">
        <v>26.306736999999998</v>
      </c>
      <c r="J21" s="49">
        <v>93.016844000000006</v>
      </c>
      <c r="K21" s="49">
        <v>26.306692000000002</v>
      </c>
      <c r="L21" s="49">
        <v>93.017065000000002</v>
      </c>
      <c r="M21" s="49">
        <v>26.306695999999999</v>
      </c>
      <c r="N21" s="49">
        <v>93.016929000000005</v>
      </c>
      <c r="O21" s="49">
        <v>26.306695999999999</v>
      </c>
      <c r="P21" s="49">
        <v>93.016929000000005</v>
      </c>
      <c r="Q21" s="49">
        <v>26.306771000000001</v>
      </c>
      <c r="R21" s="250">
        <v>93.016936999999999</v>
      </c>
    </row>
    <row r="22" spans="2:18" x14ac:dyDescent="0.25">
      <c r="B22" s="182">
        <v>19</v>
      </c>
      <c r="C22" s="350"/>
      <c r="D22" s="249" t="s">
        <v>75</v>
      </c>
      <c r="E22" s="49">
        <v>26.243483000000001</v>
      </c>
      <c r="F22" s="49">
        <v>93.040395000000004</v>
      </c>
      <c r="G22" s="49">
        <v>26.243482</v>
      </c>
      <c r="H22" s="49">
        <v>93.040616999999997</v>
      </c>
      <c r="I22" s="49">
        <v>26.243286999999999</v>
      </c>
      <c r="J22" s="49">
        <v>93.040683000000001</v>
      </c>
      <c r="K22" s="49">
        <v>26.243247</v>
      </c>
      <c r="L22" s="49">
        <v>93.040413999999998</v>
      </c>
      <c r="M22" s="49">
        <v>26.243372999999998</v>
      </c>
      <c r="N22" s="49">
        <v>93.040460999999993</v>
      </c>
      <c r="O22" s="49">
        <v>26.243393999999999</v>
      </c>
      <c r="P22" s="49">
        <v>93.040514000000002</v>
      </c>
      <c r="Q22" s="49">
        <v>26.243323</v>
      </c>
      <c r="R22" s="250">
        <v>93.040491000000003</v>
      </c>
    </row>
    <row r="23" spans="2:18" x14ac:dyDescent="0.25">
      <c r="B23" s="182">
        <v>20</v>
      </c>
      <c r="C23" s="350"/>
      <c r="D23" s="249" t="s">
        <v>95</v>
      </c>
      <c r="E23" s="49">
        <v>26.249227000000001</v>
      </c>
      <c r="F23" s="49">
        <v>93.034401000000003</v>
      </c>
      <c r="G23" s="49">
        <v>26.249005</v>
      </c>
      <c r="H23" s="49">
        <v>93.034650999999997</v>
      </c>
      <c r="I23" s="49">
        <v>26.249181</v>
      </c>
      <c r="J23" s="49">
        <v>93.034790999999998</v>
      </c>
      <c r="K23" s="49">
        <v>26.249203000000001</v>
      </c>
      <c r="L23" s="49">
        <v>93.034644</v>
      </c>
      <c r="M23" s="49">
        <v>26.249213999999998</v>
      </c>
      <c r="N23" s="49">
        <v>93.034644999999998</v>
      </c>
      <c r="O23" s="49">
        <v>26.249282000000001</v>
      </c>
      <c r="P23" s="49">
        <v>93.034684999999996</v>
      </c>
      <c r="Q23" s="49">
        <v>26.249181</v>
      </c>
      <c r="R23" s="250">
        <v>93.034671000000003</v>
      </c>
    </row>
    <row r="24" spans="2:18" x14ac:dyDescent="0.25">
      <c r="B24" s="182">
        <v>21</v>
      </c>
      <c r="C24" s="350"/>
      <c r="D24" s="249" t="s">
        <v>103</v>
      </c>
      <c r="E24" s="49">
        <v>26.253050000000002</v>
      </c>
      <c r="F24" s="49">
        <v>93.026650000000004</v>
      </c>
      <c r="G24" s="49">
        <v>26.25282</v>
      </c>
      <c r="H24" s="49">
        <v>93.026600000000002</v>
      </c>
      <c r="I24" s="49">
        <v>26.252980000000001</v>
      </c>
      <c r="J24" s="49">
        <v>93.026820000000001</v>
      </c>
      <c r="K24" s="49">
        <v>26.253070000000001</v>
      </c>
      <c r="L24" s="49">
        <v>93.026750000000007</v>
      </c>
      <c r="M24" s="49">
        <v>26.2532</v>
      </c>
      <c r="N24" s="49">
        <v>93.026629999999997</v>
      </c>
      <c r="O24" s="49">
        <v>26.25311</v>
      </c>
      <c r="P24" s="49">
        <v>93.026669999999996</v>
      </c>
      <c r="Q24" s="49">
        <v>26.25309</v>
      </c>
      <c r="R24" s="250">
        <v>93.026719999999997</v>
      </c>
    </row>
    <row r="25" spans="2:18" x14ac:dyDescent="0.25">
      <c r="B25" s="182">
        <v>22</v>
      </c>
      <c r="C25" s="350"/>
      <c r="D25" s="249" t="s">
        <v>104</v>
      </c>
      <c r="E25" s="49">
        <v>26.248760000000001</v>
      </c>
      <c r="F25" s="49">
        <v>93.067970000000003</v>
      </c>
      <c r="G25" s="49">
        <v>26.248930000000001</v>
      </c>
      <c r="H25" s="49">
        <v>93.067890000000006</v>
      </c>
      <c r="I25" s="49">
        <v>26.24888</v>
      </c>
      <c r="J25" s="49">
        <v>93.068190000000001</v>
      </c>
      <c r="K25" s="49">
        <v>26.248909999999999</v>
      </c>
      <c r="L25" s="49">
        <v>93.068150000000003</v>
      </c>
      <c r="M25" s="49">
        <v>26.248899999999999</v>
      </c>
      <c r="N25" s="49">
        <v>93.067909999999998</v>
      </c>
      <c r="O25" s="49">
        <v>26.248830000000002</v>
      </c>
      <c r="P25" s="49">
        <v>93.067939999999993</v>
      </c>
      <c r="Q25" s="49">
        <v>26.248809999999999</v>
      </c>
      <c r="R25" s="250">
        <v>93.067890000000006</v>
      </c>
    </row>
    <row r="26" spans="2:18" x14ac:dyDescent="0.25">
      <c r="B26" s="182">
        <v>23</v>
      </c>
      <c r="C26" s="350"/>
      <c r="D26" s="249" t="s">
        <v>108</v>
      </c>
      <c r="E26" s="49">
        <v>26.272919999999999</v>
      </c>
      <c r="F26" s="49">
        <v>93.062899999999999</v>
      </c>
      <c r="G26" s="49">
        <v>26.2728</v>
      </c>
      <c r="H26" s="49">
        <v>93.062749999999994</v>
      </c>
      <c r="I26" s="49">
        <v>26.272690000000001</v>
      </c>
      <c r="J26" s="49">
        <v>93.062860000000001</v>
      </c>
      <c r="K26" s="49">
        <v>26.27281</v>
      </c>
      <c r="L26" s="49">
        <v>93.063130000000001</v>
      </c>
      <c r="M26" s="49">
        <v>26.272849999999998</v>
      </c>
      <c r="N26" s="49">
        <v>93.063000000000002</v>
      </c>
      <c r="O26" s="49">
        <v>26.272780000000001</v>
      </c>
      <c r="P26" s="49">
        <v>93.062839999999994</v>
      </c>
      <c r="Q26" s="49">
        <v>26.272770000000001</v>
      </c>
      <c r="R26" s="250">
        <v>93.062799999999996</v>
      </c>
    </row>
    <row r="27" spans="2:18" x14ac:dyDescent="0.25">
      <c r="B27" s="182">
        <v>24</v>
      </c>
      <c r="C27" s="350"/>
      <c r="D27" s="249" t="s">
        <v>109</v>
      </c>
      <c r="E27" s="49">
        <v>26.275549999999999</v>
      </c>
      <c r="F27" s="49">
        <v>93.062269999999998</v>
      </c>
      <c r="G27" s="49">
        <v>26.27571</v>
      </c>
      <c r="H27" s="49">
        <v>93.062139999999999</v>
      </c>
      <c r="I27" s="49">
        <v>26.275510000000001</v>
      </c>
      <c r="J27" s="49">
        <v>93.061930000000004</v>
      </c>
      <c r="K27" s="49">
        <v>26.275379999999998</v>
      </c>
      <c r="L27" s="49">
        <v>93.062160000000006</v>
      </c>
      <c r="M27" s="49">
        <v>26.275600000000001</v>
      </c>
      <c r="N27" s="49">
        <v>93.062129999999996</v>
      </c>
      <c r="O27" s="49">
        <v>26.27552</v>
      </c>
      <c r="P27" s="49">
        <v>93.062100000000001</v>
      </c>
      <c r="Q27" s="49">
        <v>26.27553</v>
      </c>
      <c r="R27" s="250">
        <v>93.062070000000006</v>
      </c>
    </row>
    <row r="28" spans="2:18" x14ac:dyDescent="0.25">
      <c r="B28" s="182">
        <v>25</v>
      </c>
      <c r="C28" s="350"/>
      <c r="D28" s="249" t="s">
        <v>110</v>
      </c>
      <c r="E28" s="49">
        <v>26.271560000000001</v>
      </c>
      <c r="F28" s="49">
        <v>93.062219999999996</v>
      </c>
      <c r="G28" s="49">
        <v>26.271560000000001</v>
      </c>
      <c r="H28" s="49">
        <v>93.061999999999998</v>
      </c>
      <c r="I28" s="49">
        <v>26.2714</v>
      </c>
      <c r="J28" s="49">
        <v>93.061940000000007</v>
      </c>
      <c r="K28" s="49">
        <v>26.271350000000002</v>
      </c>
      <c r="L28" s="49">
        <v>93.062190000000001</v>
      </c>
      <c r="M28" s="49">
        <v>26.27158</v>
      </c>
      <c r="N28" s="49">
        <v>93.062240000000003</v>
      </c>
      <c r="O28" s="49">
        <v>26.2715</v>
      </c>
      <c r="P28" s="49">
        <v>93.062169999999995</v>
      </c>
      <c r="Q28" s="49">
        <v>26.27149</v>
      </c>
      <c r="R28" s="250">
        <v>93.061989999999994</v>
      </c>
    </row>
    <row r="29" spans="2:18" x14ac:dyDescent="0.25">
      <c r="B29" s="182">
        <v>26</v>
      </c>
      <c r="C29" s="350"/>
      <c r="D29" s="249" t="s">
        <v>111</v>
      </c>
      <c r="E29" s="49">
        <v>26.268270000000001</v>
      </c>
      <c r="F29" s="49">
        <v>93.06241</v>
      </c>
      <c r="G29" s="49">
        <v>26.268429999999999</v>
      </c>
      <c r="H29" s="49">
        <v>93.062359999999998</v>
      </c>
      <c r="I29" s="49">
        <v>26.268149999999999</v>
      </c>
      <c r="J29" s="49">
        <v>93.062359999999998</v>
      </c>
      <c r="K29" s="49">
        <v>26.268139999999999</v>
      </c>
      <c r="L29" s="49">
        <v>93.062520000000006</v>
      </c>
      <c r="M29" s="49">
        <v>26.2682</v>
      </c>
      <c r="N29" s="49">
        <v>93.062520000000006</v>
      </c>
      <c r="O29" s="49">
        <v>26.268350000000002</v>
      </c>
      <c r="P29" s="49">
        <v>93.062489999999997</v>
      </c>
      <c r="Q29" s="49">
        <v>26.268080000000001</v>
      </c>
      <c r="R29" s="250">
        <v>93.0625</v>
      </c>
    </row>
    <row r="30" spans="2:18" x14ac:dyDescent="0.25">
      <c r="B30" s="182">
        <v>27</v>
      </c>
      <c r="C30" s="350"/>
      <c r="D30" s="249" t="s">
        <v>112</v>
      </c>
      <c r="E30" s="49">
        <v>26.281749999999999</v>
      </c>
      <c r="F30" s="49">
        <v>93.053719999999998</v>
      </c>
      <c r="G30" s="49">
        <v>26.28192</v>
      </c>
      <c r="H30" s="49">
        <v>93.053799999999995</v>
      </c>
      <c r="I30" s="49">
        <v>26.281829999999999</v>
      </c>
      <c r="J30" s="49">
        <v>93.054000000000002</v>
      </c>
      <c r="K30" s="49">
        <v>26.281639999999999</v>
      </c>
      <c r="L30" s="49">
        <v>93.053830000000005</v>
      </c>
      <c r="M30" s="49">
        <v>26.281770000000002</v>
      </c>
      <c r="N30" s="49">
        <v>93.053749999999994</v>
      </c>
      <c r="O30" s="49">
        <v>26.281839999999999</v>
      </c>
      <c r="P30" s="49">
        <v>93.053929999999994</v>
      </c>
      <c r="Q30" s="49">
        <v>26.281839999999999</v>
      </c>
      <c r="R30" s="250">
        <v>93.053929999999994</v>
      </c>
    </row>
    <row r="31" spans="2:18" x14ac:dyDescent="0.25">
      <c r="B31" s="182">
        <v>28</v>
      </c>
      <c r="C31" s="350"/>
      <c r="D31" s="249" t="s">
        <v>113</v>
      </c>
      <c r="E31" s="49">
        <v>26.277640000000002</v>
      </c>
      <c r="F31" s="49">
        <v>93.04974</v>
      </c>
      <c r="G31" s="49">
        <v>26.277470000000001</v>
      </c>
      <c r="H31" s="49">
        <v>93.049869999999999</v>
      </c>
      <c r="I31" s="49">
        <v>26.277750000000001</v>
      </c>
      <c r="J31" s="49">
        <v>93.05001</v>
      </c>
      <c r="K31" s="49">
        <v>26.277799999999999</v>
      </c>
      <c r="L31" s="49">
        <v>93.049899999999994</v>
      </c>
      <c r="M31" s="49">
        <v>26.2775</v>
      </c>
      <c r="N31" s="49">
        <v>93.049880000000002</v>
      </c>
      <c r="O31" s="49">
        <v>26.277650000000001</v>
      </c>
      <c r="P31" s="49">
        <v>93.049909999999997</v>
      </c>
      <c r="Q31" s="49">
        <v>26.277560000000001</v>
      </c>
      <c r="R31" s="250">
        <v>93.049769999999995</v>
      </c>
    </row>
    <row r="32" spans="2:18" x14ac:dyDescent="0.25">
      <c r="B32" s="182">
        <v>29</v>
      </c>
      <c r="C32" s="350"/>
      <c r="D32" s="249" t="s">
        <v>114</v>
      </c>
      <c r="E32" s="49">
        <v>26.251819999999999</v>
      </c>
      <c r="F32" s="49">
        <v>92.992720000000006</v>
      </c>
      <c r="G32" s="49">
        <v>26.251899999999999</v>
      </c>
      <c r="H32" s="49">
        <v>92.992590000000007</v>
      </c>
      <c r="I32" s="49">
        <v>26.252109999999998</v>
      </c>
      <c r="J32" s="49">
        <v>92.992679999999993</v>
      </c>
      <c r="K32" s="49">
        <v>26.251950000000001</v>
      </c>
      <c r="L32" s="49">
        <v>92.992919999999998</v>
      </c>
      <c r="M32" s="49">
        <v>26.251950000000001</v>
      </c>
      <c r="N32" s="49">
        <v>92.992739999999998</v>
      </c>
      <c r="O32" s="49">
        <v>26.25197</v>
      </c>
      <c r="P32" s="49">
        <v>92.992689999999996</v>
      </c>
      <c r="Q32" s="49">
        <v>26.25206</v>
      </c>
      <c r="R32" s="250">
        <v>92.992729999999995</v>
      </c>
    </row>
    <row r="33" spans="2:18" x14ac:dyDescent="0.25">
      <c r="B33" s="182">
        <v>30</v>
      </c>
      <c r="C33" s="350"/>
      <c r="D33" s="249" t="s">
        <v>115</v>
      </c>
      <c r="E33" s="49">
        <v>26.30922</v>
      </c>
      <c r="F33" s="49">
        <v>93.024029999999996</v>
      </c>
      <c r="G33" s="49">
        <v>26.30921</v>
      </c>
      <c r="H33" s="49">
        <v>93.024299999999997</v>
      </c>
      <c r="I33" s="49">
        <v>26.30941</v>
      </c>
      <c r="J33" s="49">
        <v>93.024249999999995</v>
      </c>
      <c r="K33" s="49">
        <v>26.309429999999999</v>
      </c>
      <c r="L33" s="49">
        <v>93.024050000000003</v>
      </c>
      <c r="M33" s="49">
        <v>26.3094</v>
      </c>
      <c r="N33" s="49">
        <v>93.024109999999993</v>
      </c>
      <c r="O33" s="49">
        <v>26.309290000000001</v>
      </c>
      <c r="P33" s="49">
        <v>93.024119999999996</v>
      </c>
      <c r="Q33" s="49">
        <v>26.3094</v>
      </c>
      <c r="R33" s="250">
        <v>93.024190000000004</v>
      </c>
    </row>
    <row r="34" spans="2:18" x14ac:dyDescent="0.25">
      <c r="B34" s="182">
        <v>31</v>
      </c>
      <c r="C34" s="350" t="s">
        <v>14</v>
      </c>
      <c r="D34" s="249" t="s">
        <v>96</v>
      </c>
      <c r="E34" s="49">
        <v>26.310690000000001</v>
      </c>
      <c r="F34" s="49">
        <v>93.109219999999993</v>
      </c>
      <c r="G34" s="49">
        <v>26.31052</v>
      </c>
      <c r="H34" s="49">
        <v>93.109340000000003</v>
      </c>
      <c r="I34" s="49">
        <v>26.31034</v>
      </c>
      <c r="J34" s="49">
        <v>93.10915</v>
      </c>
      <c r="K34" s="49">
        <v>26.310569999999998</v>
      </c>
      <c r="L34" s="49">
        <v>93.108990000000006</v>
      </c>
      <c r="M34" s="49">
        <v>26.31062</v>
      </c>
      <c r="N34" s="49">
        <v>93.109129999999993</v>
      </c>
      <c r="O34" s="49">
        <v>26.310549999999999</v>
      </c>
      <c r="P34" s="49">
        <v>93.109049999999996</v>
      </c>
      <c r="Q34" s="49">
        <v>26.310490000000001</v>
      </c>
      <c r="R34" s="250">
        <v>93.109219999999993</v>
      </c>
    </row>
    <row r="35" spans="2:18" x14ac:dyDescent="0.25">
      <c r="B35" s="182">
        <v>32</v>
      </c>
      <c r="C35" s="350"/>
      <c r="D35" s="249" t="s">
        <v>97</v>
      </c>
      <c r="E35" s="49">
        <v>26.234490000000001</v>
      </c>
      <c r="F35" s="49">
        <v>93.057410000000004</v>
      </c>
      <c r="G35" s="49">
        <v>26.234690000000001</v>
      </c>
      <c r="H35" s="49">
        <v>93.05744</v>
      </c>
      <c r="I35" s="49">
        <v>26.234690000000001</v>
      </c>
      <c r="J35" s="49">
        <v>93.057689999999994</v>
      </c>
      <c r="K35" s="49">
        <v>26.23451</v>
      </c>
      <c r="L35" s="49">
        <v>93.057649999999995</v>
      </c>
      <c r="M35" s="49">
        <v>26.234529999999999</v>
      </c>
      <c r="N35" s="49">
        <v>93.057540000000003</v>
      </c>
      <c r="O35" s="49">
        <v>26.234549999999999</v>
      </c>
      <c r="P35" s="49">
        <v>93.05753</v>
      </c>
      <c r="Q35" s="49">
        <v>26.2346</v>
      </c>
      <c r="R35" s="250">
        <v>93.057550000000006</v>
      </c>
    </row>
    <row r="36" spans="2:18" x14ac:dyDescent="0.25">
      <c r="B36" s="182">
        <v>33</v>
      </c>
      <c r="C36" s="350"/>
      <c r="D36" s="249" t="s">
        <v>98</v>
      </c>
      <c r="E36" s="49">
        <v>26.308434999999999</v>
      </c>
      <c r="F36" s="49">
        <v>93.007678999999996</v>
      </c>
      <c r="G36" s="49">
        <v>26.308675000000001</v>
      </c>
      <c r="H36" s="49">
        <v>93.007823999999999</v>
      </c>
      <c r="I36" s="49">
        <v>26.308810999999999</v>
      </c>
      <c r="J36" s="49">
        <v>93.007626000000002</v>
      </c>
      <c r="K36" s="49">
        <v>26.308592000000001</v>
      </c>
      <c r="L36" s="49">
        <v>93.007502000000002</v>
      </c>
      <c r="M36" s="49">
        <v>26.308698</v>
      </c>
      <c r="N36" s="49">
        <v>93.007570000000001</v>
      </c>
      <c r="O36" s="49">
        <v>26.308579000000002</v>
      </c>
      <c r="P36" s="49">
        <v>93.007655999999997</v>
      </c>
      <c r="Q36" s="49">
        <v>26.308461000000001</v>
      </c>
      <c r="R36" s="250">
        <v>93.007706999999996</v>
      </c>
    </row>
    <row r="37" spans="2:18" x14ac:dyDescent="0.25">
      <c r="B37" s="182">
        <v>34</v>
      </c>
      <c r="C37" s="350"/>
      <c r="D37" s="249" t="s">
        <v>99</v>
      </c>
      <c r="E37" s="49">
        <v>26.262630000000001</v>
      </c>
      <c r="F37" s="49">
        <v>93.040615000000003</v>
      </c>
      <c r="G37" s="49">
        <v>26.262630999999999</v>
      </c>
      <c r="H37" s="49">
        <v>93.040865999999994</v>
      </c>
      <c r="I37" s="49">
        <v>26.262823999999998</v>
      </c>
      <c r="J37" s="49">
        <v>93.041008000000005</v>
      </c>
      <c r="K37" s="49">
        <v>26.262874</v>
      </c>
      <c r="L37" s="49">
        <v>93.040672999999998</v>
      </c>
      <c r="M37" s="49">
        <v>26.262727999999999</v>
      </c>
      <c r="N37" s="49">
        <v>93.040830999999997</v>
      </c>
      <c r="O37" s="49">
        <v>26.262737000000001</v>
      </c>
      <c r="P37" s="49">
        <v>93.040865999999994</v>
      </c>
      <c r="Q37" s="49">
        <v>26.262715</v>
      </c>
      <c r="R37" s="250">
        <v>93.040863000000002</v>
      </c>
    </row>
    <row r="38" spans="2:18" x14ac:dyDescent="0.25">
      <c r="B38" s="182">
        <v>35</v>
      </c>
      <c r="C38" s="350"/>
      <c r="D38" s="249" t="s">
        <v>100</v>
      </c>
      <c r="E38" s="49">
        <v>26.306539999999998</v>
      </c>
      <c r="F38" s="49">
        <v>93.005763000000002</v>
      </c>
      <c r="G38" s="49">
        <v>26.306526999999999</v>
      </c>
      <c r="H38" s="49">
        <v>93.005934999999994</v>
      </c>
      <c r="I38" s="49">
        <v>26.306750000000001</v>
      </c>
      <c r="J38" s="49">
        <v>93.006045999999998</v>
      </c>
      <c r="K38" s="49">
        <v>26.306764000000001</v>
      </c>
      <c r="L38" s="49">
        <v>93.005947000000006</v>
      </c>
      <c r="M38" s="49">
        <v>26.306612999999999</v>
      </c>
      <c r="N38" s="49">
        <v>93.005816999999993</v>
      </c>
      <c r="O38" s="49">
        <v>26.306657000000001</v>
      </c>
      <c r="P38" s="49">
        <v>93.005787999999995</v>
      </c>
      <c r="Q38" s="49">
        <v>26.306778000000001</v>
      </c>
      <c r="R38" s="250">
        <v>93.005814999999998</v>
      </c>
    </row>
    <row r="39" spans="2:18" x14ac:dyDescent="0.25">
      <c r="B39" s="182">
        <v>36</v>
      </c>
      <c r="C39" s="350"/>
      <c r="D39" s="249" t="s">
        <v>105</v>
      </c>
      <c r="E39" s="49">
        <v>26.319040000000001</v>
      </c>
      <c r="F39" s="49">
        <v>93.08511</v>
      </c>
      <c r="G39" s="49">
        <v>26.318919999999999</v>
      </c>
      <c r="H39" s="49">
        <v>93.084950000000006</v>
      </c>
      <c r="I39" s="49">
        <v>26.319040000000001</v>
      </c>
      <c r="J39" s="49">
        <v>93.084819999999993</v>
      </c>
      <c r="K39" s="49">
        <v>26.319189999999999</v>
      </c>
      <c r="L39" s="49">
        <v>93.084990000000005</v>
      </c>
      <c r="M39" s="49">
        <v>26.31907</v>
      </c>
      <c r="N39" s="49">
        <v>93.084950000000006</v>
      </c>
      <c r="O39" s="49">
        <v>26.319120000000002</v>
      </c>
      <c r="P39" s="49">
        <v>93.085059999999999</v>
      </c>
      <c r="Q39" s="49">
        <v>26.319040000000001</v>
      </c>
      <c r="R39" s="250">
        <v>93.08502</v>
      </c>
    </row>
    <row r="40" spans="2:18" x14ac:dyDescent="0.25">
      <c r="B40" s="182">
        <v>37</v>
      </c>
      <c r="C40" s="350"/>
      <c r="D40" s="249" t="s">
        <v>116</v>
      </c>
      <c r="E40" s="49">
        <v>26.248667999999999</v>
      </c>
      <c r="F40" s="49">
        <v>93.035617000000002</v>
      </c>
      <c r="G40" s="49">
        <v>26.248563000000001</v>
      </c>
      <c r="H40" s="49">
        <v>93.035443999999998</v>
      </c>
      <c r="I40" s="49">
        <v>26.248774000000001</v>
      </c>
      <c r="J40" s="49">
        <v>93.035284000000004</v>
      </c>
      <c r="K40" s="49">
        <v>26.248878000000001</v>
      </c>
      <c r="L40" s="49">
        <v>93.035390000000007</v>
      </c>
      <c r="M40" s="49">
        <v>26.248736999999998</v>
      </c>
      <c r="N40" s="49">
        <v>93.035521000000003</v>
      </c>
      <c r="O40" s="49">
        <v>26.248735</v>
      </c>
      <c r="P40" s="49">
        <v>93.035544000000002</v>
      </c>
      <c r="Q40" s="49">
        <v>26.248664999999999</v>
      </c>
      <c r="R40" s="250">
        <v>93.035415999999998</v>
      </c>
    </row>
    <row r="41" spans="2:18" x14ac:dyDescent="0.25">
      <c r="B41" s="182">
        <v>38</v>
      </c>
      <c r="C41" s="350"/>
      <c r="D41" s="249" t="s">
        <v>117</v>
      </c>
      <c r="E41" s="49">
        <v>26.306419000000002</v>
      </c>
      <c r="F41" s="49">
        <v>93.007126</v>
      </c>
      <c r="G41" s="49">
        <v>26.306452</v>
      </c>
      <c r="H41" s="49">
        <v>93.007341999999994</v>
      </c>
      <c r="I41" s="49">
        <v>26.306721</v>
      </c>
      <c r="J41" s="49">
        <v>93.007360000000006</v>
      </c>
      <c r="K41" s="49">
        <v>26.306676</v>
      </c>
      <c r="L41" s="49">
        <v>93.007132999999996</v>
      </c>
      <c r="M41" s="49">
        <v>26.306494000000001</v>
      </c>
      <c r="N41" s="49">
        <v>93.007123000000007</v>
      </c>
      <c r="O41" s="49">
        <v>26.306591000000001</v>
      </c>
      <c r="P41" s="49">
        <v>93.007222999999996</v>
      </c>
      <c r="Q41" s="49">
        <v>26.306532000000001</v>
      </c>
      <c r="R41" s="250">
        <v>93.007081999999997</v>
      </c>
    </row>
    <row r="42" spans="2:18" x14ac:dyDescent="0.25">
      <c r="B42" s="182">
        <v>39</v>
      </c>
      <c r="C42" s="350"/>
      <c r="D42" s="249" t="s">
        <v>133</v>
      </c>
      <c r="E42" s="49">
        <v>26.31391</v>
      </c>
      <c r="F42" s="49">
        <v>93.070214000000007</v>
      </c>
      <c r="G42" s="49">
        <v>26.314080000000001</v>
      </c>
      <c r="H42" s="49">
        <v>93.070402000000001</v>
      </c>
      <c r="I42" s="49">
        <v>26.313929999999999</v>
      </c>
      <c r="J42" s="49">
        <v>93.070617999999996</v>
      </c>
      <c r="K42" s="49">
        <v>26.313780000000001</v>
      </c>
      <c r="L42" s="49">
        <v>93.070402000000001</v>
      </c>
      <c r="M42" s="49">
        <v>26.314043000000002</v>
      </c>
      <c r="N42" s="49">
        <v>93.070454999999995</v>
      </c>
      <c r="O42" s="49">
        <v>26.313959000000001</v>
      </c>
      <c r="P42" s="49">
        <v>93.070301999999998</v>
      </c>
      <c r="Q42" s="49">
        <v>26.313945</v>
      </c>
      <c r="R42" s="250">
        <v>93.070449999999994</v>
      </c>
    </row>
    <row r="43" spans="2:18" x14ac:dyDescent="0.25">
      <c r="B43" s="182">
        <v>40</v>
      </c>
      <c r="C43" s="350"/>
      <c r="D43" s="249" t="s">
        <v>134</v>
      </c>
      <c r="E43" s="49">
        <v>26.291719000000001</v>
      </c>
      <c r="F43" s="49">
        <v>93.063698000000002</v>
      </c>
      <c r="G43" s="49">
        <v>26.291830999999998</v>
      </c>
      <c r="H43" s="49">
        <v>93.063922000000005</v>
      </c>
      <c r="I43" s="49">
        <v>26.291630000000001</v>
      </c>
      <c r="J43" s="49">
        <v>93.064074000000005</v>
      </c>
      <c r="K43" s="49">
        <v>26.291558999999999</v>
      </c>
      <c r="L43" s="49">
        <v>93.063841999999994</v>
      </c>
      <c r="M43" s="49">
        <v>26.291744999999999</v>
      </c>
      <c r="N43" s="49">
        <v>93.063905000000005</v>
      </c>
      <c r="O43" s="49">
        <v>26.291699999999999</v>
      </c>
      <c r="P43" s="49">
        <v>93.063809000000006</v>
      </c>
      <c r="Q43" s="49">
        <v>26.291642</v>
      </c>
      <c r="R43" s="250">
        <v>93.063879999999997</v>
      </c>
    </row>
    <row r="44" spans="2:18" x14ac:dyDescent="0.25">
      <c r="B44" s="182">
        <v>41</v>
      </c>
      <c r="C44" s="350" t="s">
        <v>101</v>
      </c>
      <c r="D44" s="249" t="s">
        <v>106</v>
      </c>
      <c r="E44" s="49">
        <v>26.31157</v>
      </c>
      <c r="F44" s="49">
        <v>93.107889999999998</v>
      </c>
      <c r="G44" s="49">
        <v>26.311599999999999</v>
      </c>
      <c r="H44" s="49">
        <v>93.10821</v>
      </c>
      <c r="I44" s="49">
        <v>26.31184</v>
      </c>
      <c r="J44" s="49">
        <v>93.10821</v>
      </c>
      <c r="K44" s="49">
        <v>26.311810000000001</v>
      </c>
      <c r="L44" s="49">
        <v>93.107990000000001</v>
      </c>
      <c r="M44" s="49">
        <v>26.311720000000001</v>
      </c>
      <c r="N44" s="49">
        <v>93.107990000000001</v>
      </c>
      <c r="O44" s="49">
        <v>26.311599999999999</v>
      </c>
      <c r="P44" s="49">
        <v>93.108090000000004</v>
      </c>
      <c r="Q44" s="49">
        <v>26.311789999999998</v>
      </c>
      <c r="R44" s="250">
        <v>93.108170000000001</v>
      </c>
    </row>
    <row r="45" spans="2:18" x14ac:dyDescent="0.25">
      <c r="B45" s="182">
        <v>42</v>
      </c>
      <c r="C45" s="350"/>
      <c r="D45" s="249" t="s">
        <v>118</v>
      </c>
      <c r="E45" s="49">
        <v>26.271820000000002</v>
      </c>
      <c r="F45" s="49">
        <v>93.0518</v>
      </c>
      <c r="G45" s="49">
        <v>26.27196</v>
      </c>
      <c r="H45" s="49">
        <v>93.051990000000004</v>
      </c>
      <c r="I45" s="49">
        <v>26.271879999999999</v>
      </c>
      <c r="J45" s="49">
        <v>93.052189999999996</v>
      </c>
      <c r="K45" s="49">
        <v>26.271730000000002</v>
      </c>
      <c r="L45" s="49">
        <v>93.052090000000007</v>
      </c>
      <c r="M45" s="49">
        <v>26.271789999999999</v>
      </c>
      <c r="N45" s="49">
        <v>93.052059999999997</v>
      </c>
      <c r="O45" s="49">
        <v>26.271799999999999</v>
      </c>
      <c r="P45" s="49">
        <v>93.051940000000002</v>
      </c>
      <c r="Q45" s="49">
        <v>26.271889999999999</v>
      </c>
      <c r="R45" s="250">
        <v>93.052109999999999</v>
      </c>
    </row>
    <row r="46" spans="2:18" ht="15.75" thickBot="1" x14ac:dyDescent="0.3">
      <c r="B46" s="120">
        <v>43</v>
      </c>
      <c r="C46" s="255" t="s">
        <v>102</v>
      </c>
      <c r="D46" s="251" t="s">
        <v>107</v>
      </c>
      <c r="E46" s="252">
        <v>26.249659999999999</v>
      </c>
      <c r="F46" s="252">
        <v>93.07</v>
      </c>
      <c r="G46" s="252">
        <v>26.24982</v>
      </c>
      <c r="H46" s="252">
        <v>93.070080000000004</v>
      </c>
      <c r="I46" s="252">
        <v>26.249929999999999</v>
      </c>
      <c r="J46" s="252">
        <v>93.069919999999996</v>
      </c>
      <c r="K46" s="252">
        <v>26.249849999999999</v>
      </c>
      <c r="L46" s="252">
        <v>93.069890000000001</v>
      </c>
      <c r="M46" s="252">
        <v>26.2498</v>
      </c>
      <c r="N46" s="252">
        <v>93.070059999999998</v>
      </c>
      <c r="O46" s="252">
        <v>26.249749999999999</v>
      </c>
      <c r="P46" s="252">
        <v>93.069929999999999</v>
      </c>
      <c r="Q46" s="252">
        <v>26.249870000000001</v>
      </c>
      <c r="R46" s="253">
        <v>93.070049999999995</v>
      </c>
    </row>
  </sheetData>
  <mergeCells count="13">
    <mergeCell ref="B2:B3"/>
    <mergeCell ref="Q2:R2"/>
    <mergeCell ref="C4:C33"/>
    <mergeCell ref="C34:C43"/>
    <mergeCell ref="C44:C45"/>
    <mergeCell ref="C2:C3"/>
    <mergeCell ref="D2:D3"/>
    <mergeCell ref="E2:F2"/>
    <mergeCell ref="G2:H2"/>
    <mergeCell ref="I2:J2"/>
    <mergeCell ref="K2:L2"/>
    <mergeCell ref="M2:N2"/>
    <mergeCell ref="O2:P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008A-4C53-435A-B358-574DAE5BE7C2}">
  <dimension ref="B1:K92"/>
  <sheetViews>
    <sheetView workbookViewId="0"/>
  </sheetViews>
  <sheetFormatPr defaultRowHeight="15" x14ac:dyDescent="0.25"/>
  <cols>
    <col min="1" max="1" width="9.140625" style="5"/>
    <col min="2" max="2" width="7.42578125" style="34" bestFit="1" customWidth="1"/>
    <col min="3" max="3" width="18.42578125" style="34" bestFit="1" customWidth="1"/>
    <col min="4" max="4" width="16.7109375" style="5" bestFit="1" customWidth="1"/>
    <col min="5" max="5" width="7.140625" style="5" bestFit="1" customWidth="1"/>
    <col min="6" max="6" width="8.7109375" style="5" bestFit="1" customWidth="1"/>
    <col min="7" max="7" width="8.28515625" style="5" customWidth="1"/>
    <col min="8" max="8" width="9.85546875" style="5" bestFit="1" customWidth="1"/>
    <col min="9" max="9" width="11.5703125" style="5" bestFit="1" customWidth="1"/>
    <col min="10" max="10" width="15.42578125" style="5" bestFit="1" customWidth="1"/>
    <col min="11" max="11" width="12.5703125" style="5" bestFit="1" customWidth="1"/>
    <col min="12" max="16384" width="9.140625" style="5"/>
  </cols>
  <sheetData>
    <row r="1" spans="2:11" ht="15.75" thickBot="1" x14ac:dyDescent="0.3"/>
    <row r="2" spans="2:11" ht="60" thickBot="1" x14ac:dyDescent="0.3">
      <c r="B2" s="63" t="s">
        <v>137</v>
      </c>
      <c r="C2" s="64" t="s">
        <v>136</v>
      </c>
      <c r="D2" s="53" t="s">
        <v>57</v>
      </c>
      <c r="E2" s="53" t="s">
        <v>58</v>
      </c>
      <c r="F2" s="53" t="s">
        <v>59</v>
      </c>
      <c r="G2" s="53" t="s">
        <v>60</v>
      </c>
      <c r="H2" s="53" t="s">
        <v>61</v>
      </c>
      <c r="I2" s="53" t="s">
        <v>62</v>
      </c>
      <c r="J2" s="53" t="s">
        <v>135</v>
      </c>
      <c r="K2" s="54" t="s">
        <v>63</v>
      </c>
    </row>
    <row r="3" spans="2:11" x14ac:dyDescent="0.25">
      <c r="B3" s="367">
        <v>1</v>
      </c>
      <c r="C3" s="369" t="s">
        <v>76</v>
      </c>
      <c r="D3" s="366">
        <v>23</v>
      </c>
      <c r="E3" s="57">
        <v>1</v>
      </c>
      <c r="F3" s="57">
        <v>21</v>
      </c>
      <c r="G3" s="14">
        <v>5.9520019405406215</v>
      </c>
      <c r="H3" s="14">
        <f t="shared" ref="H3:H34" si="0">0.307*G3^2.174</f>
        <v>14.833918100457309</v>
      </c>
      <c r="I3" s="14">
        <f t="shared" ref="I3:I34" si="1">(H3*F3)/1000</f>
        <v>0.31151228010960347</v>
      </c>
      <c r="J3" s="365">
        <f>(AVERAGEA(I3:I5)*D3)</f>
        <v>8.5460856700897097</v>
      </c>
      <c r="K3" s="368">
        <f>(J3/625)*10000</f>
        <v>136.73737072143535</v>
      </c>
    </row>
    <row r="4" spans="2:11" x14ac:dyDescent="0.25">
      <c r="B4" s="355"/>
      <c r="C4" s="363"/>
      <c r="D4" s="357"/>
      <c r="E4" s="50">
        <v>2</v>
      </c>
      <c r="F4" s="50">
        <v>28</v>
      </c>
      <c r="G4" s="17">
        <v>6.252558329922226</v>
      </c>
      <c r="H4" s="17">
        <f t="shared" si="0"/>
        <v>16.510792833548493</v>
      </c>
      <c r="I4" s="17">
        <f t="shared" si="1"/>
        <v>0.46230219933935779</v>
      </c>
      <c r="J4" s="359"/>
      <c r="K4" s="361"/>
    </row>
    <row r="5" spans="2:11" x14ac:dyDescent="0.25">
      <c r="B5" s="355"/>
      <c r="C5" s="363"/>
      <c r="D5" s="357"/>
      <c r="E5" s="50">
        <v>3</v>
      </c>
      <c r="F5" s="50">
        <v>27</v>
      </c>
      <c r="G5" s="17">
        <v>5.5266664308370768</v>
      </c>
      <c r="H5" s="17">
        <f t="shared" si="0"/>
        <v>12.625642484610344</v>
      </c>
      <c r="I5" s="17">
        <f t="shared" si="1"/>
        <v>0.3408923470844793</v>
      </c>
      <c r="J5" s="359"/>
      <c r="K5" s="361"/>
    </row>
    <row r="6" spans="2:11" x14ac:dyDescent="0.25">
      <c r="B6" s="355">
        <v>2</v>
      </c>
      <c r="C6" s="363" t="s">
        <v>78</v>
      </c>
      <c r="D6" s="357">
        <v>14</v>
      </c>
      <c r="E6" s="50">
        <v>1</v>
      </c>
      <c r="F6" s="50">
        <v>22</v>
      </c>
      <c r="G6" s="17">
        <v>6.4701455818934326</v>
      </c>
      <c r="H6" s="17">
        <f t="shared" si="0"/>
        <v>17.785477353626113</v>
      </c>
      <c r="I6" s="17">
        <f t="shared" si="1"/>
        <v>0.39128050177977453</v>
      </c>
      <c r="J6" s="359">
        <f>(AVERAGEA(I6:I8)*D6)</f>
        <v>4.2997762218055788</v>
      </c>
      <c r="K6" s="361">
        <f>(J6/625)*10000</f>
        <v>68.796419548889261</v>
      </c>
    </row>
    <row r="7" spans="2:11" x14ac:dyDescent="0.25">
      <c r="B7" s="355">
        <v>0</v>
      </c>
      <c r="C7" s="363">
        <v>0</v>
      </c>
      <c r="D7" s="357">
        <v>0</v>
      </c>
      <c r="E7" s="50">
        <v>2</v>
      </c>
      <c r="F7" s="50">
        <v>16</v>
      </c>
      <c r="G7" s="17">
        <v>6.5584208850684496</v>
      </c>
      <c r="H7" s="17">
        <f t="shared" si="0"/>
        <v>18.31723928599693</v>
      </c>
      <c r="I7" s="17">
        <f t="shared" si="1"/>
        <v>0.29307582857595088</v>
      </c>
      <c r="J7" s="359"/>
      <c r="K7" s="361"/>
    </row>
    <row r="8" spans="2:11" x14ac:dyDescent="0.25">
      <c r="B8" s="355">
        <v>0</v>
      </c>
      <c r="C8" s="363">
        <v>0</v>
      </c>
      <c r="D8" s="357">
        <v>0</v>
      </c>
      <c r="E8" s="50">
        <v>3</v>
      </c>
      <c r="F8" s="50">
        <v>15</v>
      </c>
      <c r="G8" s="17">
        <v>6.1275602249814289</v>
      </c>
      <c r="H8" s="17">
        <f t="shared" si="0"/>
        <v>15.801619240174198</v>
      </c>
      <c r="I8" s="17">
        <f t="shared" si="1"/>
        <v>0.23702428860261296</v>
      </c>
      <c r="J8" s="359"/>
      <c r="K8" s="361"/>
    </row>
    <row r="9" spans="2:11" x14ac:dyDescent="0.25">
      <c r="B9" s="355">
        <v>3</v>
      </c>
      <c r="C9" s="363" t="s">
        <v>79</v>
      </c>
      <c r="D9" s="357">
        <v>17</v>
      </c>
      <c r="E9" s="50">
        <v>1</v>
      </c>
      <c r="F9" s="50">
        <v>17</v>
      </c>
      <c r="G9" s="17">
        <v>6.2100867089911409</v>
      </c>
      <c r="H9" s="17">
        <f t="shared" si="0"/>
        <v>16.267945067314642</v>
      </c>
      <c r="I9" s="17">
        <f t="shared" si="1"/>
        <v>0.27655506614434894</v>
      </c>
      <c r="J9" s="359">
        <f>(AVERAGEA(I9:I11)*D9)</f>
        <v>4.660416247660387</v>
      </c>
      <c r="K9" s="361">
        <f>(J9/625)*10000</f>
        <v>74.566659962566192</v>
      </c>
    </row>
    <row r="10" spans="2:11" x14ac:dyDescent="0.25">
      <c r="B10" s="355">
        <v>0</v>
      </c>
      <c r="C10" s="363">
        <v>0</v>
      </c>
      <c r="D10" s="357">
        <v>0</v>
      </c>
      <c r="E10" s="50">
        <v>2</v>
      </c>
      <c r="F10" s="50">
        <v>19</v>
      </c>
      <c r="G10" s="17">
        <v>5.8697364231974394</v>
      </c>
      <c r="H10" s="17">
        <f t="shared" si="0"/>
        <v>14.391803205445697</v>
      </c>
      <c r="I10" s="17">
        <f t="shared" si="1"/>
        <v>0.27344426090346824</v>
      </c>
      <c r="J10" s="359"/>
      <c r="K10" s="361"/>
    </row>
    <row r="11" spans="2:11" x14ac:dyDescent="0.25">
      <c r="B11" s="355">
        <v>0</v>
      </c>
      <c r="C11" s="363">
        <v>0</v>
      </c>
      <c r="D11" s="357">
        <v>0</v>
      </c>
      <c r="E11" s="50">
        <v>3</v>
      </c>
      <c r="F11" s="50">
        <v>19</v>
      </c>
      <c r="G11" s="17">
        <v>5.8596826354328995</v>
      </c>
      <c r="H11" s="17">
        <f t="shared" si="0"/>
        <v>14.33826682095439</v>
      </c>
      <c r="I11" s="17">
        <f t="shared" si="1"/>
        <v>0.2724270695981334</v>
      </c>
      <c r="J11" s="359"/>
      <c r="K11" s="361"/>
    </row>
    <row r="12" spans="2:11" x14ac:dyDescent="0.25">
      <c r="B12" s="355">
        <v>4</v>
      </c>
      <c r="C12" s="363" t="s">
        <v>80</v>
      </c>
      <c r="D12" s="357">
        <v>13</v>
      </c>
      <c r="E12" s="50">
        <v>1</v>
      </c>
      <c r="F12" s="50">
        <v>24</v>
      </c>
      <c r="G12" s="17">
        <v>5.5860660087021126</v>
      </c>
      <c r="H12" s="17">
        <f t="shared" si="0"/>
        <v>12.922512386295752</v>
      </c>
      <c r="I12" s="17">
        <f t="shared" si="1"/>
        <v>0.31014029727109804</v>
      </c>
      <c r="J12" s="359">
        <f>(AVERAGEA(I12:I14)*D12)</f>
        <v>3.6933843926031837</v>
      </c>
      <c r="K12" s="361">
        <f>(J12/625)*10000</f>
        <v>59.09415028165094</v>
      </c>
    </row>
    <row r="13" spans="2:11" x14ac:dyDescent="0.25">
      <c r="B13" s="355">
        <v>0</v>
      </c>
      <c r="C13" s="363">
        <v>0</v>
      </c>
      <c r="D13" s="357">
        <v>0</v>
      </c>
      <c r="E13" s="50">
        <v>2</v>
      </c>
      <c r="F13" s="50">
        <v>18</v>
      </c>
      <c r="G13" s="17">
        <v>5.6139233789663585</v>
      </c>
      <c r="H13" s="17">
        <f t="shared" si="0"/>
        <v>13.063023405484</v>
      </c>
      <c r="I13" s="17">
        <f t="shared" si="1"/>
        <v>0.23513442129871201</v>
      </c>
      <c r="J13" s="359"/>
      <c r="K13" s="361"/>
    </row>
    <row r="14" spans="2:11" x14ac:dyDescent="0.25">
      <c r="B14" s="355">
        <v>0</v>
      </c>
      <c r="C14" s="363">
        <v>0</v>
      </c>
      <c r="D14" s="357">
        <v>0</v>
      </c>
      <c r="E14" s="50">
        <v>3</v>
      </c>
      <c r="F14" s="50">
        <v>21</v>
      </c>
      <c r="G14" s="17">
        <v>5.912584709146314</v>
      </c>
      <c r="H14" s="17">
        <f t="shared" si="0"/>
        <v>14.621178887919497</v>
      </c>
      <c r="I14" s="17">
        <f t="shared" si="1"/>
        <v>0.30704475664630942</v>
      </c>
      <c r="J14" s="359"/>
      <c r="K14" s="361"/>
    </row>
    <row r="15" spans="2:11" x14ac:dyDescent="0.25">
      <c r="B15" s="355">
        <v>5</v>
      </c>
      <c r="C15" s="363" t="s">
        <v>81</v>
      </c>
      <c r="D15" s="357">
        <v>14</v>
      </c>
      <c r="E15" s="50">
        <v>1</v>
      </c>
      <c r="F15" s="50">
        <v>15</v>
      </c>
      <c r="G15" s="17">
        <v>6.5775230818210773</v>
      </c>
      <c r="H15" s="17">
        <f t="shared" si="0"/>
        <v>18.433423091356691</v>
      </c>
      <c r="I15" s="17">
        <f t="shared" si="1"/>
        <v>0.27650134637035034</v>
      </c>
      <c r="J15" s="359">
        <f>(AVERAGEA(I15:I17)*D15)</f>
        <v>6.5508796215668985</v>
      </c>
      <c r="K15" s="361">
        <f>(J15/625)*10000</f>
        <v>104.81407394507038</v>
      </c>
    </row>
    <row r="16" spans="2:11" x14ac:dyDescent="0.25">
      <c r="B16" s="355">
        <v>0</v>
      </c>
      <c r="C16" s="363">
        <v>0</v>
      </c>
      <c r="D16" s="357">
        <v>0</v>
      </c>
      <c r="E16" s="50">
        <v>2</v>
      </c>
      <c r="F16" s="50">
        <v>33</v>
      </c>
      <c r="G16" s="17">
        <v>6.8980154940040332</v>
      </c>
      <c r="H16" s="17">
        <f t="shared" si="0"/>
        <v>20.442062478962306</v>
      </c>
      <c r="I16" s="17">
        <f t="shared" si="1"/>
        <v>0.67458806180575603</v>
      </c>
      <c r="J16" s="359"/>
      <c r="K16" s="361"/>
    </row>
    <row r="17" spans="2:11" x14ac:dyDescent="0.25">
      <c r="B17" s="355">
        <v>0</v>
      </c>
      <c r="C17" s="363">
        <v>0</v>
      </c>
      <c r="D17" s="357">
        <v>0</v>
      </c>
      <c r="E17" s="50">
        <v>3</v>
      </c>
      <c r="F17" s="50">
        <v>22</v>
      </c>
      <c r="G17" s="17">
        <v>6.9187577783566319</v>
      </c>
      <c r="H17" s="17">
        <f t="shared" si="0"/>
        <v>20.575932305958467</v>
      </c>
      <c r="I17" s="17">
        <f t="shared" si="1"/>
        <v>0.45267051073108627</v>
      </c>
      <c r="J17" s="359"/>
      <c r="K17" s="361"/>
    </row>
    <row r="18" spans="2:11" x14ac:dyDescent="0.25">
      <c r="B18" s="355">
        <v>6</v>
      </c>
      <c r="C18" s="363" t="s">
        <v>82</v>
      </c>
      <c r="D18" s="357">
        <v>14</v>
      </c>
      <c r="E18" s="50">
        <v>1</v>
      </c>
      <c r="F18" s="50">
        <v>27</v>
      </c>
      <c r="G18" s="17">
        <v>5.740092209369509</v>
      </c>
      <c r="H18" s="17">
        <f t="shared" si="0"/>
        <v>13.709701425610497</v>
      </c>
      <c r="I18" s="17">
        <f t="shared" si="1"/>
        <v>0.37016193849148338</v>
      </c>
      <c r="J18" s="359">
        <f>(AVERAGEA(I18:I20)*D18)</f>
        <v>4.3561835319332491</v>
      </c>
      <c r="K18" s="361">
        <f>(J18/625)*10000</f>
        <v>69.698936510931986</v>
      </c>
    </row>
    <row r="19" spans="2:11" x14ac:dyDescent="0.25">
      <c r="B19" s="355">
        <v>0</v>
      </c>
      <c r="C19" s="363">
        <v>0</v>
      </c>
      <c r="D19" s="357">
        <v>0</v>
      </c>
      <c r="E19" s="50">
        <v>2</v>
      </c>
      <c r="F19" s="50">
        <v>16</v>
      </c>
      <c r="G19" s="17">
        <v>6.3136739891754221</v>
      </c>
      <c r="H19" s="17">
        <f t="shared" si="0"/>
        <v>16.863657619413743</v>
      </c>
      <c r="I19" s="17">
        <f t="shared" si="1"/>
        <v>0.26981852191061989</v>
      </c>
      <c r="J19" s="359"/>
      <c r="K19" s="361"/>
    </row>
    <row r="20" spans="2:11" x14ac:dyDescent="0.25">
      <c r="B20" s="355">
        <v>0</v>
      </c>
      <c r="C20" s="363">
        <v>0</v>
      </c>
      <c r="D20" s="357">
        <v>0</v>
      </c>
      <c r="E20" s="50">
        <v>3</v>
      </c>
      <c r="F20" s="50">
        <v>22</v>
      </c>
      <c r="G20" s="17">
        <v>5.6684321727301681</v>
      </c>
      <c r="H20" s="17">
        <f t="shared" si="0"/>
        <v>13.340338149903575</v>
      </c>
      <c r="I20" s="17">
        <f t="shared" si="1"/>
        <v>0.29348743929787868</v>
      </c>
      <c r="J20" s="359"/>
      <c r="K20" s="361"/>
    </row>
    <row r="21" spans="2:11" x14ac:dyDescent="0.25">
      <c r="B21" s="355">
        <v>7</v>
      </c>
      <c r="C21" s="363" t="s">
        <v>83</v>
      </c>
      <c r="D21" s="357">
        <v>12</v>
      </c>
      <c r="E21" s="50">
        <v>1</v>
      </c>
      <c r="F21" s="50">
        <v>53</v>
      </c>
      <c r="G21" s="17">
        <v>6.3343605269322962</v>
      </c>
      <c r="H21" s="17">
        <f t="shared" si="0"/>
        <v>16.98400914546994</v>
      </c>
      <c r="I21" s="17">
        <f t="shared" si="1"/>
        <v>0.90015248470990683</v>
      </c>
      <c r="J21" s="359">
        <f>(AVERAGEA(I21:I23)*D21)</f>
        <v>9.1546204191993379</v>
      </c>
      <c r="K21" s="361">
        <f>(J21/625)*10000</f>
        <v>146.47392670718941</v>
      </c>
    </row>
    <row r="22" spans="2:11" x14ac:dyDescent="0.25">
      <c r="B22" s="355">
        <v>0</v>
      </c>
      <c r="C22" s="363">
        <v>0</v>
      </c>
      <c r="D22" s="357">
        <v>0</v>
      </c>
      <c r="E22" s="50">
        <v>2</v>
      </c>
      <c r="F22" s="50">
        <v>67</v>
      </c>
      <c r="G22" s="17">
        <v>6.4657609754474983</v>
      </c>
      <c r="H22" s="17">
        <f t="shared" si="0"/>
        <v>17.759285342585827</v>
      </c>
      <c r="I22" s="17">
        <f t="shared" si="1"/>
        <v>1.1898721179532503</v>
      </c>
      <c r="J22" s="359"/>
      <c r="K22" s="361"/>
    </row>
    <row r="23" spans="2:11" x14ac:dyDescent="0.25">
      <c r="B23" s="355">
        <v>0</v>
      </c>
      <c r="C23" s="363">
        <v>0</v>
      </c>
      <c r="D23" s="357">
        <v>0</v>
      </c>
      <c r="E23" s="50">
        <v>3</v>
      </c>
      <c r="F23" s="50">
        <v>18</v>
      </c>
      <c r="G23" s="17">
        <v>5.1947362835614985</v>
      </c>
      <c r="H23" s="17">
        <f t="shared" si="0"/>
        <v>11.03502789648206</v>
      </c>
      <c r="I23" s="17">
        <f t="shared" si="1"/>
        <v>0.19863050213667707</v>
      </c>
      <c r="J23" s="359"/>
      <c r="K23" s="361"/>
    </row>
    <row r="24" spans="2:11" x14ac:dyDescent="0.25">
      <c r="B24" s="355">
        <v>8</v>
      </c>
      <c r="C24" s="370" t="s">
        <v>84</v>
      </c>
      <c r="D24" s="357">
        <v>17</v>
      </c>
      <c r="E24" s="50">
        <v>1</v>
      </c>
      <c r="F24" s="50">
        <v>35</v>
      </c>
      <c r="G24" s="17">
        <v>6.3264656387865541</v>
      </c>
      <c r="H24" s="17">
        <f t="shared" si="0"/>
        <v>16.938023199013085</v>
      </c>
      <c r="I24" s="17">
        <f t="shared" si="1"/>
        <v>0.59283081196545795</v>
      </c>
      <c r="J24" s="359">
        <f>(AVERAGEA(I24:I26)*D24)</f>
        <v>6.9630942647419918</v>
      </c>
      <c r="K24" s="361">
        <f>(J24/625)*10000</f>
        <v>111.40950823587187</v>
      </c>
    </row>
    <row r="25" spans="2:11" x14ac:dyDescent="0.25">
      <c r="B25" s="355">
        <v>0</v>
      </c>
      <c r="C25" s="371"/>
      <c r="D25" s="357">
        <v>0</v>
      </c>
      <c r="E25" s="50">
        <v>2</v>
      </c>
      <c r="F25" s="50">
        <v>24</v>
      </c>
      <c r="G25" s="17">
        <v>5.595351798790194</v>
      </c>
      <c r="H25" s="17">
        <f t="shared" si="0"/>
        <v>12.969258219436657</v>
      </c>
      <c r="I25" s="17">
        <f t="shared" si="1"/>
        <v>0.3112621972664798</v>
      </c>
      <c r="J25" s="359"/>
      <c r="K25" s="361"/>
    </row>
    <row r="26" spans="2:11" x14ac:dyDescent="0.25">
      <c r="B26" s="355">
        <v>0</v>
      </c>
      <c r="C26" s="372"/>
      <c r="D26" s="357">
        <v>0</v>
      </c>
      <c r="E26" s="50">
        <v>3</v>
      </c>
      <c r="F26" s="50">
        <v>19</v>
      </c>
      <c r="G26" s="17">
        <v>6.352318235895372</v>
      </c>
      <c r="H26" s="17">
        <f t="shared" si="0"/>
        <v>17.0888595581518</v>
      </c>
      <c r="I26" s="17">
        <f t="shared" si="1"/>
        <v>0.32468833160488419</v>
      </c>
      <c r="J26" s="359"/>
      <c r="K26" s="361"/>
    </row>
    <row r="27" spans="2:11" x14ac:dyDescent="0.25">
      <c r="B27" s="355">
        <v>9</v>
      </c>
      <c r="C27" s="363" t="s">
        <v>85</v>
      </c>
      <c r="D27" s="357">
        <v>13</v>
      </c>
      <c r="E27" s="50">
        <v>1</v>
      </c>
      <c r="F27" s="50">
        <v>18</v>
      </c>
      <c r="G27" s="17">
        <v>5.9782800948034938</v>
      </c>
      <c r="H27" s="17">
        <f t="shared" si="0"/>
        <v>14.97666660399036</v>
      </c>
      <c r="I27" s="17">
        <f t="shared" si="1"/>
        <v>0.26957999887182649</v>
      </c>
      <c r="J27" s="359">
        <f>(AVERAGEA(I27:I29)*D27)</f>
        <v>4.4176179633730595</v>
      </c>
      <c r="K27" s="361">
        <f>(J27/625)*10000</f>
        <v>70.681887413968951</v>
      </c>
    </row>
    <row r="28" spans="2:11" x14ac:dyDescent="0.25">
      <c r="B28" s="355">
        <v>0</v>
      </c>
      <c r="C28" s="363">
        <v>0</v>
      </c>
      <c r="D28" s="357">
        <v>0</v>
      </c>
      <c r="E28" s="50">
        <v>2</v>
      </c>
      <c r="F28" s="50">
        <v>17</v>
      </c>
      <c r="G28" s="17">
        <v>6.3936176189673573</v>
      </c>
      <c r="H28" s="17">
        <f t="shared" si="0"/>
        <v>17.331318848153419</v>
      </c>
      <c r="I28" s="17">
        <f t="shared" si="1"/>
        <v>0.29463242041860815</v>
      </c>
      <c r="J28" s="359"/>
      <c r="K28" s="361"/>
    </row>
    <row r="29" spans="2:11" x14ac:dyDescent="0.25">
      <c r="B29" s="355">
        <v>0</v>
      </c>
      <c r="C29" s="363">
        <v>0</v>
      </c>
      <c r="D29" s="357">
        <v>0</v>
      </c>
      <c r="E29" s="50">
        <v>3</v>
      </c>
      <c r="F29" s="50">
        <v>27</v>
      </c>
      <c r="G29" s="17">
        <v>6.3131581119483062</v>
      </c>
      <c r="H29" s="17">
        <f t="shared" si="0"/>
        <v>16.860662220351927</v>
      </c>
      <c r="I29" s="17">
        <f t="shared" si="1"/>
        <v>0.45523787994950204</v>
      </c>
      <c r="J29" s="359"/>
      <c r="K29" s="361"/>
    </row>
    <row r="30" spans="2:11" x14ac:dyDescent="0.25">
      <c r="B30" s="355">
        <v>10</v>
      </c>
      <c r="C30" s="363" t="s">
        <v>86</v>
      </c>
      <c r="D30" s="357">
        <v>13</v>
      </c>
      <c r="E30" s="50">
        <v>1</v>
      </c>
      <c r="F30" s="50">
        <v>20</v>
      </c>
      <c r="G30" s="17">
        <v>5.7656797198344476</v>
      </c>
      <c r="H30" s="17">
        <f t="shared" si="0"/>
        <v>13.842909917109592</v>
      </c>
      <c r="I30" s="17">
        <f t="shared" si="1"/>
        <v>0.27685819834219183</v>
      </c>
      <c r="J30" s="359">
        <f>(AVERAGEA(I30:I32)*D30)</f>
        <v>4.4006558398785929</v>
      </c>
      <c r="K30" s="361">
        <f>(J30/625)*10000</f>
        <v>70.410493438057486</v>
      </c>
    </row>
    <row r="31" spans="2:11" x14ac:dyDescent="0.25">
      <c r="B31" s="355">
        <v>0</v>
      </c>
      <c r="C31" s="363">
        <v>0</v>
      </c>
      <c r="D31" s="357">
        <v>0</v>
      </c>
      <c r="E31" s="50">
        <v>2</v>
      </c>
      <c r="F31" s="50">
        <v>31</v>
      </c>
      <c r="G31" s="17">
        <v>5.6762280350412349</v>
      </c>
      <c r="H31" s="17">
        <f t="shared" si="0"/>
        <v>13.380257005252398</v>
      </c>
      <c r="I31" s="17">
        <f t="shared" si="1"/>
        <v>0.41478796716282429</v>
      </c>
      <c r="J31" s="359"/>
      <c r="K31" s="361"/>
    </row>
    <row r="32" spans="2:11" x14ac:dyDescent="0.25">
      <c r="B32" s="355">
        <v>0</v>
      </c>
      <c r="C32" s="363">
        <v>0</v>
      </c>
      <c r="D32" s="357">
        <v>0</v>
      </c>
      <c r="E32" s="50">
        <v>3</v>
      </c>
      <c r="F32" s="50">
        <v>21</v>
      </c>
      <c r="G32" s="17">
        <v>6.0596413031943115</v>
      </c>
      <c r="H32" s="17">
        <f t="shared" si="0"/>
        <v>15.423323692566191</v>
      </c>
      <c r="I32" s="17">
        <f t="shared" si="1"/>
        <v>0.32388979754388997</v>
      </c>
      <c r="J32" s="359"/>
      <c r="K32" s="361"/>
    </row>
    <row r="33" spans="2:11" x14ac:dyDescent="0.25">
      <c r="B33" s="355">
        <v>11</v>
      </c>
      <c r="C33" s="363" t="s">
        <v>87</v>
      </c>
      <c r="D33" s="357">
        <v>14</v>
      </c>
      <c r="E33" s="50">
        <v>1</v>
      </c>
      <c r="F33" s="50">
        <v>12</v>
      </c>
      <c r="G33" s="17">
        <v>6.2878064310729069</v>
      </c>
      <c r="H33" s="17">
        <f t="shared" si="0"/>
        <v>16.713813702191672</v>
      </c>
      <c r="I33" s="17">
        <f t="shared" si="1"/>
        <v>0.20056576442630006</v>
      </c>
      <c r="J33" s="359">
        <f>(AVERAGEA(I33:I35)*D33)</f>
        <v>4.9184793799806545</v>
      </c>
      <c r="K33" s="361">
        <f>(J33/625)*10000</f>
        <v>78.695670079690458</v>
      </c>
    </row>
    <row r="34" spans="2:11" x14ac:dyDescent="0.25">
      <c r="B34" s="355">
        <v>0</v>
      </c>
      <c r="C34" s="363">
        <v>0</v>
      </c>
      <c r="D34" s="357">
        <v>0</v>
      </c>
      <c r="E34" s="50">
        <v>2</v>
      </c>
      <c r="F34" s="50">
        <v>27</v>
      </c>
      <c r="G34" s="17">
        <v>6.3827278408621924</v>
      </c>
      <c r="H34" s="17">
        <f t="shared" si="0"/>
        <v>17.26720835107923</v>
      </c>
      <c r="I34" s="17">
        <f t="shared" si="1"/>
        <v>0.46621462547913922</v>
      </c>
      <c r="J34" s="359"/>
      <c r="K34" s="361"/>
    </row>
    <row r="35" spans="2:11" x14ac:dyDescent="0.25">
      <c r="B35" s="355">
        <v>0</v>
      </c>
      <c r="C35" s="363">
        <v>0</v>
      </c>
      <c r="D35" s="357">
        <v>0</v>
      </c>
      <c r="E35" s="50">
        <v>3</v>
      </c>
      <c r="F35" s="50">
        <v>21</v>
      </c>
      <c r="G35" s="17">
        <v>6.5781295007656047</v>
      </c>
      <c r="H35" s="17">
        <f t="shared" ref="H35:H66" si="2">0.307*G35^2.174</f>
        <v>18.437117963489158</v>
      </c>
      <c r="I35" s="17">
        <f t="shared" ref="I35:I66" si="3">(H35*F35)/1000</f>
        <v>0.38717947723327234</v>
      </c>
      <c r="J35" s="359"/>
      <c r="K35" s="361"/>
    </row>
    <row r="36" spans="2:11" x14ac:dyDescent="0.25">
      <c r="B36" s="355">
        <v>12</v>
      </c>
      <c r="C36" s="363" t="s">
        <v>88</v>
      </c>
      <c r="D36" s="357">
        <v>16</v>
      </c>
      <c r="E36" s="50">
        <v>1</v>
      </c>
      <c r="F36" s="50">
        <v>31</v>
      </c>
      <c r="G36" s="17">
        <v>4.902897166507481</v>
      </c>
      <c r="H36" s="17">
        <f t="shared" si="2"/>
        <v>9.7315659203619251</v>
      </c>
      <c r="I36" s="17">
        <f t="shared" si="3"/>
        <v>0.3016785435312197</v>
      </c>
      <c r="J36" s="359">
        <f>(AVERAGEA(I36:I38)*D36)</f>
        <v>4.938100255219692</v>
      </c>
      <c r="K36" s="361">
        <f>(J36/625)*10000</f>
        <v>79.009604083515072</v>
      </c>
    </row>
    <row r="37" spans="2:11" x14ac:dyDescent="0.25">
      <c r="B37" s="355">
        <v>0</v>
      </c>
      <c r="C37" s="363">
        <v>0</v>
      </c>
      <c r="D37" s="357">
        <v>0</v>
      </c>
      <c r="E37" s="50">
        <v>2</v>
      </c>
      <c r="F37" s="50">
        <v>29</v>
      </c>
      <c r="G37" s="17">
        <v>5.19491925479476</v>
      </c>
      <c r="H37" s="17">
        <f t="shared" si="2"/>
        <v>11.035872905346054</v>
      </c>
      <c r="I37" s="17">
        <f t="shared" si="3"/>
        <v>0.3200403142550356</v>
      </c>
      <c r="J37" s="359"/>
      <c r="K37" s="361"/>
    </row>
    <row r="38" spans="2:11" x14ac:dyDescent="0.25">
      <c r="B38" s="355">
        <v>0</v>
      </c>
      <c r="C38" s="363">
        <v>0</v>
      </c>
      <c r="D38" s="357">
        <v>0</v>
      </c>
      <c r="E38" s="50">
        <v>3</v>
      </c>
      <c r="F38" s="50">
        <v>32</v>
      </c>
      <c r="G38" s="17">
        <v>4.8501671442215857</v>
      </c>
      <c r="H38" s="17">
        <f t="shared" si="2"/>
        <v>9.5054668771074038</v>
      </c>
      <c r="I38" s="17">
        <f t="shared" si="3"/>
        <v>0.30417494006743689</v>
      </c>
      <c r="J38" s="359"/>
      <c r="K38" s="361"/>
    </row>
    <row r="39" spans="2:11" x14ac:dyDescent="0.25">
      <c r="B39" s="355">
        <v>13</v>
      </c>
      <c r="C39" s="363" t="s">
        <v>89</v>
      </c>
      <c r="D39" s="357">
        <v>20</v>
      </c>
      <c r="E39" s="50">
        <v>1</v>
      </c>
      <c r="F39" s="50">
        <v>29</v>
      </c>
      <c r="G39" s="17">
        <v>5.8580070041388064</v>
      </c>
      <c r="H39" s="17">
        <f t="shared" si="2"/>
        <v>14.329354564796837</v>
      </c>
      <c r="I39" s="17">
        <f t="shared" si="3"/>
        <v>0.41555128237910827</v>
      </c>
      <c r="J39" s="359">
        <f>(AVERAGEA(I39:I41)*D39)</f>
        <v>7.0570558271325767</v>
      </c>
      <c r="K39" s="361">
        <f>(J39/625)*10000</f>
        <v>112.91289323412123</v>
      </c>
    </row>
    <row r="40" spans="2:11" x14ac:dyDescent="0.25">
      <c r="B40" s="355">
        <v>0</v>
      </c>
      <c r="C40" s="363">
        <v>0</v>
      </c>
      <c r="D40" s="357">
        <v>0</v>
      </c>
      <c r="E40" s="50">
        <v>2</v>
      </c>
      <c r="F40" s="50">
        <v>32</v>
      </c>
      <c r="G40" s="17">
        <v>4.580547596306908</v>
      </c>
      <c r="H40" s="17">
        <f t="shared" si="2"/>
        <v>8.3940741947609663</v>
      </c>
      <c r="I40" s="17">
        <f t="shared" si="3"/>
        <v>0.2686103742323509</v>
      </c>
      <c r="J40" s="359"/>
      <c r="K40" s="361"/>
    </row>
    <row r="41" spans="2:11" x14ac:dyDescent="0.25">
      <c r="B41" s="355">
        <v>0</v>
      </c>
      <c r="C41" s="363">
        <v>0</v>
      </c>
      <c r="D41" s="357">
        <v>0</v>
      </c>
      <c r="E41" s="50">
        <v>3</v>
      </c>
      <c r="F41" s="50">
        <v>36</v>
      </c>
      <c r="G41" s="17">
        <v>5.0550072517598776</v>
      </c>
      <c r="H41" s="17">
        <f t="shared" si="2"/>
        <v>10.399908818289649</v>
      </c>
      <c r="I41" s="17">
        <f t="shared" si="3"/>
        <v>0.37439671745842734</v>
      </c>
      <c r="J41" s="359"/>
      <c r="K41" s="361"/>
    </row>
    <row r="42" spans="2:11" x14ac:dyDescent="0.25">
      <c r="B42" s="355">
        <v>14</v>
      </c>
      <c r="C42" s="363" t="s">
        <v>90</v>
      </c>
      <c r="D42" s="357">
        <v>21</v>
      </c>
      <c r="E42" s="50">
        <v>1</v>
      </c>
      <c r="F42" s="50">
        <v>25</v>
      </c>
      <c r="G42" s="17">
        <v>5.3282394141992997</v>
      </c>
      <c r="H42" s="17">
        <f t="shared" si="2"/>
        <v>11.660882150256866</v>
      </c>
      <c r="I42" s="17">
        <f t="shared" si="3"/>
        <v>0.29152205375642165</v>
      </c>
      <c r="J42" s="359">
        <f>(AVERAGEA(I42:I44)*D42)</f>
        <v>8.5471454348351621</v>
      </c>
      <c r="K42" s="361">
        <f>(J42/625)*10000</f>
        <v>136.75432695736259</v>
      </c>
    </row>
    <row r="43" spans="2:11" x14ac:dyDescent="0.25">
      <c r="B43" s="355">
        <v>0</v>
      </c>
      <c r="C43" s="363">
        <v>0</v>
      </c>
      <c r="D43" s="357">
        <v>0</v>
      </c>
      <c r="E43" s="50">
        <v>2</v>
      </c>
      <c r="F43" s="50">
        <v>29</v>
      </c>
      <c r="G43" s="17">
        <v>6.0007245660837221</v>
      </c>
      <c r="H43" s="17">
        <f t="shared" si="2"/>
        <v>15.099174497707811</v>
      </c>
      <c r="I43" s="17">
        <f t="shared" si="3"/>
        <v>0.4378760604335265</v>
      </c>
      <c r="J43" s="359"/>
      <c r="K43" s="361"/>
    </row>
    <row r="44" spans="2:11" x14ac:dyDescent="0.25">
      <c r="B44" s="355">
        <v>0</v>
      </c>
      <c r="C44" s="363">
        <v>0</v>
      </c>
      <c r="D44" s="357">
        <v>0</v>
      </c>
      <c r="E44" s="50">
        <v>3</v>
      </c>
      <c r="F44" s="50">
        <v>36</v>
      </c>
      <c r="G44" s="17">
        <v>5.729774664827195</v>
      </c>
      <c r="H44" s="17">
        <f t="shared" si="2"/>
        <v>13.656185061529863</v>
      </c>
      <c r="I44" s="17">
        <f t="shared" si="3"/>
        <v>0.49162266221507506</v>
      </c>
      <c r="J44" s="359"/>
      <c r="K44" s="361"/>
    </row>
    <row r="45" spans="2:11" x14ac:dyDescent="0.25">
      <c r="B45" s="355">
        <v>15</v>
      </c>
      <c r="C45" s="363" t="s">
        <v>91</v>
      </c>
      <c r="D45" s="357">
        <v>16</v>
      </c>
      <c r="E45" s="50">
        <v>1</v>
      </c>
      <c r="F45" s="50">
        <v>33</v>
      </c>
      <c r="G45" s="17">
        <v>5.7885444704928952</v>
      </c>
      <c r="H45" s="17">
        <f t="shared" si="2"/>
        <v>13.962532428386012</v>
      </c>
      <c r="I45" s="17">
        <f t="shared" si="3"/>
        <v>0.46076357013673841</v>
      </c>
      <c r="J45" s="359">
        <f>(AVERAGEA(I45:I47)*D45)</f>
        <v>5.7478168925173065</v>
      </c>
      <c r="K45" s="361">
        <f>(J45/625)*10000</f>
        <v>91.965070280276905</v>
      </c>
    </row>
    <row r="46" spans="2:11" x14ac:dyDescent="0.25">
      <c r="B46" s="355">
        <v>0</v>
      </c>
      <c r="C46" s="363">
        <v>0</v>
      </c>
      <c r="D46" s="357">
        <v>0</v>
      </c>
      <c r="E46" s="50">
        <v>2</v>
      </c>
      <c r="F46" s="50">
        <v>29</v>
      </c>
      <c r="G46" s="17">
        <v>4.9039949939070562</v>
      </c>
      <c r="H46" s="17">
        <f t="shared" si="2"/>
        <v>9.7363037629716587</v>
      </c>
      <c r="I46" s="17">
        <f t="shared" si="3"/>
        <v>0.28235280912617811</v>
      </c>
      <c r="J46" s="359"/>
      <c r="K46" s="361"/>
    </row>
    <row r="47" spans="2:11" x14ac:dyDescent="0.25">
      <c r="B47" s="355">
        <v>0</v>
      </c>
      <c r="C47" s="363">
        <v>0</v>
      </c>
      <c r="D47" s="357">
        <v>0</v>
      </c>
      <c r="E47" s="50">
        <v>3</v>
      </c>
      <c r="F47" s="50">
        <v>27</v>
      </c>
      <c r="G47" s="17">
        <v>5.4795005129293566</v>
      </c>
      <c r="H47" s="17">
        <f t="shared" si="2"/>
        <v>12.392566225336239</v>
      </c>
      <c r="I47" s="17">
        <f t="shared" si="3"/>
        <v>0.33459928808407846</v>
      </c>
      <c r="J47" s="359"/>
      <c r="K47" s="361"/>
    </row>
    <row r="48" spans="2:11" x14ac:dyDescent="0.25">
      <c r="B48" s="355">
        <v>16</v>
      </c>
      <c r="C48" s="363" t="s">
        <v>92</v>
      </c>
      <c r="D48" s="357">
        <v>20</v>
      </c>
      <c r="E48" s="50">
        <v>1</v>
      </c>
      <c r="F48" s="50">
        <v>33</v>
      </c>
      <c r="G48" s="17">
        <v>5.4585974356748013</v>
      </c>
      <c r="H48" s="17">
        <f t="shared" si="2"/>
        <v>12.290020712194812</v>
      </c>
      <c r="I48" s="17">
        <f t="shared" si="3"/>
        <v>0.40557068350242875</v>
      </c>
      <c r="J48" s="359">
        <f>(AVERAGEA(I48:I50)*D48)</f>
        <v>7.2214535880290409</v>
      </c>
      <c r="K48" s="361">
        <f>(J48/625)*10000</f>
        <v>115.54325740846464</v>
      </c>
    </row>
    <row r="49" spans="2:11" x14ac:dyDescent="0.25">
      <c r="B49" s="355"/>
      <c r="C49" s="363"/>
      <c r="D49" s="357"/>
      <c r="E49" s="50">
        <v>2</v>
      </c>
      <c r="F49" s="50">
        <v>24</v>
      </c>
      <c r="G49" s="17">
        <v>4.9493261169478941</v>
      </c>
      <c r="H49" s="17">
        <f t="shared" si="2"/>
        <v>9.9330251178005433</v>
      </c>
      <c r="I49" s="17">
        <f t="shared" si="3"/>
        <v>0.23839260282721303</v>
      </c>
      <c r="J49" s="359"/>
      <c r="K49" s="361"/>
    </row>
    <row r="50" spans="2:11" x14ac:dyDescent="0.25">
      <c r="B50" s="355"/>
      <c r="C50" s="363"/>
      <c r="D50" s="357"/>
      <c r="E50" s="50">
        <v>3</v>
      </c>
      <c r="F50" s="50">
        <v>35</v>
      </c>
      <c r="G50" s="17">
        <v>5.5114385773411563</v>
      </c>
      <c r="H50" s="17">
        <f t="shared" si="2"/>
        <v>12.55013576784898</v>
      </c>
      <c r="I50" s="17">
        <f t="shared" si="3"/>
        <v>0.4392547518747143</v>
      </c>
      <c r="J50" s="359"/>
      <c r="K50" s="361"/>
    </row>
    <row r="51" spans="2:11" x14ac:dyDescent="0.25">
      <c r="B51" s="355">
        <v>17</v>
      </c>
      <c r="C51" s="363" t="s">
        <v>93</v>
      </c>
      <c r="D51" s="357">
        <v>18</v>
      </c>
      <c r="E51" s="50">
        <v>1</v>
      </c>
      <c r="F51" s="50">
        <v>25</v>
      </c>
      <c r="G51" s="17">
        <v>4.6214581343521166</v>
      </c>
      <c r="H51" s="17">
        <f t="shared" si="2"/>
        <v>8.557915062008556</v>
      </c>
      <c r="I51" s="17">
        <f t="shared" si="3"/>
        <v>0.21394787655021388</v>
      </c>
      <c r="J51" s="359">
        <f>(AVERAGEA(I51:I53)*D51)</f>
        <v>5.7012004812583204</v>
      </c>
      <c r="K51" s="361">
        <f>(J51/625)*10000</f>
        <v>91.219207700133126</v>
      </c>
    </row>
    <row r="52" spans="2:11" x14ac:dyDescent="0.25">
      <c r="B52" s="355">
        <v>0</v>
      </c>
      <c r="C52" s="363">
        <v>0</v>
      </c>
      <c r="D52" s="357">
        <v>0</v>
      </c>
      <c r="E52" s="50">
        <v>2</v>
      </c>
      <c r="F52" s="50">
        <v>28</v>
      </c>
      <c r="G52" s="17">
        <v>5.4702778914813299</v>
      </c>
      <c r="H52" s="17">
        <f t="shared" si="2"/>
        <v>12.347265521315061</v>
      </c>
      <c r="I52" s="17">
        <f t="shared" si="3"/>
        <v>0.3457234345968217</v>
      </c>
      <c r="J52" s="359"/>
      <c r="K52" s="361"/>
    </row>
    <row r="53" spans="2:11" x14ac:dyDescent="0.25">
      <c r="B53" s="355">
        <v>0</v>
      </c>
      <c r="C53" s="363">
        <v>0</v>
      </c>
      <c r="D53" s="357">
        <v>0</v>
      </c>
      <c r="E53" s="50">
        <v>3</v>
      </c>
      <c r="F53" s="50">
        <v>36</v>
      </c>
      <c r="G53" s="17">
        <v>5.1540556793660901</v>
      </c>
      <c r="H53" s="17">
        <f t="shared" si="2"/>
        <v>10.84802136285235</v>
      </c>
      <c r="I53" s="17">
        <f t="shared" si="3"/>
        <v>0.39052876906268458</v>
      </c>
      <c r="J53" s="359"/>
      <c r="K53" s="361"/>
    </row>
    <row r="54" spans="2:11" x14ac:dyDescent="0.25">
      <c r="B54" s="355">
        <v>18</v>
      </c>
      <c r="C54" s="363" t="s">
        <v>94</v>
      </c>
      <c r="D54" s="357">
        <v>19</v>
      </c>
      <c r="E54" s="50">
        <v>1</v>
      </c>
      <c r="F54" s="50">
        <v>39</v>
      </c>
      <c r="G54" s="17">
        <v>4.6179968816071977</v>
      </c>
      <c r="H54" s="17">
        <f t="shared" si="2"/>
        <v>8.5439869953454206</v>
      </c>
      <c r="I54" s="17">
        <f t="shared" si="3"/>
        <v>0.33321549281847135</v>
      </c>
      <c r="J54" s="359">
        <f>(AVERAGEA(I54:I56)*D54)</f>
        <v>4.579093922814609</v>
      </c>
      <c r="K54" s="361">
        <f>(J54/625)*10000</f>
        <v>73.265502765033744</v>
      </c>
    </row>
    <row r="55" spans="2:11" x14ac:dyDescent="0.25">
      <c r="B55" s="355">
        <v>0</v>
      </c>
      <c r="C55" s="363">
        <v>0</v>
      </c>
      <c r="D55" s="357">
        <v>0</v>
      </c>
      <c r="E55" s="50">
        <v>2</v>
      </c>
      <c r="F55" s="50">
        <v>24</v>
      </c>
      <c r="G55" s="17">
        <v>5.1217765042979941</v>
      </c>
      <c r="H55" s="17">
        <f t="shared" si="2"/>
        <v>10.700863173643727</v>
      </c>
      <c r="I55" s="17">
        <f t="shared" si="3"/>
        <v>0.25682071616744945</v>
      </c>
      <c r="J55" s="359"/>
      <c r="K55" s="361"/>
    </row>
    <row r="56" spans="2:11" x14ac:dyDescent="0.25">
      <c r="B56" s="355">
        <v>0</v>
      </c>
      <c r="C56" s="363">
        <v>0</v>
      </c>
      <c r="D56" s="357">
        <v>0</v>
      </c>
      <c r="E56" s="50">
        <v>3</v>
      </c>
      <c r="F56" s="50">
        <v>18</v>
      </c>
      <c r="G56" s="17">
        <v>4.3192189323994494</v>
      </c>
      <c r="H56" s="17">
        <f t="shared" si="2"/>
        <v>7.3877011628986224</v>
      </c>
      <c r="I56" s="17">
        <f t="shared" si="3"/>
        <v>0.13297862093217522</v>
      </c>
      <c r="J56" s="359"/>
      <c r="K56" s="361"/>
    </row>
    <row r="57" spans="2:11" x14ac:dyDescent="0.25">
      <c r="B57" s="355">
        <v>19</v>
      </c>
      <c r="C57" s="363" t="s">
        <v>75</v>
      </c>
      <c r="D57" s="357">
        <v>17</v>
      </c>
      <c r="E57" s="50">
        <v>1</v>
      </c>
      <c r="F57" s="50">
        <v>32</v>
      </c>
      <c r="G57" s="17">
        <v>5.7963228271251186</v>
      </c>
      <c r="H57" s="17">
        <f t="shared" si="2"/>
        <v>14.003353524943243</v>
      </c>
      <c r="I57" s="17">
        <f t="shared" si="3"/>
        <v>0.44810731279818378</v>
      </c>
      <c r="J57" s="359">
        <f>(AVERAGEA(I57:I59)*D57)</f>
        <v>7.577002155663024</v>
      </c>
      <c r="K57" s="361">
        <f>(J57/625)*10000</f>
        <v>121.23203449060838</v>
      </c>
    </row>
    <row r="58" spans="2:11" x14ac:dyDescent="0.25">
      <c r="B58" s="355">
        <v>0</v>
      </c>
      <c r="C58" s="363">
        <v>0</v>
      </c>
      <c r="D58" s="357">
        <v>0</v>
      </c>
      <c r="E58" s="50">
        <v>2</v>
      </c>
      <c r="F58" s="50">
        <v>29</v>
      </c>
      <c r="G58" s="17">
        <v>5.6867459298049177</v>
      </c>
      <c r="H58" s="17">
        <f t="shared" si="2"/>
        <v>13.434216162215421</v>
      </c>
      <c r="I58" s="17">
        <f t="shared" si="3"/>
        <v>0.38959226870424718</v>
      </c>
      <c r="J58" s="359"/>
      <c r="K58" s="361"/>
    </row>
    <row r="59" spans="2:11" x14ac:dyDescent="0.25">
      <c r="B59" s="355">
        <v>0</v>
      </c>
      <c r="C59" s="363">
        <v>0</v>
      </c>
      <c r="D59" s="357">
        <v>0</v>
      </c>
      <c r="E59" s="50">
        <v>3</v>
      </c>
      <c r="F59" s="50">
        <v>44</v>
      </c>
      <c r="G59" s="17">
        <v>5.2625104917368519</v>
      </c>
      <c r="H59" s="17">
        <f t="shared" si="2"/>
        <v>11.35041922653442</v>
      </c>
      <c r="I59" s="17">
        <f t="shared" si="3"/>
        <v>0.49941844596751445</v>
      </c>
      <c r="J59" s="359"/>
      <c r="K59" s="361"/>
    </row>
    <row r="60" spans="2:11" x14ac:dyDescent="0.25">
      <c r="B60" s="355">
        <v>20</v>
      </c>
      <c r="C60" s="363" t="s">
        <v>95</v>
      </c>
      <c r="D60" s="357">
        <v>14</v>
      </c>
      <c r="E60" s="50">
        <v>1</v>
      </c>
      <c r="F60" s="50">
        <v>19</v>
      </c>
      <c r="G60" s="17">
        <v>5.2145645872082307</v>
      </c>
      <c r="H60" s="17">
        <f t="shared" si="2"/>
        <v>11.12680349559057</v>
      </c>
      <c r="I60" s="17">
        <f t="shared" si="3"/>
        <v>0.21140926641622085</v>
      </c>
      <c r="J60" s="359">
        <f>(AVERAGEA(I60:I62)*D60)</f>
        <v>4.8508749286176345</v>
      </c>
      <c r="K60" s="361">
        <f>(J60/625)*10000</f>
        <v>77.613998857882152</v>
      </c>
    </row>
    <row r="61" spans="2:11" x14ac:dyDescent="0.25">
      <c r="B61" s="355">
        <v>0</v>
      </c>
      <c r="C61" s="363">
        <v>0</v>
      </c>
      <c r="D61" s="357">
        <v>0</v>
      </c>
      <c r="E61" s="50">
        <v>2</v>
      </c>
      <c r="F61" s="50">
        <v>33</v>
      </c>
      <c r="G61" s="17">
        <v>6.6230596316556225</v>
      </c>
      <c r="H61" s="17">
        <f t="shared" si="2"/>
        <v>18.711987290953346</v>
      </c>
      <c r="I61" s="17">
        <f t="shared" si="3"/>
        <v>0.61749558060146048</v>
      </c>
      <c r="J61" s="359"/>
      <c r="K61" s="361"/>
    </row>
    <row r="62" spans="2:11" x14ac:dyDescent="0.25">
      <c r="B62" s="355">
        <v>0</v>
      </c>
      <c r="C62" s="363">
        <v>0</v>
      </c>
      <c r="D62" s="357">
        <v>0</v>
      </c>
      <c r="E62" s="50">
        <v>3</v>
      </c>
      <c r="F62" s="50">
        <v>16</v>
      </c>
      <c r="G62" s="17">
        <v>5.6331582298630991</v>
      </c>
      <c r="H62" s="17">
        <f t="shared" si="2"/>
        <v>13.160521998238231</v>
      </c>
      <c r="I62" s="17">
        <f t="shared" si="3"/>
        <v>0.2105683519718117</v>
      </c>
      <c r="J62" s="359"/>
      <c r="K62" s="361"/>
    </row>
    <row r="63" spans="2:11" x14ac:dyDescent="0.25">
      <c r="B63" s="355">
        <v>21</v>
      </c>
      <c r="C63" s="373" t="s">
        <v>103</v>
      </c>
      <c r="D63" s="357">
        <v>9</v>
      </c>
      <c r="E63" s="50">
        <v>1</v>
      </c>
      <c r="F63" s="50">
        <v>49</v>
      </c>
      <c r="G63" s="17">
        <v>6.0205432396655461</v>
      </c>
      <c r="H63" s="17">
        <f t="shared" si="2"/>
        <v>15.207798286029648</v>
      </c>
      <c r="I63" s="17">
        <f t="shared" si="3"/>
        <v>0.7451821160154527</v>
      </c>
      <c r="J63" s="359">
        <f>(AVERAGEA(I63:I65)*D63)</f>
        <v>6.1208005713200171</v>
      </c>
      <c r="K63" s="361">
        <f>(J63/625)*10000</f>
        <v>97.932809141120273</v>
      </c>
    </row>
    <row r="64" spans="2:11" x14ac:dyDescent="0.25">
      <c r="B64" s="355">
        <v>0</v>
      </c>
      <c r="C64" s="373">
        <v>0</v>
      </c>
      <c r="D64" s="357">
        <v>0</v>
      </c>
      <c r="E64" s="50">
        <v>2</v>
      </c>
      <c r="F64" s="50">
        <v>28</v>
      </c>
      <c r="G64" s="17">
        <v>5.9482118221373224</v>
      </c>
      <c r="H64" s="17">
        <f t="shared" si="2"/>
        <v>14.813390283301581</v>
      </c>
      <c r="I64" s="17">
        <f t="shared" si="3"/>
        <v>0.41477492793244425</v>
      </c>
      <c r="J64" s="359"/>
      <c r="K64" s="361"/>
    </row>
    <row r="65" spans="2:11" x14ac:dyDescent="0.25">
      <c r="B65" s="355">
        <v>0</v>
      </c>
      <c r="C65" s="373">
        <v>0</v>
      </c>
      <c r="D65" s="357">
        <v>0</v>
      </c>
      <c r="E65" s="50">
        <v>3</v>
      </c>
      <c r="F65" s="50">
        <v>58</v>
      </c>
      <c r="G65" s="17">
        <v>6.0150695107715153</v>
      </c>
      <c r="H65" s="17">
        <f t="shared" si="2"/>
        <v>15.177755399289225</v>
      </c>
      <c r="I65" s="17">
        <f t="shared" si="3"/>
        <v>0.8803098131587751</v>
      </c>
      <c r="J65" s="359"/>
      <c r="K65" s="361"/>
    </row>
    <row r="66" spans="2:11" x14ac:dyDescent="0.25">
      <c r="B66" s="355">
        <v>22</v>
      </c>
      <c r="C66" s="373" t="s">
        <v>104</v>
      </c>
      <c r="D66" s="357">
        <v>18</v>
      </c>
      <c r="E66" s="50">
        <v>1</v>
      </c>
      <c r="F66" s="50">
        <v>31</v>
      </c>
      <c r="G66" s="17">
        <v>6.7669018496266853</v>
      </c>
      <c r="H66" s="17">
        <f t="shared" si="2"/>
        <v>19.606766137506273</v>
      </c>
      <c r="I66" s="17">
        <f t="shared" si="3"/>
        <v>0.60780975026269446</v>
      </c>
      <c r="J66" s="359">
        <f>(AVERAGEA(I66:I68)*D66)</f>
        <v>9.2099031107538245</v>
      </c>
      <c r="K66" s="361">
        <f>(J66/625)*10000</f>
        <v>147.35844977206119</v>
      </c>
    </row>
    <row r="67" spans="2:11" x14ac:dyDescent="0.25">
      <c r="B67" s="355">
        <v>0</v>
      </c>
      <c r="C67" s="373">
        <v>0</v>
      </c>
      <c r="D67" s="357">
        <v>0</v>
      </c>
      <c r="E67" s="50">
        <v>2</v>
      </c>
      <c r="F67" s="50">
        <v>27</v>
      </c>
      <c r="G67" s="17">
        <v>5.7011803270956412</v>
      </c>
      <c r="H67" s="17">
        <f t="shared" ref="H67:H92" si="4">0.307*G67^2.174</f>
        <v>13.508458799941547</v>
      </c>
      <c r="I67" s="17">
        <f t="shared" ref="I67:I92" si="5">(H67*F67)/1000</f>
        <v>0.36472838759842174</v>
      </c>
      <c r="J67" s="359"/>
      <c r="K67" s="361"/>
    </row>
    <row r="68" spans="2:11" x14ac:dyDescent="0.25">
      <c r="B68" s="355">
        <v>0</v>
      </c>
      <c r="C68" s="373">
        <v>0</v>
      </c>
      <c r="D68" s="357">
        <v>0</v>
      </c>
      <c r="E68" s="50">
        <v>3</v>
      </c>
      <c r="F68" s="50">
        <v>32</v>
      </c>
      <c r="G68" s="17">
        <v>6.4350525310410704</v>
      </c>
      <c r="H68" s="17">
        <f t="shared" si="4"/>
        <v>17.576428560349626</v>
      </c>
      <c r="I68" s="17">
        <f t="shared" si="5"/>
        <v>0.56244571393118803</v>
      </c>
      <c r="J68" s="359"/>
      <c r="K68" s="361"/>
    </row>
    <row r="69" spans="2:11" x14ac:dyDescent="0.25">
      <c r="B69" s="355">
        <v>23</v>
      </c>
      <c r="C69" s="363" t="s">
        <v>108</v>
      </c>
      <c r="D69" s="357">
        <v>23</v>
      </c>
      <c r="E69" s="50">
        <v>1</v>
      </c>
      <c r="F69" s="50">
        <v>37</v>
      </c>
      <c r="G69" s="17">
        <v>5.9681457962260263</v>
      </c>
      <c r="H69" s="17">
        <f t="shared" si="4"/>
        <v>14.921527486551168</v>
      </c>
      <c r="I69" s="17">
        <f t="shared" si="5"/>
        <v>0.55209651700239326</v>
      </c>
      <c r="J69" s="359">
        <f>(AVERAGEA(I69:I71)*D69)</f>
        <v>10.696386285532952</v>
      </c>
      <c r="K69" s="361">
        <f>(J69/625)*10000</f>
        <v>171.14218056852724</v>
      </c>
    </row>
    <row r="70" spans="2:11" x14ac:dyDescent="0.25">
      <c r="B70" s="355">
        <v>0</v>
      </c>
      <c r="C70" s="363">
        <v>0</v>
      </c>
      <c r="D70" s="357">
        <v>0</v>
      </c>
      <c r="E70" s="50">
        <v>2</v>
      </c>
      <c r="F70" s="50">
        <v>27</v>
      </c>
      <c r="G70" s="17">
        <v>5.7459879491079739</v>
      </c>
      <c r="H70" s="17">
        <f t="shared" si="4"/>
        <v>13.740332959962631</v>
      </c>
      <c r="I70" s="17">
        <f t="shared" si="5"/>
        <v>0.37098898991899104</v>
      </c>
      <c r="J70" s="359"/>
      <c r="K70" s="361"/>
    </row>
    <row r="71" spans="2:11" x14ac:dyDescent="0.25">
      <c r="B71" s="355">
        <v>0</v>
      </c>
      <c r="C71" s="363">
        <v>0</v>
      </c>
      <c r="D71" s="357">
        <v>0</v>
      </c>
      <c r="E71" s="50">
        <v>3</v>
      </c>
      <c r="F71" s="50">
        <v>31</v>
      </c>
      <c r="G71" s="17">
        <v>6.0243809758552338</v>
      </c>
      <c r="H71" s="17">
        <f t="shared" si="4"/>
        <v>15.228881062281932</v>
      </c>
      <c r="I71" s="17">
        <f t="shared" si="5"/>
        <v>0.47209531293073992</v>
      </c>
      <c r="J71" s="359"/>
      <c r="K71" s="361"/>
    </row>
    <row r="72" spans="2:11" x14ac:dyDescent="0.25">
      <c r="B72" s="355">
        <v>24</v>
      </c>
      <c r="C72" s="363" t="s">
        <v>109</v>
      </c>
      <c r="D72" s="357">
        <v>24</v>
      </c>
      <c r="E72" s="50">
        <v>1</v>
      </c>
      <c r="F72" s="50">
        <v>38</v>
      </c>
      <c r="G72" s="17">
        <v>6.3405888168367435</v>
      </c>
      <c r="H72" s="17">
        <f t="shared" si="4"/>
        <v>17.020335046874123</v>
      </c>
      <c r="I72" s="17">
        <f t="shared" si="5"/>
        <v>0.64677273178121664</v>
      </c>
      <c r="J72" s="359">
        <f>(AVERAGEA(I72:I74)*D72)</f>
        <v>12.938356922000047</v>
      </c>
      <c r="K72" s="361">
        <f>(J72/625)*10000</f>
        <v>207.01371075200075</v>
      </c>
    </row>
    <row r="73" spans="2:11" x14ac:dyDescent="0.25">
      <c r="B73" s="355">
        <v>0</v>
      </c>
      <c r="C73" s="363">
        <v>0</v>
      </c>
      <c r="D73" s="357">
        <v>0</v>
      </c>
      <c r="E73" s="50">
        <v>2</v>
      </c>
      <c r="F73" s="50">
        <v>27</v>
      </c>
      <c r="G73" s="17">
        <v>5.5832655323263403</v>
      </c>
      <c r="H73" s="17">
        <f t="shared" si="4"/>
        <v>12.908432325606686</v>
      </c>
      <c r="I73" s="17">
        <f t="shared" si="5"/>
        <v>0.34852767279138047</v>
      </c>
      <c r="J73" s="359"/>
      <c r="K73" s="361"/>
    </row>
    <row r="74" spans="2:11" x14ac:dyDescent="0.25">
      <c r="B74" s="355">
        <v>0</v>
      </c>
      <c r="C74" s="363">
        <v>0</v>
      </c>
      <c r="D74" s="357">
        <v>0</v>
      </c>
      <c r="E74" s="50">
        <v>3</v>
      </c>
      <c r="F74" s="50">
        <v>40</v>
      </c>
      <c r="G74" s="17">
        <v>6.0824578159821714</v>
      </c>
      <c r="H74" s="17">
        <f t="shared" si="4"/>
        <v>15.549855266935223</v>
      </c>
      <c r="I74" s="17">
        <f t="shared" si="5"/>
        <v>0.6219942106774089</v>
      </c>
      <c r="J74" s="359"/>
      <c r="K74" s="361"/>
    </row>
    <row r="75" spans="2:11" x14ac:dyDescent="0.25">
      <c r="B75" s="355">
        <v>25</v>
      </c>
      <c r="C75" s="363" t="s">
        <v>110</v>
      </c>
      <c r="D75" s="357">
        <v>15</v>
      </c>
      <c r="E75" s="50">
        <v>1</v>
      </c>
      <c r="F75" s="50">
        <v>47</v>
      </c>
      <c r="G75" s="17">
        <v>6.8430681664182149</v>
      </c>
      <c r="H75" s="17">
        <f t="shared" si="4"/>
        <v>20.089714206409891</v>
      </c>
      <c r="I75" s="17">
        <f t="shared" si="5"/>
        <v>0.94421656770126494</v>
      </c>
      <c r="J75" s="359">
        <f>(AVERAGEA(I75:I77)*D75)</f>
        <v>10.130843235170108</v>
      </c>
      <c r="K75" s="361">
        <f>(J75/625)*10000</f>
        <v>162.09349176272173</v>
      </c>
    </row>
    <row r="76" spans="2:11" x14ac:dyDescent="0.25">
      <c r="B76" s="355">
        <v>0</v>
      </c>
      <c r="C76" s="363">
        <v>0</v>
      </c>
      <c r="D76" s="357">
        <v>0</v>
      </c>
      <c r="E76" s="50">
        <v>2</v>
      </c>
      <c r="F76" s="50">
        <v>38</v>
      </c>
      <c r="G76" s="17">
        <v>7.1932618169627895</v>
      </c>
      <c r="H76" s="17">
        <f t="shared" si="4"/>
        <v>22.392119963371449</v>
      </c>
      <c r="I76" s="17">
        <f t="shared" si="5"/>
        <v>0.85090055860811509</v>
      </c>
      <c r="J76" s="359"/>
      <c r="K76" s="361"/>
    </row>
    <row r="77" spans="2:11" x14ac:dyDescent="0.25">
      <c r="B77" s="355">
        <v>0</v>
      </c>
      <c r="C77" s="363">
        <v>0</v>
      </c>
      <c r="D77" s="357">
        <v>0</v>
      </c>
      <c r="E77" s="50">
        <v>3</v>
      </c>
      <c r="F77" s="50">
        <v>23</v>
      </c>
      <c r="G77" s="17">
        <v>4.9750761561894201</v>
      </c>
      <c r="H77" s="17">
        <f t="shared" si="4"/>
        <v>10.045718292375721</v>
      </c>
      <c r="I77" s="17">
        <f t="shared" si="5"/>
        <v>0.23105152072464158</v>
      </c>
      <c r="J77" s="359"/>
      <c r="K77" s="361"/>
    </row>
    <row r="78" spans="2:11" x14ac:dyDescent="0.25">
      <c r="B78" s="355">
        <v>26</v>
      </c>
      <c r="C78" s="363" t="s">
        <v>111</v>
      </c>
      <c r="D78" s="357">
        <v>14</v>
      </c>
      <c r="E78" s="50">
        <v>1</v>
      </c>
      <c r="F78" s="50">
        <v>95</v>
      </c>
      <c r="G78" s="17">
        <v>6.0973766598294281</v>
      </c>
      <c r="H78" s="17">
        <f t="shared" si="4"/>
        <v>15.632891354512804</v>
      </c>
      <c r="I78" s="17">
        <f t="shared" si="5"/>
        <v>1.4851246786787164</v>
      </c>
      <c r="J78" s="359">
        <f>(AVERAGEA(I78:I80)*D78)</f>
        <v>14.13709923490806</v>
      </c>
      <c r="K78" s="361">
        <f>(J78/625)*10000</f>
        <v>226.19358775852896</v>
      </c>
    </row>
    <row r="79" spans="2:11" x14ac:dyDescent="0.25">
      <c r="B79" s="355">
        <v>0</v>
      </c>
      <c r="C79" s="363">
        <v>0</v>
      </c>
      <c r="D79" s="357">
        <v>0</v>
      </c>
      <c r="E79" s="50">
        <v>2</v>
      </c>
      <c r="F79" s="50">
        <v>42</v>
      </c>
      <c r="G79" s="17">
        <v>6.0319987867758584</v>
      </c>
      <c r="H79" s="17">
        <f t="shared" si="4"/>
        <v>15.270776579705148</v>
      </c>
      <c r="I79" s="17">
        <f t="shared" si="5"/>
        <v>0.64137261634761611</v>
      </c>
      <c r="J79" s="359"/>
      <c r="K79" s="361"/>
    </row>
    <row r="80" spans="2:11" x14ac:dyDescent="0.25">
      <c r="B80" s="355">
        <v>0</v>
      </c>
      <c r="C80" s="363">
        <v>0</v>
      </c>
      <c r="D80" s="357">
        <v>0</v>
      </c>
      <c r="E80" s="50">
        <v>3</v>
      </c>
      <c r="F80" s="50">
        <v>44</v>
      </c>
      <c r="G80" s="17">
        <v>6.9101042269832069</v>
      </c>
      <c r="H80" s="17">
        <f t="shared" si="4"/>
        <v>20.520025283044681</v>
      </c>
      <c r="I80" s="17">
        <f t="shared" si="5"/>
        <v>0.90288111245396596</v>
      </c>
      <c r="J80" s="359"/>
      <c r="K80" s="361"/>
    </row>
    <row r="81" spans="2:11" x14ac:dyDescent="0.25">
      <c r="B81" s="355">
        <v>27</v>
      </c>
      <c r="C81" s="363" t="s">
        <v>112</v>
      </c>
      <c r="D81" s="357">
        <v>15</v>
      </c>
      <c r="E81" s="50">
        <v>1</v>
      </c>
      <c r="F81" s="50">
        <v>37</v>
      </c>
      <c r="G81" s="17">
        <v>6.2196591495954561</v>
      </c>
      <c r="H81" s="17">
        <f t="shared" si="4"/>
        <v>16.322509553475012</v>
      </c>
      <c r="I81" s="17">
        <f t="shared" si="5"/>
        <v>0.6039328534785755</v>
      </c>
      <c r="J81" s="359">
        <f>(AVERAGEA(I81:I83)*D81)</f>
        <v>8.3047089488541346</v>
      </c>
      <c r="K81" s="361">
        <f>(J81/625)*10000</f>
        <v>132.87534318166615</v>
      </c>
    </row>
    <row r="82" spans="2:11" x14ac:dyDescent="0.25">
      <c r="B82" s="355">
        <v>0</v>
      </c>
      <c r="C82" s="363">
        <v>0</v>
      </c>
      <c r="D82" s="357">
        <v>0</v>
      </c>
      <c r="E82" s="50">
        <v>2</v>
      </c>
      <c r="F82" s="50">
        <v>55</v>
      </c>
      <c r="G82" s="17">
        <v>5.904458598726114</v>
      </c>
      <c r="H82" s="17">
        <f t="shared" si="4"/>
        <v>14.577527627360061</v>
      </c>
      <c r="I82" s="17">
        <f t="shared" si="5"/>
        <v>0.80176401950480325</v>
      </c>
      <c r="J82" s="359"/>
      <c r="K82" s="361"/>
    </row>
    <row r="83" spans="2:11" x14ac:dyDescent="0.25">
      <c r="B83" s="355">
        <v>0</v>
      </c>
      <c r="C83" s="363">
        <v>0</v>
      </c>
      <c r="D83" s="357">
        <v>0</v>
      </c>
      <c r="E83" s="50">
        <v>3</v>
      </c>
      <c r="F83" s="50">
        <v>16</v>
      </c>
      <c r="G83" s="17">
        <v>6.1544585987261131</v>
      </c>
      <c r="H83" s="17">
        <f t="shared" si="4"/>
        <v>15.952807299215525</v>
      </c>
      <c r="I83" s="17">
        <f t="shared" si="5"/>
        <v>0.25524491678744843</v>
      </c>
      <c r="J83" s="359"/>
      <c r="K83" s="361"/>
    </row>
    <row r="84" spans="2:11" x14ac:dyDescent="0.25">
      <c r="B84" s="355">
        <v>28</v>
      </c>
      <c r="C84" s="363" t="s">
        <v>113</v>
      </c>
      <c r="D84" s="357">
        <v>13</v>
      </c>
      <c r="E84" s="50">
        <v>1</v>
      </c>
      <c r="F84" s="50">
        <v>28</v>
      </c>
      <c r="G84" s="17">
        <v>6.8027752502274792</v>
      </c>
      <c r="H84" s="17">
        <f t="shared" si="4"/>
        <v>19.833438180941883</v>
      </c>
      <c r="I84" s="17">
        <f t="shared" si="5"/>
        <v>0.55533626906637279</v>
      </c>
      <c r="J84" s="359">
        <f>(AVERAGEA(I84:I86)*D84)</f>
        <v>9.1972822529545279</v>
      </c>
      <c r="K84" s="361">
        <f>(J84/625)*10000</f>
        <v>147.15651604727245</v>
      </c>
    </row>
    <row r="85" spans="2:11" x14ac:dyDescent="0.25">
      <c r="B85" s="355">
        <v>0</v>
      </c>
      <c r="C85" s="363">
        <v>0</v>
      </c>
      <c r="D85" s="357">
        <v>0</v>
      </c>
      <c r="E85" s="50">
        <v>2</v>
      </c>
      <c r="F85" s="50">
        <v>24</v>
      </c>
      <c r="G85" s="17">
        <v>6.6958598726114644</v>
      </c>
      <c r="H85" s="17">
        <f t="shared" si="4"/>
        <v>19.162024640190914</v>
      </c>
      <c r="I85" s="17">
        <f t="shared" si="5"/>
        <v>0.45988859136458193</v>
      </c>
      <c r="J85" s="359"/>
      <c r="K85" s="361"/>
    </row>
    <row r="86" spans="2:11" x14ac:dyDescent="0.25">
      <c r="B86" s="355">
        <v>0</v>
      </c>
      <c r="C86" s="363">
        <v>0</v>
      </c>
      <c r="D86" s="357">
        <v>0</v>
      </c>
      <c r="E86" s="50">
        <v>3</v>
      </c>
      <c r="F86" s="50">
        <v>65</v>
      </c>
      <c r="G86" s="17">
        <v>6.3429691327780482</v>
      </c>
      <c r="H86" s="17">
        <f t="shared" si="4"/>
        <v>17.034229080782449</v>
      </c>
      <c r="I86" s="17">
        <f t="shared" si="5"/>
        <v>1.1072248902508592</v>
      </c>
      <c r="J86" s="359"/>
      <c r="K86" s="361"/>
    </row>
    <row r="87" spans="2:11" x14ac:dyDescent="0.25">
      <c r="B87" s="355">
        <v>29</v>
      </c>
      <c r="C87" s="363" t="s">
        <v>114</v>
      </c>
      <c r="D87" s="357">
        <v>15</v>
      </c>
      <c r="E87" s="50">
        <v>1</v>
      </c>
      <c r="F87" s="50">
        <v>27</v>
      </c>
      <c r="G87" s="17">
        <v>6.9733427695211123</v>
      </c>
      <c r="H87" s="17">
        <f t="shared" si="4"/>
        <v>20.930477586431692</v>
      </c>
      <c r="I87" s="17">
        <f t="shared" si="5"/>
        <v>0.56512289483365563</v>
      </c>
      <c r="J87" s="359">
        <f>(AVERAGEA(I87:I89)*D87)</f>
        <v>8.8323554575313103</v>
      </c>
      <c r="K87" s="361">
        <f>(J87/625)*10000</f>
        <v>141.31768732050097</v>
      </c>
    </row>
    <row r="88" spans="2:11" x14ac:dyDescent="0.25">
      <c r="B88" s="355">
        <v>0</v>
      </c>
      <c r="C88" s="363">
        <v>0</v>
      </c>
      <c r="D88" s="357">
        <v>0</v>
      </c>
      <c r="E88" s="50">
        <v>2</v>
      </c>
      <c r="F88" s="50">
        <v>37</v>
      </c>
      <c r="G88" s="17">
        <v>7.5322775004303679</v>
      </c>
      <c r="H88" s="17">
        <f t="shared" si="4"/>
        <v>24.750055498552076</v>
      </c>
      <c r="I88" s="17">
        <f t="shared" si="5"/>
        <v>0.91575205344642674</v>
      </c>
      <c r="J88" s="359"/>
      <c r="K88" s="361"/>
    </row>
    <row r="89" spans="2:11" x14ac:dyDescent="0.25">
      <c r="B89" s="355">
        <v>0</v>
      </c>
      <c r="C89" s="363">
        <v>0</v>
      </c>
      <c r="D89" s="357">
        <v>0</v>
      </c>
      <c r="E89" s="50">
        <v>3</v>
      </c>
      <c r="F89" s="50">
        <v>16</v>
      </c>
      <c r="G89" s="17">
        <v>6.4808917197452214</v>
      </c>
      <c r="H89" s="17">
        <f t="shared" si="4"/>
        <v>17.849758951636236</v>
      </c>
      <c r="I89" s="17">
        <f t="shared" si="5"/>
        <v>0.28559614322617977</v>
      </c>
      <c r="J89" s="359"/>
      <c r="K89" s="361"/>
    </row>
    <row r="90" spans="2:11" x14ac:dyDescent="0.25">
      <c r="B90" s="355">
        <v>30</v>
      </c>
      <c r="C90" s="363" t="s">
        <v>115</v>
      </c>
      <c r="D90" s="357">
        <v>13</v>
      </c>
      <c r="E90" s="50">
        <v>1</v>
      </c>
      <c r="F90" s="50">
        <v>34</v>
      </c>
      <c r="G90" s="17">
        <v>7.04571000374672</v>
      </c>
      <c r="H90" s="17">
        <f t="shared" si="4"/>
        <v>21.405570757998898</v>
      </c>
      <c r="I90" s="17">
        <f t="shared" si="5"/>
        <v>0.72778940577196249</v>
      </c>
      <c r="J90" s="359">
        <f>(AVERAGEA(I90:I92)*D90)</f>
        <v>11.279028221533713</v>
      </c>
      <c r="K90" s="361">
        <f>(J90/625)*10000</f>
        <v>180.4644515445394</v>
      </c>
    </row>
    <row r="91" spans="2:11" x14ac:dyDescent="0.25">
      <c r="B91" s="355">
        <v>0</v>
      </c>
      <c r="C91" s="363">
        <v>0</v>
      </c>
      <c r="D91" s="357">
        <v>0</v>
      </c>
      <c r="E91" s="50">
        <v>2</v>
      </c>
      <c r="F91" s="50">
        <v>49</v>
      </c>
      <c r="G91" s="17">
        <v>6.8107370336669701</v>
      </c>
      <c r="H91" s="17">
        <f t="shared" si="4"/>
        <v>19.883936865599917</v>
      </c>
      <c r="I91" s="17">
        <f t="shared" si="5"/>
        <v>0.97431290641439594</v>
      </c>
      <c r="J91" s="359"/>
      <c r="K91" s="361"/>
    </row>
    <row r="92" spans="2:11" ht="15.75" thickBot="1" x14ac:dyDescent="0.3">
      <c r="B92" s="356">
        <v>0</v>
      </c>
      <c r="C92" s="364">
        <v>0</v>
      </c>
      <c r="D92" s="358">
        <v>0</v>
      </c>
      <c r="E92" s="58">
        <v>3</v>
      </c>
      <c r="F92" s="58">
        <v>42</v>
      </c>
      <c r="G92" s="20">
        <v>7.0518941461935079</v>
      </c>
      <c r="H92" s="20">
        <f t="shared" si="4"/>
        <v>21.446437007652882</v>
      </c>
      <c r="I92" s="20">
        <f t="shared" si="5"/>
        <v>0.90075035432142103</v>
      </c>
      <c r="J92" s="360"/>
      <c r="K92" s="362"/>
    </row>
  </sheetData>
  <mergeCells count="150">
    <mergeCell ref="C48:C50"/>
    <mergeCell ref="C51:C53"/>
    <mergeCell ref="C54:C56"/>
    <mergeCell ref="C57:C59"/>
    <mergeCell ref="C60:C62"/>
    <mergeCell ref="C63:C65"/>
    <mergeCell ref="C66:C68"/>
    <mergeCell ref="C69:C71"/>
    <mergeCell ref="C72:C74"/>
    <mergeCell ref="C3:C5"/>
    <mergeCell ref="C6:C8"/>
    <mergeCell ref="C9:C11"/>
    <mergeCell ref="C12:C14"/>
    <mergeCell ref="C15:C17"/>
    <mergeCell ref="C18:C20"/>
    <mergeCell ref="C21:C23"/>
    <mergeCell ref="C24:C26"/>
    <mergeCell ref="C27:C29"/>
    <mergeCell ref="B24:B26"/>
    <mergeCell ref="B27:B29"/>
    <mergeCell ref="B30:B32"/>
    <mergeCell ref="B33:B35"/>
    <mergeCell ref="D21:D23"/>
    <mergeCell ref="D24:D26"/>
    <mergeCell ref="D45:D47"/>
    <mergeCell ref="D42:D44"/>
    <mergeCell ref="J45:J47"/>
    <mergeCell ref="J42:J44"/>
    <mergeCell ref="C30:C32"/>
    <mergeCell ref="C33:C35"/>
    <mergeCell ref="C36:C38"/>
    <mergeCell ref="C39:C41"/>
    <mergeCell ref="C42:C44"/>
    <mergeCell ref="C45:C47"/>
    <mergeCell ref="B3:B5"/>
    <mergeCell ref="B6:B8"/>
    <mergeCell ref="B9:B11"/>
    <mergeCell ref="B12:B14"/>
    <mergeCell ref="B15:B17"/>
    <mergeCell ref="K33:K35"/>
    <mergeCell ref="K36:K38"/>
    <mergeCell ref="K39:K41"/>
    <mergeCell ref="K42:K44"/>
    <mergeCell ref="K18:K20"/>
    <mergeCell ref="K21:K23"/>
    <mergeCell ref="K24:K26"/>
    <mergeCell ref="K27:K29"/>
    <mergeCell ref="K30:K32"/>
    <mergeCell ref="J30:J32"/>
    <mergeCell ref="J33:J35"/>
    <mergeCell ref="J36:J38"/>
    <mergeCell ref="J39:J41"/>
    <mergeCell ref="K3:K5"/>
    <mergeCell ref="J6:J8"/>
    <mergeCell ref="J9:J11"/>
    <mergeCell ref="J12:J14"/>
    <mergeCell ref="J15:J17"/>
    <mergeCell ref="K6:K8"/>
    <mergeCell ref="J3:J5"/>
    <mergeCell ref="J18:J20"/>
    <mergeCell ref="J21:J23"/>
    <mergeCell ref="J24:J26"/>
    <mergeCell ref="D27:D29"/>
    <mergeCell ref="D30:D32"/>
    <mergeCell ref="D33:D35"/>
    <mergeCell ref="D36:D38"/>
    <mergeCell ref="D39:D41"/>
    <mergeCell ref="J27:J29"/>
    <mergeCell ref="D3:D5"/>
    <mergeCell ref="D6:D8"/>
    <mergeCell ref="D9:D11"/>
    <mergeCell ref="D12:D14"/>
    <mergeCell ref="K9:K11"/>
    <mergeCell ref="K12:K14"/>
    <mergeCell ref="K15:K17"/>
    <mergeCell ref="D15:D17"/>
    <mergeCell ref="D18:D20"/>
    <mergeCell ref="B54:B56"/>
    <mergeCell ref="D54:D56"/>
    <mergeCell ref="J54:J56"/>
    <mergeCell ref="K54:K56"/>
    <mergeCell ref="B51:B53"/>
    <mergeCell ref="D51:D53"/>
    <mergeCell ref="J51:J53"/>
    <mergeCell ref="K51:K53"/>
    <mergeCell ref="B48:B50"/>
    <mergeCell ref="D48:D50"/>
    <mergeCell ref="J48:J50"/>
    <mergeCell ref="K48:K50"/>
    <mergeCell ref="K45:K47"/>
    <mergeCell ref="B36:B38"/>
    <mergeCell ref="B39:B41"/>
    <mergeCell ref="B42:B44"/>
    <mergeCell ref="B45:B47"/>
    <mergeCell ref="B18:B20"/>
    <mergeCell ref="B21:B23"/>
    <mergeCell ref="B63:B65"/>
    <mergeCell ref="D63:D65"/>
    <mergeCell ref="J63:J65"/>
    <mergeCell ref="K63:K65"/>
    <mergeCell ref="B60:B62"/>
    <mergeCell ref="D60:D62"/>
    <mergeCell ref="J60:J62"/>
    <mergeCell ref="K60:K62"/>
    <mergeCell ref="B57:B59"/>
    <mergeCell ref="D57:D59"/>
    <mergeCell ref="J57:J59"/>
    <mergeCell ref="K57:K59"/>
    <mergeCell ref="B72:B74"/>
    <mergeCell ref="D72:D74"/>
    <mergeCell ref="J72:J74"/>
    <mergeCell ref="K72:K74"/>
    <mergeCell ref="B69:B71"/>
    <mergeCell ref="D69:D71"/>
    <mergeCell ref="J69:J71"/>
    <mergeCell ref="K69:K71"/>
    <mergeCell ref="B66:B68"/>
    <mergeCell ref="D66:D68"/>
    <mergeCell ref="J66:J68"/>
    <mergeCell ref="K66:K68"/>
    <mergeCell ref="B81:B83"/>
    <mergeCell ref="D81:D83"/>
    <mergeCell ref="J81:J83"/>
    <mergeCell ref="K81:K83"/>
    <mergeCell ref="B78:B80"/>
    <mergeCell ref="D78:D80"/>
    <mergeCell ref="J78:J80"/>
    <mergeCell ref="K78:K80"/>
    <mergeCell ref="B75:B77"/>
    <mergeCell ref="D75:D77"/>
    <mergeCell ref="J75:J77"/>
    <mergeCell ref="K75:K77"/>
    <mergeCell ref="C75:C77"/>
    <mergeCell ref="C78:C80"/>
    <mergeCell ref="C81:C83"/>
    <mergeCell ref="B90:B92"/>
    <mergeCell ref="D90:D92"/>
    <mergeCell ref="J90:J92"/>
    <mergeCell ref="K90:K92"/>
    <mergeCell ref="B87:B89"/>
    <mergeCell ref="D87:D89"/>
    <mergeCell ref="J87:J89"/>
    <mergeCell ref="K87:K89"/>
    <mergeCell ref="B84:B86"/>
    <mergeCell ref="D84:D86"/>
    <mergeCell ref="J84:J86"/>
    <mergeCell ref="K84:K86"/>
    <mergeCell ref="C84:C86"/>
    <mergeCell ref="C87:C89"/>
    <mergeCell ref="C90:C92"/>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3D59-28F2-4C5C-A1AD-4835E11EA6E9}">
  <dimension ref="B1:K32"/>
  <sheetViews>
    <sheetView workbookViewId="0"/>
  </sheetViews>
  <sheetFormatPr defaultRowHeight="15" x14ac:dyDescent="0.25"/>
  <cols>
    <col min="2" max="2" width="7.140625" style="67" bestFit="1" customWidth="1"/>
    <col min="3" max="3" width="17.7109375" style="67" bestFit="1" customWidth="1"/>
    <col min="4" max="4" width="8.140625" bestFit="1" customWidth="1"/>
    <col min="5" max="5" width="7.140625" bestFit="1" customWidth="1"/>
    <col min="6" max="6" width="8.7109375" bestFit="1" customWidth="1"/>
    <col min="7" max="7" width="9" customWidth="1"/>
    <col min="8" max="8" width="11" customWidth="1"/>
    <col min="9" max="9" width="12.85546875" customWidth="1"/>
    <col min="10" max="10" width="16.7109375" customWidth="1"/>
    <col min="11" max="11" width="13.42578125" customWidth="1"/>
  </cols>
  <sheetData>
    <row r="1" spans="2:11" ht="15.75" thickBot="1" x14ac:dyDescent="0.3"/>
    <row r="2" spans="2:11" s="5" customFormat="1" ht="60" thickBot="1" x14ac:dyDescent="0.3">
      <c r="B2" s="63" t="s">
        <v>137</v>
      </c>
      <c r="C2" s="64" t="s">
        <v>136</v>
      </c>
      <c r="D2" s="53" t="s">
        <v>57</v>
      </c>
      <c r="E2" s="53" t="s">
        <v>58</v>
      </c>
      <c r="F2" s="53" t="s">
        <v>59</v>
      </c>
      <c r="G2" s="53" t="s">
        <v>60</v>
      </c>
      <c r="H2" s="53" t="s">
        <v>61</v>
      </c>
      <c r="I2" s="53" t="s">
        <v>62</v>
      </c>
      <c r="J2" s="53" t="s">
        <v>135</v>
      </c>
      <c r="K2" s="54" t="s">
        <v>63</v>
      </c>
    </row>
    <row r="3" spans="2:11" x14ac:dyDescent="0.25">
      <c r="B3" s="385">
        <v>1</v>
      </c>
      <c r="C3" s="389" t="s">
        <v>96</v>
      </c>
      <c r="D3" s="388">
        <v>23</v>
      </c>
      <c r="E3" s="59">
        <v>1</v>
      </c>
      <c r="F3" s="59">
        <v>29</v>
      </c>
      <c r="G3" s="60">
        <v>5.6066045296358498</v>
      </c>
      <c r="H3" s="60">
        <f t="shared" ref="H3:H32" si="0">0.307*G3^2.174</f>
        <v>13.026028057556504</v>
      </c>
      <c r="I3" s="60">
        <f t="shared" ref="I3:I32" si="1">(H3*F3)/1000</f>
        <v>0.3777548136691386</v>
      </c>
      <c r="J3" s="386">
        <f>(AVERAGEA(I3:I5)*D3)</f>
        <v>7.7177706858432069</v>
      </c>
      <c r="K3" s="387">
        <f>(J3/625)*10000</f>
        <v>123.48433097349131</v>
      </c>
    </row>
    <row r="4" spans="2:11" x14ac:dyDescent="0.25">
      <c r="B4" s="374"/>
      <c r="C4" s="382"/>
      <c r="D4" s="376">
        <v>0</v>
      </c>
      <c r="E4" s="11">
        <v>2</v>
      </c>
      <c r="F4" s="11">
        <v>21</v>
      </c>
      <c r="G4" s="3">
        <v>6.1839571868225161</v>
      </c>
      <c r="H4" s="3">
        <f t="shared" si="0"/>
        <v>16.119504593801796</v>
      </c>
      <c r="I4" s="3">
        <f t="shared" si="1"/>
        <v>0.33850959646983775</v>
      </c>
      <c r="J4" s="378"/>
      <c r="K4" s="380"/>
    </row>
    <row r="5" spans="2:11" x14ac:dyDescent="0.25">
      <c r="B5" s="374"/>
      <c r="C5" s="382"/>
      <c r="D5" s="376">
        <v>0</v>
      </c>
      <c r="E5" s="11">
        <v>3</v>
      </c>
      <c r="F5" s="11">
        <v>22</v>
      </c>
      <c r="G5" s="3">
        <v>5.6409365864953251</v>
      </c>
      <c r="H5" s="3">
        <f t="shared" si="0"/>
        <v>13.200060522397562</v>
      </c>
      <c r="I5" s="3">
        <f t="shared" si="1"/>
        <v>0.29040133149274633</v>
      </c>
      <c r="J5" s="378"/>
      <c r="K5" s="380"/>
    </row>
    <row r="6" spans="2:11" x14ac:dyDescent="0.25">
      <c r="B6" s="374">
        <v>2</v>
      </c>
      <c r="C6" s="382" t="s">
        <v>97</v>
      </c>
      <c r="D6" s="376">
        <v>15</v>
      </c>
      <c r="E6" s="11">
        <v>1</v>
      </c>
      <c r="F6" s="11">
        <v>19</v>
      </c>
      <c r="G6" s="3">
        <v>4.7152264615693955</v>
      </c>
      <c r="H6" s="3">
        <f t="shared" si="0"/>
        <v>8.9399055740452855</v>
      </c>
      <c r="I6" s="3">
        <f t="shared" si="1"/>
        <v>0.16985820590686043</v>
      </c>
      <c r="J6" s="378">
        <f>(AVERAGEA(I6:I8)*D6)</f>
        <v>4.3147664822279053</v>
      </c>
      <c r="K6" s="380">
        <f>(J6/625)*10000</f>
        <v>69.036263715646484</v>
      </c>
    </row>
    <row r="7" spans="2:11" x14ac:dyDescent="0.25">
      <c r="B7" s="374"/>
      <c r="C7" s="382"/>
      <c r="D7" s="376">
        <v>0</v>
      </c>
      <c r="E7" s="11">
        <v>2</v>
      </c>
      <c r="F7" s="11">
        <v>34</v>
      </c>
      <c r="G7" s="3">
        <v>5.895462291889058</v>
      </c>
      <c r="H7" s="3">
        <f t="shared" si="0"/>
        <v>14.529284103029857</v>
      </c>
      <c r="I7" s="3">
        <f t="shared" si="1"/>
        <v>0.49399565950301516</v>
      </c>
      <c r="J7" s="378"/>
      <c r="K7" s="380"/>
    </row>
    <row r="8" spans="2:11" x14ac:dyDescent="0.25">
      <c r="B8" s="374"/>
      <c r="C8" s="382"/>
      <c r="D8" s="376">
        <v>0</v>
      </c>
      <c r="E8" s="11">
        <v>3</v>
      </c>
      <c r="F8" s="11">
        <v>16</v>
      </c>
      <c r="G8" s="3">
        <v>5.4898917542184025</v>
      </c>
      <c r="H8" s="3">
        <f t="shared" si="0"/>
        <v>12.443714439731592</v>
      </c>
      <c r="I8" s="3">
        <f t="shared" si="1"/>
        <v>0.19909943103570546</v>
      </c>
      <c r="J8" s="378"/>
      <c r="K8" s="380"/>
    </row>
    <row r="9" spans="2:11" x14ac:dyDescent="0.25">
      <c r="B9" s="374">
        <v>3</v>
      </c>
      <c r="C9" s="382" t="s">
        <v>98</v>
      </c>
      <c r="D9" s="376">
        <v>21</v>
      </c>
      <c r="E9" s="11">
        <v>1</v>
      </c>
      <c r="F9" s="11">
        <v>30</v>
      </c>
      <c r="G9" s="3">
        <v>5.4929427995330569</v>
      </c>
      <c r="H9" s="3">
        <f t="shared" si="0"/>
        <v>12.458754033770377</v>
      </c>
      <c r="I9" s="3">
        <f t="shared" si="1"/>
        <v>0.37376262101311131</v>
      </c>
      <c r="J9" s="378">
        <f>(AVERAGEA(I9:I11)*D9)</f>
        <v>6.4516082519115479</v>
      </c>
      <c r="K9" s="380">
        <f>(J9/625)*10000</f>
        <v>103.22573203058477</v>
      </c>
    </row>
    <row r="10" spans="2:11" x14ac:dyDescent="0.25">
      <c r="B10" s="374"/>
      <c r="C10" s="382"/>
      <c r="D10" s="376">
        <v>0</v>
      </c>
      <c r="E10" s="11">
        <v>2</v>
      </c>
      <c r="F10" s="11">
        <v>20</v>
      </c>
      <c r="G10" s="3">
        <v>5.1432664756446984</v>
      </c>
      <c r="H10" s="3">
        <f t="shared" si="0"/>
        <v>10.798713470604026</v>
      </c>
      <c r="I10" s="3">
        <f t="shared" si="1"/>
        <v>0.21597426941208053</v>
      </c>
      <c r="J10" s="378"/>
      <c r="K10" s="380"/>
    </row>
    <row r="11" spans="2:11" x14ac:dyDescent="0.25">
      <c r="B11" s="374"/>
      <c r="C11" s="382"/>
      <c r="D11" s="376">
        <v>0</v>
      </c>
      <c r="E11" s="11">
        <v>3</v>
      </c>
      <c r="F11" s="11">
        <v>36</v>
      </c>
      <c r="G11" s="3">
        <v>4.7826240758427954</v>
      </c>
      <c r="H11" s="3">
        <f t="shared" si="0"/>
        <v>9.2200397576793822</v>
      </c>
      <c r="I11" s="3">
        <f t="shared" si="1"/>
        <v>0.33192143127645779</v>
      </c>
      <c r="J11" s="378"/>
      <c r="K11" s="380"/>
    </row>
    <row r="12" spans="2:11" x14ac:dyDescent="0.25">
      <c r="B12" s="374">
        <v>4</v>
      </c>
      <c r="C12" s="382" t="s">
        <v>99</v>
      </c>
      <c r="D12" s="376">
        <v>16</v>
      </c>
      <c r="E12" s="11">
        <v>1</v>
      </c>
      <c r="F12" s="11">
        <v>29</v>
      </c>
      <c r="G12" s="3">
        <v>6.7088232388103952</v>
      </c>
      <c r="H12" s="3">
        <f t="shared" si="0"/>
        <v>19.242767791476396</v>
      </c>
      <c r="I12" s="3">
        <f t="shared" si="1"/>
        <v>0.55804026595281553</v>
      </c>
      <c r="J12" s="378">
        <f>(AVERAGEA(I12:I14)*D12)</f>
        <v>7.8191034230755001</v>
      </c>
      <c r="K12" s="380">
        <f>(J12/625)*10000</f>
        <v>125.10565476920802</v>
      </c>
    </row>
    <row r="13" spans="2:11" x14ac:dyDescent="0.25">
      <c r="B13" s="374"/>
      <c r="C13" s="382"/>
      <c r="D13" s="376">
        <v>0</v>
      </c>
      <c r="E13" s="11">
        <v>2</v>
      </c>
      <c r="F13" s="11">
        <v>32</v>
      </c>
      <c r="G13" s="3">
        <v>5.6351480420248325</v>
      </c>
      <c r="H13" s="3">
        <f t="shared" si="0"/>
        <v>13.170630407758544</v>
      </c>
      <c r="I13" s="3">
        <f t="shared" si="1"/>
        <v>0.42146017304827343</v>
      </c>
      <c r="J13" s="378"/>
      <c r="K13" s="380"/>
    </row>
    <row r="14" spans="2:11" x14ac:dyDescent="0.25">
      <c r="B14" s="374"/>
      <c r="C14" s="382"/>
      <c r="D14" s="376">
        <v>0</v>
      </c>
      <c r="E14" s="11">
        <v>3</v>
      </c>
      <c r="F14" s="11">
        <v>35</v>
      </c>
      <c r="G14" s="3">
        <v>5.7770500750443459</v>
      </c>
      <c r="H14" s="3">
        <f t="shared" si="0"/>
        <v>13.902327223587639</v>
      </c>
      <c r="I14" s="3">
        <f t="shared" si="1"/>
        <v>0.48658145282556736</v>
      </c>
      <c r="J14" s="378"/>
      <c r="K14" s="380"/>
    </row>
    <row r="15" spans="2:11" x14ac:dyDescent="0.25">
      <c r="B15" s="374">
        <v>5</v>
      </c>
      <c r="C15" s="382" t="s">
        <v>100</v>
      </c>
      <c r="D15" s="376">
        <v>19</v>
      </c>
      <c r="E15" s="11">
        <v>1</v>
      </c>
      <c r="F15" s="11">
        <v>30</v>
      </c>
      <c r="G15" s="3">
        <v>5.6054335137429705</v>
      </c>
      <c r="H15" s="3">
        <f t="shared" si="0"/>
        <v>13.020114059651048</v>
      </c>
      <c r="I15" s="3">
        <f t="shared" si="1"/>
        <v>0.39060342178953145</v>
      </c>
      <c r="J15" s="378">
        <f>(AVERAGEA(I15:I17)*D15)</f>
        <v>6.661521593678648</v>
      </c>
      <c r="K15" s="380">
        <f>(J15/625)*10000</f>
        <v>106.58434549885835</v>
      </c>
    </row>
    <row r="16" spans="2:11" x14ac:dyDescent="0.25">
      <c r="B16" s="374"/>
      <c r="C16" s="382"/>
      <c r="D16" s="376">
        <v>0</v>
      </c>
      <c r="E16" s="11">
        <v>2</v>
      </c>
      <c r="F16" s="11">
        <v>28</v>
      </c>
      <c r="G16" s="3">
        <v>4.8665120298358122</v>
      </c>
      <c r="H16" s="3">
        <f t="shared" si="0"/>
        <v>9.5752445689456742</v>
      </c>
      <c r="I16" s="3">
        <f t="shared" si="1"/>
        <v>0.26810684793047884</v>
      </c>
      <c r="J16" s="378"/>
      <c r="K16" s="380"/>
    </row>
    <row r="17" spans="2:11" x14ac:dyDescent="0.25">
      <c r="B17" s="374"/>
      <c r="C17" s="382"/>
      <c r="D17" s="376">
        <v>0</v>
      </c>
      <c r="E17" s="11">
        <v>3</v>
      </c>
      <c r="F17" s="11">
        <v>34</v>
      </c>
      <c r="G17" s="3">
        <v>5.3074142742101618</v>
      </c>
      <c r="H17" s="3">
        <f t="shared" si="0"/>
        <v>11.562027331820047</v>
      </c>
      <c r="I17" s="3">
        <f t="shared" si="1"/>
        <v>0.39310892928188162</v>
      </c>
      <c r="J17" s="378"/>
      <c r="K17" s="380"/>
    </row>
    <row r="18" spans="2:11" x14ac:dyDescent="0.25">
      <c r="B18" s="374">
        <v>6</v>
      </c>
      <c r="C18" s="384" t="s">
        <v>105</v>
      </c>
      <c r="D18" s="376">
        <v>14</v>
      </c>
      <c r="E18" s="11">
        <v>1</v>
      </c>
      <c r="F18" s="11">
        <v>27</v>
      </c>
      <c r="G18" s="3">
        <v>5.718867546311035</v>
      </c>
      <c r="H18" s="3">
        <f t="shared" si="0"/>
        <v>13.599733504870201</v>
      </c>
      <c r="I18" s="3">
        <f t="shared" si="1"/>
        <v>0.36719280463149545</v>
      </c>
      <c r="J18" s="378">
        <f>(AVERAGEA(I18:I20)*D18)</f>
        <v>6.3360100257481378</v>
      </c>
      <c r="K18" s="380">
        <f>(J18/625)*10000</f>
        <v>101.3761604119702</v>
      </c>
    </row>
    <row r="19" spans="2:11" x14ac:dyDescent="0.25">
      <c r="B19" s="374"/>
      <c r="C19" s="384"/>
      <c r="D19" s="376">
        <v>0</v>
      </c>
      <c r="E19" s="11">
        <v>2</v>
      </c>
      <c r="F19" s="11">
        <v>45</v>
      </c>
      <c r="G19" s="3">
        <v>6.1926491916940831</v>
      </c>
      <c r="H19" s="3">
        <f t="shared" si="0"/>
        <v>16.168801869814722</v>
      </c>
      <c r="I19" s="3">
        <f t="shared" si="1"/>
        <v>0.72759608414166244</v>
      </c>
      <c r="J19" s="378"/>
      <c r="K19" s="380"/>
    </row>
    <row r="20" spans="2:11" x14ac:dyDescent="0.25">
      <c r="B20" s="374"/>
      <c r="C20" s="384"/>
      <c r="D20" s="376">
        <v>0</v>
      </c>
      <c r="E20" s="11">
        <v>3</v>
      </c>
      <c r="F20" s="11">
        <v>20</v>
      </c>
      <c r="G20" s="3">
        <v>5.6303724928366758</v>
      </c>
      <c r="H20" s="3">
        <f t="shared" si="0"/>
        <v>13.146377265786445</v>
      </c>
      <c r="I20" s="3">
        <f t="shared" si="1"/>
        <v>0.26292754531572887</v>
      </c>
      <c r="J20" s="378"/>
      <c r="K20" s="380"/>
    </row>
    <row r="21" spans="2:11" x14ac:dyDescent="0.25">
      <c r="B21" s="374">
        <v>7</v>
      </c>
      <c r="C21" s="382" t="s">
        <v>116</v>
      </c>
      <c r="D21" s="376">
        <v>17</v>
      </c>
      <c r="E21" s="11">
        <v>1</v>
      </c>
      <c r="F21" s="11">
        <v>33</v>
      </c>
      <c r="G21" s="3">
        <v>5.5830511417903974</v>
      </c>
      <c r="H21" s="3">
        <f t="shared" si="0"/>
        <v>12.907354767794022</v>
      </c>
      <c r="I21" s="3">
        <f t="shared" si="1"/>
        <v>0.42594270733720269</v>
      </c>
      <c r="J21" s="378">
        <f>(AVERAGEA(I21:I23)*D21)</f>
        <v>5.549897626951509</v>
      </c>
      <c r="K21" s="380">
        <f>(J21/625)*10000</f>
        <v>88.798362031224144</v>
      </c>
    </row>
    <row r="22" spans="2:11" x14ac:dyDescent="0.25">
      <c r="B22" s="374"/>
      <c r="C22" s="382"/>
      <c r="D22" s="376">
        <v>0</v>
      </c>
      <c r="E22" s="11">
        <v>2</v>
      </c>
      <c r="F22" s="11">
        <v>20</v>
      </c>
      <c r="G22" s="3">
        <v>5.2881248010187836</v>
      </c>
      <c r="H22" s="3">
        <f t="shared" si="0"/>
        <v>11.470867485218488</v>
      </c>
      <c r="I22" s="3">
        <f t="shared" si="1"/>
        <v>0.22941734970436978</v>
      </c>
      <c r="J22" s="378"/>
      <c r="K22" s="380"/>
    </row>
    <row r="23" spans="2:11" x14ac:dyDescent="0.25">
      <c r="B23" s="374"/>
      <c r="C23" s="382"/>
      <c r="D23" s="376">
        <v>0</v>
      </c>
      <c r="E23" s="11">
        <v>3</v>
      </c>
      <c r="F23" s="11">
        <v>33</v>
      </c>
      <c r="G23" s="3">
        <v>4.9231570721542068</v>
      </c>
      <c r="H23" s="3">
        <f t="shared" si="0"/>
        <v>9.8192012676431268</v>
      </c>
      <c r="I23" s="3">
        <f t="shared" si="1"/>
        <v>0.32403364183222316</v>
      </c>
      <c r="J23" s="378"/>
      <c r="K23" s="380"/>
    </row>
    <row r="24" spans="2:11" x14ac:dyDescent="0.25">
      <c r="B24" s="374">
        <v>8</v>
      </c>
      <c r="C24" s="382" t="s">
        <v>117</v>
      </c>
      <c r="D24" s="376">
        <v>16</v>
      </c>
      <c r="E24" s="11">
        <v>1</v>
      </c>
      <c r="F24" s="11">
        <v>37</v>
      </c>
      <c r="G24" s="3">
        <v>6.0008432501269189</v>
      </c>
      <c r="H24" s="3">
        <f t="shared" si="0"/>
        <v>15.099823739437197</v>
      </c>
      <c r="I24" s="3">
        <f t="shared" si="1"/>
        <v>0.55869347835917627</v>
      </c>
      <c r="J24" s="378">
        <f>(AVERAGEA(I24:I26)*D24)</f>
        <v>7.739677772758756</v>
      </c>
      <c r="K24" s="380">
        <f>(J24/625)*10000</f>
        <v>123.8348443641401</v>
      </c>
    </row>
    <row r="25" spans="2:11" x14ac:dyDescent="0.25">
      <c r="B25" s="374"/>
      <c r="C25" s="382"/>
      <c r="D25" s="376">
        <v>0</v>
      </c>
      <c r="E25" s="11">
        <v>2</v>
      </c>
      <c r="F25" s="11">
        <v>32</v>
      </c>
      <c r="G25" s="3">
        <v>5.6769340974212037</v>
      </c>
      <c r="H25" s="3">
        <f t="shared" si="0"/>
        <v>13.383875591620436</v>
      </c>
      <c r="I25" s="3">
        <f t="shared" si="1"/>
        <v>0.42828401893185397</v>
      </c>
      <c r="J25" s="378"/>
      <c r="K25" s="380"/>
    </row>
    <row r="26" spans="2:11" x14ac:dyDescent="0.25">
      <c r="B26" s="374"/>
      <c r="C26" s="382"/>
      <c r="D26" s="376">
        <v>0</v>
      </c>
      <c r="E26" s="11">
        <v>3</v>
      </c>
      <c r="F26" s="11">
        <v>39</v>
      </c>
      <c r="G26" s="3">
        <v>5.3788194189340324</v>
      </c>
      <c r="H26" s="3">
        <f t="shared" si="0"/>
        <v>11.902873976954783</v>
      </c>
      <c r="I26" s="3">
        <f t="shared" si="1"/>
        <v>0.46421208510123652</v>
      </c>
      <c r="J26" s="378"/>
      <c r="K26" s="380"/>
    </row>
    <row r="27" spans="2:11" x14ac:dyDescent="0.25">
      <c r="B27" s="374">
        <v>9</v>
      </c>
      <c r="C27" s="382" t="str">
        <f>'PSP Information'!D42</f>
        <v>Sangmir Teronpi</v>
      </c>
      <c r="D27" s="376">
        <v>15</v>
      </c>
      <c r="E27" s="11">
        <v>1</v>
      </c>
      <c r="F27" s="11">
        <v>28</v>
      </c>
      <c r="G27" s="3">
        <v>5.495292672943104</v>
      </c>
      <c r="H27" s="3">
        <f t="shared" si="0"/>
        <v>12.470344011199913</v>
      </c>
      <c r="I27" s="3">
        <f t="shared" si="1"/>
        <v>0.34916963231359754</v>
      </c>
      <c r="J27" s="378">
        <f>(AVERAGEA(I27:I29)*D27)</f>
        <v>6.4625799311222814</v>
      </c>
      <c r="K27" s="380">
        <f>(J27/625)*10000</f>
        <v>103.4012788979565</v>
      </c>
    </row>
    <row r="28" spans="2:11" x14ac:dyDescent="0.25">
      <c r="B28" s="374"/>
      <c r="C28" s="382"/>
      <c r="D28" s="376">
        <v>0</v>
      </c>
      <c r="E28" s="11">
        <v>2</v>
      </c>
      <c r="F28" s="11">
        <v>39</v>
      </c>
      <c r="G28" s="3">
        <v>5.9355586576216934</v>
      </c>
      <c r="H28" s="3">
        <f t="shared" si="0"/>
        <v>14.744970110356533</v>
      </c>
      <c r="I28" s="3">
        <f t="shared" si="1"/>
        <v>0.57505383430390478</v>
      </c>
      <c r="J28" s="378"/>
      <c r="K28" s="380"/>
    </row>
    <row r="29" spans="2:11" x14ac:dyDescent="0.25">
      <c r="B29" s="374"/>
      <c r="C29" s="382"/>
      <c r="D29" s="376">
        <v>0</v>
      </c>
      <c r="E29" s="11">
        <v>3</v>
      </c>
      <c r="F29" s="11">
        <v>28</v>
      </c>
      <c r="G29" s="3">
        <v>5.6317369354618636</v>
      </c>
      <c r="H29" s="3">
        <f t="shared" si="0"/>
        <v>13.153304271676925</v>
      </c>
      <c r="I29" s="3">
        <f t="shared" si="1"/>
        <v>0.36829251960695386</v>
      </c>
      <c r="J29" s="378"/>
      <c r="K29" s="380"/>
    </row>
    <row r="30" spans="2:11" x14ac:dyDescent="0.25">
      <c r="B30" s="374">
        <v>10</v>
      </c>
      <c r="C30" s="382" t="str">
        <f>'PSP Information'!D43</f>
        <v>Jekson Rongphar</v>
      </c>
      <c r="D30" s="376">
        <v>17</v>
      </c>
      <c r="E30" s="11">
        <v>1</v>
      </c>
      <c r="F30" s="11">
        <v>40</v>
      </c>
      <c r="G30" s="3">
        <v>5.738853503184715</v>
      </c>
      <c r="H30" s="3">
        <f t="shared" si="0"/>
        <v>13.70327037456385</v>
      </c>
      <c r="I30" s="3">
        <f t="shared" si="1"/>
        <v>0.548130814982554</v>
      </c>
      <c r="J30" s="378">
        <f>(AVERAGEA(I30:I32)*D30)</f>
        <v>8.876017665800779</v>
      </c>
      <c r="K30" s="380">
        <f>(J30/625)*10000</f>
        <v>142.01628265281246</v>
      </c>
    </row>
    <row r="31" spans="2:11" x14ac:dyDescent="0.25">
      <c r="B31" s="374"/>
      <c r="C31" s="382"/>
      <c r="D31" s="376">
        <v>0</v>
      </c>
      <c r="E31" s="11">
        <v>2</v>
      </c>
      <c r="F31" s="11">
        <v>43</v>
      </c>
      <c r="G31" s="3">
        <v>6.2768478743889791</v>
      </c>
      <c r="H31" s="3">
        <f t="shared" si="0"/>
        <v>16.65055142672621</v>
      </c>
      <c r="I31" s="3">
        <f t="shared" si="1"/>
        <v>0.71597371134922705</v>
      </c>
      <c r="J31" s="378"/>
      <c r="K31" s="380"/>
    </row>
    <row r="32" spans="2:11" ht="15.75" thickBot="1" x14ac:dyDescent="0.3">
      <c r="B32" s="375"/>
      <c r="C32" s="383"/>
      <c r="D32" s="377">
        <v>0</v>
      </c>
      <c r="E32" s="61">
        <v>3</v>
      </c>
      <c r="F32" s="61">
        <v>19</v>
      </c>
      <c r="G32" s="62">
        <v>6.1464968152866248</v>
      </c>
      <c r="H32" s="62">
        <f t="shared" si="0"/>
        <v>15.907975386260251</v>
      </c>
      <c r="I32" s="62">
        <f t="shared" si="1"/>
        <v>0.30225153233894475</v>
      </c>
      <c r="J32" s="379"/>
      <c r="K32" s="381"/>
    </row>
  </sheetData>
  <mergeCells count="50">
    <mergeCell ref="B3:B5"/>
    <mergeCell ref="B6:B8"/>
    <mergeCell ref="J3:J5"/>
    <mergeCell ref="K3:K5"/>
    <mergeCell ref="J6:J8"/>
    <mergeCell ref="K6:K8"/>
    <mergeCell ref="D3:D5"/>
    <mergeCell ref="D6:D8"/>
    <mergeCell ref="C3:C5"/>
    <mergeCell ref="C6:C8"/>
    <mergeCell ref="B12:B14"/>
    <mergeCell ref="D12:D14"/>
    <mergeCell ref="J12:J14"/>
    <mergeCell ref="K12:K14"/>
    <mergeCell ref="B9:B11"/>
    <mergeCell ref="D9:D11"/>
    <mergeCell ref="J9:J11"/>
    <mergeCell ref="K9:K11"/>
    <mergeCell ref="C9:C11"/>
    <mergeCell ref="C12:C14"/>
    <mergeCell ref="B18:B20"/>
    <mergeCell ref="D18:D20"/>
    <mergeCell ref="J18:J20"/>
    <mergeCell ref="K18:K20"/>
    <mergeCell ref="B15:B17"/>
    <mergeCell ref="D15:D17"/>
    <mergeCell ref="J15:J17"/>
    <mergeCell ref="K15:K17"/>
    <mergeCell ref="C15:C17"/>
    <mergeCell ref="C18:C20"/>
    <mergeCell ref="B24:B26"/>
    <mergeCell ref="D24:D26"/>
    <mergeCell ref="J24:J26"/>
    <mergeCell ref="K24:K26"/>
    <mergeCell ref="B21:B23"/>
    <mergeCell ref="D21:D23"/>
    <mergeCell ref="J21:J23"/>
    <mergeCell ref="K21:K23"/>
    <mergeCell ref="C21:C23"/>
    <mergeCell ref="C24:C26"/>
    <mergeCell ref="B30:B32"/>
    <mergeCell ref="D30:D32"/>
    <mergeCell ref="J30:J32"/>
    <mergeCell ref="K30:K32"/>
    <mergeCell ref="B27:B29"/>
    <mergeCell ref="D27:D29"/>
    <mergeCell ref="J27:J29"/>
    <mergeCell ref="K27:K29"/>
    <mergeCell ref="C27:C29"/>
    <mergeCell ref="C30:C32"/>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9AE0-806A-4FC0-9715-5F645C00CB5F}">
  <dimension ref="B1:K8"/>
  <sheetViews>
    <sheetView workbookViewId="0"/>
  </sheetViews>
  <sheetFormatPr defaultRowHeight="15" x14ac:dyDescent="0.25"/>
  <cols>
    <col min="2" max="2" width="7.42578125" style="67" bestFit="1" customWidth="1"/>
    <col min="3" max="3" width="19.85546875" style="67" bestFit="1" customWidth="1"/>
    <col min="8" max="8" width="10.5703125" customWidth="1"/>
    <col min="9" max="9" width="11.5703125" customWidth="1"/>
    <col min="10" max="10" width="16.42578125" customWidth="1"/>
    <col min="11" max="11" width="12.7109375" customWidth="1"/>
  </cols>
  <sheetData>
    <row r="1" spans="2:11" ht="15.75" thickBot="1" x14ac:dyDescent="0.3"/>
    <row r="2" spans="2:11" s="5" customFormat="1" ht="60" thickBot="1" x14ac:dyDescent="0.3">
      <c r="B2" s="63" t="s">
        <v>137</v>
      </c>
      <c r="C2" s="64" t="s">
        <v>136</v>
      </c>
      <c r="D2" s="53" t="s">
        <v>57</v>
      </c>
      <c r="E2" s="53" t="s">
        <v>58</v>
      </c>
      <c r="F2" s="53" t="s">
        <v>59</v>
      </c>
      <c r="G2" s="53" t="s">
        <v>60</v>
      </c>
      <c r="H2" s="53" t="s">
        <v>61</v>
      </c>
      <c r="I2" s="53" t="s">
        <v>62</v>
      </c>
      <c r="J2" s="53" t="s">
        <v>135</v>
      </c>
      <c r="K2" s="54" t="s">
        <v>63</v>
      </c>
    </row>
    <row r="3" spans="2:11" s="2" customFormat="1" x14ac:dyDescent="0.25">
      <c r="B3" s="385">
        <v>1</v>
      </c>
      <c r="C3" s="390" t="s">
        <v>106</v>
      </c>
      <c r="D3" s="388">
        <v>12</v>
      </c>
      <c r="E3" s="59">
        <v>1</v>
      </c>
      <c r="F3" s="59">
        <v>29</v>
      </c>
      <c r="G3" s="60">
        <v>5.5363435760629711</v>
      </c>
      <c r="H3" s="60">
        <f t="shared" ref="H3:H8" si="0">0.307*G3^2.174</f>
        <v>12.673753356842195</v>
      </c>
      <c r="I3" s="60">
        <f t="shared" ref="I3:I8" si="1">(H3*F3)/1000</f>
        <v>0.36753884734842363</v>
      </c>
      <c r="J3" s="386">
        <f>(AVERAGEA(I3:I5)*D3)</f>
        <v>3.6553116154041181</v>
      </c>
      <c r="K3" s="387">
        <f>(J3/625)*10000</f>
        <v>58.484985846465889</v>
      </c>
    </row>
    <row r="4" spans="2:11" s="2" customFormat="1" x14ac:dyDescent="0.25">
      <c r="B4" s="374"/>
      <c r="C4" s="391"/>
      <c r="D4" s="376">
        <v>0</v>
      </c>
      <c r="E4" s="11">
        <v>2</v>
      </c>
      <c r="F4" s="11">
        <v>21</v>
      </c>
      <c r="G4" s="3">
        <v>5.3668076590712683</v>
      </c>
      <c r="H4" s="3">
        <f t="shared" si="0"/>
        <v>11.845162597982533</v>
      </c>
      <c r="I4" s="3">
        <f t="shared" si="1"/>
        <v>0.24874841455763319</v>
      </c>
      <c r="J4" s="378"/>
      <c r="K4" s="380"/>
    </row>
    <row r="5" spans="2:11" s="2" customFormat="1" x14ac:dyDescent="0.25">
      <c r="B5" s="374"/>
      <c r="C5" s="391"/>
      <c r="D5" s="376">
        <v>0</v>
      </c>
      <c r="E5" s="11">
        <v>3</v>
      </c>
      <c r="F5" s="11">
        <v>21</v>
      </c>
      <c r="G5" s="3">
        <v>5.8276860569124178</v>
      </c>
      <c r="H5" s="3">
        <f t="shared" si="0"/>
        <v>14.168601997379653</v>
      </c>
      <c r="I5" s="3">
        <f t="shared" si="1"/>
        <v>0.29754064194497271</v>
      </c>
      <c r="J5" s="378"/>
      <c r="K5" s="380"/>
    </row>
    <row r="6" spans="2:11" s="2" customFormat="1" x14ac:dyDescent="0.25">
      <c r="B6" s="374">
        <v>2</v>
      </c>
      <c r="C6" s="392" t="s">
        <v>118</v>
      </c>
      <c r="D6" s="376">
        <v>15</v>
      </c>
      <c r="E6" s="11">
        <v>1</v>
      </c>
      <c r="F6" s="11">
        <v>36</v>
      </c>
      <c r="G6" s="3">
        <v>6.1613428136828325</v>
      </c>
      <c r="H6" s="3">
        <f t="shared" si="0"/>
        <v>15.991626475059544</v>
      </c>
      <c r="I6" s="3">
        <f t="shared" si="1"/>
        <v>0.57569855310214357</v>
      </c>
      <c r="J6" s="378">
        <f>(AVERAGEA(I6:I8)*D6)</f>
        <v>6.9953235641447131</v>
      </c>
      <c r="K6" s="380">
        <f>(J6/625)*10000</f>
        <v>111.92517702631541</v>
      </c>
    </row>
    <row r="7" spans="2:11" s="2" customFormat="1" x14ac:dyDescent="0.25">
      <c r="B7" s="374"/>
      <c r="C7" s="392"/>
      <c r="D7" s="376">
        <v>0</v>
      </c>
      <c r="E7" s="11">
        <v>2</v>
      </c>
      <c r="F7" s="11">
        <v>26</v>
      </c>
      <c r="G7" s="3">
        <v>6.2584184360688671</v>
      </c>
      <c r="H7" s="3">
        <f t="shared" si="0"/>
        <v>16.544452830758402</v>
      </c>
      <c r="I7" s="3">
        <f t="shared" si="1"/>
        <v>0.43015577359971846</v>
      </c>
      <c r="J7" s="378"/>
      <c r="K7" s="380"/>
    </row>
    <row r="8" spans="2:11" s="2" customFormat="1" ht="15.75" thickBot="1" x14ac:dyDescent="0.3">
      <c r="B8" s="375"/>
      <c r="C8" s="393"/>
      <c r="D8" s="377">
        <v>0</v>
      </c>
      <c r="E8" s="61">
        <v>3</v>
      </c>
      <c r="F8" s="61">
        <v>23</v>
      </c>
      <c r="G8" s="62">
        <v>6.353556745982309</v>
      </c>
      <c r="H8" s="62">
        <f t="shared" si="0"/>
        <v>17.096103744655679</v>
      </c>
      <c r="I8" s="62">
        <f t="shared" si="1"/>
        <v>0.39321038612708059</v>
      </c>
      <c r="J8" s="379"/>
      <c r="K8" s="381"/>
    </row>
  </sheetData>
  <mergeCells count="10">
    <mergeCell ref="K6:K8"/>
    <mergeCell ref="B3:B5"/>
    <mergeCell ref="D3:D5"/>
    <mergeCell ref="J3:J5"/>
    <mergeCell ref="K3:K5"/>
    <mergeCell ref="B6:B8"/>
    <mergeCell ref="D6:D8"/>
    <mergeCell ref="J6:J8"/>
    <mergeCell ref="C3:C5"/>
    <mergeCell ref="C6: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08B8-C5AA-4C18-BA54-E78DE43A9DCF}">
  <dimension ref="B1:K5"/>
  <sheetViews>
    <sheetView workbookViewId="0"/>
  </sheetViews>
  <sheetFormatPr defaultRowHeight="15" x14ac:dyDescent="0.25"/>
  <cols>
    <col min="2" max="2" width="7.42578125" bestFit="1" customWidth="1"/>
    <col min="3" max="3" width="15.85546875" bestFit="1" customWidth="1"/>
    <col min="8" max="8" width="11" customWidth="1"/>
    <col min="9" max="9" width="13" customWidth="1"/>
    <col min="10" max="10" width="17" customWidth="1"/>
    <col min="11" max="11" width="13.85546875" customWidth="1"/>
  </cols>
  <sheetData>
    <row r="1" spans="2:11" ht="15.75" thickBot="1" x14ac:dyDescent="0.3"/>
    <row r="2" spans="2:11" s="5" customFormat="1" ht="60" thickBot="1" x14ac:dyDescent="0.3">
      <c r="B2" s="63" t="s">
        <v>137</v>
      </c>
      <c r="C2" s="64" t="s">
        <v>136</v>
      </c>
      <c r="D2" s="53" t="s">
        <v>57</v>
      </c>
      <c r="E2" s="53" t="s">
        <v>58</v>
      </c>
      <c r="F2" s="53" t="s">
        <v>59</v>
      </c>
      <c r="G2" s="53" t="s">
        <v>60</v>
      </c>
      <c r="H2" s="53" t="s">
        <v>61</v>
      </c>
      <c r="I2" s="53" t="s">
        <v>62</v>
      </c>
      <c r="J2" s="53" t="s">
        <v>135</v>
      </c>
      <c r="K2" s="54" t="s">
        <v>63</v>
      </c>
    </row>
    <row r="3" spans="2:11" s="2" customFormat="1" x14ac:dyDescent="0.25">
      <c r="B3" s="385">
        <v>1</v>
      </c>
      <c r="C3" s="394" t="s">
        <v>107</v>
      </c>
      <c r="D3" s="388">
        <v>13</v>
      </c>
      <c r="E3" s="65">
        <v>1</v>
      </c>
      <c r="F3" s="65">
        <v>26</v>
      </c>
      <c r="G3" s="60">
        <v>6.2535204369015256</v>
      </c>
      <c r="H3" s="60">
        <f>0.307*G3^2.174</f>
        <v>16.516316561829608</v>
      </c>
      <c r="I3" s="60">
        <f>(H3*F3)/1000</f>
        <v>0.42942423060756985</v>
      </c>
      <c r="J3" s="386">
        <f>(AVERAGEA(I3:I5)*D3)</f>
        <v>3.4784010468576865</v>
      </c>
      <c r="K3" s="387">
        <f>(J3/625)*10000</f>
        <v>55.654416749722984</v>
      </c>
    </row>
    <row r="4" spans="2:11" s="2" customFormat="1" x14ac:dyDescent="0.25">
      <c r="B4" s="374"/>
      <c r="C4" s="384"/>
      <c r="D4" s="376">
        <v>0</v>
      </c>
      <c r="E4" s="4">
        <v>2</v>
      </c>
      <c r="F4" s="4">
        <v>11</v>
      </c>
      <c r="G4" s="3">
        <v>6.2921478394257759</v>
      </c>
      <c r="H4" s="3">
        <f>0.307*G4^2.174</f>
        <v>16.73891190121504</v>
      </c>
      <c r="I4" s="3">
        <f>(H4*F4)/1000</f>
        <v>0.18412803091336544</v>
      </c>
      <c r="J4" s="378"/>
      <c r="K4" s="380"/>
    </row>
    <row r="5" spans="2:11" s="2" customFormat="1" ht="15.75" thickBot="1" x14ac:dyDescent="0.3">
      <c r="B5" s="375"/>
      <c r="C5" s="395"/>
      <c r="D5" s="377">
        <v>0</v>
      </c>
      <c r="E5" s="66">
        <v>3</v>
      </c>
      <c r="F5" s="66">
        <v>12</v>
      </c>
      <c r="G5" s="62">
        <v>6.1206622094874241</v>
      </c>
      <c r="H5" s="62">
        <f>0.307*G5^2.174</f>
        <v>15.762972697441676</v>
      </c>
      <c r="I5" s="62">
        <f>(H5*F5)/1000</f>
        <v>0.18915567236930012</v>
      </c>
      <c r="J5" s="379"/>
      <c r="K5" s="381"/>
    </row>
  </sheetData>
  <mergeCells count="5">
    <mergeCell ref="K3:K5"/>
    <mergeCell ref="B3:B5"/>
    <mergeCell ref="D3:D5"/>
    <mergeCell ref="J3:J5"/>
    <mergeCell ref="C3: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40494-5841-424C-B6BE-E1ED6A7D2DF5}">
  <dimension ref="B1:F45"/>
  <sheetViews>
    <sheetView workbookViewId="0"/>
  </sheetViews>
  <sheetFormatPr defaultRowHeight="15" x14ac:dyDescent="0.25"/>
  <cols>
    <col min="1" max="1" width="9.140625" style="5"/>
    <col min="2" max="2" width="15.5703125" style="5" customWidth="1"/>
    <col min="3" max="3" width="20.140625" style="5" customWidth="1"/>
    <col min="4" max="4" width="13.7109375" style="68" customWidth="1"/>
    <col min="5" max="5" width="17.42578125" style="5" customWidth="1"/>
    <col min="6" max="6" width="38.7109375" style="5" customWidth="1"/>
    <col min="7" max="16384" width="9.140625" style="5"/>
  </cols>
  <sheetData>
    <row r="1" spans="2:6" ht="15.75" thickBot="1" x14ac:dyDescent="0.3"/>
    <row r="2" spans="2:6" ht="28.5" customHeight="1" thickBot="1" x14ac:dyDescent="0.3">
      <c r="B2" s="299" t="s">
        <v>17</v>
      </c>
      <c r="C2" s="300" t="s">
        <v>18</v>
      </c>
      <c r="D2" s="298" t="s">
        <v>19</v>
      </c>
      <c r="E2" s="298" t="s">
        <v>20</v>
      </c>
      <c r="F2" s="301" t="s">
        <v>138</v>
      </c>
    </row>
    <row r="3" spans="2:6" x14ac:dyDescent="0.25">
      <c r="B3" s="69">
        <v>1</v>
      </c>
      <c r="C3" s="70">
        <v>1</v>
      </c>
      <c r="D3" s="400" t="s">
        <v>13</v>
      </c>
      <c r="E3" s="71">
        <f>'2019 B.tulda'!K3</f>
        <v>136.73737072143535</v>
      </c>
      <c r="F3" s="403">
        <f>AVERAGEA(E3:E32)</f>
        <v>116.81477401572197</v>
      </c>
    </row>
    <row r="4" spans="2:6" x14ac:dyDescent="0.25">
      <c r="B4" s="72">
        <v>2</v>
      </c>
      <c r="C4" s="73">
        <v>2</v>
      </c>
      <c r="D4" s="401"/>
      <c r="E4" s="74">
        <f>'2019 B.tulda'!K6</f>
        <v>68.796419548889261</v>
      </c>
      <c r="F4" s="404"/>
    </row>
    <row r="5" spans="2:6" x14ac:dyDescent="0.25">
      <c r="B5" s="72">
        <v>3</v>
      </c>
      <c r="C5" s="73">
        <v>3</v>
      </c>
      <c r="D5" s="401"/>
      <c r="E5" s="74">
        <f>'2019 B.tulda'!K9</f>
        <v>74.566659962566192</v>
      </c>
      <c r="F5" s="404"/>
    </row>
    <row r="6" spans="2:6" x14ac:dyDescent="0.25">
      <c r="B6" s="72">
        <v>4</v>
      </c>
      <c r="C6" s="73">
        <v>4</v>
      </c>
      <c r="D6" s="401"/>
      <c r="E6" s="74">
        <f>'2019 B.tulda'!K12</f>
        <v>59.09415028165094</v>
      </c>
      <c r="F6" s="404"/>
    </row>
    <row r="7" spans="2:6" x14ac:dyDescent="0.25">
      <c r="B7" s="72">
        <v>5</v>
      </c>
      <c r="C7" s="73">
        <v>5</v>
      </c>
      <c r="D7" s="401"/>
      <c r="E7" s="74">
        <f>'2019 B.tulda'!K15</f>
        <v>104.81407394507038</v>
      </c>
      <c r="F7" s="404"/>
    </row>
    <row r="8" spans="2:6" x14ac:dyDescent="0.25">
      <c r="B8" s="72">
        <v>6</v>
      </c>
      <c r="C8" s="73">
        <v>6</v>
      </c>
      <c r="D8" s="401"/>
      <c r="E8" s="74">
        <f>'2019 B.tulda'!K18</f>
        <v>69.698936510931986</v>
      </c>
      <c r="F8" s="404"/>
    </row>
    <row r="9" spans="2:6" x14ac:dyDescent="0.25">
      <c r="B9" s="72">
        <v>7</v>
      </c>
      <c r="C9" s="73">
        <v>7</v>
      </c>
      <c r="D9" s="401"/>
      <c r="E9" s="74">
        <f>'2019 B.tulda'!K21</f>
        <v>146.47392670718941</v>
      </c>
      <c r="F9" s="404"/>
    </row>
    <row r="10" spans="2:6" x14ac:dyDescent="0.25">
      <c r="B10" s="72">
        <v>8</v>
      </c>
      <c r="C10" s="73">
        <v>8</v>
      </c>
      <c r="D10" s="401"/>
      <c r="E10" s="74">
        <f>'2019 B.tulda'!K24</f>
        <v>111.40950823587187</v>
      </c>
      <c r="F10" s="404"/>
    </row>
    <row r="11" spans="2:6" x14ac:dyDescent="0.25">
      <c r="B11" s="72">
        <v>9</v>
      </c>
      <c r="C11" s="73">
        <v>9</v>
      </c>
      <c r="D11" s="401"/>
      <c r="E11" s="74">
        <f>'2019 B.tulda'!K27</f>
        <v>70.681887413968951</v>
      </c>
      <c r="F11" s="404"/>
    </row>
    <row r="12" spans="2:6" x14ac:dyDescent="0.25">
      <c r="B12" s="72">
        <v>10</v>
      </c>
      <c r="C12" s="73">
        <v>10</v>
      </c>
      <c r="D12" s="401"/>
      <c r="E12" s="74">
        <f>'2019 B.tulda'!K30</f>
        <v>70.410493438057486</v>
      </c>
      <c r="F12" s="404"/>
    </row>
    <row r="13" spans="2:6" x14ac:dyDescent="0.25">
      <c r="B13" s="72">
        <v>11</v>
      </c>
      <c r="C13" s="73">
        <v>11</v>
      </c>
      <c r="D13" s="401"/>
      <c r="E13" s="74">
        <f>'2019 B.tulda'!K33</f>
        <v>78.695670079690458</v>
      </c>
      <c r="F13" s="404"/>
    </row>
    <row r="14" spans="2:6" x14ac:dyDescent="0.25">
      <c r="B14" s="72">
        <v>12</v>
      </c>
      <c r="C14" s="73">
        <v>12</v>
      </c>
      <c r="D14" s="401"/>
      <c r="E14" s="74">
        <f>'2019 B.tulda'!K36</f>
        <v>79.009604083515072</v>
      </c>
      <c r="F14" s="404"/>
    </row>
    <row r="15" spans="2:6" x14ac:dyDescent="0.25">
      <c r="B15" s="72">
        <v>13</v>
      </c>
      <c r="C15" s="73">
        <v>13</v>
      </c>
      <c r="D15" s="401"/>
      <c r="E15" s="74">
        <f>'2019 B.tulda'!K39</f>
        <v>112.91289323412123</v>
      </c>
      <c r="F15" s="404"/>
    </row>
    <row r="16" spans="2:6" x14ac:dyDescent="0.25">
      <c r="B16" s="72">
        <v>14</v>
      </c>
      <c r="C16" s="73">
        <v>14</v>
      </c>
      <c r="D16" s="401"/>
      <c r="E16" s="74">
        <f>'2019 B.tulda'!K42</f>
        <v>136.75432695736259</v>
      </c>
      <c r="F16" s="404"/>
    </row>
    <row r="17" spans="2:6" x14ac:dyDescent="0.25">
      <c r="B17" s="72">
        <v>15</v>
      </c>
      <c r="C17" s="73">
        <v>15</v>
      </c>
      <c r="D17" s="401"/>
      <c r="E17" s="74">
        <f>'2019 B.tulda'!K45</f>
        <v>91.965070280276905</v>
      </c>
      <c r="F17" s="404"/>
    </row>
    <row r="18" spans="2:6" x14ac:dyDescent="0.25">
      <c r="B18" s="72">
        <v>16</v>
      </c>
      <c r="C18" s="73">
        <v>16</v>
      </c>
      <c r="D18" s="401"/>
      <c r="E18" s="74">
        <f>'2019 B.tulda'!K48</f>
        <v>115.54325740846464</v>
      </c>
      <c r="F18" s="404"/>
    </row>
    <row r="19" spans="2:6" x14ac:dyDescent="0.25">
      <c r="B19" s="72">
        <v>17</v>
      </c>
      <c r="C19" s="73">
        <v>17</v>
      </c>
      <c r="D19" s="401"/>
      <c r="E19" s="74">
        <f>'2019 B.tulda'!K51</f>
        <v>91.219207700133126</v>
      </c>
      <c r="F19" s="404"/>
    </row>
    <row r="20" spans="2:6" x14ac:dyDescent="0.25">
      <c r="B20" s="72">
        <v>18</v>
      </c>
      <c r="C20" s="73">
        <v>18</v>
      </c>
      <c r="D20" s="401"/>
      <c r="E20" s="74">
        <f>'2019 B.tulda'!K54</f>
        <v>73.265502765033744</v>
      </c>
      <c r="F20" s="404"/>
    </row>
    <row r="21" spans="2:6" x14ac:dyDescent="0.25">
      <c r="B21" s="72">
        <v>19</v>
      </c>
      <c r="C21" s="73">
        <v>19</v>
      </c>
      <c r="D21" s="401"/>
      <c r="E21" s="74">
        <f>'2019 B.tulda'!K57</f>
        <v>121.23203449060838</v>
      </c>
      <c r="F21" s="404"/>
    </row>
    <row r="22" spans="2:6" x14ac:dyDescent="0.25">
      <c r="B22" s="72">
        <v>20</v>
      </c>
      <c r="C22" s="73">
        <v>20</v>
      </c>
      <c r="D22" s="401"/>
      <c r="E22" s="74">
        <f>'2019 B.tulda'!K60</f>
        <v>77.613998857882152</v>
      </c>
      <c r="F22" s="404"/>
    </row>
    <row r="23" spans="2:6" x14ac:dyDescent="0.25">
      <c r="B23" s="72">
        <v>21</v>
      </c>
      <c r="C23" s="73">
        <v>21</v>
      </c>
      <c r="D23" s="401"/>
      <c r="E23" s="74">
        <f>'2019 B.tulda'!K63</f>
        <v>97.932809141120273</v>
      </c>
      <c r="F23" s="404"/>
    </row>
    <row r="24" spans="2:6" x14ac:dyDescent="0.25">
      <c r="B24" s="72">
        <v>22</v>
      </c>
      <c r="C24" s="73">
        <v>22</v>
      </c>
      <c r="D24" s="401"/>
      <c r="E24" s="74">
        <f>'2019 B.tulda'!K66</f>
        <v>147.35844977206119</v>
      </c>
      <c r="F24" s="404"/>
    </row>
    <row r="25" spans="2:6" x14ac:dyDescent="0.25">
      <c r="B25" s="72">
        <v>23</v>
      </c>
      <c r="C25" s="73">
        <v>23</v>
      </c>
      <c r="D25" s="401"/>
      <c r="E25" s="74">
        <f>'2019 B.tulda'!K69</f>
        <v>171.14218056852724</v>
      </c>
      <c r="F25" s="404"/>
    </row>
    <row r="26" spans="2:6" x14ac:dyDescent="0.25">
      <c r="B26" s="72">
        <v>24</v>
      </c>
      <c r="C26" s="73">
        <v>24</v>
      </c>
      <c r="D26" s="401"/>
      <c r="E26" s="74">
        <f>'2019 B.tulda'!K72</f>
        <v>207.01371075200075</v>
      </c>
      <c r="F26" s="404"/>
    </row>
    <row r="27" spans="2:6" x14ac:dyDescent="0.25">
      <c r="B27" s="72">
        <v>25</v>
      </c>
      <c r="C27" s="73">
        <v>25</v>
      </c>
      <c r="D27" s="401"/>
      <c r="E27" s="74">
        <f>'2019 B.tulda'!K75</f>
        <v>162.09349176272173</v>
      </c>
      <c r="F27" s="404"/>
    </row>
    <row r="28" spans="2:6" x14ac:dyDescent="0.25">
      <c r="B28" s="72">
        <v>26</v>
      </c>
      <c r="C28" s="73">
        <v>26</v>
      </c>
      <c r="D28" s="401"/>
      <c r="E28" s="74">
        <f>'2019 B.tulda'!K78</f>
        <v>226.19358775852896</v>
      </c>
      <c r="F28" s="404"/>
    </row>
    <row r="29" spans="2:6" x14ac:dyDescent="0.25">
      <c r="B29" s="72">
        <v>27</v>
      </c>
      <c r="C29" s="73">
        <v>27</v>
      </c>
      <c r="D29" s="401"/>
      <c r="E29" s="74">
        <f>'2019 B.tulda'!K81</f>
        <v>132.87534318166615</v>
      </c>
      <c r="F29" s="404"/>
    </row>
    <row r="30" spans="2:6" x14ac:dyDescent="0.25">
      <c r="B30" s="72">
        <v>28</v>
      </c>
      <c r="C30" s="73">
        <v>28</v>
      </c>
      <c r="D30" s="401"/>
      <c r="E30" s="74">
        <f>'2019 B.tulda'!K84</f>
        <v>147.15651604727245</v>
      </c>
      <c r="F30" s="404"/>
    </row>
    <row r="31" spans="2:6" x14ac:dyDescent="0.25">
      <c r="B31" s="72">
        <v>29</v>
      </c>
      <c r="C31" s="73">
        <v>29</v>
      </c>
      <c r="D31" s="401"/>
      <c r="E31" s="74">
        <f>'2019 B.tulda'!K87</f>
        <v>141.31768732050097</v>
      </c>
      <c r="F31" s="404"/>
    </row>
    <row r="32" spans="2:6" ht="15.75" thickBot="1" x14ac:dyDescent="0.3">
      <c r="B32" s="75">
        <v>30</v>
      </c>
      <c r="C32" s="76">
        <v>30</v>
      </c>
      <c r="D32" s="402"/>
      <c r="E32" s="77">
        <f>'2019 B.tulda'!K90</f>
        <v>180.4644515445394</v>
      </c>
      <c r="F32" s="405"/>
    </row>
    <row r="33" spans="2:6" x14ac:dyDescent="0.25">
      <c r="B33" s="78">
        <v>31</v>
      </c>
      <c r="C33" s="79">
        <v>1</v>
      </c>
      <c r="D33" s="406" t="s">
        <v>14</v>
      </c>
      <c r="E33" s="80">
        <f>'2020 B.tulda'!K3</f>
        <v>123.48433097349131</v>
      </c>
      <c r="F33" s="409">
        <f>AVERAGEA(E33:E42)</f>
        <v>108.68632553458922</v>
      </c>
    </row>
    <row r="34" spans="2:6" x14ac:dyDescent="0.25">
      <c r="B34" s="81">
        <v>32</v>
      </c>
      <c r="C34" s="82">
        <v>2</v>
      </c>
      <c r="D34" s="407"/>
      <c r="E34" s="83">
        <f>'2020 B.tulda'!K6</f>
        <v>69.036263715646484</v>
      </c>
      <c r="F34" s="410"/>
    </row>
    <row r="35" spans="2:6" x14ac:dyDescent="0.25">
      <c r="B35" s="81">
        <v>33</v>
      </c>
      <c r="C35" s="82">
        <v>3</v>
      </c>
      <c r="D35" s="407"/>
      <c r="E35" s="83">
        <f>'2020 B.tulda'!K9</f>
        <v>103.22573203058477</v>
      </c>
      <c r="F35" s="410"/>
    </row>
    <row r="36" spans="2:6" x14ac:dyDescent="0.25">
      <c r="B36" s="81">
        <v>34</v>
      </c>
      <c r="C36" s="82">
        <v>4</v>
      </c>
      <c r="D36" s="407"/>
      <c r="E36" s="83">
        <f>'2020 B.tulda'!K12</f>
        <v>125.10565476920802</v>
      </c>
      <c r="F36" s="410"/>
    </row>
    <row r="37" spans="2:6" x14ac:dyDescent="0.25">
      <c r="B37" s="81">
        <v>35</v>
      </c>
      <c r="C37" s="82">
        <v>5</v>
      </c>
      <c r="D37" s="407"/>
      <c r="E37" s="83">
        <f>'2020 B.tulda'!K15</f>
        <v>106.58434549885835</v>
      </c>
      <c r="F37" s="410"/>
    </row>
    <row r="38" spans="2:6" x14ac:dyDescent="0.25">
      <c r="B38" s="81">
        <v>36</v>
      </c>
      <c r="C38" s="82">
        <v>6</v>
      </c>
      <c r="D38" s="407"/>
      <c r="E38" s="83">
        <f>'2020 B.tulda'!K18</f>
        <v>101.3761604119702</v>
      </c>
      <c r="F38" s="410"/>
    </row>
    <row r="39" spans="2:6" x14ac:dyDescent="0.25">
      <c r="B39" s="81">
        <v>37</v>
      </c>
      <c r="C39" s="82">
        <v>7</v>
      </c>
      <c r="D39" s="407"/>
      <c r="E39" s="83">
        <f>'2020 B.tulda'!K21</f>
        <v>88.798362031224144</v>
      </c>
      <c r="F39" s="410"/>
    </row>
    <row r="40" spans="2:6" x14ac:dyDescent="0.25">
      <c r="B40" s="81">
        <v>38</v>
      </c>
      <c r="C40" s="82">
        <v>8</v>
      </c>
      <c r="D40" s="407"/>
      <c r="E40" s="83">
        <f>'2020 B.tulda'!K24</f>
        <v>123.8348443641401</v>
      </c>
      <c r="F40" s="410"/>
    </row>
    <row r="41" spans="2:6" x14ac:dyDescent="0.25">
      <c r="B41" s="81">
        <v>39</v>
      </c>
      <c r="C41" s="82">
        <v>9</v>
      </c>
      <c r="D41" s="407"/>
      <c r="E41" s="83">
        <f>'2020 B.tulda'!K27</f>
        <v>103.4012788979565</v>
      </c>
      <c r="F41" s="410"/>
    </row>
    <row r="42" spans="2:6" ht="15.75" thickBot="1" x14ac:dyDescent="0.3">
      <c r="B42" s="84">
        <v>40</v>
      </c>
      <c r="C42" s="85">
        <v>10</v>
      </c>
      <c r="D42" s="408"/>
      <c r="E42" s="86">
        <f>'2020 B.tulda'!K30</f>
        <v>142.01628265281246</v>
      </c>
      <c r="F42" s="411"/>
    </row>
    <row r="43" spans="2:6" x14ac:dyDescent="0.25">
      <c r="B43" s="87">
        <v>41</v>
      </c>
      <c r="C43" s="88">
        <v>1</v>
      </c>
      <c r="D43" s="396" t="s">
        <v>15</v>
      </c>
      <c r="E43" s="89">
        <f>'2021 B.tulda'!K3</f>
        <v>58.484985846465889</v>
      </c>
      <c r="F43" s="398">
        <f>AVERAGEA(E43:E44)</f>
        <v>85.205081436390657</v>
      </c>
    </row>
    <row r="44" spans="2:6" ht="15.75" thickBot="1" x14ac:dyDescent="0.3">
      <c r="B44" s="90">
        <v>42</v>
      </c>
      <c r="C44" s="91">
        <v>2</v>
      </c>
      <c r="D44" s="397"/>
      <c r="E44" s="92">
        <f>'2021 B.tulda'!K6</f>
        <v>111.92517702631541</v>
      </c>
      <c r="F44" s="399"/>
    </row>
    <row r="45" spans="2:6" ht="15.75" thickBot="1" x14ac:dyDescent="0.3">
      <c r="B45" s="93">
        <v>43</v>
      </c>
      <c r="C45" s="94">
        <v>1</v>
      </c>
      <c r="D45" s="95" t="s">
        <v>16</v>
      </c>
      <c r="E45" s="96">
        <f>'2022 B.tulda'!K3</f>
        <v>55.654416749722984</v>
      </c>
      <c r="F45" s="97">
        <f>AVERAGEA(E45)</f>
        <v>55.654416749722984</v>
      </c>
    </row>
  </sheetData>
  <mergeCells count="6">
    <mergeCell ref="D43:D44"/>
    <mergeCell ref="F43:F44"/>
    <mergeCell ref="D3:D32"/>
    <mergeCell ref="F3:F32"/>
    <mergeCell ref="D33:D42"/>
    <mergeCell ref="F33:F4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9D4E-2D6E-41AC-BFD5-00ABF1BF8D2A}">
  <dimension ref="B4:AB20"/>
  <sheetViews>
    <sheetView zoomScaleNormal="100" workbookViewId="0"/>
  </sheetViews>
  <sheetFormatPr defaultColWidth="8.7109375" defaultRowHeight="15" x14ac:dyDescent="0.25"/>
  <cols>
    <col min="1" max="1" width="8.7109375" style="38"/>
    <col min="2" max="2" width="9.7109375" style="38" bestFit="1" customWidth="1"/>
    <col min="3" max="3" width="8.7109375" style="38"/>
    <col min="4" max="7" width="15.42578125" style="38" customWidth="1"/>
    <col min="8" max="8" width="16.28515625" style="38" customWidth="1"/>
    <col min="9" max="9" width="25.7109375" style="38" customWidth="1"/>
    <col min="10" max="10" width="14.7109375" style="38" bestFit="1" customWidth="1"/>
    <col min="11" max="11" width="15.140625" style="38" bestFit="1" customWidth="1"/>
    <col min="12" max="12" width="14.7109375" style="38" bestFit="1" customWidth="1"/>
    <col min="13" max="13" width="15.140625" style="38" bestFit="1" customWidth="1"/>
    <col min="14" max="14" width="17.85546875" style="38" customWidth="1"/>
    <col min="15" max="15" width="18.7109375" style="38" customWidth="1"/>
    <col min="16" max="19" width="13" style="38" customWidth="1"/>
    <col min="20" max="20" width="15.85546875" style="98" customWidth="1"/>
    <col min="21" max="23" width="17.28515625" style="98" customWidth="1"/>
    <col min="24" max="24" width="14.28515625" style="98" customWidth="1"/>
    <col min="25" max="25" width="12.42578125" style="38" customWidth="1"/>
    <col min="26" max="16384" width="8.7109375" style="38"/>
  </cols>
  <sheetData>
    <row r="4" spans="2:28" ht="21" customHeight="1" x14ac:dyDescent="0.25"/>
    <row r="7" spans="2:28" x14ac:dyDescent="0.25">
      <c r="D7" s="99"/>
      <c r="E7" s="99"/>
      <c r="F7" s="99"/>
      <c r="G7" s="99"/>
      <c r="H7" s="38" t="s">
        <v>119</v>
      </c>
      <c r="N7" s="38" t="s">
        <v>120</v>
      </c>
      <c r="O7" s="68" t="s">
        <v>121</v>
      </c>
    </row>
    <row r="8" spans="2:28" x14ac:dyDescent="0.25">
      <c r="D8" s="99"/>
      <c r="E8" s="99"/>
      <c r="F8" s="99"/>
      <c r="G8" s="99"/>
    </row>
    <row r="9" spans="2:28" x14ac:dyDescent="0.25">
      <c r="D9" s="99"/>
      <c r="E9" s="99"/>
      <c r="F9" s="99"/>
      <c r="G9" s="99"/>
    </row>
    <row r="10" spans="2:28" x14ac:dyDescent="0.25">
      <c r="D10" s="99"/>
      <c r="E10" s="99"/>
      <c r="F10" s="99"/>
      <c r="G10" s="99"/>
    </row>
    <row r="11" spans="2:28" x14ac:dyDescent="0.25">
      <c r="D11" s="99"/>
      <c r="E11" s="99"/>
      <c r="F11" s="99"/>
      <c r="G11" s="99"/>
    </row>
    <row r="12" spans="2:28" x14ac:dyDescent="0.25">
      <c r="D12" s="99"/>
      <c r="E12" s="99"/>
      <c r="F12" s="99"/>
      <c r="G12" s="99"/>
    </row>
    <row r="13" spans="2:28" ht="15.75" thickBot="1" x14ac:dyDescent="0.3">
      <c r="D13" s="99"/>
      <c r="E13" s="99"/>
      <c r="F13" s="99"/>
      <c r="G13" s="99"/>
    </row>
    <row r="14" spans="2:28" s="103" customFormat="1" ht="143.25" thickBot="1" x14ac:dyDescent="0.3">
      <c r="B14" s="412" t="s">
        <v>21</v>
      </c>
      <c r="C14" s="413"/>
      <c r="D14" s="116" t="s">
        <v>149</v>
      </c>
      <c r="E14" s="100" t="s">
        <v>150</v>
      </c>
      <c r="F14" s="100" t="s">
        <v>151</v>
      </c>
      <c r="G14" s="100" t="s">
        <v>152</v>
      </c>
      <c r="H14" s="100" t="s">
        <v>153</v>
      </c>
      <c r="I14" s="100" t="s">
        <v>154</v>
      </c>
      <c r="J14" s="100" t="s">
        <v>155</v>
      </c>
      <c r="K14" s="100" t="s">
        <v>156</v>
      </c>
      <c r="L14" s="100" t="s">
        <v>157</v>
      </c>
      <c r="M14" s="100" t="s">
        <v>158</v>
      </c>
      <c r="N14" s="100" t="s">
        <v>22</v>
      </c>
      <c r="O14" s="100" t="s">
        <v>23</v>
      </c>
      <c r="P14" s="100" t="s">
        <v>159</v>
      </c>
      <c r="Q14" s="100" t="s">
        <v>160</v>
      </c>
      <c r="R14" s="100" t="s">
        <v>162</v>
      </c>
      <c r="S14" s="100" t="s">
        <v>161</v>
      </c>
      <c r="T14" s="101" t="s">
        <v>163</v>
      </c>
      <c r="U14" s="101" t="s">
        <v>164</v>
      </c>
      <c r="V14" s="101" t="s">
        <v>165</v>
      </c>
      <c r="W14" s="101" t="s">
        <v>166</v>
      </c>
      <c r="X14" s="101" t="s">
        <v>167</v>
      </c>
      <c r="Y14" s="102" t="s">
        <v>168</v>
      </c>
      <c r="AB14" s="104"/>
    </row>
    <row r="15" spans="2:28" s="110" customFormat="1" ht="18" thickBot="1" x14ac:dyDescent="0.35">
      <c r="B15" s="117"/>
      <c r="C15" s="307" t="s">
        <v>24</v>
      </c>
      <c r="D15" s="303" t="s">
        <v>139</v>
      </c>
      <c r="E15" s="105" t="s">
        <v>139</v>
      </c>
      <c r="F15" s="105" t="s">
        <v>139</v>
      </c>
      <c r="G15" s="105" t="s">
        <v>139</v>
      </c>
      <c r="H15" s="105" t="s">
        <v>140</v>
      </c>
      <c r="I15" s="105" t="s">
        <v>141</v>
      </c>
      <c r="J15" s="105" t="s">
        <v>142</v>
      </c>
      <c r="K15" s="105" t="s">
        <v>142</v>
      </c>
      <c r="L15" s="105" t="s">
        <v>142</v>
      </c>
      <c r="M15" s="105" t="s">
        <v>142</v>
      </c>
      <c r="N15" s="106" t="s">
        <v>143</v>
      </c>
      <c r="O15" s="106" t="s">
        <v>144</v>
      </c>
      <c r="P15" s="105" t="s">
        <v>145</v>
      </c>
      <c r="Q15" s="105" t="s">
        <v>145</v>
      </c>
      <c r="R15" s="105" t="s">
        <v>145</v>
      </c>
      <c r="S15" s="105" t="s">
        <v>145</v>
      </c>
      <c r="T15" s="107" t="s">
        <v>146</v>
      </c>
      <c r="U15" s="107" t="s">
        <v>146</v>
      </c>
      <c r="V15" s="107" t="s">
        <v>146</v>
      </c>
      <c r="W15" s="107" t="s">
        <v>146</v>
      </c>
      <c r="X15" s="108" t="s">
        <v>147</v>
      </c>
      <c r="Y15" s="109" t="s">
        <v>148</v>
      </c>
    </row>
    <row r="16" spans="2:28" x14ac:dyDescent="0.25">
      <c r="B16" s="118" t="s">
        <v>122</v>
      </c>
      <c r="C16" s="181">
        <v>1</v>
      </c>
      <c r="D16" s="304">
        <v>0.11540698055021227</v>
      </c>
      <c r="E16" s="98">
        <v>0</v>
      </c>
      <c r="F16" s="52">
        <v>0</v>
      </c>
      <c r="G16" s="52">
        <v>0</v>
      </c>
      <c r="H16" s="111">
        <v>73</v>
      </c>
      <c r="I16" s="111">
        <v>0.1</v>
      </c>
      <c r="J16" s="52">
        <f>D16*H16*I16</f>
        <v>0.8424709580165497</v>
      </c>
      <c r="K16" s="52">
        <v>0</v>
      </c>
      <c r="L16" s="52">
        <v>0</v>
      </c>
      <c r="M16" s="52">
        <v>0</v>
      </c>
      <c r="N16" s="111">
        <v>0.47</v>
      </c>
      <c r="O16" s="111">
        <v>0.4</v>
      </c>
      <c r="P16" s="52">
        <f>'key data'!$C$7</f>
        <v>540.47999999999979</v>
      </c>
      <c r="Q16" s="111">
        <v>0</v>
      </c>
      <c r="R16" s="111">
        <v>0</v>
      </c>
      <c r="S16" s="111">
        <v>0</v>
      </c>
      <c r="T16" s="52">
        <f>(44/12)*$N16*(1+$O16)*(P16*J16)</f>
        <v>1098.5805117093407</v>
      </c>
      <c r="U16" s="52">
        <f>(44/12)*$N16*(1+$O16)*(Q16*K16)</f>
        <v>0</v>
      </c>
      <c r="V16" s="52">
        <f>(44/12)*$N16*(1+$O16)*(R16*L16)</f>
        <v>0</v>
      </c>
      <c r="W16" s="52">
        <f>(44/12)*$N16*(1+$O16)*(S16*M16)</f>
        <v>0</v>
      </c>
      <c r="X16" s="52">
        <f>T16+U16+V16+W16</f>
        <v>1098.5805117093407</v>
      </c>
      <c r="Y16" s="112">
        <f>X16</f>
        <v>1098.5805117093407</v>
      </c>
      <c r="Z16" s="98"/>
    </row>
    <row r="17" spans="2:26" x14ac:dyDescent="0.25">
      <c r="B17" s="119" t="s">
        <v>123</v>
      </c>
      <c r="C17" s="182">
        <v>2</v>
      </c>
      <c r="D17" s="305">
        <f>D16</f>
        <v>0.11540698055021227</v>
      </c>
      <c r="E17" s="17">
        <v>0.1176362921751692</v>
      </c>
      <c r="F17" s="17">
        <v>0</v>
      </c>
      <c r="G17" s="17">
        <v>0</v>
      </c>
      <c r="H17" s="48">
        <v>73</v>
      </c>
      <c r="I17" s="48">
        <v>0.1</v>
      </c>
      <c r="J17" s="17">
        <f>D17*H17*I17</f>
        <v>0.8424709580165497</v>
      </c>
      <c r="K17" s="17">
        <f t="shared" ref="K17:K20" si="0">E17*H17*I17</f>
        <v>0.85874493287873532</v>
      </c>
      <c r="L17" s="17">
        <v>0</v>
      </c>
      <c r="M17" s="17">
        <v>0</v>
      </c>
      <c r="N17" s="48">
        <v>0.47</v>
      </c>
      <c r="O17" s="48">
        <v>0.4</v>
      </c>
      <c r="P17" s="52">
        <f>'key data'!$C$7</f>
        <v>540.47999999999979</v>
      </c>
      <c r="Q17" s="17">
        <f>'key data'!$C$8</f>
        <v>223.1699999999999</v>
      </c>
      <c r="R17" s="48">
        <v>0</v>
      </c>
      <c r="S17" s="48">
        <v>0</v>
      </c>
      <c r="T17" s="17">
        <f>(44/12)*N$16*(1+O$16)*(P17*J17)</f>
        <v>1098.5805117093407</v>
      </c>
      <c r="U17" s="17">
        <f t="shared" ref="U17:W18" si="1">(44/12)*$N17*(1+$O17)*(Q17*K17)</f>
        <v>462.37817336047362</v>
      </c>
      <c r="V17" s="17">
        <f t="shared" si="1"/>
        <v>0</v>
      </c>
      <c r="W17" s="17">
        <f t="shared" si="1"/>
        <v>0</v>
      </c>
      <c r="X17" s="52">
        <f t="shared" ref="X17:X20" si="2">T17+U17+V17+W17</f>
        <v>1560.9586850698142</v>
      </c>
      <c r="Y17" s="113">
        <f>X17</f>
        <v>1560.9586850698142</v>
      </c>
      <c r="Z17" s="98"/>
    </row>
    <row r="18" spans="2:26" x14ac:dyDescent="0.25">
      <c r="B18" s="119" t="s">
        <v>124</v>
      </c>
      <c r="C18" s="182">
        <v>3</v>
      </c>
      <c r="D18" s="305">
        <f t="shared" ref="D18:D20" si="3">D17</f>
        <v>0.11540698055021227</v>
      </c>
      <c r="E18" s="17">
        <f>E17</f>
        <v>0.1176362921751692</v>
      </c>
      <c r="F18" s="17">
        <v>0.11936553608586944</v>
      </c>
      <c r="G18" s="17">
        <v>0</v>
      </c>
      <c r="H18" s="48">
        <v>73</v>
      </c>
      <c r="I18" s="48">
        <v>0.1</v>
      </c>
      <c r="J18" s="17">
        <f t="shared" ref="J18:J19" si="4">D18*H18*I18</f>
        <v>0.8424709580165497</v>
      </c>
      <c r="K18" s="17">
        <f t="shared" si="0"/>
        <v>0.85874493287873532</v>
      </c>
      <c r="L18" s="17">
        <f>F18*H18*I18</f>
        <v>0.8713684134268469</v>
      </c>
      <c r="M18" s="17">
        <v>0</v>
      </c>
      <c r="N18" s="48">
        <v>0.47</v>
      </c>
      <c r="O18" s="48">
        <v>0.4</v>
      </c>
      <c r="P18" s="52">
        <f>'key data'!$C$7</f>
        <v>540.47999999999979</v>
      </c>
      <c r="Q18" s="17">
        <f>'key data'!$C$8</f>
        <v>223.1699999999999</v>
      </c>
      <c r="R18" s="17">
        <f>'key data'!$C$9</f>
        <v>59.950000000000024</v>
      </c>
      <c r="T18" s="17">
        <f t="shared" ref="T18:T20" si="5">(44/12)*N$16*(1+O$16)*(P18*J18)</f>
        <v>1098.5805117093407</v>
      </c>
      <c r="U18" s="17">
        <f t="shared" si="1"/>
        <v>462.37817336047362</v>
      </c>
      <c r="V18" s="17">
        <f t="shared" si="1"/>
        <v>126.03417545139732</v>
      </c>
      <c r="W18" s="17">
        <f t="shared" si="1"/>
        <v>0</v>
      </c>
      <c r="X18" s="52">
        <f>T18+U18+V18+W18</f>
        <v>1686.9928605212115</v>
      </c>
      <c r="Y18" s="113">
        <f>X18</f>
        <v>1686.9928605212115</v>
      </c>
      <c r="Z18" s="98"/>
    </row>
    <row r="19" spans="2:26" x14ac:dyDescent="0.25">
      <c r="B19" s="119" t="s">
        <v>125</v>
      </c>
      <c r="C19" s="182">
        <v>4</v>
      </c>
      <c r="D19" s="305">
        <f t="shared" si="3"/>
        <v>0.11540698055021227</v>
      </c>
      <c r="E19" s="17">
        <f t="shared" ref="E19:E20" si="6">E18</f>
        <v>0.1176362921751692</v>
      </c>
      <c r="F19" s="17">
        <f>F18</f>
        <v>0.11936553608586944</v>
      </c>
      <c r="G19" s="17">
        <v>0.12496768619669593</v>
      </c>
      <c r="H19" s="48">
        <v>73</v>
      </c>
      <c r="I19" s="48">
        <v>0.1</v>
      </c>
      <c r="J19" s="17">
        <f t="shared" si="4"/>
        <v>0.8424709580165497</v>
      </c>
      <c r="K19" s="17">
        <f t="shared" si="0"/>
        <v>0.85874493287873532</v>
      </c>
      <c r="L19" s="17">
        <f>F19*H19*I19</f>
        <v>0.8713684134268469</v>
      </c>
      <c r="M19" s="17">
        <f>G19*H19*I19</f>
        <v>0.9122641092358803</v>
      </c>
      <c r="N19" s="48">
        <v>0.47</v>
      </c>
      <c r="O19" s="48">
        <v>0.4</v>
      </c>
      <c r="P19" s="52">
        <f>'key data'!$C$7</f>
        <v>540.47999999999979</v>
      </c>
      <c r="Q19" s="17">
        <f>'key data'!$C$8</f>
        <v>223.1699999999999</v>
      </c>
      <c r="R19" s="17">
        <f>'key data'!$C$9</f>
        <v>59.950000000000024</v>
      </c>
      <c r="S19" s="17">
        <f>'key data'!$C$10</f>
        <v>10.73</v>
      </c>
      <c r="T19" s="17">
        <f t="shared" si="5"/>
        <v>1098.5805117093407</v>
      </c>
      <c r="U19" s="17">
        <f>(44/12)*$N19*(1+$O19)*(Q19*K19)</f>
        <v>462.37817336047362</v>
      </c>
      <c r="V19" s="17">
        <f>(44/12)*$N19*(1+$O19)*(R19*L19)</f>
        <v>126.03417545139732</v>
      </c>
      <c r="W19" s="17">
        <f>(44/12)*$N18*(1+$O18)*(S19*M19)</f>
        <v>23.616614197009</v>
      </c>
      <c r="X19" s="52">
        <f>T19+U19+V19+W19</f>
        <v>1710.6094747182206</v>
      </c>
      <c r="Y19" s="113">
        <f>X19</f>
        <v>1710.6094747182206</v>
      </c>
      <c r="Z19" s="98"/>
    </row>
    <row r="20" spans="2:26" ht="15.75" thickBot="1" x14ac:dyDescent="0.3">
      <c r="B20" s="120" t="s">
        <v>126</v>
      </c>
      <c r="C20" s="120">
        <v>5</v>
      </c>
      <c r="D20" s="306">
        <f t="shared" si="3"/>
        <v>0.11540698055021227</v>
      </c>
      <c r="E20" s="20">
        <f t="shared" si="6"/>
        <v>0.1176362921751692</v>
      </c>
      <c r="F20" s="20">
        <f>F19</f>
        <v>0.11936553608586944</v>
      </c>
      <c r="G20" s="20">
        <f>G19</f>
        <v>0.12496768619669593</v>
      </c>
      <c r="H20" s="114">
        <v>73</v>
      </c>
      <c r="I20" s="114">
        <v>0.1</v>
      </c>
      <c r="J20" s="20">
        <f>D20*H20*I20</f>
        <v>0.8424709580165497</v>
      </c>
      <c r="K20" s="20">
        <f t="shared" si="0"/>
        <v>0.85874493287873532</v>
      </c>
      <c r="L20" s="20">
        <f t="shared" ref="L20" si="7">F20*H20*I20</f>
        <v>0.8713684134268469</v>
      </c>
      <c r="M20" s="20">
        <f>G20*H20*I20</f>
        <v>0.9122641092358803</v>
      </c>
      <c r="N20" s="114">
        <v>0.47</v>
      </c>
      <c r="O20" s="114">
        <v>0.4</v>
      </c>
      <c r="P20" s="20">
        <f>'key data'!$C$7</f>
        <v>540.47999999999979</v>
      </c>
      <c r="Q20" s="20">
        <f>'key data'!$C$8</f>
        <v>223.1699999999999</v>
      </c>
      <c r="R20" s="20">
        <f>'key data'!$C$9</f>
        <v>59.950000000000024</v>
      </c>
      <c r="S20" s="20">
        <f>'key data'!$C$10</f>
        <v>10.73</v>
      </c>
      <c r="T20" s="20">
        <f t="shared" si="5"/>
        <v>1098.5805117093407</v>
      </c>
      <c r="U20" s="20">
        <f>(44/12)*$N20*(1+$O20)*(Q20*K20)</f>
        <v>462.37817336047362</v>
      </c>
      <c r="V20" s="20">
        <f>(44/12)*$N20*(1+$O20)*(R20*L20)</f>
        <v>126.03417545139732</v>
      </c>
      <c r="W20" s="20">
        <f>(44/12)*$N19*(1+$O19)*(S20*M20)</f>
        <v>23.616614197009</v>
      </c>
      <c r="X20" s="20">
        <f t="shared" si="2"/>
        <v>1710.6094747182206</v>
      </c>
      <c r="Y20" s="115">
        <f t="shared" ref="Y20" si="8">X20</f>
        <v>1710.6094747182206</v>
      </c>
      <c r="Z20" s="98"/>
    </row>
  </sheetData>
  <mergeCells count="1">
    <mergeCell ref="B14:C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3366-FA01-430B-80AA-F03FAB7F8A2F}">
  <dimension ref="B6:M32"/>
  <sheetViews>
    <sheetView zoomScale="95" workbookViewId="0"/>
  </sheetViews>
  <sheetFormatPr defaultColWidth="8.85546875" defaultRowHeight="15.75" x14ac:dyDescent="0.25"/>
  <cols>
    <col min="1" max="1" width="8.85546875" style="1"/>
    <col min="2" max="2" width="26.42578125" style="1" customWidth="1"/>
    <col min="3" max="3" width="8.5703125" style="1" customWidth="1"/>
    <col min="4" max="4" width="31.5703125" style="1" customWidth="1"/>
    <col min="5" max="5" width="14.85546875" style="1" bestFit="1" customWidth="1"/>
    <col min="6" max="6" width="14.28515625" style="1" bestFit="1" customWidth="1"/>
    <col min="7" max="7" width="12.28515625" style="1" customWidth="1"/>
    <col min="8" max="8" width="14.140625" style="1" customWidth="1"/>
    <col min="9" max="9" width="11.140625" style="1" customWidth="1"/>
    <col min="10" max="10" width="15" style="1" customWidth="1"/>
    <col min="11" max="11" width="11.140625" style="1" customWidth="1"/>
    <col min="12" max="12" width="13.42578125" style="1" customWidth="1"/>
    <col min="13" max="16384" width="8.85546875" style="1"/>
  </cols>
  <sheetData>
    <row r="6" spans="2:13" ht="16.5" thickBot="1" x14ac:dyDescent="0.3"/>
    <row r="7" spans="2:13" ht="16.5" thickBot="1" x14ac:dyDescent="0.3">
      <c r="B7" s="137" t="s">
        <v>25</v>
      </c>
      <c r="C7" s="136" t="s">
        <v>26</v>
      </c>
      <c r="D7" s="133" t="s">
        <v>27</v>
      </c>
      <c r="E7" s="133"/>
      <c r="F7" s="134"/>
    </row>
    <row r="8" spans="2:13" ht="31.5" x14ac:dyDescent="0.25">
      <c r="B8" s="144" t="s">
        <v>169</v>
      </c>
      <c r="C8" s="138">
        <v>65</v>
      </c>
      <c r="D8" s="150" t="s">
        <v>28</v>
      </c>
      <c r="E8" s="151" t="s">
        <v>182</v>
      </c>
      <c r="F8" s="141">
        <f>44/12</f>
        <v>3.6666666666666665</v>
      </c>
    </row>
    <row r="9" spans="2:13" ht="31.5" x14ac:dyDescent="0.25">
      <c r="B9" s="145" t="s">
        <v>170</v>
      </c>
      <c r="C9" s="139">
        <v>0.82</v>
      </c>
      <c r="D9" s="124" t="s">
        <v>181</v>
      </c>
      <c r="E9" s="149" t="s">
        <v>173</v>
      </c>
      <c r="F9" s="142">
        <f>(C8*C9*C10*C11)</f>
        <v>49.036000000000001</v>
      </c>
    </row>
    <row r="10" spans="2:13" ht="17.25" x14ac:dyDescent="0.25">
      <c r="B10" s="145" t="s">
        <v>171</v>
      </c>
      <c r="C10" s="139">
        <v>1</v>
      </c>
      <c r="D10" s="125" t="s">
        <v>128</v>
      </c>
      <c r="E10" s="147" t="s">
        <v>174</v>
      </c>
      <c r="F10" s="143">
        <v>0</v>
      </c>
    </row>
    <row r="11" spans="2:13" ht="18" thickBot="1" x14ac:dyDescent="0.3">
      <c r="B11" s="146" t="s">
        <v>172</v>
      </c>
      <c r="C11" s="140">
        <v>0.92</v>
      </c>
      <c r="D11" s="135" t="s">
        <v>129</v>
      </c>
      <c r="E11" s="148" t="s">
        <v>29</v>
      </c>
      <c r="F11" s="164">
        <f>IF(((C8-(F9-F10))/20)&gt;0.8,0.8,((C8-(F9-F10))/20))</f>
        <v>0.79819999999999991</v>
      </c>
      <c r="G11"/>
    </row>
    <row r="12" spans="2:13" x14ac:dyDescent="0.25">
      <c r="B12" s="126"/>
      <c r="G12" s="126"/>
    </row>
    <row r="13" spans="2:13" ht="16.5" thickBot="1" x14ac:dyDescent="0.3"/>
    <row r="14" spans="2:13" s="127" customFormat="1" ht="129.75" thickBot="1" x14ac:dyDescent="0.3">
      <c r="B14" s="414" t="s">
        <v>21</v>
      </c>
      <c r="C14" s="415"/>
      <c r="D14" s="308" t="s">
        <v>183</v>
      </c>
      <c r="E14" s="152" t="s">
        <v>30</v>
      </c>
      <c r="F14" s="152" t="s">
        <v>184</v>
      </c>
      <c r="G14" s="152" t="s">
        <v>31</v>
      </c>
      <c r="H14" s="152" t="s">
        <v>185</v>
      </c>
      <c r="I14" s="152" t="s">
        <v>32</v>
      </c>
      <c r="J14" s="152" t="s">
        <v>186</v>
      </c>
      <c r="K14" s="152" t="s">
        <v>33</v>
      </c>
      <c r="L14" s="153" t="s">
        <v>187</v>
      </c>
    </row>
    <row r="15" spans="2:13" s="128" customFormat="1" ht="19.5" thickBot="1" x14ac:dyDescent="0.4">
      <c r="B15" s="161"/>
      <c r="C15" s="313" t="s">
        <v>24</v>
      </c>
      <c r="D15" s="309" t="s">
        <v>175</v>
      </c>
      <c r="E15" s="155" t="s">
        <v>176</v>
      </c>
      <c r="F15" s="155" t="s">
        <v>177</v>
      </c>
      <c r="G15" s="155" t="s">
        <v>34</v>
      </c>
      <c r="H15" s="155" t="s">
        <v>178</v>
      </c>
      <c r="I15" s="155" t="s">
        <v>35</v>
      </c>
      <c r="J15" s="155" t="s">
        <v>179</v>
      </c>
      <c r="K15" s="155" t="s">
        <v>36</v>
      </c>
      <c r="L15" s="156" t="s">
        <v>180</v>
      </c>
    </row>
    <row r="16" spans="2:13" x14ac:dyDescent="0.25">
      <c r="B16" s="162" t="s">
        <v>190</v>
      </c>
      <c r="C16" s="314">
        <v>0</v>
      </c>
      <c r="D16" s="310">
        <f t="shared" ref="D16:D21" si="0">$F$11</f>
        <v>0.79819999999999991</v>
      </c>
      <c r="E16" s="154">
        <f>'key data'!C7</f>
        <v>540.47999999999979</v>
      </c>
      <c r="F16" s="154">
        <f t="shared" ref="F16:F21" si="1">$F$11</f>
        <v>0.79819999999999991</v>
      </c>
      <c r="G16" s="154"/>
      <c r="H16" s="154">
        <f t="shared" ref="H16:H21" si="2">$F$11</f>
        <v>0.79819999999999991</v>
      </c>
      <c r="I16" s="154"/>
      <c r="J16" s="154">
        <f t="shared" ref="J16:J21" si="3">$F$11</f>
        <v>0.79819999999999991</v>
      </c>
      <c r="K16" s="154"/>
      <c r="L16" s="157">
        <f>($F$8*((D16*E16)+(F16*G16)+(H16*I16)+(J16*K16)))</f>
        <v>1581.8408319999992</v>
      </c>
      <c r="M16" s="130"/>
    </row>
    <row r="17" spans="2:13" x14ac:dyDescent="0.25">
      <c r="B17" s="162" t="s">
        <v>191</v>
      </c>
      <c r="C17" s="315">
        <v>1</v>
      </c>
      <c r="D17" s="311">
        <f t="shared" si="0"/>
        <v>0.79819999999999991</v>
      </c>
      <c r="E17" s="129">
        <f>E16</f>
        <v>540.47999999999979</v>
      </c>
      <c r="F17" s="129">
        <f t="shared" si="1"/>
        <v>0.79819999999999991</v>
      </c>
      <c r="G17" s="129">
        <f>'key data'!C8</f>
        <v>223.1699999999999</v>
      </c>
      <c r="H17" s="129">
        <f t="shared" si="2"/>
        <v>0.79819999999999991</v>
      </c>
      <c r="I17" s="129"/>
      <c r="J17" s="129">
        <f t="shared" si="3"/>
        <v>0.79819999999999991</v>
      </c>
      <c r="K17" s="129"/>
      <c r="L17" s="158">
        <f>($F$8*((D17*E17)+(F17*G17)+(H17*I17)+(J17*K17)))</f>
        <v>2234.9999099999986</v>
      </c>
      <c r="M17" s="130"/>
    </row>
    <row r="18" spans="2:13" x14ac:dyDescent="0.25">
      <c r="B18" s="162" t="s">
        <v>192</v>
      </c>
      <c r="C18" s="315">
        <v>2</v>
      </c>
      <c r="D18" s="311">
        <f t="shared" si="0"/>
        <v>0.79819999999999991</v>
      </c>
      <c r="E18" s="129">
        <f>E17</f>
        <v>540.47999999999979</v>
      </c>
      <c r="F18" s="129">
        <f t="shared" si="1"/>
        <v>0.79819999999999991</v>
      </c>
      <c r="G18" s="129">
        <f>G17</f>
        <v>223.1699999999999</v>
      </c>
      <c r="H18" s="129">
        <f t="shared" si="2"/>
        <v>0.79819999999999991</v>
      </c>
      <c r="I18" s="129">
        <f>'key data'!C9</f>
        <v>59.950000000000024</v>
      </c>
      <c r="J18" s="129">
        <f t="shared" si="3"/>
        <v>0.79819999999999991</v>
      </c>
      <c r="K18" s="129"/>
      <c r="L18" s="158">
        <f>($F$8*((D18*E18)+(F18*G18)+(H18*I18)+(J18*K18)))</f>
        <v>2410.4575733333318</v>
      </c>
      <c r="M18" s="130"/>
    </row>
    <row r="19" spans="2:13" x14ac:dyDescent="0.25">
      <c r="B19" s="162" t="s">
        <v>193</v>
      </c>
      <c r="C19" s="315">
        <v>3</v>
      </c>
      <c r="D19" s="311">
        <f t="shared" si="0"/>
        <v>0.79819999999999991</v>
      </c>
      <c r="E19" s="129">
        <f>E18</f>
        <v>540.47999999999979</v>
      </c>
      <c r="F19" s="129">
        <f t="shared" si="1"/>
        <v>0.79819999999999991</v>
      </c>
      <c r="G19" s="129">
        <f>G18</f>
        <v>223.1699999999999</v>
      </c>
      <c r="H19" s="129">
        <f t="shared" si="2"/>
        <v>0.79819999999999991</v>
      </c>
      <c r="I19" s="129">
        <f>I18</f>
        <v>59.950000000000024</v>
      </c>
      <c r="J19" s="129">
        <f t="shared" si="3"/>
        <v>0.79819999999999991</v>
      </c>
      <c r="K19" s="129">
        <f>'key data'!C10</f>
        <v>10.73</v>
      </c>
      <c r="L19" s="158">
        <f>($F$8*((D19*E19)+(F19*G19)+(H19*I19)+(J19*K19)))</f>
        <v>2441.8614219999986</v>
      </c>
      <c r="M19" s="130"/>
    </row>
    <row r="20" spans="2:13" x14ac:dyDescent="0.25">
      <c r="B20" s="162" t="s">
        <v>194</v>
      </c>
      <c r="C20" s="315">
        <v>4</v>
      </c>
      <c r="D20" s="311">
        <f t="shared" si="0"/>
        <v>0.79819999999999991</v>
      </c>
      <c r="E20" s="129">
        <f>E19</f>
        <v>540.47999999999979</v>
      </c>
      <c r="F20" s="129">
        <f t="shared" si="1"/>
        <v>0.79819999999999991</v>
      </c>
      <c r="G20" s="129">
        <f>G19</f>
        <v>223.1699999999999</v>
      </c>
      <c r="H20" s="129">
        <f t="shared" si="2"/>
        <v>0.79819999999999991</v>
      </c>
      <c r="I20" s="129">
        <f>I19</f>
        <v>59.950000000000024</v>
      </c>
      <c r="J20" s="129">
        <f t="shared" si="3"/>
        <v>0.79819999999999991</v>
      </c>
      <c r="K20" s="129">
        <f>K19</f>
        <v>10.73</v>
      </c>
      <c r="L20" s="158">
        <f>($F$8*((D20*E20)+(F20*G20)+(H20*I20)+(J20*K20)))</f>
        <v>2441.8614219999986</v>
      </c>
      <c r="M20" s="130"/>
    </row>
    <row r="21" spans="2:13" ht="16.5" thickBot="1" x14ac:dyDescent="0.3">
      <c r="B21" s="163" t="s">
        <v>195</v>
      </c>
      <c r="C21" s="316">
        <v>5</v>
      </c>
      <c r="D21" s="312">
        <f t="shared" si="0"/>
        <v>0.79819999999999991</v>
      </c>
      <c r="E21" s="159">
        <f>E20</f>
        <v>540.47999999999979</v>
      </c>
      <c r="F21" s="159">
        <f t="shared" si="1"/>
        <v>0.79819999999999991</v>
      </c>
      <c r="G21" s="159">
        <f>G20</f>
        <v>223.1699999999999</v>
      </c>
      <c r="H21" s="159">
        <f t="shared" si="2"/>
        <v>0.79819999999999991</v>
      </c>
      <c r="I21" s="159">
        <f>I20</f>
        <v>59.950000000000024</v>
      </c>
      <c r="J21" s="159">
        <f t="shared" si="3"/>
        <v>0.79819999999999991</v>
      </c>
      <c r="K21" s="159">
        <f>K20</f>
        <v>10.73</v>
      </c>
      <c r="L21" s="160">
        <f>($F$8*((D21*E21)+(F21*G21)+(H21*I21)+(J21*K21)))*161/366</f>
        <v>1074.1521555792342</v>
      </c>
      <c r="M21" s="130"/>
    </row>
    <row r="23" spans="2:13" x14ac:dyDescent="0.25">
      <c r="G23" s="130"/>
    </row>
    <row r="24" spans="2:13" x14ac:dyDescent="0.25">
      <c r="G24" s="130"/>
    </row>
    <row r="25" spans="2:13" x14ac:dyDescent="0.25">
      <c r="G25" s="130"/>
    </row>
    <row r="26" spans="2:13" x14ac:dyDescent="0.25">
      <c r="G26" s="130"/>
    </row>
    <row r="30" spans="2:13" x14ac:dyDescent="0.25">
      <c r="K30" s="131"/>
    </row>
    <row r="32" spans="2:13" x14ac:dyDescent="0.25">
      <c r="K32" s="132"/>
    </row>
  </sheetData>
  <mergeCells count="1">
    <mergeCell ref="B14:C14"/>
  </mergeCells>
  <phoneticPr fontId="5" type="noConversion"/>
  <dataValidations disablePrompts="1" count="3">
    <dataValidation type="list" allowBlank="1" showInputMessage="1" showErrorMessage="1" sqref="D11" xr:uid="{CDE5D67A-C095-4854-8E15-C49ED7DED4D0}">
      <formula1>IF(#REF!&lt;&gt;"3. Grassland",FI_Cropland,FI_Grassland)</formula1>
    </dataValidation>
    <dataValidation type="list" allowBlank="1" showInputMessage="1" showErrorMessage="1" sqref="D10" xr:uid="{139A9BDA-1D30-4AD5-87E4-42DD83F6540D}">
      <formula1>IF(#REF!&lt;&gt;"3. Grassland",FMG_Cropland,FMG_Grassland)</formula1>
    </dataValidation>
    <dataValidation type="list" allowBlank="1" showInputMessage="1" showErrorMessage="1" sqref="D9" xr:uid="{6C0CEA5F-753E-4622-8E45-C88432EB77C4}">
      <formula1>FLU</formula1>
    </dataValidation>
  </dataValidations>
  <hyperlinks>
    <hyperlink ref="D8" r:id="rId1" xr:uid="{37AFFECF-373E-4054-B045-94CC26924753}"/>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key data</vt:lpstr>
      <vt:lpstr>PSP Information</vt:lpstr>
      <vt:lpstr>2019 B.tulda</vt:lpstr>
      <vt:lpstr>2020 B.tulda</vt:lpstr>
      <vt:lpstr>2021 B.tulda</vt:lpstr>
      <vt:lpstr>2022 B.tulda</vt:lpstr>
      <vt:lpstr>Database</vt:lpstr>
      <vt:lpstr>Baseline</vt:lpstr>
      <vt:lpstr>SOC </vt:lpstr>
      <vt:lpstr>GHG emission</vt:lpstr>
      <vt:lpstr>Leakage</vt:lpstr>
      <vt:lpstr>Final Calculation</vt:lpstr>
      <vt:lpstr>Vinatge Period</vt:lpstr>
      <vt:lpstr>LTA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Sahil Pathan</dc:creator>
  <cp:keywords/>
  <dc:description/>
  <cp:lastModifiedBy>Himanshu</cp:lastModifiedBy>
  <cp:revision/>
  <dcterms:created xsi:type="dcterms:W3CDTF">2025-01-06T06:11:30Z</dcterms:created>
  <dcterms:modified xsi:type="dcterms:W3CDTF">2025-11-19T06:37:50Z</dcterms:modified>
  <cp:category/>
  <cp:contentStatus/>
</cp:coreProperties>
</file>